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2-07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1" l="1"/>
  <c r="D211" i="1" l="1"/>
  <c r="F211" i="1" s="1"/>
  <c r="D210" i="1"/>
  <c r="F210" i="1" s="1"/>
  <c r="D208" i="1"/>
  <c r="F208" i="1" s="1"/>
  <c r="D206" i="1"/>
  <c r="F206" i="1" s="1"/>
  <c r="D205" i="1"/>
  <c r="F205" i="1" s="1"/>
  <c r="D204" i="1"/>
  <c r="F204" i="1" s="1"/>
  <c r="D203" i="1"/>
  <c r="F203" i="1" s="1"/>
  <c r="D201" i="1"/>
  <c r="D200" i="1"/>
  <c r="D199" i="1"/>
  <c r="D198" i="1"/>
  <c r="F198" i="1" s="1"/>
  <c r="D195" i="1"/>
  <c r="D194" i="1"/>
  <c r="D192" i="1"/>
  <c r="D191" i="1"/>
  <c r="D189" i="1"/>
  <c r="D188" i="1"/>
  <c r="D187" i="1"/>
  <c r="D186" i="1"/>
  <c r="D185" i="1"/>
  <c r="D183" i="1"/>
  <c r="D182" i="1"/>
  <c r="D181" i="1"/>
  <c r="D180" i="1"/>
  <c r="D179" i="1"/>
  <c r="D176" i="1"/>
  <c r="D175" i="1"/>
  <c r="D174" i="1"/>
  <c r="D173" i="1"/>
  <c r="D171" i="1"/>
  <c r="D170" i="1"/>
  <c r="D169" i="1"/>
  <c r="D168" i="1"/>
  <c r="A209" i="1"/>
  <c r="A210" i="1" s="1"/>
  <c r="A211" i="1" s="1"/>
  <c r="G208" i="1"/>
  <c r="A204" i="1"/>
  <c r="A205" i="1" s="1"/>
  <c r="A206" i="1" s="1"/>
  <c r="G203" i="1"/>
  <c r="E201" i="1"/>
  <c r="E200" i="1"/>
  <c r="E199" i="1"/>
  <c r="E198" i="1"/>
  <c r="A199" i="1"/>
  <c r="A200" i="1" s="1"/>
  <c r="A201" i="1" s="1"/>
  <c r="G198" i="1"/>
  <c r="J196" i="1"/>
  <c r="E183" i="1"/>
  <c r="E182" i="1"/>
  <c r="E181" i="1"/>
  <c r="E180" i="1"/>
  <c r="E171" i="1"/>
  <c r="E170" i="1"/>
  <c r="E169" i="1"/>
  <c r="K168" i="1"/>
  <c r="I168" i="1"/>
  <c r="E163" i="1"/>
  <c r="D163" i="1"/>
  <c r="E162" i="1"/>
  <c r="D162" i="1"/>
  <c r="E161" i="1"/>
  <c r="D161" i="1"/>
  <c r="E159" i="1"/>
  <c r="E158" i="1"/>
  <c r="E157" i="1"/>
  <c r="E156" i="1"/>
  <c r="E155" i="1"/>
  <c r="D147" i="1"/>
  <c r="D150" i="1"/>
  <c r="D148" i="1"/>
  <c r="C131" i="1" l="1"/>
  <c r="F162" i="1"/>
  <c r="E129" i="1"/>
  <c r="E130" i="1"/>
  <c r="F200" i="1"/>
  <c r="F170" i="1"/>
  <c r="E131" i="1"/>
  <c r="E132" i="1" s="1"/>
  <c r="F199" i="1"/>
  <c r="F201" i="1"/>
  <c r="A222" i="1"/>
  <c r="A223" i="1" s="1"/>
  <c r="G47" i="1"/>
  <c r="C47" i="1"/>
  <c r="G131" i="1" l="1"/>
  <c r="C64" i="1"/>
  <c r="F194" i="1" l="1"/>
  <c r="F189" i="1"/>
  <c r="F188" i="1"/>
  <c r="F187" i="1"/>
  <c r="F186" i="1"/>
  <c r="F185" i="1"/>
  <c r="F182" i="1" l="1"/>
  <c r="F181" i="1"/>
  <c r="J181" i="1" s="1"/>
  <c r="E179" i="1"/>
  <c r="E168" i="1"/>
  <c r="F163" i="1"/>
  <c r="F161" i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F150" i="1"/>
  <c r="D149" i="1"/>
  <c r="F149" i="1" s="1"/>
  <c r="F148" i="1"/>
  <c r="F147" i="1"/>
  <c r="D146" i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J194" i="1"/>
  <c r="J193" i="1"/>
  <c r="G191" i="1"/>
  <c r="J190" i="1"/>
  <c r="J187" i="1"/>
  <c r="F176" i="1"/>
  <c r="F175" i="1"/>
  <c r="F174" i="1"/>
  <c r="F173" i="1"/>
  <c r="I170" i="1"/>
  <c r="C92" i="1"/>
  <c r="C77" i="1"/>
  <c r="J89" i="1"/>
  <c r="J88" i="1"/>
  <c r="J87" i="1"/>
  <c r="J86" i="1"/>
  <c r="P191" i="1"/>
  <c r="O191" i="1"/>
  <c r="H78" i="1"/>
  <c r="E125" i="1" l="1"/>
  <c r="E126" i="1" s="1"/>
  <c r="C125" i="1"/>
  <c r="C126" i="1" s="1"/>
  <c r="F183" i="1"/>
  <c r="J170" i="1"/>
  <c r="F171" i="1"/>
  <c r="J171" i="1" s="1"/>
  <c r="F191" i="1"/>
  <c r="J191" i="1" s="1"/>
  <c r="F195" i="1"/>
  <c r="J195" i="1" s="1"/>
  <c r="F192" i="1"/>
  <c r="J192" i="1" s="1"/>
  <c r="F168" i="1"/>
  <c r="F179" i="1"/>
  <c r="J179" i="1" s="1"/>
  <c r="F138" i="1"/>
  <c r="F146" i="1"/>
  <c r="C130" i="1"/>
  <c r="F169" i="1"/>
  <c r="J169" i="1" s="1"/>
  <c r="F180" i="1"/>
  <c r="O192" i="1"/>
  <c r="N191" i="1"/>
  <c r="O193" i="1"/>
  <c r="P193" i="1"/>
  <c r="P192" i="1"/>
  <c r="P194" i="1" s="1"/>
  <c r="P195" i="1" s="1"/>
  <c r="D90" i="1"/>
  <c r="D86" i="1"/>
  <c r="G82" i="1"/>
  <c r="G80" i="1" s="1"/>
  <c r="D89" i="1"/>
  <c r="D85" i="1"/>
  <c r="J84" i="1"/>
  <c r="J85" i="1" s="1"/>
  <c r="J90" i="1" s="1"/>
  <c r="J91" i="1" s="1"/>
  <c r="E82" i="1"/>
  <c r="C80" i="1" s="1"/>
  <c r="D82" i="1"/>
  <c r="J81" i="1"/>
  <c r="D83" i="1"/>
  <c r="D88" i="1"/>
  <c r="D84" i="1"/>
  <c r="J83" i="1"/>
  <c r="D91" i="1"/>
  <c r="D87" i="1"/>
  <c r="J82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237" i="1"/>
  <c r="A214" i="1"/>
  <c r="A215" i="1" s="1"/>
  <c r="A216" i="1" s="1"/>
  <c r="J189" i="1"/>
  <c r="J188" i="1"/>
  <c r="J186" i="1"/>
  <c r="G185" i="1"/>
  <c r="J185" i="1"/>
  <c r="J184" i="1"/>
  <c r="J183" i="1"/>
  <c r="J182" i="1"/>
  <c r="G179" i="1"/>
  <c r="J178" i="1"/>
  <c r="J177" i="1"/>
  <c r="J176" i="1"/>
  <c r="J175" i="1"/>
  <c r="J174" i="1"/>
  <c r="I173" i="1"/>
  <c r="G173" i="1"/>
  <c r="J173" i="1"/>
  <c r="J172" i="1"/>
  <c r="G168" i="1"/>
  <c r="A169" i="1"/>
  <c r="A170" i="1" s="1"/>
  <c r="A171" i="1" s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4" i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J153" i="1"/>
  <c r="J152" i="1"/>
  <c r="J151" i="1"/>
  <c r="J150" i="1"/>
  <c r="J149" i="1"/>
  <c r="J148" i="1"/>
  <c r="J147" i="1"/>
  <c r="A147" i="1"/>
  <c r="A148" i="1" s="1"/>
  <c r="A149" i="1" s="1"/>
  <c r="A150" i="1" s="1"/>
  <c r="A151" i="1" s="1"/>
  <c r="A152" i="1" s="1"/>
  <c r="I146" i="1"/>
  <c r="J145" i="1"/>
  <c r="J144" i="1"/>
  <c r="J143" i="1"/>
  <c r="J142" i="1"/>
  <c r="J141" i="1"/>
  <c r="J140" i="1"/>
  <c r="J139" i="1"/>
  <c r="A139" i="1"/>
  <c r="A140" i="1" s="1"/>
  <c r="A141" i="1" s="1"/>
  <c r="A142" i="1" s="1"/>
  <c r="A143" i="1" s="1"/>
  <c r="A144" i="1" s="1"/>
  <c r="A145" i="1" s="1"/>
  <c r="G138" i="1"/>
  <c r="F122" i="1"/>
  <c r="J103" i="1"/>
  <c r="J102" i="1"/>
  <c r="J101" i="1"/>
  <c r="J100" i="1"/>
  <c r="J74" i="1"/>
  <c r="J73" i="1"/>
  <c r="J72" i="1"/>
  <c r="J71" i="1"/>
  <c r="C62" i="1"/>
  <c r="D52" i="1"/>
  <c r="G46" i="1"/>
  <c r="C46" i="1"/>
  <c r="E40" i="1"/>
  <c r="E41" i="1" s="1"/>
  <c r="E24" i="1"/>
  <c r="E22" i="1"/>
  <c r="C13" i="1"/>
  <c r="E3" i="1"/>
  <c r="P173" i="1"/>
  <c r="O173" i="1"/>
  <c r="P185" i="1"/>
  <c r="H63" i="1"/>
  <c r="O185" i="1"/>
  <c r="G12" i="5" l="1"/>
  <c r="G125" i="1"/>
  <c r="G126" i="1" s="1"/>
  <c r="J146" i="1"/>
  <c r="J138" i="1"/>
  <c r="G129" i="1"/>
  <c r="I138" i="1"/>
  <c r="J168" i="1"/>
  <c r="E34" i="3"/>
  <c r="E36" i="3" s="1"/>
  <c r="G130" i="1"/>
  <c r="A217" i="1"/>
  <c r="A218" i="1" s="1"/>
  <c r="A219" i="1" s="1"/>
  <c r="A220" i="1" s="1"/>
  <c r="I77" i="1"/>
  <c r="N193" i="1"/>
  <c r="N192" i="1"/>
  <c r="O194" i="1"/>
  <c r="P187" i="1"/>
  <c r="O187" i="1"/>
  <c r="J180" i="1"/>
  <c r="I34" i="3"/>
  <c r="H34" i="3" s="1"/>
  <c r="J155" i="1"/>
  <c r="J126" i="1"/>
  <c r="L34" i="3"/>
  <c r="K34" i="3" s="1"/>
  <c r="D104" i="1"/>
  <c r="D100" i="1"/>
  <c r="D103" i="1"/>
  <c r="D99" i="1"/>
  <c r="J98" i="1"/>
  <c r="J99" i="1" s="1"/>
  <c r="J104" i="1" s="1"/>
  <c r="J105" i="1" s="1"/>
  <c r="J95" i="1"/>
  <c r="D102" i="1"/>
  <c r="D98" i="1"/>
  <c r="D101" i="1"/>
  <c r="J96" i="1"/>
  <c r="J97" i="1"/>
  <c r="D105" i="1"/>
  <c r="J68" i="1"/>
  <c r="C67" i="1" s="1"/>
  <c r="D67" i="1" s="1"/>
  <c r="J66" i="1"/>
  <c r="D76" i="1"/>
  <c r="D72" i="1"/>
  <c r="D75" i="1"/>
  <c r="D71" i="1"/>
  <c r="J67" i="1"/>
  <c r="D73" i="1"/>
  <c r="D69" i="1"/>
  <c r="D74" i="1"/>
  <c r="D70" i="1"/>
  <c r="J69" i="1"/>
  <c r="J70" i="1" s="1"/>
  <c r="J75" i="1" s="1"/>
  <c r="J76" i="1" s="1"/>
  <c r="C68" i="1" s="1"/>
  <c r="O186" i="1"/>
  <c r="N185" i="1"/>
  <c r="O174" i="1"/>
  <c r="N173" i="1"/>
  <c r="P186" i="1"/>
  <c r="P188" i="1" s="1"/>
  <c r="P189" i="1" s="1"/>
  <c r="P174" i="1"/>
  <c r="P175" i="1" s="1"/>
  <c r="P176" i="1" s="1"/>
  <c r="C129" i="1"/>
  <c r="C132" i="1" s="1"/>
  <c r="G132" i="1" l="1"/>
  <c r="C97" i="1"/>
  <c r="C96" i="1"/>
  <c r="D34" i="3"/>
  <c r="N187" i="1"/>
  <c r="N194" i="1"/>
  <c r="O195" i="1"/>
  <c r="N195" i="1" s="1"/>
  <c r="D36" i="3"/>
  <c r="E67" i="1"/>
  <c r="D68" i="1"/>
  <c r="O175" i="1"/>
  <c r="N174" i="1"/>
  <c r="O188" i="1"/>
  <c r="N186" i="1"/>
  <c r="G67" i="1"/>
  <c r="G96" i="1" l="1"/>
  <c r="D97" i="1"/>
  <c r="E96" i="1"/>
  <c r="D96" i="1"/>
  <c r="D61" i="1"/>
  <c r="F106" i="1" s="1"/>
  <c r="G65" i="1"/>
  <c r="I62" i="1"/>
  <c r="C65" i="1"/>
  <c r="N188" i="1"/>
  <c r="O189" i="1"/>
  <c r="N189" i="1" s="1"/>
  <c r="O176" i="1"/>
  <c r="N176" i="1" s="1"/>
  <c r="N175" i="1"/>
  <c r="I92" i="1" l="1"/>
  <c r="C94" i="1" s="1"/>
</calcChain>
</file>

<file path=xl/sharedStrings.xml><?xml version="1.0" encoding="utf-8"?>
<sst xmlns="http://schemas.openxmlformats.org/spreadsheetml/2006/main" count="460" uniqueCount="262">
  <si>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</si>
  <si>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</si>
  <si>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</si>
  <si>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</si>
  <si>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</si>
  <si>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</si>
  <si>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</si>
  <si>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</si>
  <si>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</si>
  <si>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</si>
  <si>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</si>
  <si>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</si>
  <si>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</si>
  <si>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</si>
  <si>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</si>
  <si>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</si>
  <si>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</si>
  <si>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</si>
  <si>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</si>
  <si>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</si>
  <si>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</si>
  <si>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</si>
  <si>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</si>
  <si>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</si>
  <si>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</si>
  <si>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</si>
  <si>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</si>
  <si>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</si>
  <si>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</si>
  <si>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</si>
  <si>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</si>
  <si>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</si>
  <si>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</si>
  <si>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</si>
  <si>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</si>
  <si>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</si>
  <si>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</si>
  <si>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</si>
  <si>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</si>
  <si>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</si>
  <si>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</si>
  <si>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</si>
  <si>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</si>
  <si>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</si>
  <si>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</si>
  <si>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</si>
  <si>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</si>
  <si>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</si>
  <si>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</si>
  <si>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</si>
  <si>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</si>
  <si>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</si>
  <si>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</si>
  <si>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</si>
  <si>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</si>
  <si>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</si>
  <si>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</si>
  <si>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</si>
  <si>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</si>
  <si>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</si>
  <si>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</si>
  <si>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</si>
  <si>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</si>
  <si>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</si>
  <si>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</si>
  <si>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</si>
  <si>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</si>
  <si>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</si>
  <si>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</si>
  <si>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</si>
  <si>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</si>
  <si>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</si>
  <si>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</si>
  <si>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</si>
  <si>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</si>
  <si>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</si>
  <si>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</si>
  <si>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</si>
  <si>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</si>
  <si>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</si>
  <si>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</si>
  <si>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</si>
  <si>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</si>
  <si>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</si>
  <si>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</si>
  <si>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</si>
  <si>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</si>
  <si>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</si>
  <si>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</si>
  <si>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</si>
  <si>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</si>
  <si>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</si>
  <si>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</si>
  <si>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</si>
  <si>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</si>
  <si>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</si>
  <si>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</si>
  <si>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</si>
  <si>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</si>
  <si>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</si>
  <si>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</si>
  <si>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</si>
  <si>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</si>
  <si>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</si>
  <si>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</si>
  <si>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</si>
  <si>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</si>
  <si>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</si>
  <si>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</si>
  <si>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</si>
  <si>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</si>
  <si>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</si>
  <si>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</si>
  <si>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</si>
  <si>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</si>
  <si>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</si>
  <si>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</si>
  <si>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</si>
  <si>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</si>
  <si>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</si>
  <si>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</si>
  <si>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</si>
  <si>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</si>
  <si>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</si>
  <si>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</si>
  <si>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</si>
  <si>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</si>
  <si>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</si>
  <si>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</si>
  <si>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</si>
  <si>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</si>
  <si>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</si>
  <si>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</si>
  <si>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</si>
  <si>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</si>
  <si>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</si>
  <si>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</si>
  <si>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</si>
  <si>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</si>
  <si>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</si>
  <si>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</si>
  <si>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</si>
  <si>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</si>
  <si>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</si>
  <si>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</si>
  <si>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</si>
  <si>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</si>
  <si>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</si>
  <si>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</si>
  <si>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</si>
  <si>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</si>
  <si>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</si>
  <si>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</si>
  <si>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</si>
  <si>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</si>
  <si>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</si>
  <si>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</si>
  <si>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</si>
  <si>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</si>
  <si>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</si>
  <si>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</si>
  <si>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</si>
  <si>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</si>
  <si>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</si>
  <si>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</si>
  <si>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</si>
  <si>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</si>
  <si>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</si>
  <si>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</si>
  <si>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</si>
  <si>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</si>
  <si>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</si>
  <si>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</si>
  <si>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</si>
  <si>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</si>
  <si>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</si>
  <si>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</si>
  <si>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</si>
  <si>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</si>
  <si>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</si>
  <si>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</si>
  <si>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</si>
  <si>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</si>
  <si>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</si>
  <si>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</si>
  <si>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</si>
  <si>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P51700030515
</t>
  </si>
  <si>
    <t>Axis Sanpada</t>
  </si>
  <si>
    <t>Shree Vighneshwar Heights</t>
  </si>
  <si>
    <t>Titwala</t>
  </si>
  <si>
    <t>Kalyan</t>
  </si>
  <si>
    <t>Thane</t>
  </si>
  <si>
    <t>9004423432 / 9820604067</t>
  </si>
  <si>
    <t xml:space="preserve">As per RERA - 31/03/2027
</t>
  </si>
  <si>
    <t>Approved Plans, CC, Builder Saleable Area, Cost Sheet</t>
  </si>
  <si>
    <t>Titwala East</t>
  </si>
  <si>
    <t>Bhumik Darshan Bldg</t>
  </si>
  <si>
    <t>Open Plot</t>
  </si>
  <si>
    <t>K.D.M.C. Water Tank</t>
  </si>
  <si>
    <t>Ganesh Mandir Road</t>
  </si>
  <si>
    <t>Wing A</t>
  </si>
  <si>
    <t>Shop</t>
  </si>
  <si>
    <t>Wing B</t>
  </si>
  <si>
    <t>1BHK</t>
  </si>
  <si>
    <t>2BHK</t>
  </si>
  <si>
    <t>2nd to 7th Floor</t>
  </si>
  <si>
    <t>A Wing</t>
  </si>
  <si>
    <t>B Wing</t>
  </si>
  <si>
    <t>Survey No</t>
  </si>
  <si>
    <t>114 Hissa No.5/3/3, Survey No.115 Hissa No.1, Survey No.115 Hissa No.2</t>
  </si>
  <si>
    <t>Mr.Mahesh Shyamsundar Goyal</t>
  </si>
  <si>
    <t>M/s.Mahesh Constructions</t>
  </si>
  <si>
    <t>2,00,000/-</t>
  </si>
  <si>
    <t>details of wing B &amp; C are removed as per discussed with ajinkya sir on 21/02/2022</t>
  </si>
  <si>
    <t>2,25,000/-</t>
  </si>
  <si>
    <t>Wing A, B &amp; C</t>
  </si>
  <si>
    <t>Location Link</t>
  </si>
  <si>
    <t>Latitude, Longitude</t>
  </si>
  <si>
    <t>https://goo.gl/maps/8z2Bd3dLG83MsB1y7</t>
  </si>
  <si>
    <t xml:space="preserve">Commencement Certificate No.
Valid Up to: </t>
  </si>
  <si>
    <t>1st Floor For Residential</t>
  </si>
  <si>
    <t>8th &amp; 13th Floor (Part Refuge Area)</t>
  </si>
  <si>
    <t>Refuge Area</t>
  </si>
  <si>
    <t>Name of the builder Name</t>
  </si>
  <si>
    <t>03 Wings</t>
  </si>
  <si>
    <t>Wing C</t>
  </si>
  <si>
    <t>Saleable area
Loading 45%</t>
  </si>
  <si>
    <t>Saleable area
Loading 60%</t>
  </si>
  <si>
    <t>We considered  Saleable area as per our calculations.</t>
  </si>
  <si>
    <t>We have updated approved CC &amp; floor plan of Wing A, B &amp; C on (dtd 06/03/2023).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</si>
  <si>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 </t>
  </si>
  <si>
    <t>We have updated OC for Wing A (On 17/05/2023).</t>
  </si>
  <si>
    <t>KDMC/TPD/CC/KD/42
Approved upto : A Wing = G + 1st to 7th Floor</t>
  </si>
  <si>
    <t>On Site, we meet Mr. Vijay - 9920742910.</t>
  </si>
  <si>
    <t>We have updated revised approved CC on 27/06/2024.</t>
  </si>
  <si>
    <t>Pooja</t>
  </si>
  <si>
    <t>KDMC/TPD/BP/KD/2021-22/07/174</t>
  </si>
  <si>
    <t>A Wing = Gr (Pt)+ 1st to 7th Floor
B Wing = Gr (Pt) + 1st to 15th Floor
C Wing = Gr/St + 1st to 15th Floor</t>
  </si>
  <si>
    <t>A Wing = Gr/St + 1st to 7th Floor
B Wing = Gr/St + 1st to 15th Floor
C Wing = Gr/St + 1st to 15th Floor</t>
  </si>
  <si>
    <t>A Wing = Gr/St + 1st to 7th Floor</t>
  </si>
  <si>
    <t>B Wing = Gr/St + 1st to 15th Floor</t>
  </si>
  <si>
    <t>C Wing = Gr/St + 1st to 15th Floor</t>
  </si>
  <si>
    <t>Wing A + B + C</t>
  </si>
  <si>
    <t>Ground Floor For Society Office, Meter Room, Commercial, Entrance Lobby &amp; Garage For Parking</t>
  </si>
  <si>
    <t>Attached Loft area</t>
  </si>
  <si>
    <t>2nd to 7th, 9th to 12th, 14th &amp; 15th Floor</t>
  </si>
  <si>
    <t>We considered Gross carpet area = Net carpet + Enclose balcony + Open balcony + E.P Area</t>
  </si>
  <si>
    <t>We have updated latest approved floor plans &amp; CC (On 26/02/2025).</t>
  </si>
  <si>
    <t>C Wing</t>
  </si>
  <si>
    <t>Flats = 159, Shops = 26</t>
  </si>
  <si>
    <t>Layout :</t>
  </si>
  <si>
    <t>19.2967456,73.2215501</t>
  </si>
  <si>
    <t>2.5 KM from Titwala Railway Station</t>
  </si>
  <si>
    <t>As per Layout</t>
  </si>
  <si>
    <t>Other Plot</t>
  </si>
  <si>
    <t>18.00 M. Wide Road</t>
  </si>
  <si>
    <t>Internal Road</t>
  </si>
  <si>
    <t>60 Years after completion</t>
  </si>
  <si>
    <t>KDMCC/PO/2025/APL/00109
Approved upto : B Wing = Gr/ St + 1st to 15th Floor</t>
  </si>
  <si>
    <t xml:space="preserve">Wing A &amp; B = All work Completed. OC Received.
Wing C = Construction work is in process at the time of Visit (Labour found).
</t>
  </si>
  <si>
    <t>We have updated OC for Wing B (On 25/03/2025).</t>
  </si>
  <si>
    <t>Krishna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</si>
</sst>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0"/>
  </numFmts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</cellStyleXfs>
  <cellXfs count="17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Protection="1">
      <protection hidden="1"/>
    </xf>
    <xf numFmtId="0" fontId="7" fillId="0" borderId="8" xfId="1" applyFont="1" applyBorder="1" applyProtection="1">
      <protection hidden="1"/>
    </xf>
    <xf numFmtId="0" fontId="7" fillId="0" borderId="8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4" fontId="7" fillId="0" borderId="0" xfId="1" applyNumberFormat="1" applyFont="1"/>
    <xf numFmtId="1" fontId="7" fillId="0" borderId="0" xfId="1" applyNumberFormat="1" applyFont="1"/>
    <xf numFmtId="0" fontId="7" fillId="0" borderId="6" xfId="1" applyFont="1" applyBorder="1" applyProtection="1">
      <protection hidden="1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68" fontId="7" fillId="0" borderId="0" xfId="1" applyNumberFormat="1" applyFont="1" applyAlignment="1">
      <alignment horizontal="center" vertical="center"/>
    </xf>
    <xf numFmtId="0" fontId="15" fillId="0" borderId="0" xfId="0" applyFont="1" applyProtection="1">
      <protection hidden="1"/>
    </xf>
    <xf numFmtId="0" fontId="7" fillId="0" borderId="1" xfId="1" applyFont="1" applyBorder="1" applyAlignment="1" applyProtection="1">
      <alignment horizontal="center" wrapText="1"/>
      <protection locked="0"/>
    </xf>
    <xf numFmtId="0" fontId="15" fillId="0" borderId="8" xfId="0" applyFont="1" applyBorder="1" applyProtection="1">
      <protection hidden="1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1" fontId="20" fillId="0" borderId="8" xfId="0" applyNumberFormat="1" applyFont="1" applyBorder="1"/>
    <xf numFmtId="1" fontId="20" fillId="0" borderId="8" xfId="0" applyNumberFormat="1" applyFont="1" applyBorder="1" applyAlignment="1">
      <alignment horizontal="right"/>
    </xf>
    <xf numFmtId="0" fontId="15" fillId="0" borderId="9" xfId="0" applyFont="1" applyBorder="1" applyProtection="1">
      <protection hidden="1"/>
    </xf>
    <xf numFmtId="1" fontId="20" fillId="0" borderId="10" xfId="0" applyNumberFormat="1" applyFont="1" applyBorder="1"/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2" fontId="7" fillId="0" borderId="0" xfId="1" applyNumberFormat="1" applyFont="1" applyAlignment="1">
      <alignment horizontal="center" vertical="center"/>
    </xf>
    <xf numFmtId="0" fontId="4" fillId="0" borderId="0" xfId="1" applyFont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2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" fontId="10" fillId="0" borderId="4" xfId="0" applyNumberFormat="1" applyFont="1" applyBorder="1" applyAlignment="1" applyProtection="1">
      <alignment vertical="top" wrapText="1"/>
      <protection locked="0"/>
    </xf>
    <xf numFmtId="1" fontId="10" fillId="0" borderId="13" xfId="0" applyNumberFormat="1" applyFont="1" applyBorder="1" applyAlignment="1" applyProtection="1">
      <alignment vertical="top" wrapText="1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4" borderId="1" xfId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2" borderId="4" xfId="1" applyFont="1" applyFill="1" applyBorder="1" applyAlignment="1" applyProtection="1">
      <alignment horizontal="left" vertical="top" wrapText="1"/>
      <protection locked="0"/>
    </xf>
    <xf numFmtId="0" fontId="12" fillId="2" borderId="13" xfId="1" applyFont="1" applyFill="1" applyBorder="1" applyAlignment="1" applyProtection="1">
      <alignment horizontal="left" vertical="top" wrapText="1"/>
      <protection locked="0"/>
    </xf>
    <xf numFmtId="0" fontId="12" fillId="2" borderId="5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1" fillId="0" borderId="1" xfId="8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3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3" borderId="15" xfId="2" applyFont="1" applyFill="1" applyBorder="1" applyAlignment="1">
      <alignment horizontal="center" wrapText="1"/>
    </xf>
    <xf numFmtId="0" fontId="6" fillId="3" borderId="0" xfId="2" applyFont="1" applyFill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7" fillId="0" borderId="17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753642</xdr:colOff>
      <xdr:row>236</xdr:row>
      <xdr:rowOff>163655</xdr:rowOff>
    </xdr:from>
    <xdr:to>
      <xdr:col>10</xdr:col>
      <xdr:colOff>320687</xdr:colOff>
      <xdr:row>238</xdr:row>
      <xdr:rowOff>139478</xdr:rowOff>
    </xdr:to>
    <xdr:sp macro="" textlink="">
      <xdr:nvSpPr>
        <xdr:cNvPr id="31" name="Rectangle 30"/>
        <xdr:cNvSpPr/>
      </xdr:nvSpPr>
      <xdr:spPr>
        <a:xfrm>
          <a:off x="8440317" y="46226555"/>
          <a:ext cx="329045" cy="37587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twoCellAnchor>
  <xdr:twoCellAnchor editAs="oneCell">
    <xdr:from>
      <xdr:col>12</xdr:col>
      <xdr:colOff>261264</xdr:colOff>
      <xdr:row>262</xdr:row>
      <xdr:rowOff>140977</xdr:rowOff>
    </xdr:from>
    <xdr:to>
      <xdr:col>17</xdr:col>
      <xdr:colOff>209682</xdr:colOff>
      <xdr:row>271</xdr:row>
      <xdr:rowOff>140752</xdr:rowOff>
    </xdr:to>
    <xdr:pic>
      <xdr:nvPicPr>
        <xdr:cNvPr id="12" name="Picture 11" descr="insp-185915-1525.jpg (959×1280)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9639" y="51395002"/>
          <a:ext cx="1348593" cy="180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479871</xdr:colOff>
      <xdr:row>236</xdr:row>
      <xdr:rowOff>66675</xdr:rowOff>
    </xdr:from>
    <xdr:to>
      <xdr:col>18</xdr:col>
      <xdr:colOff>358127</xdr:colOff>
      <xdr:row>248</xdr:row>
      <xdr:rowOff>195900</xdr:rowOff>
    </xdr:to>
    <xdr:pic>
      <xdr:nvPicPr>
        <xdr:cNvPr id="13" name="Picture 12" descr="insp-185915-843.jpg (959×1280)"/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38246" y="46129575"/>
          <a:ext cx="1888031" cy="252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236</xdr:row>
      <xdr:rowOff>41275</xdr:rowOff>
    </xdr:from>
    <xdr:to>
      <xdr:col>12</xdr:col>
      <xdr:colOff>318413</xdr:colOff>
      <xdr:row>248</xdr:row>
      <xdr:rowOff>170500</xdr:rowOff>
    </xdr:to>
    <xdr:pic>
      <xdr:nvPicPr>
        <xdr:cNvPr id="14" name="Picture 13" descr="insp-185915-851.jpg (1079×810)"/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0575" y="44675425"/>
          <a:ext cx="3515638" cy="24850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477863</xdr:colOff>
      <xdr:row>249</xdr:row>
      <xdr:rowOff>112787</xdr:rowOff>
    </xdr:from>
    <xdr:to>
      <xdr:col>17</xdr:col>
      <xdr:colOff>260869</xdr:colOff>
      <xdr:row>262</xdr:row>
      <xdr:rowOff>32462</xdr:rowOff>
    </xdr:to>
    <xdr:pic>
      <xdr:nvPicPr>
        <xdr:cNvPr id="15" name="Picture 14" descr="insp-185915-877.jpg (959×1280)"/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31388" y="48766487"/>
          <a:ext cx="1888031" cy="252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1055043</xdr:colOff>
      <xdr:row>249</xdr:row>
      <xdr:rowOff>112787</xdr:rowOff>
    </xdr:from>
    <xdr:to>
      <xdr:col>11</xdr:col>
      <xdr:colOff>314174</xdr:colOff>
      <xdr:row>262</xdr:row>
      <xdr:rowOff>32462</xdr:rowOff>
    </xdr:to>
    <xdr:pic>
      <xdr:nvPicPr>
        <xdr:cNvPr id="16" name="Picture 15" descr="insp-185915-940.jpg (959×1280)"/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79668" y="48766487"/>
          <a:ext cx="1888031" cy="252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1068341</xdr:colOff>
      <xdr:row>262</xdr:row>
      <xdr:rowOff>131452</xdr:rowOff>
    </xdr:from>
    <xdr:to>
      <xdr:col>12</xdr:col>
      <xdr:colOff>132369</xdr:colOff>
      <xdr:row>271</xdr:row>
      <xdr:rowOff>131227</xdr:rowOff>
    </xdr:to>
    <xdr:pic>
      <xdr:nvPicPr>
        <xdr:cNvPr id="17" name="Picture 16" descr="insp-185915-1512.jpg (1079×810)"/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92966" y="51385477"/>
          <a:ext cx="2397778" cy="180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800100</xdr:colOff>
      <xdr:row>36</xdr:row>
      <xdr:rowOff>44450</xdr:rowOff>
    </xdr:from>
    <xdr:to>
      <xdr:col>11</xdr:col>
      <xdr:colOff>564200</xdr:colOff>
      <xdr:row>47</xdr:row>
      <xdr:rowOff>2526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5400" y="8197850"/>
          <a:ext cx="2520000" cy="21234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374650</xdr:colOff>
      <xdr:row>47</xdr:row>
      <xdr:rowOff>44451</xdr:rowOff>
    </xdr:from>
    <xdr:to>
      <xdr:col>12</xdr:col>
      <xdr:colOff>482150</xdr:colOff>
      <xdr:row>48</xdr:row>
      <xdr:rowOff>165028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19950" y="10363201"/>
          <a:ext cx="3600000" cy="7365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374650</xdr:colOff>
      <xdr:row>48</xdr:row>
      <xdr:rowOff>190500</xdr:rowOff>
    </xdr:from>
    <xdr:to>
      <xdr:col>12</xdr:col>
      <xdr:colOff>482150</xdr:colOff>
      <xdr:row>49</xdr:row>
      <xdr:rowOff>476701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19950" y="11125200"/>
          <a:ext cx="3600000" cy="8958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381000</xdr:colOff>
      <xdr:row>280</xdr:row>
      <xdr:rowOff>50800</xdr:rowOff>
    </xdr:from>
    <xdr:to>
      <xdr:col>7</xdr:col>
      <xdr:colOff>525650</xdr:colOff>
      <xdr:row>294</xdr:row>
      <xdr:rowOff>196061</xdr:rowOff>
    </xdr:to>
    <xdr:grpSp>
      <xdr:nvGrpSpPr>
        <xdr:cNvPr id="4" name="Group 3"/>
        <xdr:cNvGrpSpPr/>
      </xdr:nvGrpSpPr>
      <xdr:grpSpPr>
        <a:xfrm>
          <a:off x="381000" y="53340000"/>
          <a:ext cx="6120000" cy="2901161"/>
          <a:chOff x="381000" y="54717950"/>
          <a:chExt cx="6120000" cy="2901161"/>
        </a:xfrm>
      </xdr:grpSpPr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381000" y="54717950"/>
            <a:ext cx="6120000" cy="290116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" name="TextBox 2"/>
          <xdr:cNvSpPr txBox="1"/>
        </xdr:nvSpPr>
        <xdr:spPr>
          <a:xfrm>
            <a:off x="1562100" y="5546725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>
                <a:solidFill>
                  <a:srgbClr val="FF0000"/>
                </a:solidFill>
              </a:rPr>
              <a:t>Wing A</a:t>
            </a:r>
          </a:p>
        </xdr:txBody>
      </xdr:sp>
      <xdr:sp macro="" textlink="">
        <xdr:nvSpPr>
          <xdr:cNvPr id="32" name="TextBox 31"/>
          <xdr:cNvSpPr txBox="1"/>
        </xdr:nvSpPr>
        <xdr:spPr>
          <a:xfrm>
            <a:off x="2419350" y="5544820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>
                <a:solidFill>
                  <a:srgbClr val="FF0000"/>
                </a:solidFill>
              </a:rPr>
              <a:t>Wing B</a:t>
            </a:r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3314700" y="5543550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>
                <a:solidFill>
                  <a:srgbClr val="FF0000"/>
                </a:solidFill>
              </a:rPr>
              <a:t>Wing C</a:t>
            </a:r>
          </a:p>
        </xdr:txBody>
      </xdr:sp>
    </xdr:grpSp>
    <xdr:clientData/>
  </xdr:twoCellAnchor>
  <xdr:twoCellAnchor editAs="oneCell">
    <xdr:from>
      <xdr:col>1</xdr:col>
      <xdr:colOff>791800</xdr:colOff>
      <xdr:row>328</xdr:row>
      <xdr:rowOff>33665</xdr:rowOff>
    </xdr:from>
    <xdr:to>
      <xdr:col>6</xdr:col>
      <xdr:colOff>35700</xdr:colOff>
      <xdr:row>341</xdr:row>
      <xdr:rowOff>86769</xdr:rowOff>
    </xdr:to>
    <xdr:pic>
      <xdr:nvPicPr>
        <xdr:cNvPr id="34" name="Picture 33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1900" y="64149615"/>
          <a:ext cx="3600000" cy="26121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812800</xdr:colOff>
      <xdr:row>314</xdr:row>
      <xdr:rowOff>146050</xdr:rowOff>
    </xdr:from>
    <xdr:to>
      <xdr:col>6</xdr:col>
      <xdr:colOff>56700</xdr:colOff>
      <xdr:row>327</xdr:row>
      <xdr:rowOff>119692</xdr:rowOff>
    </xdr:to>
    <xdr:pic>
      <xdr:nvPicPr>
        <xdr:cNvPr id="35" name="Picture 34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2900" y="61506100"/>
          <a:ext cx="3600000" cy="25326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766061</xdr:colOff>
      <xdr:row>334</xdr:row>
      <xdr:rowOff>154481</xdr:rowOff>
    </xdr:from>
    <xdr:to>
      <xdr:col>4</xdr:col>
      <xdr:colOff>160817</xdr:colOff>
      <xdr:row>338</xdr:row>
      <xdr:rowOff>13423</xdr:rowOff>
    </xdr:to>
    <xdr:sp macro="" textlink="">
      <xdr:nvSpPr>
        <xdr:cNvPr id="36" name="Rectangle 35"/>
        <xdr:cNvSpPr/>
      </xdr:nvSpPr>
      <xdr:spPr>
        <a:xfrm rot="20278375">
          <a:off x="2404361" y="65451531"/>
          <a:ext cx="1274356" cy="646342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1</xdr:col>
      <xdr:colOff>19050</xdr:colOff>
      <xdr:row>284</xdr:row>
      <xdr:rowOff>76200</xdr:rowOff>
    </xdr:from>
    <xdr:to>
      <xdr:col>1</xdr:col>
      <xdr:colOff>228600</xdr:colOff>
      <xdr:row>286</xdr:row>
      <xdr:rowOff>47625</xdr:rowOff>
    </xdr:to>
    <xdr:cxnSp macro="">
      <xdr:nvCxnSpPr>
        <xdr:cNvPr id="6" name="Straight Arrow Connector 5"/>
        <xdr:cNvCxnSpPr/>
      </xdr:nvCxnSpPr>
      <xdr:spPr>
        <a:xfrm flipH="1">
          <a:off x="781050" y="55740300"/>
          <a:ext cx="209550" cy="3714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581025</xdr:colOff>
      <xdr:row>286</xdr:row>
      <xdr:rowOff>66675</xdr:rowOff>
    </xdr:from>
    <xdr:to>
      <xdr:col>1</xdr:col>
      <xdr:colOff>495573</xdr:colOff>
      <xdr:row>287</xdr:row>
      <xdr:rowOff>182919</xdr:rowOff>
    </xdr:to>
    <xdr:sp macro="" textlink="">
      <xdr:nvSpPr>
        <xdr:cNvPr id="49" name="TextBox 48"/>
        <xdr:cNvSpPr txBox="1"/>
      </xdr:nvSpPr>
      <xdr:spPr>
        <a:xfrm>
          <a:off x="581025" y="56130825"/>
          <a:ext cx="676548" cy="316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1">
              <a:solidFill>
                <a:srgbClr val="FF0000"/>
              </a:solidFill>
            </a:rPr>
            <a:t>N</a:t>
          </a:r>
        </a:p>
      </xdr:txBody>
    </xdr:sp>
    <xdr:clientData/>
  </xdr:twoCellAnchor>
  <xdr:oneCellAnchor>
    <xdr:from>
      <xdr:col>8</xdr:col>
      <xdr:colOff>374650</xdr:colOff>
      <xdr:row>48</xdr:row>
      <xdr:rowOff>44451</xdr:rowOff>
    </xdr:from>
    <xdr:ext cx="3600000" cy="736527"/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19950" y="10363201"/>
          <a:ext cx="3600000" cy="7365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8</xdr:col>
      <xdr:colOff>374650</xdr:colOff>
      <xdr:row>49</xdr:row>
      <xdr:rowOff>190500</xdr:rowOff>
    </xdr:from>
    <xdr:ext cx="3600000" cy="895801"/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19950" y="11125200"/>
          <a:ext cx="3600000" cy="8958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10</xdr:col>
      <xdr:colOff>625438</xdr:colOff>
      <xdr:row>225</xdr:row>
      <xdr:rowOff>0</xdr:rowOff>
    </xdr:from>
    <xdr:to>
      <xdr:col>11</xdr:col>
      <xdr:colOff>549238</xdr:colOff>
      <xdr:row>226</xdr:row>
      <xdr:rowOff>67710</xdr:rowOff>
    </xdr:to>
    <xdr:sp macro="" textlink="">
      <xdr:nvSpPr>
        <xdr:cNvPr id="53" name="TextBox 52"/>
        <xdr:cNvSpPr txBox="1"/>
      </xdr:nvSpPr>
      <xdr:spPr>
        <a:xfrm>
          <a:off x="9490038" y="42862500"/>
          <a:ext cx="660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="1"/>
            <a:t>B Wing</a:t>
          </a:r>
        </a:p>
      </xdr:txBody>
    </xdr:sp>
    <xdr:clientData/>
  </xdr:twoCellAnchor>
  <xdr:twoCellAnchor>
    <xdr:from>
      <xdr:col>10</xdr:col>
      <xdr:colOff>92038</xdr:colOff>
      <xdr:row>227</xdr:row>
      <xdr:rowOff>0</xdr:rowOff>
    </xdr:from>
    <xdr:to>
      <xdr:col>11</xdr:col>
      <xdr:colOff>15838</xdr:colOff>
      <xdr:row>228</xdr:row>
      <xdr:rowOff>67710</xdr:rowOff>
    </xdr:to>
    <xdr:sp macro="" textlink="">
      <xdr:nvSpPr>
        <xdr:cNvPr id="55" name="TextBox 54"/>
        <xdr:cNvSpPr txBox="1"/>
      </xdr:nvSpPr>
      <xdr:spPr>
        <a:xfrm>
          <a:off x="8956638" y="43256200"/>
          <a:ext cx="660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="1"/>
            <a:t>A Wing</a:t>
          </a:r>
        </a:p>
      </xdr:txBody>
    </xdr:sp>
    <xdr:clientData/>
  </xdr:twoCellAnchor>
  <xdr:twoCellAnchor>
    <xdr:from>
      <xdr:col>9</xdr:col>
      <xdr:colOff>0</xdr:colOff>
      <xdr:row>234</xdr:row>
      <xdr:rowOff>0</xdr:rowOff>
    </xdr:from>
    <xdr:to>
      <xdr:col>9</xdr:col>
      <xdr:colOff>660400</xdr:colOff>
      <xdr:row>235</xdr:row>
      <xdr:rowOff>67710</xdr:rowOff>
    </xdr:to>
    <xdr:sp macro="" textlink="">
      <xdr:nvSpPr>
        <xdr:cNvPr id="39" name="TextBox 38"/>
        <xdr:cNvSpPr txBox="1"/>
      </xdr:nvSpPr>
      <xdr:spPr>
        <a:xfrm>
          <a:off x="8064500" y="44240450"/>
          <a:ext cx="660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="1"/>
            <a:t>C Wing</a:t>
          </a:r>
        </a:p>
      </xdr:txBody>
    </xdr:sp>
    <xdr:clientData/>
  </xdr:twoCellAnchor>
  <xdr:twoCellAnchor>
    <xdr:from>
      <xdr:col>0</xdr:col>
      <xdr:colOff>190500</xdr:colOff>
      <xdr:row>237</xdr:row>
      <xdr:rowOff>120650</xdr:rowOff>
    </xdr:from>
    <xdr:to>
      <xdr:col>7</xdr:col>
      <xdr:colOff>616839</xdr:colOff>
      <xdr:row>275</xdr:row>
      <xdr:rowOff>42446</xdr:rowOff>
    </xdr:to>
    <xdr:grpSp>
      <xdr:nvGrpSpPr>
        <xdr:cNvPr id="2" name="Group 1"/>
        <xdr:cNvGrpSpPr/>
      </xdr:nvGrpSpPr>
      <xdr:grpSpPr>
        <a:xfrm>
          <a:off x="190500" y="44951650"/>
          <a:ext cx="6401689" cy="7395746"/>
          <a:chOff x="190500" y="44951650"/>
          <a:chExt cx="6401689" cy="7395746"/>
        </a:xfrm>
      </xdr:grpSpPr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5094" y="5018739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909" y="449516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2678" y="4792952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792952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2583" y="5018739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4856" y="47929523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9101" y="449516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7" name="TextBox 46"/>
          <xdr:cNvSpPr txBox="1"/>
        </xdr:nvSpPr>
        <xdr:spPr>
          <a:xfrm>
            <a:off x="4820801" y="45262800"/>
            <a:ext cx="6604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 b="1"/>
              <a:t>C Wing</a:t>
            </a:r>
          </a:p>
        </xdr:txBody>
      </xdr:sp>
      <xdr:sp macro="" textlink="">
        <xdr:nvSpPr>
          <xdr:cNvPr id="48" name="TextBox 47"/>
          <xdr:cNvSpPr txBox="1"/>
        </xdr:nvSpPr>
        <xdr:spPr>
          <a:xfrm>
            <a:off x="3830201" y="45173900"/>
            <a:ext cx="6604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 b="1"/>
              <a:t>B Wing</a:t>
            </a:r>
          </a:p>
        </xdr:txBody>
      </xdr:sp>
      <xdr:sp macro="" textlink="">
        <xdr:nvSpPr>
          <xdr:cNvPr id="52" name="TextBox 51"/>
          <xdr:cNvSpPr txBox="1"/>
        </xdr:nvSpPr>
        <xdr:spPr>
          <a:xfrm>
            <a:off x="3049151" y="45847000"/>
            <a:ext cx="6604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 b="1"/>
              <a:t>A Wing</a:t>
            </a:r>
          </a:p>
        </xdr:txBody>
      </xdr:sp>
    </xdr:grpSp>
    <xdr:clientData/>
  </xdr:twoCellAnchor>
  <xdr:twoCellAnchor>
    <xdr:from>
      <xdr:col>1</xdr:col>
      <xdr:colOff>273050</xdr:colOff>
      <xdr:row>238</xdr:row>
      <xdr:rowOff>38100</xdr:rowOff>
    </xdr:from>
    <xdr:to>
      <xdr:col>2</xdr:col>
      <xdr:colOff>95250</xdr:colOff>
      <xdr:row>239</xdr:row>
      <xdr:rowOff>105810</xdr:rowOff>
    </xdr:to>
    <xdr:sp macro="" textlink="">
      <xdr:nvSpPr>
        <xdr:cNvPr id="54" name="TextBox 53"/>
        <xdr:cNvSpPr txBox="1"/>
      </xdr:nvSpPr>
      <xdr:spPr>
        <a:xfrm>
          <a:off x="1073150" y="45065950"/>
          <a:ext cx="660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="1"/>
            <a:t>C Wing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488670</xdr:colOff>
      <xdr:row>14</xdr:row>
      <xdr:rowOff>0</xdr:rowOff>
    </xdr:from>
    <xdr:to>
      <xdr:col>4</xdr:col>
      <xdr:colOff>326866</xdr:colOff>
      <xdr:row>29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70" y="2675283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552743</xdr:colOff>
      <xdr:row>14</xdr:row>
      <xdr:rowOff>0</xdr:rowOff>
    </xdr:from>
    <xdr:to>
      <xdr:col>10</xdr:col>
      <xdr:colOff>390938</xdr:colOff>
      <xdr:row>29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7047" y="2675283"/>
          <a:ext cx="51225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8z2Bd3dLG83MsB1y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58"/>
  <sheetViews>
    <sheetView tabSelected="1" view="pageBreakPreview" topLeftCell="A226" zoomScaleNormal="100" zoomScaleSheetLayoutView="100" workbookViewId="0">
      <selection activeCell="J233" sqref="J233"/>
    </sheetView>
  </sheetViews>
  <sheetFormatPr defaultColWidth="9.1796875" defaultRowHeight="15.5" x14ac:dyDescent="0.35"/>
  <cols>
    <col min="1" max="1" width="11.453125" style="15" customWidth="1"/>
    <col min="2" max="2" width="12" style="15" customWidth="1"/>
    <col min="3" max="3" width="12.7265625" style="15" customWidth="1"/>
    <col min="4" max="4" width="14.1796875" style="15" customWidth="1"/>
    <col min="5" max="7" width="11.7265625" style="15" customWidth="1"/>
    <col min="8" max="8" width="12.453125" style="15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42" t="s">
        <v>230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35">
      <c r="A2" s="143" t="s">
        <v>0</v>
      </c>
      <c r="B2" s="143"/>
      <c r="C2" s="143"/>
      <c r="D2" s="143"/>
      <c r="E2" s="143"/>
      <c r="F2" s="143"/>
      <c r="G2" s="143"/>
      <c r="H2" s="143"/>
    </row>
    <row r="3" spans="1:8" x14ac:dyDescent="0.35">
      <c r="A3" s="111" t="s">
        <v>1</v>
      </c>
      <c r="B3" s="111"/>
      <c r="C3" s="111"/>
      <c r="D3" s="111"/>
      <c r="E3" s="144" t="str">
        <f ca="1">TEXT(TODAY(),"DD/MM/YYYY")</f>
        <v>22/07/2025</v>
      </c>
      <c r="F3" s="144"/>
      <c r="G3" s="144"/>
      <c r="H3" s="144"/>
    </row>
    <row r="4" spans="1:8" ht="15" customHeight="1" x14ac:dyDescent="0.35">
      <c r="A4" s="111" t="s">
        <v>2</v>
      </c>
      <c r="B4" s="111"/>
      <c r="C4" s="111"/>
      <c r="D4" s="111"/>
      <c r="E4" s="139" t="s">
        <v>187</v>
      </c>
      <c r="F4" s="139"/>
      <c r="G4" s="139"/>
      <c r="H4" s="139"/>
    </row>
    <row r="5" spans="1:8" x14ac:dyDescent="0.35">
      <c r="A5" s="111" t="s">
        <v>3</v>
      </c>
      <c r="B5" s="111"/>
      <c r="C5" s="111"/>
      <c r="D5" s="111"/>
      <c r="E5" s="144">
        <v>45860</v>
      </c>
      <c r="F5" s="144"/>
      <c r="G5" s="144"/>
      <c r="H5" s="144"/>
    </row>
    <row r="6" spans="1:8" ht="16.5" customHeight="1" x14ac:dyDescent="0.35">
      <c r="A6" s="111" t="s">
        <v>223</v>
      </c>
      <c r="B6" s="111"/>
      <c r="C6" s="111"/>
      <c r="D6" s="111"/>
      <c r="E6" s="138" t="s">
        <v>210</v>
      </c>
      <c r="F6" s="138"/>
      <c r="G6" s="138"/>
      <c r="H6" s="138"/>
    </row>
    <row r="7" spans="1:8" ht="15" customHeight="1" x14ac:dyDescent="0.35">
      <c r="A7" s="111" t="s">
        <v>4</v>
      </c>
      <c r="B7" s="111"/>
      <c r="C7" s="111"/>
      <c r="D7" s="111"/>
      <c r="E7" s="138" t="s">
        <v>211</v>
      </c>
      <c r="F7" s="138"/>
      <c r="G7" s="138"/>
      <c r="H7" s="138"/>
    </row>
    <row r="8" spans="1:8" x14ac:dyDescent="0.35">
      <c r="A8" s="111" t="s">
        <v>5</v>
      </c>
      <c r="B8" s="111"/>
      <c r="C8" s="111"/>
      <c r="D8" s="111"/>
      <c r="E8" s="115" t="s">
        <v>188</v>
      </c>
      <c r="F8" s="105"/>
      <c r="G8" s="105"/>
      <c r="H8" s="105"/>
    </row>
    <row r="9" spans="1:8" x14ac:dyDescent="0.35">
      <c r="A9" s="111" t="s">
        <v>159</v>
      </c>
      <c r="B9" s="111"/>
      <c r="C9" s="111"/>
      <c r="D9" s="111"/>
      <c r="E9" s="111" t="s">
        <v>192</v>
      </c>
      <c r="F9" s="111"/>
      <c r="G9" s="111"/>
      <c r="H9" s="111"/>
    </row>
    <row r="10" spans="1:8" x14ac:dyDescent="0.35">
      <c r="A10" s="111" t="s">
        <v>6</v>
      </c>
      <c r="B10" s="111"/>
      <c r="C10" s="111"/>
      <c r="D10" s="111"/>
      <c r="E10" s="111" t="s">
        <v>215</v>
      </c>
      <c r="F10" s="111"/>
      <c r="G10" s="111"/>
      <c r="H10" s="111"/>
    </row>
    <row r="11" spans="1:8" ht="17.25" customHeight="1" x14ac:dyDescent="0.35">
      <c r="A11" s="111" t="s">
        <v>7</v>
      </c>
      <c r="B11" s="111"/>
      <c r="C11" s="111"/>
      <c r="D11" s="111"/>
      <c r="E11" s="138" t="s">
        <v>194</v>
      </c>
      <c r="F11" s="111"/>
      <c r="G11" s="111"/>
      <c r="H11" s="111"/>
    </row>
    <row r="12" spans="1:8" x14ac:dyDescent="0.35">
      <c r="A12" s="111" t="s">
        <v>8</v>
      </c>
      <c r="B12" s="111"/>
      <c r="C12" s="111"/>
      <c r="D12" s="111"/>
      <c r="E12" s="138" t="s">
        <v>186</v>
      </c>
      <c r="F12" s="111"/>
      <c r="G12" s="111"/>
      <c r="H12" s="111"/>
    </row>
    <row r="13" spans="1:8" ht="48.75" customHeight="1" x14ac:dyDescent="0.35">
      <c r="A13" s="138" t="s">
        <v>9</v>
      </c>
      <c r="B13" s="138"/>
      <c r="C13" s="13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Shree Vighneshwar Heights, Survey No.114 Hissa No.5/3/3, Survey No.115 Hissa No.1, Survey No.115 Hissa No.2, near K.D.M.C. Water Tank, Ganesh Mandir Road, Titwala, Titwala East, Kalyan, Thane.</v>
      </c>
      <c r="D13" s="138"/>
      <c r="E13" s="138"/>
      <c r="F13" s="138"/>
      <c r="G13" s="138"/>
      <c r="H13" s="138"/>
    </row>
    <row r="14" spans="1:8" x14ac:dyDescent="0.35">
      <c r="A14" s="138" t="s">
        <v>208</v>
      </c>
      <c r="B14" s="138"/>
      <c r="C14" s="138" t="s">
        <v>209</v>
      </c>
      <c r="D14" s="138"/>
      <c r="E14" s="138"/>
      <c r="F14" s="138"/>
      <c r="G14" s="138"/>
      <c r="H14" s="138"/>
    </row>
    <row r="15" spans="1:8" ht="15.75" customHeight="1" x14ac:dyDescent="0.35">
      <c r="A15" s="138" t="s">
        <v>10</v>
      </c>
      <c r="B15" s="138"/>
      <c r="C15" s="111" t="s">
        <v>199</v>
      </c>
      <c r="D15" s="111"/>
      <c r="E15" s="138" t="s">
        <v>99</v>
      </c>
      <c r="F15" s="138"/>
      <c r="G15" s="138" t="s">
        <v>189</v>
      </c>
      <c r="H15" s="138"/>
    </row>
    <row r="16" spans="1:8" x14ac:dyDescent="0.35">
      <c r="A16" s="111" t="s">
        <v>12</v>
      </c>
      <c r="B16" s="111"/>
      <c r="C16" s="138" t="s">
        <v>195</v>
      </c>
      <c r="D16" s="138"/>
      <c r="E16" s="138" t="s">
        <v>11</v>
      </c>
      <c r="F16" s="138"/>
      <c r="G16" s="137" t="s">
        <v>191</v>
      </c>
      <c r="H16" s="137"/>
    </row>
    <row r="17" spans="1:8" x14ac:dyDescent="0.35">
      <c r="A17" s="111" t="s">
        <v>100</v>
      </c>
      <c r="B17" s="111"/>
      <c r="C17" s="138" t="s">
        <v>190</v>
      </c>
      <c r="D17" s="138"/>
      <c r="E17" s="138" t="s">
        <v>13</v>
      </c>
      <c r="F17" s="138"/>
      <c r="G17" s="138">
        <v>421605</v>
      </c>
      <c r="H17" s="138"/>
    </row>
    <row r="18" spans="1:8" ht="32.25" customHeight="1" x14ac:dyDescent="0.35">
      <c r="A18" s="111" t="s">
        <v>160</v>
      </c>
      <c r="B18" s="111"/>
      <c r="C18" s="141" t="s">
        <v>198</v>
      </c>
      <c r="D18" s="141"/>
      <c r="E18" s="138" t="s">
        <v>14</v>
      </c>
      <c r="F18" s="138"/>
      <c r="G18" s="138" t="s">
        <v>252</v>
      </c>
      <c r="H18" s="138"/>
    </row>
    <row r="19" spans="1:8" ht="15" customHeight="1" x14ac:dyDescent="0.35">
      <c r="A19" s="138" t="s">
        <v>105</v>
      </c>
      <c r="B19" s="138"/>
      <c r="C19" s="138"/>
      <c r="D19" s="138"/>
      <c r="E19" s="111" t="s">
        <v>15</v>
      </c>
      <c r="F19" s="111"/>
      <c r="G19" s="111"/>
      <c r="H19" s="111"/>
    </row>
    <row r="20" spans="1:8" ht="18.75" customHeight="1" x14ac:dyDescent="0.35">
      <c r="A20" s="138"/>
      <c r="B20" s="138"/>
      <c r="C20" s="138"/>
      <c r="D20" s="138"/>
      <c r="E20" s="111"/>
      <c r="F20" s="111"/>
      <c r="G20" s="111"/>
      <c r="H20" s="111"/>
    </row>
    <row r="21" spans="1:8" ht="15" customHeight="1" x14ac:dyDescent="0.35">
      <c r="A21" s="138" t="s">
        <v>16</v>
      </c>
      <c r="B21" s="138"/>
      <c r="C21" s="138"/>
      <c r="D21" s="138"/>
      <c r="E21" s="138" t="s">
        <v>17</v>
      </c>
      <c r="F21" s="138"/>
      <c r="G21" s="138"/>
      <c r="H21" s="138"/>
    </row>
    <row r="22" spans="1:8" ht="15" customHeight="1" x14ac:dyDescent="0.35">
      <c r="A22" s="111" t="s">
        <v>18</v>
      </c>
      <c r="B22" s="111"/>
      <c r="C22" s="111"/>
      <c r="D22" s="111"/>
      <c r="E22" s="138" t="str">
        <f>IF(AND(G16="Mumbai"),"Upper Class","Middle Class")</f>
        <v>Middle Class</v>
      </c>
      <c r="F22" s="138"/>
      <c r="G22" s="138"/>
      <c r="H22" s="138"/>
    </row>
    <row r="23" spans="1:8" x14ac:dyDescent="0.35">
      <c r="A23" s="111" t="s">
        <v>19</v>
      </c>
      <c r="B23" s="111"/>
      <c r="C23" s="111"/>
      <c r="D23" s="111"/>
      <c r="E23" s="138" t="s">
        <v>20</v>
      </c>
      <c r="F23" s="138"/>
      <c r="G23" s="138"/>
      <c r="H23" s="138"/>
    </row>
    <row r="24" spans="1:8" ht="15.75" customHeight="1" x14ac:dyDescent="0.35">
      <c r="A24" s="111" t="s">
        <v>21</v>
      </c>
      <c r="B24" s="111"/>
      <c r="C24" s="111"/>
      <c r="D24" s="111"/>
      <c r="E24" s="138" t="str">
        <f>IF(AND(G16="Mumbai"),"Developed","Developing")</f>
        <v>Developing</v>
      </c>
      <c r="F24" s="138"/>
      <c r="G24" s="138"/>
      <c r="H24" s="138"/>
    </row>
    <row r="25" spans="1:8" x14ac:dyDescent="0.35">
      <c r="A25" s="111" t="s">
        <v>22</v>
      </c>
      <c r="B25" s="111"/>
      <c r="C25" s="111"/>
      <c r="D25" s="111"/>
      <c r="E25" s="138" t="s">
        <v>23</v>
      </c>
      <c r="F25" s="138"/>
      <c r="G25" s="138"/>
      <c r="H25" s="138"/>
    </row>
    <row r="26" spans="1:8" x14ac:dyDescent="0.35">
      <c r="A26" s="111" t="s">
        <v>113</v>
      </c>
      <c r="B26" s="111"/>
      <c r="C26" s="111"/>
      <c r="D26" s="111"/>
      <c r="E26" s="138" t="s">
        <v>114</v>
      </c>
      <c r="F26" s="138"/>
      <c r="G26" s="138"/>
      <c r="H26" s="138"/>
    </row>
    <row r="27" spans="1:8" ht="15" customHeight="1" x14ac:dyDescent="0.35">
      <c r="A27" s="138" t="s">
        <v>31</v>
      </c>
      <c r="B27" s="138"/>
      <c r="C27" s="138"/>
      <c r="D27" s="138"/>
      <c r="E27" s="139" t="s">
        <v>109</v>
      </c>
      <c r="F27" s="139"/>
      <c r="G27" s="139"/>
      <c r="H27" s="139"/>
    </row>
    <row r="28" spans="1:8" x14ac:dyDescent="0.35">
      <c r="A28" s="138" t="s">
        <v>125</v>
      </c>
      <c r="B28" s="138"/>
      <c r="C28" s="138"/>
      <c r="D28" s="138"/>
      <c r="E28" s="138" t="s">
        <v>32</v>
      </c>
      <c r="F28" s="138"/>
      <c r="G28" s="138"/>
      <c r="H28" s="138"/>
    </row>
    <row r="29" spans="1:8" x14ac:dyDescent="0.35">
      <c r="A29" s="134" t="s">
        <v>126</v>
      </c>
      <c r="B29" s="134"/>
      <c r="C29" s="140" t="s">
        <v>253</v>
      </c>
      <c r="D29" s="140"/>
      <c r="E29" s="140"/>
      <c r="F29" s="132" t="s">
        <v>29</v>
      </c>
      <c r="G29" s="132"/>
      <c r="H29" s="132"/>
    </row>
    <row r="30" spans="1:8" x14ac:dyDescent="0.35">
      <c r="A30" s="133" t="s">
        <v>24</v>
      </c>
      <c r="B30" s="133" t="s">
        <v>28</v>
      </c>
      <c r="C30" s="135" t="s">
        <v>254</v>
      </c>
      <c r="D30" s="135"/>
      <c r="E30" s="135"/>
      <c r="F30" s="113" t="s">
        <v>196</v>
      </c>
      <c r="G30" s="113"/>
      <c r="H30" s="113"/>
    </row>
    <row r="31" spans="1:8" x14ac:dyDescent="0.35">
      <c r="A31" s="133" t="s">
        <v>25</v>
      </c>
      <c r="B31" s="133" t="s">
        <v>28</v>
      </c>
      <c r="C31" s="135" t="s">
        <v>254</v>
      </c>
      <c r="D31" s="135"/>
      <c r="E31" s="135"/>
      <c r="F31" s="113" t="s">
        <v>197</v>
      </c>
      <c r="G31" s="113"/>
      <c r="H31" s="113"/>
    </row>
    <row r="32" spans="1:8" x14ac:dyDescent="0.35">
      <c r="A32" s="133" t="s">
        <v>27</v>
      </c>
      <c r="B32" s="133" t="s">
        <v>28</v>
      </c>
      <c r="C32" s="135" t="s">
        <v>255</v>
      </c>
      <c r="D32" s="135"/>
      <c r="E32" s="135"/>
      <c r="F32" s="113" t="s">
        <v>256</v>
      </c>
      <c r="G32" s="113"/>
      <c r="H32" s="113"/>
    </row>
    <row r="33" spans="1:8" x14ac:dyDescent="0.35">
      <c r="A33" s="133" t="s">
        <v>26</v>
      </c>
      <c r="B33" s="133" t="s">
        <v>28</v>
      </c>
      <c r="C33" s="135" t="s">
        <v>254</v>
      </c>
      <c r="D33" s="135"/>
      <c r="E33" s="135"/>
      <c r="F33" s="113" t="s">
        <v>197</v>
      </c>
      <c r="G33" s="113"/>
      <c r="H33" s="113"/>
    </row>
    <row r="34" spans="1:8" x14ac:dyDescent="0.35">
      <c r="A34" s="111" t="s">
        <v>30</v>
      </c>
      <c r="B34" s="111"/>
      <c r="C34" s="111"/>
      <c r="D34" s="111"/>
      <c r="E34" s="111"/>
      <c r="F34" s="111"/>
      <c r="G34" s="111"/>
      <c r="H34" s="111"/>
    </row>
    <row r="35" spans="1:8" ht="15.75" customHeight="1" x14ac:dyDescent="0.35">
      <c r="A35" s="132" t="s">
        <v>216</v>
      </c>
      <c r="B35" s="132"/>
      <c r="C35" s="136" t="s">
        <v>218</v>
      </c>
      <c r="D35" s="137"/>
      <c r="E35" s="137"/>
      <c r="F35" s="137"/>
      <c r="G35" s="137"/>
      <c r="H35" s="137"/>
    </row>
    <row r="36" spans="1:8" ht="15.75" customHeight="1" x14ac:dyDescent="0.35">
      <c r="A36" s="132" t="s">
        <v>217</v>
      </c>
      <c r="B36" s="132"/>
      <c r="C36" s="137" t="s">
        <v>251</v>
      </c>
      <c r="D36" s="137"/>
      <c r="E36" s="137"/>
      <c r="F36" s="137"/>
      <c r="G36" s="137"/>
      <c r="H36" s="137"/>
    </row>
    <row r="37" spans="1:8" x14ac:dyDescent="0.35">
      <c r="A37" s="105" t="s">
        <v>33</v>
      </c>
      <c r="B37" s="105"/>
      <c r="C37" s="105"/>
      <c r="D37" s="105"/>
      <c r="E37" s="105"/>
      <c r="F37" s="105"/>
      <c r="G37" s="105"/>
      <c r="H37" s="105"/>
    </row>
    <row r="38" spans="1:8" x14ac:dyDescent="0.35">
      <c r="A38" s="111" t="s">
        <v>34</v>
      </c>
      <c r="B38" s="111"/>
      <c r="C38" s="111"/>
      <c r="D38" s="111"/>
      <c r="E38" s="116">
        <v>2713</v>
      </c>
      <c r="F38" s="116"/>
      <c r="G38" s="116"/>
      <c r="H38" s="116"/>
    </row>
    <row r="39" spans="1:8" x14ac:dyDescent="0.35">
      <c r="A39" s="111" t="s">
        <v>35</v>
      </c>
      <c r="B39" s="111"/>
      <c r="C39" s="111"/>
      <c r="D39" s="111"/>
      <c r="E39" s="112">
        <v>1.1000000000000001</v>
      </c>
      <c r="F39" s="112"/>
      <c r="G39" s="112"/>
      <c r="H39" s="112"/>
    </row>
    <row r="40" spans="1:8" x14ac:dyDescent="0.35">
      <c r="A40" s="111" t="s">
        <v>36</v>
      </c>
      <c r="B40" s="111"/>
      <c r="C40" s="111"/>
      <c r="D40" s="111"/>
      <c r="E40" s="112">
        <f>E42/E38-E39</f>
        <v>2.9746811647622562</v>
      </c>
      <c r="F40" s="112"/>
      <c r="G40" s="112"/>
      <c r="H40" s="112"/>
    </row>
    <row r="41" spans="1:8" x14ac:dyDescent="0.35">
      <c r="A41" s="111" t="s">
        <v>37</v>
      </c>
      <c r="B41" s="111"/>
      <c r="C41" s="111"/>
      <c r="D41" s="111"/>
      <c r="E41" s="112">
        <f>E39+E40</f>
        <v>4.0746811647622563</v>
      </c>
      <c r="F41" s="112"/>
      <c r="G41" s="112"/>
      <c r="H41" s="112"/>
    </row>
    <row r="42" spans="1:8" x14ac:dyDescent="0.35">
      <c r="A42" s="111" t="s">
        <v>124</v>
      </c>
      <c r="B42" s="111"/>
      <c r="C42" s="111"/>
      <c r="D42" s="111"/>
      <c r="E42" s="117">
        <v>11054.61</v>
      </c>
      <c r="F42" s="117"/>
      <c r="G42" s="117"/>
      <c r="H42" s="117"/>
    </row>
    <row r="43" spans="1:8" x14ac:dyDescent="0.35">
      <c r="A43" s="111" t="s">
        <v>38</v>
      </c>
      <c r="B43" s="111"/>
      <c r="C43" s="111"/>
      <c r="D43" s="111"/>
      <c r="E43" s="111" t="s">
        <v>224</v>
      </c>
      <c r="F43" s="111"/>
      <c r="G43" s="111"/>
      <c r="H43" s="111"/>
    </row>
    <row r="44" spans="1:8" x14ac:dyDescent="0.35">
      <c r="A44" s="118" t="s">
        <v>39</v>
      </c>
      <c r="B44" s="118"/>
      <c r="C44" s="118"/>
      <c r="D44" s="118"/>
      <c r="E44" s="118"/>
      <c r="F44" s="118"/>
      <c r="G44" s="118"/>
      <c r="H44" s="118"/>
    </row>
    <row r="45" spans="1:8" x14ac:dyDescent="0.35">
      <c r="A45" s="114" t="s">
        <v>40</v>
      </c>
      <c r="B45" s="114"/>
      <c r="C45" s="123" t="s">
        <v>236</v>
      </c>
      <c r="D45" s="123"/>
      <c r="E45" s="123"/>
      <c r="F45" s="39" t="s">
        <v>41</v>
      </c>
      <c r="G45" s="124">
        <v>45671</v>
      </c>
      <c r="H45" s="124"/>
    </row>
    <row r="46" spans="1:8" x14ac:dyDescent="0.35">
      <c r="A46" s="122" t="s">
        <v>42</v>
      </c>
      <c r="B46" s="122"/>
      <c r="C46" s="123" t="str">
        <f>C45</f>
        <v>KDMC/TPD/BP/KD/2021-22/07/174</v>
      </c>
      <c r="D46" s="123"/>
      <c r="E46" s="123"/>
      <c r="F46" s="39" t="s">
        <v>41</v>
      </c>
      <c r="G46" s="124">
        <f>G45</f>
        <v>45671</v>
      </c>
      <c r="H46" s="124"/>
    </row>
    <row r="47" spans="1:8" s="10" customFormat="1" ht="15.75" customHeight="1" x14ac:dyDescent="0.35">
      <c r="A47" s="114" t="s">
        <v>219</v>
      </c>
      <c r="B47" s="114"/>
      <c r="C47" s="123" t="str">
        <f>C45</f>
        <v>KDMC/TPD/BP/KD/2021-22/07/174</v>
      </c>
      <c r="D47" s="123"/>
      <c r="E47" s="123"/>
      <c r="F47" s="12" t="s">
        <v>41</v>
      </c>
      <c r="G47" s="124">
        <f>G45</f>
        <v>45671</v>
      </c>
      <c r="H47" s="124"/>
    </row>
    <row r="48" spans="1:8" s="10" customFormat="1" ht="48.75" customHeight="1" x14ac:dyDescent="0.35">
      <c r="A48" s="114"/>
      <c r="B48" s="114"/>
      <c r="C48" s="119" t="s">
        <v>237</v>
      </c>
      <c r="D48" s="120"/>
      <c r="E48" s="120"/>
      <c r="F48" s="120"/>
      <c r="G48" s="120"/>
      <c r="H48" s="121"/>
    </row>
    <row r="49" spans="1:14" ht="48" customHeight="1" x14ac:dyDescent="0.35">
      <c r="A49" s="76" t="s">
        <v>43</v>
      </c>
      <c r="B49" s="76"/>
      <c r="C49" s="77" t="s">
        <v>232</v>
      </c>
      <c r="D49" s="78"/>
      <c r="E49" s="78" t="s">
        <v>44</v>
      </c>
      <c r="F49" s="51" t="s">
        <v>41</v>
      </c>
      <c r="G49" s="79">
        <v>45041</v>
      </c>
      <c r="H49" s="79"/>
    </row>
    <row r="50" spans="1:14" ht="48" customHeight="1" x14ac:dyDescent="0.35">
      <c r="A50" s="76"/>
      <c r="B50" s="76"/>
      <c r="C50" s="77" t="s">
        <v>258</v>
      </c>
      <c r="D50" s="78"/>
      <c r="E50" s="78" t="s">
        <v>44</v>
      </c>
      <c r="F50" s="72" t="s">
        <v>41</v>
      </c>
      <c r="G50" s="79">
        <v>45722</v>
      </c>
      <c r="H50" s="79"/>
    </row>
    <row r="51" spans="1:14" x14ac:dyDescent="0.35">
      <c r="A51" s="130" t="s">
        <v>46</v>
      </c>
      <c r="B51" s="130"/>
      <c r="C51" s="130"/>
      <c r="D51" s="130"/>
      <c r="E51" s="130"/>
      <c r="F51" s="130"/>
      <c r="G51" s="130"/>
      <c r="H51" s="130"/>
    </row>
    <row r="52" spans="1:14" x14ac:dyDescent="0.35">
      <c r="A52" s="114" t="s">
        <v>123</v>
      </c>
      <c r="B52" s="114"/>
      <c r="C52" s="114"/>
      <c r="D52" s="122">
        <f>E42</f>
        <v>11054.61</v>
      </c>
      <c r="E52" s="122"/>
      <c r="F52" s="122"/>
      <c r="G52" s="122"/>
      <c r="H52" s="122"/>
    </row>
    <row r="53" spans="1:14" x14ac:dyDescent="0.35">
      <c r="A53" s="114" t="s">
        <v>47</v>
      </c>
      <c r="B53" s="122"/>
      <c r="C53" s="122"/>
      <c r="D53" s="114" t="s">
        <v>249</v>
      </c>
      <c r="E53" s="122"/>
      <c r="F53" s="122"/>
      <c r="G53" s="122"/>
      <c r="H53" s="122"/>
      <c r="I53" s="37"/>
    </row>
    <row r="54" spans="1:14" ht="47.25" customHeight="1" x14ac:dyDescent="0.35">
      <c r="A54" s="125" t="s">
        <v>48</v>
      </c>
      <c r="B54" s="126"/>
      <c r="C54" s="161"/>
      <c r="D54" s="159" t="s">
        <v>238</v>
      </c>
      <c r="E54" s="160"/>
      <c r="F54" s="160"/>
      <c r="G54" s="160"/>
      <c r="H54" s="160"/>
    </row>
    <row r="55" spans="1:14" ht="15.75" customHeight="1" x14ac:dyDescent="0.35">
      <c r="A55" s="125" t="s">
        <v>121</v>
      </c>
      <c r="B55" s="126"/>
      <c r="C55" s="126"/>
      <c r="D55" s="122" t="s">
        <v>239</v>
      </c>
      <c r="E55" s="122"/>
      <c r="F55" s="122"/>
      <c r="G55" s="122"/>
      <c r="H55" s="122"/>
    </row>
    <row r="56" spans="1:14" ht="15.75" customHeight="1" x14ac:dyDescent="0.35">
      <c r="A56" s="127"/>
      <c r="B56" s="128"/>
      <c r="C56" s="128"/>
      <c r="D56" s="122" t="s">
        <v>240</v>
      </c>
      <c r="E56" s="122"/>
      <c r="F56" s="122"/>
      <c r="G56" s="122"/>
      <c r="H56" s="122"/>
    </row>
    <row r="57" spans="1:14" ht="15.75" customHeight="1" x14ac:dyDescent="0.35">
      <c r="A57" s="127"/>
      <c r="B57" s="129"/>
      <c r="C57" s="129"/>
      <c r="D57" s="122" t="s">
        <v>241</v>
      </c>
      <c r="E57" s="122"/>
      <c r="F57" s="122"/>
      <c r="G57" s="122"/>
      <c r="H57" s="122"/>
    </row>
    <row r="58" spans="1:14" ht="15.75" customHeight="1" x14ac:dyDescent="0.35">
      <c r="A58" s="106" t="s">
        <v>45</v>
      </c>
      <c r="B58" s="106"/>
      <c r="C58" s="106"/>
      <c r="D58" s="107" t="s">
        <v>193</v>
      </c>
      <c r="E58" s="107"/>
      <c r="F58" s="107"/>
      <c r="G58" s="107"/>
      <c r="H58" s="107"/>
      <c r="J58" s="36"/>
      <c r="K58" s="37"/>
      <c r="N58" s="37"/>
    </row>
    <row r="59" spans="1:14" ht="15.75" customHeight="1" x14ac:dyDescent="0.35">
      <c r="A59" s="106" t="s">
        <v>119</v>
      </c>
      <c r="B59" s="106"/>
      <c r="C59" s="106"/>
      <c r="D59" s="110" t="s">
        <v>257</v>
      </c>
      <c r="E59" s="110"/>
      <c r="F59" s="110"/>
      <c r="G59" s="110"/>
      <c r="H59" s="110"/>
      <c r="N59" s="37"/>
    </row>
    <row r="60" spans="1:14" ht="15.75" customHeight="1" x14ac:dyDescent="0.35">
      <c r="A60" s="106" t="s">
        <v>120</v>
      </c>
      <c r="B60" s="106"/>
      <c r="C60" s="106"/>
      <c r="D60" s="107" t="s">
        <v>23</v>
      </c>
      <c r="E60" s="107"/>
      <c r="F60" s="107"/>
      <c r="G60" s="107"/>
      <c r="H60" s="107"/>
      <c r="J60" s="17"/>
      <c r="K60" s="17"/>
    </row>
    <row r="61" spans="1:14" ht="15.75" customHeight="1" thickBot="1" x14ac:dyDescent="0.4">
      <c r="A61" s="106" t="s">
        <v>118</v>
      </c>
      <c r="B61" s="106"/>
      <c r="C61" s="106"/>
      <c r="D61" s="114" t="str">
        <f ca="1">(IF(G67&gt;95%,"Nothing",IF(G67&gt;0%,"Cement, Aggregate, Steel, etc",IF(G67=0%,"Work not yet Started"))))</f>
        <v>Nothing</v>
      </c>
      <c r="E61" s="114"/>
      <c r="F61" s="114"/>
      <c r="G61" s="114"/>
      <c r="H61" s="114"/>
      <c r="J61" s="17"/>
    </row>
    <row r="62" spans="1:14" ht="15.75" customHeight="1" x14ac:dyDescent="0.35">
      <c r="A62" s="115" t="s">
        <v>178</v>
      </c>
      <c r="B62" s="115"/>
      <c r="C62" s="115" t="str">
        <f>D55</f>
        <v>A Wing = Gr/St + 1st to 7th Floor</v>
      </c>
      <c r="D62" s="115"/>
      <c r="E62" s="115"/>
      <c r="F62" s="115"/>
      <c r="G62" s="115"/>
      <c r="H62" s="115"/>
      <c r="I62" s="38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completed","0")))))))))))&amp;(IF(C69=(D63+F63+H63),", RCC Slab",IF(C69&gt;0,", RCC upto "&amp;C69&amp;" Slab",""))&amp;(IF(C70=H63,", Brickwork",IF(C70&gt;0,", Brickwork upto "&amp;C70&amp;" Floor",""))&amp;(IF(C71=H63,", Internal Plaster",IF(C71&gt;0,", Internal Plaster upto "&amp;C71&amp;" Floor",""))&amp;(IF(C72=H63,", External Plaster",IF(C72&gt;0,", External Plaster upto "&amp;C72&amp;" Floor",""))&amp;(IF(C73=H63,", Flooring",IF(C73&gt;0,", Flooring upto "&amp;C73&amp;" Floor",""))&amp;(IF(C74=H63,", Painting",IF(C74&gt;0,", Painting upto "&amp;C74&amp;" Floor",""))&amp;(IF(C75&gt;0,", Finishing upto "&amp;C75&amp;" Floor","")&amp;(IF(C69&gt;0.5," Completed",""))))))))))))))</f>
        <v>All work completed. Please provide OC.</v>
      </c>
      <c r="J62" s="19"/>
    </row>
    <row r="63" spans="1:14" x14ac:dyDescent="0.35">
      <c r="A63" s="59" t="s">
        <v>180</v>
      </c>
      <c r="B63" s="59">
        <v>0</v>
      </c>
      <c r="C63" s="59" t="s">
        <v>98</v>
      </c>
      <c r="D63" s="59">
        <v>1</v>
      </c>
      <c r="E63" s="59" t="s">
        <v>97</v>
      </c>
      <c r="F63" s="59">
        <v>0</v>
      </c>
      <c r="G63" s="59" t="s">
        <v>112</v>
      </c>
      <c r="H63" s="59">
        <f ca="1">--TRIM(RIGHT(SUBSTITUTE(LEFT(C62,_xlfn.AGGREGATE(16,6,FIND({0,1,2,3,4,5,6,7,8,9},C62,ROW(INDIRECT("1:"&amp;LEN(C62)))),1))," ",REPT(" ",LEN(C62))),LEN(C62)))</f>
        <v>7</v>
      </c>
      <c r="I63" s="17"/>
      <c r="J63" s="20"/>
    </row>
    <row r="64" spans="1:14" x14ac:dyDescent="0.35">
      <c r="A64" s="105" t="s">
        <v>122</v>
      </c>
      <c r="B64" s="105"/>
      <c r="C64" s="115" t="str">
        <f>I64</f>
        <v>All work Completed. OC Received.</v>
      </c>
      <c r="D64" s="115"/>
      <c r="E64" s="115"/>
      <c r="F64" s="115"/>
      <c r="G64" s="115"/>
      <c r="H64" s="115"/>
      <c r="I64" s="17" t="s">
        <v>140</v>
      </c>
      <c r="J64" s="20"/>
    </row>
    <row r="65" spans="1:10" ht="30.65" customHeight="1" thickBot="1" x14ac:dyDescent="0.4">
      <c r="A65" s="80" t="s">
        <v>117</v>
      </c>
      <c r="B65" s="80"/>
      <c r="C65" s="81">
        <f ca="1">E67</f>
        <v>1</v>
      </c>
      <c r="D65" s="82"/>
      <c r="E65" s="82" t="s">
        <v>116</v>
      </c>
      <c r="F65" s="82"/>
      <c r="G65" s="81">
        <f ca="1">G67</f>
        <v>1</v>
      </c>
      <c r="H65" s="82"/>
      <c r="I65" s="17"/>
      <c r="J65" s="20"/>
    </row>
    <row r="66" spans="1:10" ht="15.75" hidden="1" customHeight="1" x14ac:dyDescent="0.35">
      <c r="A66" s="109" t="s">
        <v>49</v>
      </c>
      <c r="B66" s="109"/>
      <c r="C66" s="69" t="s">
        <v>177</v>
      </c>
      <c r="D66" s="69" t="s">
        <v>115</v>
      </c>
      <c r="E66" s="109" t="s">
        <v>117</v>
      </c>
      <c r="F66" s="109"/>
      <c r="G66" s="109" t="s">
        <v>116</v>
      </c>
      <c r="H66" s="109"/>
      <c r="I66" s="42" t="s">
        <v>179</v>
      </c>
      <c r="J66" s="21">
        <f ca="1">H63*25%</f>
        <v>1.75</v>
      </c>
    </row>
    <row r="67" spans="1:10" ht="16" hidden="1" thickBot="1" x14ac:dyDescent="0.4">
      <c r="A67" s="109" t="s">
        <v>166</v>
      </c>
      <c r="B67" s="109"/>
      <c r="C67" s="43">
        <f ca="1">J68</f>
        <v>7</v>
      </c>
      <c r="D67" s="68">
        <f ca="1">((100/H63)*C67)/100</f>
        <v>1</v>
      </c>
      <c r="E67" s="108">
        <f ca="1">(((C68/H63*10)+(40/(D63+F63+H63)*C69)+(7.5/(H63)*C70)+(7.5/(H63)*C71)+(10/H63*C72)+(10/H63*C73)+(5/H63*C74)+(5/H63*C75)+(5/H63*C76))/100)</f>
        <v>1</v>
      </c>
      <c r="F67" s="108"/>
      <c r="G67" s="108">
        <f ca="1">((((C67/H63)*20)+((C68/H63)*25)+(30/(H63+F63+D63)*C69)+(5/H63*C70)+(5/H63*C71)+(5/H63*C72)+(5/H63*C73)+(0/H63*C74)+(0/H63*C75)+(5/H63*C76))/100)</f>
        <v>1</v>
      </c>
      <c r="H67" s="108"/>
      <c r="I67" s="42" t="s">
        <v>135</v>
      </c>
      <c r="J67" s="44">
        <f ca="1">H63*50%</f>
        <v>3.5</v>
      </c>
    </row>
    <row r="68" spans="1:10" ht="16" hidden="1" thickBot="1" x14ac:dyDescent="0.4">
      <c r="A68" s="109" t="s">
        <v>50</v>
      </c>
      <c r="B68" s="109"/>
      <c r="C68" s="45">
        <f ca="1">J76</f>
        <v>7</v>
      </c>
      <c r="D68" s="68">
        <f ca="1">((100/H63)*C68)/100</f>
        <v>1</v>
      </c>
      <c r="E68" s="108"/>
      <c r="F68" s="108"/>
      <c r="G68" s="108"/>
      <c r="H68" s="108"/>
      <c r="I68" s="42" t="s">
        <v>136</v>
      </c>
      <c r="J68" s="44">
        <f ca="1">H63</f>
        <v>7</v>
      </c>
    </row>
    <row r="69" spans="1:10" ht="15.75" hidden="1" customHeight="1" x14ac:dyDescent="0.35">
      <c r="A69" s="113" t="s">
        <v>167</v>
      </c>
      <c r="B69" s="113"/>
      <c r="C69" s="45">
        <v>8</v>
      </c>
      <c r="D69" s="68">
        <f ca="1">((100/(D63+F63+H63))*C69)/100</f>
        <v>1</v>
      </c>
      <c r="E69" s="108"/>
      <c r="F69" s="108"/>
      <c r="G69" s="108"/>
      <c r="H69" s="108"/>
      <c r="I69" s="42" t="s">
        <v>137</v>
      </c>
      <c r="J69" s="46">
        <f ca="1">(IF(B63&gt;1,(H63/(B63+2)),H63/4))</f>
        <v>1.75</v>
      </c>
    </row>
    <row r="70" spans="1:10" ht="15.75" hidden="1" customHeight="1" x14ac:dyDescent="0.35">
      <c r="A70" s="109" t="s">
        <v>174</v>
      </c>
      <c r="B70" s="109" t="s">
        <v>168</v>
      </c>
      <c r="C70" s="43">
        <v>7</v>
      </c>
      <c r="D70" s="68">
        <f ca="1">((100/H63)*C70)/100</f>
        <v>1</v>
      </c>
      <c r="E70" s="108"/>
      <c r="F70" s="108"/>
      <c r="G70" s="108"/>
      <c r="H70" s="108"/>
      <c r="I70" s="42" t="s">
        <v>138</v>
      </c>
      <c r="J70" s="46">
        <f ca="1">(IF(B63&gt;1,(H63/(B63+2)+J69),H63/4+J69))</f>
        <v>3.5</v>
      </c>
    </row>
    <row r="71" spans="1:10" ht="15.75" hidden="1" customHeight="1" x14ac:dyDescent="0.35">
      <c r="A71" s="109" t="s">
        <v>175</v>
      </c>
      <c r="B71" s="109" t="s">
        <v>168</v>
      </c>
      <c r="C71" s="43">
        <v>7</v>
      </c>
      <c r="D71" s="68">
        <f ca="1">((100/H63)*C71)/100</f>
        <v>1</v>
      </c>
      <c r="E71" s="108"/>
      <c r="F71" s="108"/>
      <c r="G71" s="108"/>
      <c r="H71" s="108"/>
      <c r="I71" s="42" t="s">
        <v>184</v>
      </c>
      <c r="J71" s="46">
        <f>(IF(B63&gt;1,(H63/(B63+2)+J70),0))</f>
        <v>0</v>
      </c>
    </row>
    <row r="72" spans="1:10" ht="15" hidden="1" customHeight="1" x14ac:dyDescent="0.35">
      <c r="A72" s="109" t="s">
        <v>173</v>
      </c>
      <c r="B72" s="109" t="s">
        <v>170</v>
      </c>
      <c r="C72" s="43">
        <v>7</v>
      </c>
      <c r="D72" s="68">
        <f ca="1">((100/(H63))*C72)/100</f>
        <v>1</v>
      </c>
      <c r="E72" s="108"/>
      <c r="F72" s="108"/>
      <c r="G72" s="108"/>
      <c r="H72" s="108"/>
      <c r="I72" s="42" t="s">
        <v>181</v>
      </c>
      <c r="J72" s="46">
        <f>(IF(B63&gt;2,(H63/(B63+2)+J71),0))</f>
        <v>0</v>
      </c>
    </row>
    <row r="73" spans="1:10" ht="15.75" hidden="1" customHeight="1" x14ac:dyDescent="0.35">
      <c r="A73" s="109" t="s">
        <v>169</v>
      </c>
      <c r="B73" s="109" t="s">
        <v>169</v>
      </c>
      <c r="C73" s="43">
        <v>7</v>
      </c>
      <c r="D73" s="68">
        <f ca="1">((100/H63)*C73)/100</f>
        <v>1</v>
      </c>
      <c r="E73" s="108"/>
      <c r="F73" s="108"/>
      <c r="G73" s="108"/>
      <c r="H73" s="108"/>
      <c r="I73" s="42" t="s">
        <v>182</v>
      </c>
      <c r="J73" s="47">
        <f>(IF(B63&gt;3,(H63/(B63+2)+J72),0))</f>
        <v>0</v>
      </c>
    </row>
    <row r="74" spans="1:10" ht="15.75" hidden="1" customHeight="1" x14ac:dyDescent="0.35">
      <c r="A74" s="109" t="s">
        <v>176</v>
      </c>
      <c r="B74" s="109"/>
      <c r="C74" s="43">
        <v>7</v>
      </c>
      <c r="D74" s="68">
        <f ca="1">((100/H63)*C74)/100</f>
        <v>1</v>
      </c>
      <c r="E74" s="108"/>
      <c r="F74" s="108"/>
      <c r="G74" s="108"/>
      <c r="H74" s="108"/>
      <c r="I74" s="42" t="s">
        <v>183</v>
      </c>
      <c r="J74" s="46">
        <f>(IF(B63&gt;4,(H63/(B63+2)+J73),0))</f>
        <v>0</v>
      </c>
    </row>
    <row r="75" spans="1:10" ht="15.75" hidden="1" customHeight="1" x14ac:dyDescent="0.35">
      <c r="A75" s="109" t="s">
        <v>171</v>
      </c>
      <c r="B75" s="109" t="s">
        <v>171</v>
      </c>
      <c r="C75" s="43">
        <v>7</v>
      </c>
      <c r="D75" s="68">
        <f ca="1">((100/(H63))*C75)/100</f>
        <v>1</v>
      </c>
      <c r="E75" s="108"/>
      <c r="F75" s="108"/>
      <c r="G75" s="108"/>
      <c r="H75" s="108"/>
      <c r="I75" s="42" t="s">
        <v>185</v>
      </c>
      <c r="J75" s="46">
        <f ca="1">(IF(B63=1,(H63/(B63+3)+J70),IF(B63=0,(H63/4+J70),IF(B63&gt;1,0))))</f>
        <v>5.25</v>
      </c>
    </row>
    <row r="76" spans="1:10" ht="16" hidden="1" thickBot="1" x14ac:dyDescent="0.4">
      <c r="A76" s="109" t="s">
        <v>172</v>
      </c>
      <c r="B76" s="109"/>
      <c r="C76" s="43">
        <v>7</v>
      </c>
      <c r="D76" s="68">
        <f ca="1">((100/(H63))*C76)/100</f>
        <v>1</v>
      </c>
      <c r="E76" s="108"/>
      <c r="F76" s="108"/>
      <c r="G76" s="108"/>
      <c r="H76" s="108"/>
      <c r="I76" s="48" t="s">
        <v>139</v>
      </c>
      <c r="J76" s="49">
        <f ca="1">(IF(B63&gt;1.5,(H63/(B63+2)+J70+MAX(0,J71-J70)+MAX(0,J72-J71)+MAX(0,J73-J72)+MAX(0,J74-J73)+MAX(0,J75-J74)),IF(B63=1,(H63/(B63+3)+J75),IF(B63=0,H63/4+J75))))</f>
        <v>7</v>
      </c>
    </row>
    <row r="77" spans="1:10" ht="15.75" customHeight="1" x14ac:dyDescent="0.35">
      <c r="A77" s="115" t="s">
        <v>178</v>
      </c>
      <c r="B77" s="115"/>
      <c r="C77" s="115" t="str">
        <f>D56</f>
        <v>B Wing = Gr/St + 1st to 15th Floor</v>
      </c>
      <c r="D77" s="115"/>
      <c r="E77" s="115"/>
      <c r="F77" s="115"/>
      <c r="G77" s="115"/>
      <c r="H77" s="115"/>
      <c r="I77" s="38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completed","0")))))))))))&amp;(IF(C84=(D78+F78+H78),", RCC Slab",IF(C84&gt;0,", RCC upto "&amp;C84&amp;" Slab",""))&amp;(IF(C85=H78,", Brickwork",IF(C85&gt;0,", Brickwork upto "&amp;C85&amp;" Floor",""))&amp;(IF(C86=H78,", Internal Plaster",IF(C86&gt;0,", Internal Plaster upto "&amp;C86&amp;" Floor",""))&amp;(IF(C87=H78,", External Plaster",IF(C87&gt;0,", External Plaster upto "&amp;C87&amp;" Floor",""))&amp;(IF(C88=H78,", Flooring",IF(C88&gt;0,", Flooring upto "&amp;C88&amp;" Floor",""))&amp;(IF(C89=H78,", Painting",IF(C89&gt;0,", Painting upto "&amp;C89&amp;" Floor",""))&amp;(IF(C90&gt;0,", Finishing upto "&amp;C90&amp;" Floor","")&amp;(IF(C84&gt;0.5," Completed",""))))))))))))))</f>
        <v>All work completed. Please provide OC.</v>
      </c>
      <c r="J77" s="19"/>
    </row>
    <row r="78" spans="1:10" x14ac:dyDescent="0.35">
      <c r="A78" s="74" t="s">
        <v>180</v>
      </c>
      <c r="B78" s="74">
        <v>0</v>
      </c>
      <c r="C78" s="74" t="s">
        <v>98</v>
      </c>
      <c r="D78" s="74">
        <v>1</v>
      </c>
      <c r="E78" s="74" t="s">
        <v>97</v>
      </c>
      <c r="F78" s="74">
        <v>0</v>
      </c>
      <c r="G78" s="74" t="s">
        <v>112</v>
      </c>
      <c r="H78" s="74">
        <f ca="1">--TRIM(RIGHT(SUBSTITUTE(LEFT(C77,_xlfn.AGGREGATE(16,6,FIND({0,1,2,3,4,5,6,7,8,9},C77,ROW(INDIRECT("1:"&amp;LEN(C77)))),1))," ",REPT(" ",LEN(C77))),LEN(C77)))</f>
        <v>15</v>
      </c>
      <c r="I78" s="17"/>
      <c r="J78" s="20"/>
    </row>
    <row r="79" spans="1:10" x14ac:dyDescent="0.35">
      <c r="A79" s="105" t="s">
        <v>122</v>
      </c>
      <c r="B79" s="105"/>
      <c r="C79" s="115" t="str">
        <f>I79</f>
        <v>All work Completed. OC Received.</v>
      </c>
      <c r="D79" s="115"/>
      <c r="E79" s="115"/>
      <c r="F79" s="115"/>
      <c r="G79" s="115"/>
      <c r="H79" s="115"/>
      <c r="I79" s="17" t="s">
        <v>140</v>
      </c>
      <c r="J79" s="20"/>
    </row>
    <row r="80" spans="1:10" ht="30.65" customHeight="1" thickBot="1" x14ac:dyDescent="0.4">
      <c r="A80" s="80" t="s">
        <v>117</v>
      </c>
      <c r="B80" s="80"/>
      <c r="C80" s="81">
        <f ca="1">E82</f>
        <v>1</v>
      </c>
      <c r="D80" s="82"/>
      <c r="E80" s="82" t="s">
        <v>116</v>
      </c>
      <c r="F80" s="82"/>
      <c r="G80" s="81">
        <f ca="1">G82</f>
        <v>1</v>
      </c>
      <c r="H80" s="82"/>
      <c r="I80" s="17"/>
      <c r="J80" s="20"/>
    </row>
    <row r="81" spans="1:10" ht="15.75" hidden="1" customHeight="1" x14ac:dyDescent="0.4">
      <c r="A81" s="109" t="s">
        <v>49</v>
      </c>
      <c r="B81" s="109"/>
      <c r="C81" s="73" t="s">
        <v>177</v>
      </c>
      <c r="D81" s="73" t="s">
        <v>115</v>
      </c>
      <c r="E81" s="109" t="s">
        <v>117</v>
      </c>
      <c r="F81" s="109"/>
      <c r="G81" s="109" t="s">
        <v>116</v>
      </c>
      <c r="H81" s="109"/>
      <c r="I81" s="42" t="s">
        <v>179</v>
      </c>
      <c r="J81" s="21">
        <f ca="1">H78*25%</f>
        <v>3.75</v>
      </c>
    </row>
    <row r="82" spans="1:10" ht="16" hidden="1" thickBot="1" x14ac:dyDescent="0.4">
      <c r="A82" s="109" t="s">
        <v>166</v>
      </c>
      <c r="B82" s="109"/>
      <c r="C82" s="43">
        <v>15</v>
      </c>
      <c r="D82" s="75">
        <f ca="1">((100/H78)*C82)/100</f>
        <v>1</v>
      </c>
      <c r="E82" s="108">
        <f ca="1">(((C83/H78*10)+(40/(D78+F78+H78)*C84)+(7.5/(H78)*C85)+(7.5/(H78)*C86)+(10/H78*C87)+(10/H78*C88)+(5/H78*C89)+(5/H78*C90)+(5/H78*C91))/100)</f>
        <v>1</v>
      </c>
      <c r="F82" s="108"/>
      <c r="G82" s="108">
        <f ca="1">((((C82/H78)*20)+((C83/H78)*25)+(30/(H78+F78+D78)*C84)+(5/H78*C85)+(5/H78*C86)+(5/H78*C87)+(5/H78*C88)+(0/H78*C89)+(0/H78*C90)+(5/H78*C91))/100)</f>
        <v>1</v>
      </c>
      <c r="H82" s="108"/>
      <c r="I82" s="42" t="s">
        <v>135</v>
      </c>
      <c r="J82" s="44">
        <f ca="1">H78*50%</f>
        <v>7.5</v>
      </c>
    </row>
    <row r="83" spans="1:10" ht="16" hidden="1" thickBot="1" x14ac:dyDescent="0.4">
      <c r="A83" s="109" t="s">
        <v>50</v>
      </c>
      <c r="B83" s="109"/>
      <c r="C83" s="45">
        <v>15</v>
      </c>
      <c r="D83" s="75">
        <f ca="1">((100/H78)*C83)/100</f>
        <v>1</v>
      </c>
      <c r="E83" s="108"/>
      <c r="F83" s="108"/>
      <c r="G83" s="108"/>
      <c r="H83" s="108"/>
      <c r="I83" s="42" t="s">
        <v>136</v>
      </c>
      <c r="J83" s="44">
        <f ca="1">H78</f>
        <v>15</v>
      </c>
    </row>
    <row r="84" spans="1:10" ht="15.75" hidden="1" customHeight="1" x14ac:dyDescent="0.4">
      <c r="A84" s="109" t="s">
        <v>167</v>
      </c>
      <c r="B84" s="109"/>
      <c r="C84" s="45">
        <v>16</v>
      </c>
      <c r="D84" s="75">
        <f ca="1">((100/(D78+F78+H78))*C84)/100</f>
        <v>1</v>
      </c>
      <c r="E84" s="108"/>
      <c r="F84" s="108"/>
      <c r="G84" s="108"/>
      <c r="H84" s="108"/>
      <c r="I84" s="42" t="s">
        <v>137</v>
      </c>
      <c r="J84" s="46">
        <f ca="1">(IF(B78&gt;1,(H78/(B78+2)),H78/4))</f>
        <v>3.75</v>
      </c>
    </row>
    <row r="85" spans="1:10" ht="15.75" hidden="1" customHeight="1" x14ac:dyDescent="0.4">
      <c r="A85" s="109" t="s">
        <v>174</v>
      </c>
      <c r="B85" s="109" t="s">
        <v>168</v>
      </c>
      <c r="C85" s="43">
        <v>15</v>
      </c>
      <c r="D85" s="75">
        <f ca="1">((100/H78)*C85)/100</f>
        <v>1</v>
      </c>
      <c r="E85" s="108"/>
      <c r="F85" s="108"/>
      <c r="G85" s="108"/>
      <c r="H85" s="108"/>
      <c r="I85" s="42" t="s">
        <v>138</v>
      </c>
      <c r="J85" s="46">
        <f ca="1">(IF(B78&gt;1,(H78/(B78+2)+J84),H78/4+J84))</f>
        <v>7.5</v>
      </c>
    </row>
    <row r="86" spans="1:10" ht="15.75" hidden="1" customHeight="1" x14ac:dyDescent="0.4">
      <c r="A86" s="109" t="s">
        <v>175</v>
      </c>
      <c r="B86" s="109" t="s">
        <v>168</v>
      </c>
      <c r="C86" s="43">
        <v>15</v>
      </c>
      <c r="D86" s="75">
        <f ca="1">((100/H78)*C86)/100</f>
        <v>1</v>
      </c>
      <c r="E86" s="108"/>
      <c r="F86" s="108"/>
      <c r="G86" s="108"/>
      <c r="H86" s="108"/>
      <c r="I86" s="42" t="s">
        <v>184</v>
      </c>
      <c r="J86" s="46">
        <f>(IF(B78&gt;1,(H78/(B78+2)+J85),0))</f>
        <v>0</v>
      </c>
    </row>
    <row r="87" spans="1:10" ht="15" hidden="1" customHeight="1" x14ac:dyDescent="0.4">
      <c r="A87" s="109" t="s">
        <v>173</v>
      </c>
      <c r="B87" s="109" t="s">
        <v>170</v>
      </c>
      <c r="C87" s="43">
        <v>15</v>
      </c>
      <c r="D87" s="75">
        <f ca="1">((100/(H78))*C87)/100</f>
        <v>1</v>
      </c>
      <c r="E87" s="108"/>
      <c r="F87" s="108"/>
      <c r="G87" s="108"/>
      <c r="H87" s="108"/>
      <c r="I87" s="42" t="s">
        <v>181</v>
      </c>
      <c r="J87" s="46">
        <f>(IF(B78&gt;2,(H78/(B78+2)+J86),0))</f>
        <v>0</v>
      </c>
    </row>
    <row r="88" spans="1:10" ht="15.75" hidden="1" customHeight="1" x14ac:dyDescent="0.4">
      <c r="A88" s="109" t="s">
        <v>169</v>
      </c>
      <c r="B88" s="109" t="s">
        <v>169</v>
      </c>
      <c r="C88" s="43">
        <v>15</v>
      </c>
      <c r="D88" s="75">
        <f ca="1">((100/H78)*C88)/100</f>
        <v>1</v>
      </c>
      <c r="E88" s="108"/>
      <c r="F88" s="108"/>
      <c r="G88" s="108"/>
      <c r="H88" s="108"/>
      <c r="I88" s="42" t="s">
        <v>182</v>
      </c>
      <c r="J88" s="47">
        <f>(IF(B78&gt;3,(H78/(B78+2)+J87),0))</f>
        <v>0</v>
      </c>
    </row>
    <row r="89" spans="1:10" ht="15.75" hidden="1" customHeight="1" x14ac:dyDescent="0.4">
      <c r="A89" s="109" t="s">
        <v>176</v>
      </c>
      <c r="B89" s="109"/>
      <c r="C89" s="43">
        <v>15</v>
      </c>
      <c r="D89" s="75">
        <f ca="1">((100/H78)*C89)/100</f>
        <v>1</v>
      </c>
      <c r="E89" s="108"/>
      <c r="F89" s="108"/>
      <c r="G89" s="108"/>
      <c r="H89" s="108"/>
      <c r="I89" s="42" t="s">
        <v>183</v>
      </c>
      <c r="J89" s="46">
        <f>(IF(B78&gt;4,(H78/(B78+2)+J88),0))</f>
        <v>0</v>
      </c>
    </row>
    <row r="90" spans="1:10" ht="15.75" hidden="1" customHeight="1" x14ac:dyDescent="0.4">
      <c r="A90" s="109" t="s">
        <v>171</v>
      </c>
      <c r="B90" s="109" t="s">
        <v>171</v>
      </c>
      <c r="C90" s="43">
        <v>15</v>
      </c>
      <c r="D90" s="75">
        <f ca="1">((100/(H78))*C90)/100</f>
        <v>1</v>
      </c>
      <c r="E90" s="108"/>
      <c r="F90" s="108"/>
      <c r="G90" s="108"/>
      <c r="H90" s="108"/>
      <c r="I90" s="42" t="s">
        <v>185</v>
      </c>
      <c r="J90" s="46">
        <f ca="1">(IF(B78=1,(H78/(B78+3)+J85),IF(B78=0,(H78/4+J85),IF(B78&gt;1,0))))</f>
        <v>11.25</v>
      </c>
    </row>
    <row r="91" spans="1:10" ht="16" hidden="1" thickBot="1" x14ac:dyDescent="0.4">
      <c r="A91" s="109" t="s">
        <v>172</v>
      </c>
      <c r="B91" s="109"/>
      <c r="C91" s="43">
        <v>15</v>
      </c>
      <c r="D91" s="75">
        <f ca="1">((100/(H78))*C91)/100</f>
        <v>1</v>
      </c>
      <c r="E91" s="108"/>
      <c r="F91" s="108"/>
      <c r="G91" s="108"/>
      <c r="H91" s="108"/>
      <c r="I91" s="48" t="s">
        <v>139</v>
      </c>
      <c r="J91" s="49">
        <f ca="1">(IF(B78&gt;1.5,(H78/(B78+2)+J85+MAX(0,J86-J85)+MAX(0,J87-J86)+MAX(0,J88-J87)+MAX(0,J89-J88)+MAX(0,J90-J89)),IF(B78=1,(H78/(B78+3)+J90),IF(B78=0,H78/4+J90))))</f>
        <v>15</v>
      </c>
    </row>
    <row r="92" spans="1:10" ht="15.75" customHeight="1" x14ac:dyDescent="0.35">
      <c r="A92" s="115" t="s">
        <v>178</v>
      </c>
      <c r="B92" s="115"/>
      <c r="C92" s="115" t="str">
        <f>D57</f>
        <v>C Wing = Gr/St + 1st to 15th Floor</v>
      </c>
      <c r="D92" s="115"/>
      <c r="E92" s="115"/>
      <c r="F92" s="115"/>
      <c r="G92" s="115"/>
      <c r="H92" s="115"/>
      <c r="I92" s="38" t="str">
        <f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Slab",IF(C98&gt;0,", RCC upto "&amp;C98&amp;" Slab",""))&amp;(IF(C99=H93,", Brickwork",IF(C99&gt;0,", Brickwork upto "&amp;C99&amp;" Floor",""))&amp;(IF(C100=H93,", Internal Plaster",IF(C100&gt;0,", Internal Plaster upto "&amp;C100&amp;" Floor",""))&amp;(IF(C101=H93,", External Plaster",IF(C101&gt;0,", External Plaster upto "&amp;C101&amp;" Floor",""))&amp;(IF(C102=H93,", Flooring",IF(C102&gt;0,", Flooring upto "&amp;C102&amp;" Floor",""))&amp;(IF(C103=H93,", Painting",IF(C103&gt;0,", Painting upto "&amp;C103&amp;" Floor",""))&amp;(IF(C104&gt;0,", Finishing upto "&amp;C104&amp;" Floor","")&amp;(IF(C98&gt;0.5," Completed",""))))))))))))))</f>
        <v>Excavation work Completed. Plinth work completed, RCC upto 9 Slab, Brickwork upto 5 Floor Completed</v>
      </c>
      <c r="J92" s="19"/>
    </row>
    <row r="93" spans="1:10" x14ac:dyDescent="0.35">
      <c r="A93" s="74" t="s">
        <v>180</v>
      </c>
      <c r="B93" s="74">
        <v>0</v>
      </c>
      <c r="C93" s="74" t="s">
        <v>98</v>
      </c>
      <c r="D93" s="74">
        <v>1</v>
      </c>
      <c r="E93" s="74" t="s">
        <v>97</v>
      </c>
      <c r="F93" s="74">
        <v>0</v>
      </c>
      <c r="G93" s="74" t="s">
        <v>112</v>
      </c>
      <c r="H93" s="74">
        <v>15</v>
      </c>
      <c r="I93" s="17"/>
      <c r="J93" s="20"/>
    </row>
    <row r="94" spans="1:10" ht="31" customHeight="1" x14ac:dyDescent="0.35">
      <c r="A94" s="105" t="s">
        <v>122</v>
      </c>
      <c r="B94" s="105"/>
      <c r="C94" s="115" t="str">
        <f>I92</f>
        <v>Excavation work Completed. Plinth work completed, RCC upto 9 Slab, Brickwork upto 5 Floor Completed</v>
      </c>
      <c r="D94" s="115"/>
      <c r="E94" s="115"/>
      <c r="F94" s="115"/>
      <c r="G94" s="115"/>
      <c r="H94" s="115"/>
      <c r="I94" s="17" t="s">
        <v>140</v>
      </c>
      <c r="J94" s="20"/>
    </row>
    <row r="95" spans="1:10" ht="15.75" customHeight="1" x14ac:dyDescent="0.35">
      <c r="A95" s="109" t="s">
        <v>49</v>
      </c>
      <c r="B95" s="109"/>
      <c r="C95" s="73" t="s">
        <v>177</v>
      </c>
      <c r="D95" s="73" t="s">
        <v>115</v>
      </c>
      <c r="E95" s="109" t="s">
        <v>117</v>
      </c>
      <c r="F95" s="109"/>
      <c r="G95" s="109" t="s">
        <v>116</v>
      </c>
      <c r="H95" s="109"/>
      <c r="I95" s="42" t="s">
        <v>179</v>
      </c>
      <c r="J95" s="21">
        <f>H93*25%</f>
        <v>3.75</v>
      </c>
    </row>
    <row r="96" spans="1:10" x14ac:dyDescent="0.35">
      <c r="A96" s="109" t="s">
        <v>166</v>
      </c>
      <c r="B96" s="109"/>
      <c r="C96" s="45">
        <f>J105</f>
        <v>15</v>
      </c>
      <c r="D96" s="75">
        <f>((100/H93)*C96)/100</f>
        <v>1</v>
      </c>
      <c r="E96" s="108">
        <f>(((C97/H93*10)+(40/(D93+F93+H93)*C98)+(7.5/(H93)*C99)+(7.5/(H93)*C100)+(10/H93*C101)+(10/H93*C102)+(5/H93*C103)+(5/H93*C104)+(5/H93*C105))/100)</f>
        <v>0.35</v>
      </c>
      <c r="F96" s="108"/>
      <c r="G96" s="108">
        <f>((((C96/H93)*20)+((C97/H93)*25)+(30/(H93+F93+D93)*C98)+(5/H93*C99)+(5/H93*C100)+(5/H93*C101)+(5/H93*C102)+(0/H93*C103)+(0/H93*C104)+(5/H93*C105))/100)</f>
        <v>0.63541666666666663</v>
      </c>
      <c r="H96" s="108"/>
      <c r="I96" s="42" t="s">
        <v>135</v>
      </c>
      <c r="J96" s="44">
        <f>H93*50%</f>
        <v>7.5</v>
      </c>
    </row>
    <row r="97" spans="1:10" x14ac:dyDescent="0.35">
      <c r="A97" s="109" t="s">
        <v>50</v>
      </c>
      <c r="B97" s="109"/>
      <c r="C97" s="45">
        <f>J105</f>
        <v>15</v>
      </c>
      <c r="D97" s="75">
        <f>((100/H93)*C97)/100</f>
        <v>1</v>
      </c>
      <c r="E97" s="108"/>
      <c r="F97" s="108"/>
      <c r="G97" s="108"/>
      <c r="H97" s="108"/>
      <c r="I97" s="42" t="s">
        <v>136</v>
      </c>
      <c r="J97" s="44">
        <f>H93</f>
        <v>15</v>
      </c>
    </row>
    <row r="98" spans="1:10" ht="15.75" customHeight="1" x14ac:dyDescent="0.35">
      <c r="A98" s="109" t="s">
        <v>167</v>
      </c>
      <c r="B98" s="109"/>
      <c r="C98" s="45">
        <v>9</v>
      </c>
      <c r="D98" s="75">
        <f>((100/(D93+F93+H93))*C98)/100</f>
        <v>0.5625</v>
      </c>
      <c r="E98" s="108"/>
      <c r="F98" s="108"/>
      <c r="G98" s="108"/>
      <c r="H98" s="108"/>
      <c r="I98" s="42" t="s">
        <v>137</v>
      </c>
      <c r="J98" s="46">
        <f>(IF(B93&gt;1,(H93/(B93+2)),H93/4))</f>
        <v>3.75</v>
      </c>
    </row>
    <row r="99" spans="1:10" ht="15.75" customHeight="1" x14ac:dyDescent="0.35">
      <c r="A99" s="109" t="s">
        <v>174</v>
      </c>
      <c r="B99" s="109" t="s">
        <v>168</v>
      </c>
      <c r="C99" s="43">
        <v>5</v>
      </c>
      <c r="D99" s="75">
        <f>((100/H93)*C99)/100</f>
        <v>0.33333333333333337</v>
      </c>
      <c r="E99" s="108"/>
      <c r="F99" s="108"/>
      <c r="G99" s="108"/>
      <c r="H99" s="108"/>
      <c r="I99" s="42" t="s">
        <v>138</v>
      </c>
      <c r="J99" s="46">
        <f>(IF(B93&gt;1,(H93/(B93+2)+J98),H93/4+J98))</f>
        <v>7.5</v>
      </c>
    </row>
    <row r="100" spans="1:10" ht="15.75" customHeight="1" x14ac:dyDescent="0.35">
      <c r="A100" s="109" t="s">
        <v>175</v>
      </c>
      <c r="B100" s="109" t="s">
        <v>168</v>
      </c>
      <c r="C100" s="43">
        <v>0</v>
      </c>
      <c r="D100" s="75">
        <f>((100/H93)*C100)/100</f>
        <v>0</v>
      </c>
      <c r="E100" s="108"/>
      <c r="F100" s="108"/>
      <c r="G100" s="108"/>
      <c r="H100" s="108"/>
      <c r="I100" s="42" t="s">
        <v>184</v>
      </c>
      <c r="J100" s="46">
        <f>(IF(B93&gt;1,(H93/(B93+2)+J99),0))</f>
        <v>0</v>
      </c>
    </row>
    <row r="101" spans="1:10" ht="15" customHeight="1" x14ac:dyDescent="0.35">
      <c r="A101" s="109" t="s">
        <v>173</v>
      </c>
      <c r="B101" s="109" t="s">
        <v>170</v>
      </c>
      <c r="C101" s="43">
        <v>0</v>
      </c>
      <c r="D101" s="75">
        <f>((100/(H93))*C101)/100</f>
        <v>0</v>
      </c>
      <c r="E101" s="108"/>
      <c r="F101" s="108"/>
      <c r="G101" s="108"/>
      <c r="H101" s="108"/>
      <c r="I101" s="42" t="s">
        <v>181</v>
      </c>
      <c r="J101" s="46">
        <f>(IF(B93&gt;2,(H93/(B93+2)+J100),0))</f>
        <v>0</v>
      </c>
    </row>
    <row r="102" spans="1:10" ht="15.75" customHeight="1" x14ac:dyDescent="0.35">
      <c r="A102" s="109" t="s">
        <v>169</v>
      </c>
      <c r="B102" s="109" t="s">
        <v>169</v>
      </c>
      <c r="C102" s="43">
        <v>0</v>
      </c>
      <c r="D102" s="75">
        <f>((100/H93)*C102)/100</f>
        <v>0</v>
      </c>
      <c r="E102" s="108"/>
      <c r="F102" s="108"/>
      <c r="G102" s="108"/>
      <c r="H102" s="108"/>
      <c r="I102" s="42" t="s">
        <v>182</v>
      </c>
      <c r="J102" s="47">
        <f>(IF(B93&gt;3,(H93/(B93+2)+J101),0))</f>
        <v>0</v>
      </c>
    </row>
    <row r="103" spans="1:10" ht="15.75" customHeight="1" x14ac:dyDescent="0.35">
      <c r="A103" s="109" t="s">
        <v>176</v>
      </c>
      <c r="B103" s="109"/>
      <c r="C103" s="43">
        <v>0</v>
      </c>
      <c r="D103" s="75">
        <f>((100/H93)*C103)/100</f>
        <v>0</v>
      </c>
      <c r="E103" s="108"/>
      <c r="F103" s="108"/>
      <c r="G103" s="108"/>
      <c r="H103" s="108"/>
      <c r="I103" s="42" t="s">
        <v>183</v>
      </c>
      <c r="J103" s="46">
        <f>(IF(B93&gt;4,(H93/(B93+2)+J102),0))</f>
        <v>0</v>
      </c>
    </row>
    <row r="104" spans="1:10" ht="15.75" customHeight="1" x14ac:dyDescent="0.35">
      <c r="A104" s="109" t="s">
        <v>171</v>
      </c>
      <c r="B104" s="109" t="s">
        <v>171</v>
      </c>
      <c r="C104" s="43">
        <v>0</v>
      </c>
      <c r="D104" s="75">
        <f>((100/(H93))*C104)/100</f>
        <v>0</v>
      </c>
      <c r="E104" s="108"/>
      <c r="F104" s="108"/>
      <c r="G104" s="108"/>
      <c r="H104" s="108"/>
      <c r="I104" s="42" t="s">
        <v>185</v>
      </c>
      <c r="J104" s="46">
        <f>(IF(B93=1,(H93/(B93+3)+J99),IF(B93=0,(H93/4+J99),IF(B93&gt;1,0))))</f>
        <v>11.25</v>
      </c>
    </row>
    <row r="105" spans="1:10" ht="16" thickBot="1" x14ac:dyDescent="0.4">
      <c r="A105" s="109" t="s">
        <v>172</v>
      </c>
      <c r="B105" s="109"/>
      <c r="C105" s="43">
        <v>0</v>
      </c>
      <c r="D105" s="75">
        <f>((100/(H93))*C105)/100</f>
        <v>0</v>
      </c>
      <c r="E105" s="108"/>
      <c r="F105" s="108"/>
      <c r="G105" s="108"/>
      <c r="H105" s="108"/>
      <c r="I105" s="48" t="s">
        <v>139</v>
      </c>
      <c r="J105" s="49">
        <f>(IF(B93&gt;1.5,(H93/(B93+2)+J99+MAX(0,J100-J99)+MAX(0,J101-J100)+MAX(0,J102-J101)+MAX(0,J103-J102)+MAX(0,J104-J103)),IF(B93=1,(H93/(B93+3)+J104),IF(B93=0,H93/4+J104))))</f>
        <v>15</v>
      </c>
    </row>
    <row r="106" spans="1:10" x14ac:dyDescent="0.35">
      <c r="A106" s="171" t="s">
        <v>154</v>
      </c>
      <c r="B106" s="172"/>
      <c r="C106" s="172"/>
      <c r="D106" s="172"/>
      <c r="E106" s="173"/>
      <c r="F106" s="171" t="str">
        <f ca="1">(IF(D61="Nothing","Yes",IF(D61="Cement, Aggregate, Steel, etc","Under Construction",IF(D61="Work not yet Started","Work not yet Started"))))</f>
        <v>Yes</v>
      </c>
      <c r="G106" s="172"/>
      <c r="H106" s="173"/>
    </row>
    <row r="107" spans="1:10" x14ac:dyDescent="0.35">
      <c r="A107" s="106" t="s">
        <v>51</v>
      </c>
      <c r="B107" s="106"/>
      <c r="C107" s="106"/>
      <c r="D107" s="106"/>
      <c r="E107" s="106"/>
      <c r="F107" s="106"/>
      <c r="G107" s="106"/>
      <c r="H107" s="106"/>
    </row>
    <row r="108" spans="1:10" ht="15" customHeight="1" x14ac:dyDescent="0.35">
      <c r="A108" s="162" t="s">
        <v>101</v>
      </c>
      <c r="B108" s="162"/>
      <c r="C108" s="76" t="s">
        <v>102</v>
      </c>
      <c r="D108" s="76"/>
      <c r="E108" s="76"/>
      <c r="F108" s="76"/>
      <c r="G108" s="76"/>
      <c r="H108" s="76"/>
    </row>
    <row r="109" spans="1:10" x14ac:dyDescent="0.35">
      <c r="A109" s="118" t="s">
        <v>52</v>
      </c>
      <c r="B109" s="118"/>
      <c r="C109" s="118"/>
      <c r="D109" s="118"/>
      <c r="E109" s="118"/>
      <c r="F109" s="118"/>
      <c r="G109" s="118"/>
      <c r="H109" s="118"/>
    </row>
    <row r="110" spans="1:10" x14ac:dyDescent="0.35">
      <c r="A110" s="106" t="s">
        <v>103</v>
      </c>
      <c r="B110" s="106"/>
      <c r="C110" s="106"/>
      <c r="D110" s="106"/>
      <c r="E110" s="106"/>
      <c r="F110" s="78">
        <v>5000</v>
      </c>
      <c r="G110" s="78"/>
      <c r="H110" s="78"/>
    </row>
    <row r="111" spans="1:10" x14ac:dyDescent="0.35">
      <c r="A111" s="106" t="s">
        <v>110</v>
      </c>
      <c r="B111" s="106"/>
      <c r="C111" s="106"/>
      <c r="D111" s="106"/>
      <c r="E111" s="106"/>
      <c r="F111" s="131">
        <v>10000</v>
      </c>
      <c r="G111" s="131"/>
      <c r="H111" s="131"/>
    </row>
    <row r="112" spans="1:10" hidden="1" x14ac:dyDescent="0.35">
      <c r="A112" s="106" t="s">
        <v>111</v>
      </c>
      <c r="B112" s="106"/>
      <c r="C112" s="106"/>
      <c r="D112" s="106"/>
      <c r="E112" s="106"/>
      <c r="F112" s="131"/>
      <c r="G112" s="131"/>
      <c r="H112" s="131"/>
    </row>
    <row r="113" spans="1:13" s="11" customFormat="1" hidden="1" x14ac:dyDescent="0.3">
      <c r="A113" s="106" t="s">
        <v>127</v>
      </c>
      <c r="B113" s="106"/>
      <c r="C113" s="106"/>
      <c r="D113" s="106"/>
      <c r="E113" s="106"/>
      <c r="F113" s="131" t="s">
        <v>28</v>
      </c>
      <c r="G113" s="131"/>
      <c r="H113" s="131"/>
    </row>
    <row r="114" spans="1:13" s="11" customFormat="1" x14ac:dyDescent="0.3">
      <c r="A114" s="106" t="s">
        <v>128</v>
      </c>
      <c r="B114" s="106"/>
      <c r="C114" s="106"/>
      <c r="D114" s="106"/>
      <c r="E114" s="106"/>
      <c r="F114" s="123" t="s">
        <v>214</v>
      </c>
      <c r="G114" s="123"/>
      <c r="H114" s="123"/>
    </row>
    <row r="115" spans="1:13" s="11" customFormat="1" hidden="1" x14ac:dyDescent="0.3">
      <c r="A115" s="106" t="s">
        <v>129</v>
      </c>
      <c r="B115" s="106"/>
      <c r="C115" s="106"/>
      <c r="D115" s="106"/>
      <c r="E115" s="106"/>
      <c r="F115" s="131" t="s">
        <v>28</v>
      </c>
      <c r="G115" s="131"/>
      <c r="H115" s="131"/>
    </row>
    <row r="116" spans="1:13" s="11" customFormat="1" hidden="1" x14ac:dyDescent="0.3">
      <c r="A116" s="106" t="s">
        <v>130</v>
      </c>
      <c r="B116" s="106"/>
      <c r="C116" s="106"/>
      <c r="D116" s="106"/>
      <c r="E116" s="106"/>
      <c r="F116" s="131" t="s">
        <v>28</v>
      </c>
      <c r="G116" s="131"/>
      <c r="H116" s="131"/>
    </row>
    <row r="117" spans="1:13" s="11" customFormat="1" hidden="1" x14ac:dyDescent="0.3">
      <c r="A117" s="106" t="s">
        <v>131</v>
      </c>
      <c r="B117" s="106"/>
      <c r="C117" s="106"/>
      <c r="D117" s="106"/>
      <c r="E117" s="106"/>
      <c r="F117" s="131" t="s">
        <v>28</v>
      </c>
      <c r="G117" s="131"/>
      <c r="H117" s="131"/>
    </row>
    <row r="118" spans="1:13" s="11" customFormat="1" hidden="1" x14ac:dyDescent="0.3">
      <c r="A118" s="106" t="s">
        <v>132</v>
      </c>
      <c r="B118" s="106"/>
      <c r="C118" s="106"/>
      <c r="D118" s="106"/>
      <c r="E118" s="106"/>
      <c r="F118" s="131" t="s">
        <v>28</v>
      </c>
      <c r="G118" s="131"/>
      <c r="H118" s="131"/>
    </row>
    <row r="119" spans="1:13" s="11" customFormat="1" hidden="1" x14ac:dyDescent="0.3">
      <c r="A119" s="106" t="s">
        <v>133</v>
      </c>
      <c r="B119" s="106"/>
      <c r="C119" s="106"/>
      <c r="D119" s="106"/>
      <c r="E119" s="106"/>
      <c r="F119" s="131" t="s">
        <v>28</v>
      </c>
      <c r="G119" s="131"/>
      <c r="H119" s="131"/>
    </row>
    <row r="120" spans="1:13" s="11" customFormat="1" hidden="1" x14ac:dyDescent="0.3">
      <c r="A120" s="106" t="s">
        <v>134</v>
      </c>
      <c r="B120" s="106"/>
      <c r="C120" s="106"/>
      <c r="D120" s="106"/>
      <c r="E120" s="106"/>
      <c r="F120" s="131" t="s">
        <v>28</v>
      </c>
      <c r="G120" s="131"/>
      <c r="H120" s="131"/>
    </row>
    <row r="121" spans="1:13" x14ac:dyDescent="0.35">
      <c r="A121" s="106" t="s">
        <v>53</v>
      </c>
      <c r="B121" s="106"/>
      <c r="C121" s="106"/>
      <c r="D121" s="106"/>
      <c r="E121" s="106"/>
      <c r="F121" s="123" t="s">
        <v>212</v>
      </c>
      <c r="G121" s="123"/>
      <c r="H121" s="123"/>
    </row>
    <row r="122" spans="1:13" s="9" customFormat="1" x14ac:dyDescent="0.35">
      <c r="A122" s="118" t="s">
        <v>54</v>
      </c>
      <c r="B122" s="118"/>
      <c r="C122" s="118"/>
      <c r="D122" s="118"/>
      <c r="E122" s="118"/>
      <c r="F122" s="131">
        <f>F110*0.8</f>
        <v>4000</v>
      </c>
      <c r="G122" s="131"/>
      <c r="H122" s="131"/>
      <c r="I122" s="163" t="s">
        <v>213</v>
      </c>
      <c r="J122" s="164"/>
      <c r="K122" s="164"/>
      <c r="L122" s="164"/>
      <c r="M122" s="164"/>
    </row>
    <row r="123" spans="1:13" s="1" customFormat="1" ht="15.75" customHeight="1" x14ac:dyDescent="0.35">
      <c r="A123" s="147" t="s">
        <v>104</v>
      </c>
      <c r="B123" s="147"/>
      <c r="C123" s="147"/>
      <c r="D123" s="147"/>
      <c r="E123" s="147"/>
      <c r="F123" s="147"/>
      <c r="G123" s="147"/>
      <c r="H123" s="147"/>
      <c r="I123" s="163"/>
      <c r="J123" s="164"/>
      <c r="K123" s="164"/>
      <c r="L123" s="164"/>
      <c r="M123" s="164"/>
    </row>
    <row r="124" spans="1:13" s="1" customFormat="1" ht="15.75" customHeight="1" x14ac:dyDescent="0.35">
      <c r="A124" s="101" t="s">
        <v>55</v>
      </c>
      <c r="B124" s="101"/>
      <c r="C124" s="100" t="s">
        <v>107</v>
      </c>
      <c r="D124" s="100"/>
      <c r="E124" s="153" t="s">
        <v>56</v>
      </c>
      <c r="F124" s="153"/>
      <c r="G124" s="101" t="s">
        <v>57</v>
      </c>
      <c r="H124" s="101"/>
      <c r="I124" s="165"/>
      <c r="J124" s="166"/>
      <c r="K124" s="166"/>
      <c r="L124" s="166"/>
    </row>
    <row r="125" spans="1:13" s="1" customFormat="1" x14ac:dyDescent="0.35">
      <c r="A125" s="103" t="s">
        <v>242</v>
      </c>
      <c r="B125" s="103"/>
      <c r="C125" s="104">
        <f>COUNT(D138:D163)</f>
        <v>26</v>
      </c>
      <c r="D125" s="152"/>
      <c r="E125" s="104">
        <f>SUM(D138:D163)</f>
        <v>4342.1556203999999</v>
      </c>
      <c r="F125" s="152"/>
      <c r="G125" s="104">
        <f>SUM(F138:F163)</f>
        <v>7363.8920066400005</v>
      </c>
      <c r="H125" s="152"/>
      <c r="I125" s="165"/>
      <c r="J125" s="166"/>
      <c r="K125" s="166"/>
      <c r="L125" s="166"/>
    </row>
    <row r="126" spans="1:13" s="1" customFormat="1" x14ac:dyDescent="0.35">
      <c r="A126" s="147" t="s">
        <v>59</v>
      </c>
      <c r="B126" s="147"/>
      <c r="C126" s="155">
        <f>SUM(C125:C125)</f>
        <v>26</v>
      </c>
      <c r="D126" s="100"/>
      <c r="E126" s="154">
        <f>SUM(E125:E125)</f>
        <v>4342.1556203999999</v>
      </c>
      <c r="F126" s="153"/>
      <c r="G126" s="154">
        <f>SUM(G125:G125)</f>
        <v>7363.8920066400005</v>
      </c>
      <c r="H126" s="153"/>
      <c r="J126" s="58">
        <f>SUM(E126,E132)</f>
        <v>77800.158680399982</v>
      </c>
    </row>
    <row r="127" spans="1:13" s="1" customFormat="1" x14ac:dyDescent="0.35">
      <c r="A127" s="147" t="s">
        <v>96</v>
      </c>
      <c r="B127" s="147"/>
      <c r="C127" s="147"/>
      <c r="D127" s="147"/>
      <c r="E127" s="147"/>
      <c r="F127" s="147"/>
      <c r="G127" s="147"/>
      <c r="H127" s="147"/>
    </row>
    <row r="128" spans="1:13" s="1" customFormat="1" ht="15.75" customHeight="1" x14ac:dyDescent="0.35">
      <c r="A128" s="101" t="s">
        <v>55</v>
      </c>
      <c r="B128" s="101"/>
      <c r="C128" s="100" t="s">
        <v>107</v>
      </c>
      <c r="D128" s="100"/>
      <c r="E128" s="153" t="s">
        <v>56</v>
      </c>
      <c r="F128" s="153"/>
      <c r="G128" s="101" t="s">
        <v>57</v>
      </c>
      <c r="H128" s="101"/>
    </row>
    <row r="129" spans="1:14" s="1" customFormat="1" x14ac:dyDescent="0.35">
      <c r="A129" s="103" t="s">
        <v>206</v>
      </c>
      <c r="B129" s="103"/>
      <c r="C129" s="167">
        <f>COUNT(D168:D171)+COUNT(D173:D176)*6</f>
        <v>28</v>
      </c>
      <c r="D129" s="167"/>
      <c r="E129" s="104">
        <f>SUM(D168:D171)+SUM(D173:D176)*6</f>
        <v>14233.2372</v>
      </c>
      <c r="F129" s="104"/>
      <c r="G129" s="104">
        <f>SUM(F168:F171)+SUM(F173:F176)*6</f>
        <v>20874.107182499996</v>
      </c>
      <c r="H129" s="104"/>
    </row>
    <row r="130" spans="1:14" s="1" customFormat="1" x14ac:dyDescent="0.35">
      <c r="A130" s="103" t="s">
        <v>207</v>
      </c>
      <c r="B130" s="103"/>
      <c r="C130" s="167">
        <f>COUNT(D179:D183)+COUNT(D185:D189)*12+COUNT(D191:D192,D194:D195)*2</f>
        <v>73</v>
      </c>
      <c r="D130" s="167"/>
      <c r="E130" s="104">
        <f>SUM(D179:D183)+SUM(D185:D189)*12+SUM(D191:D192,D194:D195)*2</f>
        <v>33066.819629999991</v>
      </c>
      <c r="F130" s="104"/>
      <c r="G130" s="104">
        <f>SUM(F179:F183)+SUM(F185:F189)*12+SUM(F191:F192,F194:F195)*2</f>
        <v>48239.77690349998</v>
      </c>
      <c r="H130" s="104"/>
    </row>
    <row r="131" spans="1:14" s="1" customFormat="1" x14ac:dyDescent="0.35">
      <c r="A131" s="103" t="s">
        <v>248</v>
      </c>
      <c r="B131" s="103"/>
      <c r="C131" s="104">
        <f>COUNT(D198:D201)+COUNT(D203:D206)*12+COUNT(D208,D210:D211)*2</f>
        <v>58</v>
      </c>
      <c r="D131" s="104"/>
      <c r="E131" s="104">
        <f>SUM(D198:D201)+SUM(D203:D206)*12+SUM(D208,D210:D211)*2</f>
        <v>26157.946229999994</v>
      </c>
      <c r="F131" s="104"/>
      <c r="G131" s="104">
        <f>SUM(F198:F201)+SUM(F203:F206)*12+SUM(F208,F210:F211)*2</f>
        <v>38156.51917349999</v>
      </c>
      <c r="H131" s="104"/>
    </row>
    <row r="132" spans="1:14" s="1" customFormat="1" x14ac:dyDescent="0.35">
      <c r="A132" s="147" t="s">
        <v>59</v>
      </c>
      <c r="B132" s="147"/>
      <c r="C132" s="100">
        <f>SUM(C129:C131)</f>
        <v>159</v>
      </c>
      <c r="D132" s="100"/>
      <c r="E132" s="154">
        <f>SUM(E129:E131)</f>
        <v>73458.003059999988</v>
      </c>
      <c r="F132" s="153"/>
      <c r="G132" s="154">
        <f>SUM(G129:G131)</f>
        <v>107270.40325949996</v>
      </c>
      <c r="H132" s="153"/>
    </row>
    <row r="133" spans="1:14" s="9" customFormat="1" x14ac:dyDescent="0.35">
      <c r="A133" s="143" t="s">
        <v>60</v>
      </c>
      <c r="B133" s="143"/>
      <c r="C133" s="143"/>
      <c r="D133" s="143"/>
      <c r="E133" s="143"/>
      <c r="F133" s="143"/>
      <c r="G133" s="143"/>
      <c r="H133" s="143"/>
    </row>
    <row r="134" spans="1:14" x14ac:dyDescent="0.35">
      <c r="A134" s="143" t="s">
        <v>61</v>
      </c>
      <c r="B134" s="143"/>
      <c r="C134" s="143"/>
      <c r="D134" s="143"/>
      <c r="E134" s="143"/>
      <c r="F134" s="143"/>
      <c r="G134" s="143"/>
      <c r="H134" s="143"/>
    </row>
    <row r="135" spans="1:14" ht="62.25" customHeight="1" x14ac:dyDescent="0.35">
      <c r="A135" s="35" t="s">
        <v>156</v>
      </c>
      <c r="B135" s="35" t="s">
        <v>155</v>
      </c>
      <c r="C135" s="35" t="s">
        <v>62</v>
      </c>
      <c r="D135" s="35" t="s">
        <v>63</v>
      </c>
      <c r="E135" s="40" t="s">
        <v>244</v>
      </c>
      <c r="F135" s="35" t="s">
        <v>227</v>
      </c>
      <c r="G135" s="86" t="s">
        <v>65</v>
      </c>
      <c r="H135" s="87"/>
    </row>
    <row r="136" spans="1:14" s="9" customFormat="1" x14ac:dyDescent="0.35">
      <c r="A136" s="102" t="s">
        <v>242</v>
      </c>
      <c r="B136" s="102"/>
      <c r="C136" s="102"/>
      <c r="D136" s="102"/>
      <c r="E136" s="102"/>
      <c r="F136" s="102"/>
      <c r="G136" s="102"/>
      <c r="H136" s="102"/>
    </row>
    <row r="137" spans="1:14" s="2" customFormat="1" x14ac:dyDescent="0.35">
      <c r="A137" s="99" t="s">
        <v>243</v>
      </c>
      <c r="B137" s="99"/>
      <c r="C137" s="99"/>
      <c r="D137" s="99"/>
      <c r="E137" s="99"/>
      <c r="F137" s="99"/>
      <c r="G137" s="99"/>
      <c r="H137" s="99"/>
      <c r="K137" s="57">
        <v>10.763999999999999</v>
      </c>
    </row>
    <row r="138" spans="1:14" s="2" customFormat="1" ht="15.65" customHeight="1" x14ac:dyDescent="0.35">
      <c r="A138" s="95">
        <v>1</v>
      </c>
      <c r="B138" s="95"/>
      <c r="C138" s="71" t="s">
        <v>201</v>
      </c>
      <c r="D138" s="57">
        <f>(3.6*5.2)*10.764</f>
        <v>201.50208000000001</v>
      </c>
      <c r="E138" s="71">
        <v>0</v>
      </c>
      <c r="F138" s="71">
        <f>D138*1.6+E138</f>
        <v>322.40332800000004</v>
      </c>
      <c r="G138" s="95" t="str">
        <f>A137</f>
        <v>Ground Floor For Society Office, Meter Room, Commercial, Entrance Lobby &amp; Garage For Parking</v>
      </c>
      <c r="H138" s="95"/>
      <c r="I138" s="34">
        <f>7200000/F138</f>
        <v>22332.275676757279</v>
      </c>
      <c r="J138" s="52">
        <f>F138/D138</f>
        <v>1.6</v>
      </c>
      <c r="L138" s="94"/>
      <c r="M138" s="94"/>
      <c r="N138" s="34"/>
    </row>
    <row r="139" spans="1:14" s="2" customFormat="1" ht="15.65" customHeight="1" x14ac:dyDescent="0.35">
      <c r="A139" s="95">
        <f t="shared" ref="A139:A145" si="0">A138+1</f>
        <v>2</v>
      </c>
      <c r="B139" s="95"/>
      <c r="C139" s="71" t="s">
        <v>201</v>
      </c>
      <c r="D139" s="57">
        <f>(2.75*4.9)*10.764</f>
        <v>145.04490000000001</v>
      </c>
      <c r="E139" s="71">
        <v>0</v>
      </c>
      <c r="F139" s="71">
        <f t="shared" ref="F139:F145" si="1">D139*1.6+E139</f>
        <v>232.07184000000004</v>
      </c>
      <c r="G139" s="95"/>
      <c r="H139" s="95"/>
      <c r="I139" s="34"/>
      <c r="J139" s="52">
        <f t="shared" ref="J139:J189" si="2">F139/D139</f>
        <v>1.6</v>
      </c>
      <c r="L139" s="94"/>
      <c r="M139" s="94"/>
      <c r="N139" s="34"/>
    </row>
    <row r="140" spans="1:14" s="2" customFormat="1" ht="15.65" customHeight="1" x14ac:dyDescent="0.35">
      <c r="A140" s="95">
        <f t="shared" si="0"/>
        <v>3</v>
      </c>
      <c r="B140" s="95"/>
      <c r="C140" s="71" t="s">
        <v>201</v>
      </c>
      <c r="D140" s="57">
        <f>(2.45*8.05)*10.764</f>
        <v>212.29299000000003</v>
      </c>
      <c r="E140" s="71">
        <v>0</v>
      </c>
      <c r="F140" s="71">
        <f>D140*1.6+E140</f>
        <v>339.66878400000007</v>
      </c>
      <c r="G140" s="95"/>
      <c r="H140" s="95"/>
      <c r="I140" s="34"/>
      <c r="J140" s="52">
        <f t="shared" si="2"/>
        <v>1.6</v>
      </c>
      <c r="L140" s="94"/>
      <c r="M140" s="94"/>
      <c r="N140" s="34"/>
    </row>
    <row r="141" spans="1:14" s="2" customFormat="1" ht="15.65" customHeight="1" x14ac:dyDescent="0.35">
      <c r="A141" s="95">
        <f t="shared" si="0"/>
        <v>4</v>
      </c>
      <c r="B141" s="95"/>
      <c r="C141" s="71" t="s">
        <v>201</v>
      </c>
      <c r="D141" s="57">
        <f>(2.75*8.05)*10.764</f>
        <v>238.28805000000003</v>
      </c>
      <c r="E141" s="71">
        <v>0</v>
      </c>
      <c r="F141" s="71">
        <f t="shared" si="1"/>
        <v>381.26088000000004</v>
      </c>
      <c r="G141" s="95"/>
      <c r="H141" s="95"/>
      <c r="I141" s="34"/>
      <c r="J141" s="52">
        <f t="shared" si="2"/>
        <v>1.6</v>
      </c>
      <c r="L141" s="94"/>
      <c r="M141" s="94"/>
      <c r="N141" s="34"/>
    </row>
    <row r="142" spans="1:14" s="2" customFormat="1" ht="15.65" customHeight="1" x14ac:dyDescent="0.35">
      <c r="A142" s="95">
        <f t="shared" si="0"/>
        <v>5</v>
      </c>
      <c r="B142" s="95"/>
      <c r="C142" s="71" t="s">
        <v>201</v>
      </c>
      <c r="D142" s="57">
        <f>(3*2.8+1.05*1.95)*10.764</f>
        <v>112.45688999999997</v>
      </c>
      <c r="E142" s="71">
        <v>0</v>
      </c>
      <c r="F142" s="71">
        <f t="shared" si="1"/>
        <v>179.93102399999998</v>
      </c>
      <c r="G142" s="95"/>
      <c r="H142" s="95"/>
      <c r="I142" s="34"/>
      <c r="J142" s="52">
        <f t="shared" si="2"/>
        <v>1.6000000000000003</v>
      </c>
      <c r="L142" s="94"/>
      <c r="M142" s="94"/>
      <c r="N142" s="34"/>
    </row>
    <row r="143" spans="1:14" s="2" customFormat="1" ht="15.65" customHeight="1" x14ac:dyDescent="0.35">
      <c r="A143" s="95">
        <f t="shared" si="0"/>
        <v>6</v>
      </c>
      <c r="B143" s="95"/>
      <c r="C143" s="71" t="s">
        <v>201</v>
      </c>
      <c r="D143" s="57">
        <f>(2.75*4.76)*10.764</f>
        <v>140.90075999999999</v>
      </c>
      <c r="E143" s="71">
        <v>0</v>
      </c>
      <c r="F143" s="71">
        <f t="shared" si="1"/>
        <v>225.441216</v>
      </c>
      <c r="G143" s="95"/>
      <c r="H143" s="95"/>
      <c r="I143" s="34"/>
      <c r="J143" s="52">
        <f t="shared" si="2"/>
        <v>1.6</v>
      </c>
      <c r="L143" s="94"/>
      <c r="M143" s="94"/>
      <c r="N143" s="34"/>
    </row>
    <row r="144" spans="1:14" s="2" customFormat="1" ht="15.65" customHeight="1" x14ac:dyDescent="0.35">
      <c r="A144" s="95">
        <f t="shared" si="0"/>
        <v>7</v>
      </c>
      <c r="B144" s="95"/>
      <c r="C144" s="71" t="s">
        <v>201</v>
      </c>
      <c r="D144" s="57">
        <f>(2.45*6.82+1.95*1.35)*10.764</f>
        <v>208.19190600000002</v>
      </c>
      <c r="E144" s="71">
        <v>0</v>
      </c>
      <c r="F144" s="71">
        <f t="shared" si="1"/>
        <v>333.10704960000004</v>
      </c>
      <c r="G144" s="95"/>
      <c r="H144" s="95"/>
      <c r="I144" s="34"/>
      <c r="J144" s="52">
        <f t="shared" si="2"/>
        <v>1.6</v>
      </c>
      <c r="L144" s="94"/>
      <c r="M144" s="94"/>
      <c r="N144" s="34"/>
    </row>
    <row r="145" spans="1:14" s="2" customFormat="1" ht="15.65" customHeight="1" x14ac:dyDescent="0.35">
      <c r="A145" s="95">
        <f t="shared" si="0"/>
        <v>8</v>
      </c>
      <c r="B145" s="95"/>
      <c r="C145" s="71" t="s">
        <v>201</v>
      </c>
      <c r="D145" s="57">
        <f>(2.75*4.65)*10.764</f>
        <v>137.64465000000001</v>
      </c>
      <c r="E145" s="71">
        <v>0</v>
      </c>
      <c r="F145" s="71">
        <f t="shared" si="1"/>
        <v>220.23144000000002</v>
      </c>
      <c r="G145" s="95"/>
      <c r="H145" s="95"/>
      <c r="I145" s="34"/>
      <c r="J145" s="52">
        <f t="shared" si="2"/>
        <v>1.6</v>
      </c>
      <c r="L145" s="94"/>
      <c r="M145" s="94"/>
      <c r="N145" s="34"/>
    </row>
    <row r="146" spans="1:14" s="2" customFormat="1" ht="15.65" customHeight="1" x14ac:dyDescent="0.35">
      <c r="A146" s="95">
        <v>9</v>
      </c>
      <c r="B146" s="95"/>
      <c r="C146" s="71" t="s">
        <v>201</v>
      </c>
      <c r="D146" s="57">
        <f>(2.75*4.65)*10.764</f>
        <v>137.64465000000001</v>
      </c>
      <c r="E146" s="71">
        <v>0</v>
      </c>
      <c r="F146" s="71">
        <f t="shared" ref="F146:F154" si="3">D146*1.6+E146</f>
        <v>220.23144000000002</v>
      </c>
      <c r="G146" s="95"/>
      <c r="H146" s="95"/>
      <c r="I146" s="34">
        <f>2.77*6.08+1/2*6.8*3</f>
        <v>27.041599999999999</v>
      </c>
      <c r="J146" s="52">
        <f t="shared" si="2"/>
        <v>1.6</v>
      </c>
      <c r="L146" s="94"/>
      <c r="M146" s="94"/>
      <c r="N146" s="34"/>
    </row>
    <row r="147" spans="1:14" s="2" customFormat="1" ht="15.65" customHeight="1" x14ac:dyDescent="0.35">
      <c r="A147" s="95">
        <f t="shared" ref="A147:A152" si="4">A146+1</f>
        <v>10</v>
      </c>
      <c r="B147" s="95"/>
      <c r="C147" s="71" t="s">
        <v>201</v>
      </c>
      <c r="D147" s="63">
        <f>(2.45*5.1+1.95*3.37)*10.764</f>
        <v>205.23180599999998</v>
      </c>
      <c r="E147" s="71">
        <v>0</v>
      </c>
      <c r="F147" s="71">
        <f t="shared" si="3"/>
        <v>328.3708896</v>
      </c>
      <c r="G147" s="95"/>
      <c r="H147" s="95"/>
      <c r="I147" s="34"/>
      <c r="J147" s="52">
        <f t="shared" si="2"/>
        <v>1.6</v>
      </c>
      <c r="L147" s="94"/>
      <c r="M147" s="94"/>
      <c r="N147" s="34"/>
    </row>
    <row r="148" spans="1:14" s="2" customFormat="1" ht="15.65" customHeight="1" x14ac:dyDescent="0.35">
      <c r="A148" s="95">
        <f t="shared" si="4"/>
        <v>11</v>
      </c>
      <c r="B148" s="95"/>
      <c r="C148" s="71" t="s">
        <v>201</v>
      </c>
      <c r="D148" s="57">
        <f>(2.75*8.47)*10.764</f>
        <v>250.72046999999998</v>
      </c>
      <c r="E148" s="71">
        <v>0</v>
      </c>
      <c r="F148" s="71">
        <f t="shared" si="3"/>
        <v>401.15275199999996</v>
      </c>
      <c r="G148" s="95"/>
      <c r="H148" s="95"/>
      <c r="I148" s="34"/>
      <c r="J148" s="52">
        <f t="shared" si="2"/>
        <v>1.6</v>
      </c>
      <c r="L148" s="94"/>
      <c r="M148" s="94"/>
      <c r="N148" s="34"/>
    </row>
    <row r="149" spans="1:14" s="2" customFormat="1" ht="15.65" customHeight="1" x14ac:dyDescent="0.35">
      <c r="A149" s="95">
        <f t="shared" si="4"/>
        <v>12</v>
      </c>
      <c r="B149" s="95"/>
      <c r="C149" s="71" t="s">
        <v>201</v>
      </c>
      <c r="D149" s="57">
        <f>(2.75*3.05)*10.764</f>
        <v>90.283049999999989</v>
      </c>
      <c r="E149" s="71">
        <v>0</v>
      </c>
      <c r="F149" s="71">
        <f t="shared" si="3"/>
        <v>144.45287999999999</v>
      </c>
      <c r="G149" s="95"/>
      <c r="H149" s="95"/>
      <c r="I149" s="34"/>
      <c r="J149" s="52">
        <f t="shared" si="2"/>
        <v>1.6</v>
      </c>
      <c r="L149" s="94"/>
      <c r="M149" s="94"/>
      <c r="N149" s="34"/>
    </row>
    <row r="150" spans="1:14" s="2" customFormat="1" ht="15.65" customHeight="1" x14ac:dyDescent="0.35">
      <c r="A150" s="95">
        <f t="shared" si="4"/>
        <v>13</v>
      </c>
      <c r="B150" s="95"/>
      <c r="C150" s="71" t="s">
        <v>201</v>
      </c>
      <c r="D150" s="63">
        <f>(2.85*4.1+1.2*1.65)*10.764</f>
        <v>147.09005999999999</v>
      </c>
      <c r="E150" s="71">
        <v>0</v>
      </c>
      <c r="F150" s="71">
        <f t="shared" si="3"/>
        <v>235.34409600000001</v>
      </c>
      <c r="G150" s="95"/>
      <c r="H150" s="95"/>
      <c r="I150" s="34"/>
      <c r="J150" s="52">
        <f t="shared" si="2"/>
        <v>1.6</v>
      </c>
      <c r="L150" s="94"/>
      <c r="M150" s="94"/>
      <c r="N150" s="34"/>
    </row>
    <row r="151" spans="1:14" s="2" customFormat="1" ht="15.65" customHeight="1" x14ac:dyDescent="0.35">
      <c r="A151" s="95">
        <f t="shared" si="4"/>
        <v>14</v>
      </c>
      <c r="B151" s="95"/>
      <c r="C151" s="71" t="s">
        <v>201</v>
      </c>
      <c r="D151" s="57">
        <f>(2.75*5.75)*10.764</f>
        <v>170.20574999999999</v>
      </c>
      <c r="E151" s="71">
        <v>0</v>
      </c>
      <c r="F151" s="71">
        <f t="shared" si="3"/>
        <v>272.32920000000001</v>
      </c>
      <c r="G151" s="95"/>
      <c r="H151" s="95"/>
      <c r="I151" s="34"/>
      <c r="J151" s="52">
        <f t="shared" si="2"/>
        <v>1.6</v>
      </c>
      <c r="L151" s="94"/>
      <c r="M151" s="94"/>
      <c r="N151" s="34"/>
    </row>
    <row r="152" spans="1:14" s="2" customFormat="1" ht="15.65" customHeight="1" x14ac:dyDescent="0.35">
      <c r="A152" s="95">
        <f t="shared" si="4"/>
        <v>15</v>
      </c>
      <c r="B152" s="95"/>
      <c r="C152" s="71" t="s">
        <v>201</v>
      </c>
      <c r="D152" s="57">
        <f>(2.75*5.75)*10.764</f>
        <v>170.20574999999999</v>
      </c>
      <c r="E152" s="71">
        <v>0</v>
      </c>
      <c r="F152" s="71">
        <f t="shared" si="3"/>
        <v>272.32920000000001</v>
      </c>
      <c r="G152" s="95"/>
      <c r="H152" s="95"/>
      <c r="I152" s="34"/>
      <c r="J152" s="52">
        <f t="shared" si="2"/>
        <v>1.6</v>
      </c>
      <c r="L152" s="94"/>
      <c r="M152" s="94"/>
      <c r="N152" s="34"/>
    </row>
    <row r="153" spans="1:14" s="2" customFormat="1" ht="15.65" customHeight="1" x14ac:dyDescent="0.35">
      <c r="A153" s="95">
        <v>16</v>
      </c>
      <c r="B153" s="95"/>
      <c r="C153" s="71" t="s">
        <v>201</v>
      </c>
      <c r="D153" s="57">
        <f>(2.45*5.1+1.95*3.37)*10.764</f>
        <v>205.23180599999998</v>
      </c>
      <c r="E153" s="71">
        <v>0</v>
      </c>
      <c r="F153" s="71">
        <f t="shared" si="3"/>
        <v>328.3708896</v>
      </c>
      <c r="G153" s="95"/>
      <c r="H153" s="95"/>
      <c r="I153" s="34"/>
      <c r="J153" s="52">
        <f t="shared" si="2"/>
        <v>1.6</v>
      </c>
      <c r="L153" s="94"/>
      <c r="M153" s="94"/>
      <c r="N153" s="34"/>
    </row>
    <row r="154" spans="1:14" s="2" customFormat="1" ht="15.65" customHeight="1" x14ac:dyDescent="0.35">
      <c r="A154" s="95">
        <f t="shared" ref="A154:A163" si="5">A153+1</f>
        <v>17</v>
      </c>
      <c r="B154" s="95"/>
      <c r="C154" s="71" t="s">
        <v>201</v>
      </c>
      <c r="D154" s="57">
        <f>(2.75*4.65)*10.764</f>
        <v>137.64465000000001</v>
      </c>
      <c r="E154" s="71">
        <v>0</v>
      </c>
      <c r="F154" s="71">
        <f t="shared" si="3"/>
        <v>220.23144000000002</v>
      </c>
      <c r="G154" s="95"/>
      <c r="H154" s="95"/>
      <c r="I154" s="34"/>
      <c r="J154" s="52">
        <f t="shared" si="2"/>
        <v>1.6</v>
      </c>
      <c r="L154" s="94"/>
      <c r="M154" s="94"/>
      <c r="N154" s="34"/>
    </row>
    <row r="155" spans="1:14" s="2" customFormat="1" ht="15.65" customHeight="1" x14ac:dyDescent="0.35">
      <c r="A155" s="95">
        <f>A154+1</f>
        <v>18</v>
      </c>
      <c r="B155" s="95"/>
      <c r="C155" s="71" t="s">
        <v>201</v>
      </c>
      <c r="D155" s="63">
        <f>(2.75*4.65)*10.764</f>
        <v>137.64465000000001</v>
      </c>
      <c r="E155" s="71">
        <f>(2.75*1.55)*10.764</f>
        <v>45.881549999999997</v>
      </c>
      <c r="F155" s="71">
        <f>D155*1.6+E155</f>
        <v>266.11299000000002</v>
      </c>
      <c r="G155" s="95"/>
      <c r="H155" s="95"/>
      <c r="I155" s="34"/>
      <c r="J155" s="52">
        <f t="shared" si="2"/>
        <v>1.9333333333333333</v>
      </c>
      <c r="L155" s="94"/>
      <c r="M155" s="94"/>
      <c r="N155" s="34"/>
    </row>
    <row r="156" spans="1:14" s="2" customFormat="1" ht="15.65" customHeight="1" x14ac:dyDescent="0.35">
      <c r="A156" s="95">
        <f t="shared" si="5"/>
        <v>19</v>
      </c>
      <c r="B156" s="95"/>
      <c r="C156" s="71" t="s">
        <v>201</v>
      </c>
      <c r="D156" s="57">
        <f>(2.45*5.1+1.95*3.37)*10.764</f>
        <v>205.23180599999998</v>
      </c>
      <c r="E156" s="71">
        <f>(1.95*2.75)*10.764</f>
        <v>57.721949999999993</v>
      </c>
      <c r="F156" s="71">
        <f t="shared" ref="F156:F163" si="6">D156*1.6+E156</f>
        <v>386.09283959999999</v>
      </c>
      <c r="G156" s="95"/>
      <c r="H156" s="95"/>
      <c r="I156" s="34"/>
      <c r="J156" s="52">
        <f t="shared" si="2"/>
        <v>1.8812524585005115</v>
      </c>
      <c r="L156" s="94"/>
      <c r="M156" s="94"/>
      <c r="N156" s="34"/>
    </row>
    <row r="157" spans="1:14" s="2" customFormat="1" ht="15.65" customHeight="1" x14ac:dyDescent="0.35">
      <c r="A157" s="95">
        <f t="shared" si="5"/>
        <v>20</v>
      </c>
      <c r="B157" s="95"/>
      <c r="C157" s="71" t="s">
        <v>201</v>
      </c>
      <c r="D157" s="57">
        <f>(2.75*5.75)*10.764</f>
        <v>170.20574999999999</v>
      </c>
      <c r="E157" s="71">
        <f>(2.75*1.9)*10.764</f>
        <v>56.241899999999994</v>
      </c>
      <c r="F157" s="71">
        <f t="shared" si="6"/>
        <v>328.5711</v>
      </c>
      <c r="G157" s="95"/>
      <c r="H157" s="95"/>
      <c r="I157" s="34"/>
      <c r="J157" s="52">
        <f t="shared" si="2"/>
        <v>1.9304347826086956</v>
      </c>
      <c r="L157" s="94"/>
      <c r="M157" s="94"/>
      <c r="N157" s="34"/>
    </row>
    <row r="158" spans="1:14" s="2" customFormat="1" ht="15.65" customHeight="1" x14ac:dyDescent="0.35">
      <c r="A158" s="95">
        <f t="shared" si="5"/>
        <v>21</v>
      </c>
      <c r="B158" s="95"/>
      <c r="C158" s="71" t="s">
        <v>201</v>
      </c>
      <c r="D158" s="57">
        <f>(2.75*5.75)*10.764</f>
        <v>170.20574999999999</v>
      </c>
      <c r="E158" s="71">
        <f>(2.75*1.9)*10.764</f>
        <v>56.241899999999994</v>
      </c>
      <c r="F158" s="71">
        <f t="shared" si="6"/>
        <v>328.5711</v>
      </c>
      <c r="G158" s="95"/>
      <c r="H158" s="95"/>
      <c r="I158" s="34"/>
      <c r="J158" s="52">
        <f t="shared" si="2"/>
        <v>1.9304347826086956</v>
      </c>
      <c r="L158" s="94"/>
      <c r="M158" s="94"/>
      <c r="N158" s="34"/>
    </row>
    <row r="159" spans="1:14" s="2" customFormat="1" ht="15.65" customHeight="1" x14ac:dyDescent="0.35">
      <c r="A159" s="95">
        <f t="shared" si="5"/>
        <v>22</v>
      </c>
      <c r="B159" s="95"/>
      <c r="C159" s="71" t="s">
        <v>201</v>
      </c>
      <c r="D159" s="57">
        <f>(2.85*4.11+1.95*1.65)*10.764</f>
        <v>160.71728400000001</v>
      </c>
      <c r="E159" s="71">
        <f>(1.95*1.85+1*0.3)*10.764</f>
        <v>42.060329999999993</v>
      </c>
      <c r="F159" s="71">
        <f t="shared" si="6"/>
        <v>299.20798439999999</v>
      </c>
      <c r="G159" s="95"/>
      <c r="H159" s="95"/>
      <c r="I159" s="34"/>
      <c r="J159" s="52">
        <f t="shared" si="2"/>
        <v>1.8617038376532047</v>
      </c>
      <c r="L159" s="94"/>
      <c r="M159" s="94"/>
      <c r="N159" s="34"/>
    </row>
    <row r="160" spans="1:14" s="2" customFormat="1" ht="15.65" customHeight="1" x14ac:dyDescent="0.35">
      <c r="A160" s="95">
        <f t="shared" si="5"/>
        <v>23</v>
      </c>
      <c r="B160" s="95"/>
      <c r="C160" s="71" t="s">
        <v>201</v>
      </c>
      <c r="D160" s="57">
        <f>(2.75*3.05)*10.764</f>
        <v>90.283049999999989</v>
      </c>
      <c r="E160" s="71">
        <v>0</v>
      </c>
      <c r="F160" s="71">
        <f t="shared" si="6"/>
        <v>144.45287999999999</v>
      </c>
      <c r="G160" s="95"/>
      <c r="H160" s="95"/>
      <c r="I160" s="34"/>
      <c r="J160" s="52">
        <f t="shared" si="2"/>
        <v>1.6</v>
      </c>
      <c r="L160" s="94"/>
      <c r="M160" s="94"/>
      <c r="N160" s="34"/>
    </row>
    <row r="161" spans="1:16" s="2" customFormat="1" ht="15.65" customHeight="1" x14ac:dyDescent="0.35">
      <c r="A161" s="95">
        <f t="shared" si="5"/>
        <v>24</v>
      </c>
      <c r="B161" s="95"/>
      <c r="C161" s="71" t="s">
        <v>201</v>
      </c>
      <c r="D161" s="57">
        <f>(2.75*6.6)*10.764</f>
        <v>195.36659999999998</v>
      </c>
      <c r="E161" s="71">
        <f>(2.75*2.2)*10.764</f>
        <v>65.122200000000007</v>
      </c>
      <c r="F161" s="71">
        <f t="shared" si="6"/>
        <v>377.70875999999998</v>
      </c>
      <c r="G161" s="95"/>
      <c r="H161" s="95"/>
      <c r="I161" s="34"/>
      <c r="J161" s="52">
        <f t="shared" si="2"/>
        <v>1.9333333333333336</v>
      </c>
      <c r="L161" s="94"/>
      <c r="M161" s="94"/>
      <c r="N161" s="34"/>
    </row>
    <row r="162" spans="1:16" s="2" customFormat="1" ht="15.65" customHeight="1" x14ac:dyDescent="0.35">
      <c r="A162" s="95">
        <f t="shared" si="5"/>
        <v>25</v>
      </c>
      <c r="B162" s="95"/>
      <c r="C162" s="71" t="s">
        <v>201</v>
      </c>
      <c r="D162" s="57">
        <f>(2.45*5.1+1.95*1.5)*10.764</f>
        <v>165.98087999999996</v>
      </c>
      <c r="E162" s="71">
        <f>(1.95*2.15+0.5*0.65)*10.764</f>
        <v>48.626369999999994</v>
      </c>
      <c r="F162" s="71">
        <f>D162*1.6+E162</f>
        <v>314.19577799999996</v>
      </c>
      <c r="G162" s="95"/>
      <c r="H162" s="95"/>
      <c r="I162" s="34"/>
      <c r="J162" s="52">
        <f t="shared" si="2"/>
        <v>1.892963683527886</v>
      </c>
      <c r="L162" s="94"/>
      <c r="M162" s="94"/>
      <c r="N162" s="34"/>
    </row>
    <row r="163" spans="1:16" s="2" customFormat="1" ht="15.65" customHeight="1" x14ac:dyDescent="0.35">
      <c r="A163" s="95">
        <f t="shared" si="5"/>
        <v>26</v>
      </c>
      <c r="B163" s="95"/>
      <c r="C163" s="71" t="s">
        <v>201</v>
      </c>
      <c r="D163" s="57">
        <f>(2.67*4.73)*10.764</f>
        <v>135.93963239999999</v>
      </c>
      <c r="E163" s="71">
        <f>(2.67*1.55)*10.764</f>
        <v>44.546813999999991</v>
      </c>
      <c r="F163" s="71">
        <f t="shared" si="6"/>
        <v>262.05022584</v>
      </c>
      <c r="G163" s="95"/>
      <c r="H163" s="95"/>
      <c r="I163" s="34"/>
      <c r="J163" s="52">
        <f t="shared" si="2"/>
        <v>1.9276955602536998</v>
      </c>
      <c r="L163" s="94"/>
      <c r="M163" s="94"/>
      <c r="N163" s="34"/>
    </row>
    <row r="164" spans="1:16" s="2" customFormat="1" x14ac:dyDescent="0.35">
      <c r="A164" s="95"/>
      <c r="B164" s="95"/>
      <c r="C164" s="95"/>
      <c r="D164" s="95"/>
      <c r="E164" s="95"/>
      <c r="F164" s="95"/>
      <c r="G164" s="95"/>
      <c r="H164" s="95"/>
      <c r="I164" s="34"/>
      <c r="J164" s="52" t="e">
        <f t="shared" si="2"/>
        <v>#DIV/0!</v>
      </c>
      <c r="N164" s="34"/>
    </row>
    <row r="165" spans="1:16" ht="63.75" customHeight="1" x14ac:dyDescent="0.35">
      <c r="A165" s="70" t="s">
        <v>157</v>
      </c>
      <c r="B165" s="70" t="s">
        <v>158</v>
      </c>
      <c r="C165" s="70" t="s">
        <v>62</v>
      </c>
      <c r="D165" s="70" t="s">
        <v>63</v>
      </c>
      <c r="E165" s="65" t="s">
        <v>64</v>
      </c>
      <c r="F165" s="70" t="s">
        <v>226</v>
      </c>
      <c r="G165" s="157" t="s">
        <v>65</v>
      </c>
      <c r="H165" s="157"/>
      <c r="I165" s="34"/>
      <c r="J165" s="52" t="e">
        <f t="shared" si="2"/>
        <v>#VALUE!</v>
      </c>
    </row>
    <row r="166" spans="1:16" s="9" customFormat="1" x14ac:dyDescent="0.35">
      <c r="A166" s="102" t="s">
        <v>200</v>
      </c>
      <c r="B166" s="102"/>
      <c r="C166" s="102"/>
      <c r="D166" s="102"/>
      <c r="E166" s="102"/>
      <c r="F166" s="102"/>
      <c r="G166" s="102"/>
      <c r="H166" s="102"/>
      <c r="J166" s="52" t="e">
        <f t="shared" si="2"/>
        <v>#DIV/0!</v>
      </c>
      <c r="L166" s="64">
        <v>10.763999999999999</v>
      </c>
    </row>
    <row r="167" spans="1:16" s="2" customFormat="1" x14ac:dyDescent="0.35">
      <c r="A167" s="99" t="s">
        <v>220</v>
      </c>
      <c r="B167" s="99"/>
      <c r="C167" s="99"/>
      <c r="D167" s="99"/>
      <c r="E167" s="99"/>
      <c r="F167" s="99"/>
      <c r="G167" s="99"/>
      <c r="H167" s="99"/>
      <c r="I167" s="34"/>
      <c r="J167" s="52" t="e">
        <f t="shared" si="2"/>
        <v>#DIV/0!</v>
      </c>
      <c r="L167" s="94"/>
      <c r="M167" s="94"/>
    </row>
    <row r="168" spans="1:16" s="2" customFormat="1" ht="15.65" customHeight="1" x14ac:dyDescent="0.35">
      <c r="A168" s="95">
        <v>1</v>
      </c>
      <c r="B168" s="95"/>
      <c r="C168" s="18" t="s">
        <v>203</v>
      </c>
      <c r="D168" s="64">
        <f>(29.34+1*(2.75+2.45+2.75)+1*(2.75+2.75))*10.764</f>
        <v>460.59155999999996</v>
      </c>
      <c r="E168" s="57">
        <f>(1.2*2.75)*10.764</f>
        <v>35.521199999999993</v>
      </c>
      <c r="F168" s="18">
        <f>D168*1.45+E168</f>
        <v>703.37896199999989</v>
      </c>
      <c r="G168" s="88" t="str">
        <f>A167</f>
        <v>1st Floor For Residential</v>
      </c>
      <c r="H168" s="89"/>
      <c r="I168" s="52">
        <f>2.75*3.45+2.45*2+2.75*2+1.2*1.5+1.3*0.9+0.9*2.55+1.2*0.9+0.6*2.55</f>
        <v>27.762500000000003</v>
      </c>
      <c r="J168" s="52">
        <f t="shared" si="2"/>
        <v>1.5271208226221078</v>
      </c>
      <c r="K168" s="2">
        <f>1*(2.75+2.45+2.75)</f>
        <v>7.95</v>
      </c>
      <c r="N168" s="34"/>
    </row>
    <row r="169" spans="1:16" s="2" customFormat="1" ht="15.65" customHeight="1" x14ac:dyDescent="0.35">
      <c r="A169" s="95">
        <f>A168+1</f>
        <v>2</v>
      </c>
      <c r="B169" s="95"/>
      <c r="C169" s="18" t="s">
        <v>203</v>
      </c>
      <c r="D169" s="64">
        <f>(29.34+1*(2.75+2.45+2.75)+1*(2.75+2.75))*10.764</f>
        <v>460.59155999999996</v>
      </c>
      <c r="E169" s="57">
        <f>(2*2.75+1*5.6)*10.764</f>
        <v>119.48039999999999</v>
      </c>
      <c r="F169" s="56">
        <f>D169*1.45+E169/2</f>
        <v>727.59796199999982</v>
      </c>
      <c r="G169" s="90"/>
      <c r="H169" s="91"/>
      <c r="I169" s="41"/>
      <c r="J169" s="52">
        <f t="shared" si="2"/>
        <v>1.5797032016826358</v>
      </c>
      <c r="N169" s="34"/>
    </row>
    <row r="170" spans="1:16" s="2" customFormat="1" ht="15.65" customHeight="1" x14ac:dyDescent="0.35">
      <c r="A170" s="95">
        <f>A169+1</f>
        <v>3</v>
      </c>
      <c r="B170" s="95"/>
      <c r="C170" s="18" t="s">
        <v>204</v>
      </c>
      <c r="D170" s="66">
        <f>(42.88+1*(2.75+2.45+3+3.35)+1*(2.75+3.35))*10.764</f>
        <v>651.54491999999993</v>
      </c>
      <c r="E170" s="57">
        <f>(2*2.75+1*3.25+1*2.6+1*3.65+3*5.45+2.45*2.6+1.1*2.45*0.5)*10.764</f>
        <v>420.52256999999992</v>
      </c>
      <c r="F170" s="56">
        <f>D170*1.45+E170/4</f>
        <v>1049.8707764999999</v>
      </c>
      <c r="G170" s="90"/>
      <c r="H170" s="91"/>
      <c r="I170" s="34">
        <f>2.75*3.45+2.45*2+3.35*2+3*2+1.2*1.5+1.39*0.9+2.25*1.2+0.9*2.45+0.9*1+1.2*0.9+1*(2.75+2.45+3.35+3)</f>
        <v>48.573499999999996</v>
      </c>
      <c r="J170" s="52">
        <f t="shared" si="2"/>
        <v>1.6113559392037007</v>
      </c>
      <c r="N170" s="34"/>
    </row>
    <row r="171" spans="1:16" s="2" customFormat="1" ht="15.65" customHeight="1" x14ac:dyDescent="0.35">
      <c r="A171" s="95">
        <f>A170+1</f>
        <v>4</v>
      </c>
      <c r="B171" s="95"/>
      <c r="C171" s="18" t="s">
        <v>203</v>
      </c>
      <c r="D171" s="64">
        <f>(29.34+1*(2.75+2.45+2.75)+1*(2.75+2.75))*10.764</f>
        <v>460.59155999999996</v>
      </c>
      <c r="E171" s="57">
        <f>(1.2*2.75)*10.764</f>
        <v>35.521199999999993</v>
      </c>
      <c r="F171" s="56">
        <f t="shared" ref="F171" si="7">D171*1.45+E171</f>
        <v>703.37896199999989</v>
      </c>
      <c r="G171" s="92"/>
      <c r="H171" s="93"/>
      <c r="I171" s="34"/>
      <c r="J171" s="52">
        <f t="shared" si="2"/>
        <v>1.5271208226221078</v>
      </c>
      <c r="N171" s="34"/>
    </row>
    <row r="172" spans="1:16" s="2" customFormat="1" x14ac:dyDescent="0.35">
      <c r="A172" s="149" t="s">
        <v>205</v>
      </c>
      <c r="B172" s="150"/>
      <c r="C172" s="150"/>
      <c r="D172" s="150"/>
      <c r="E172" s="150"/>
      <c r="F172" s="150"/>
      <c r="G172" s="150"/>
      <c r="H172" s="151"/>
      <c r="I172" s="34"/>
      <c r="J172" s="52" t="e">
        <f t="shared" si="2"/>
        <v>#DIV/0!</v>
      </c>
    </row>
    <row r="173" spans="1:16" s="2" customFormat="1" ht="15.65" customHeight="1" x14ac:dyDescent="0.35">
      <c r="A173" s="96">
        <v>1</v>
      </c>
      <c r="B173" s="98"/>
      <c r="C173" s="18" t="s">
        <v>203</v>
      </c>
      <c r="D173" s="64">
        <f>(29.34+1*(2.75+2.45+2.75)+1*(2.75+2.75))*10.764</f>
        <v>460.59155999999996</v>
      </c>
      <c r="E173" s="18">
        <v>0</v>
      </c>
      <c r="F173" s="56">
        <f t="shared" ref="F173:F176" si="8">D173*1.45+E173</f>
        <v>667.85776199999987</v>
      </c>
      <c r="G173" s="88" t="str">
        <f>A172</f>
        <v>2nd to 7th Floor</v>
      </c>
      <c r="H173" s="89"/>
      <c r="I173" s="34">
        <f>3250000/F173</f>
        <v>4866.3056490762183</v>
      </c>
      <c r="J173" s="52">
        <f t="shared" si="2"/>
        <v>1.4499999999999997</v>
      </c>
      <c r="N173" s="2" t="str">
        <f ca="1">O173&amp;""&amp;" to "&amp;""&amp;P173</f>
        <v>201 to 701</v>
      </c>
      <c r="O173" s="2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</f>
        <v>201</v>
      </c>
      <c r="P173" s="2">
        <f ca="1">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701</v>
      </c>
    </row>
    <row r="174" spans="1:16" s="2" customFormat="1" ht="15.65" customHeight="1" x14ac:dyDescent="0.35">
      <c r="A174" s="96">
        <v>2</v>
      </c>
      <c r="B174" s="98"/>
      <c r="C174" s="18" t="s">
        <v>203</v>
      </c>
      <c r="D174" s="64">
        <f>(29.34+1*(2.75+2.45+2.75)+1*(2.75+2.75))*10.764</f>
        <v>460.59155999999996</v>
      </c>
      <c r="E174" s="18">
        <v>0</v>
      </c>
      <c r="F174" s="56">
        <f t="shared" si="8"/>
        <v>667.85776199999987</v>
      </c>
      <c r="G174" s="90"/>
      <c r="H174" s="91"/>
      <c r="I174" s="34"/>
      <c r="J174" s="52">
        <f t="shared" si="2"/>
        <v>1.4499999999999997</v>
      </c>
      <c r="N174" s="2" t="str">
        <f ca="1">O174&amp;""&amp;" to "&amp;""&amp;P174</f>
        <v>202 to 702</v>
      </c>
      <c r="O174" s="2">
        <f t="shared" ref="O174:P176" ca="1" si="9">O173+1</f>
        <v>202</v>
      </c>
      <c r="P174" s="2">
        <f t="shared" ca="1" si="9"/>
        <v>702</v>
      </c>
    </row>
    <row r="175" spans="1:16" s="2" customFormat="1" ht="15.65" customHeight="1" x14ac:dyDescent="0.35">
      <c r="A175" s="96">
        <v>3</v>
      </c>
      <c r="B175" s="98"/>
      <c r="C175" s="18" t="s">
        <v>204</v>
      </c>
      <c r="D175" s="64">
        <f>(42.88+1*(2.75+2.45+3+3.35)+1*(2.75+3.35))*10.764</f>
        <v>651.54491999999993</v>
      </c>
      <c r="E175" s="18">
        <v>0</v>
      </c>
      <c r="F175" s="56">
        <f t="shared" si="8"/>
        <v>944.7401339999999</v>
      </c>
      <c r="G175" s="90"/>
      <c r="H175" s="91"/>
      <c r="I175" s="34"/>
      <c r="J175" s="52">
        <f t="shared" si="2"/>
        <v>1.45</v>
      </c>
      <c r="N175" s="2" t="str">
        <f ca="1">O175&amp;""&amp;" to "&amp;""&amp;P175</f>
        <v>203 to 703</v>
      </c>
      <c r="O175" s="2">
        <f t="shared" ca="1" si="9"/>
        <v>203</v>
      </c>
      <c r="P175" s="2">
        <f t="shared" ca="1" si="9"/>
        <v>703</v>
      </c>
    </row>
    <row r="176" spans="1:16" s="2" customFormat="1" ht="15.65" customHeight="1" x14ac:dyDescent="0.35">
      <c r="A176" s="96">
        <v>4</v>
      </c>
      <c r="B176" s="98"/>
      <c r="C176" s="18" t="s">
        <v>203</v>
      </c>
      <c r="D176" s="64">
        <f>(29.34+1*(2.75+2.45+2.75)+1*(2.75+2.75))*10.764</f>
        <v>460.59155999999996</v>
      </c>
      <c r="E176" s="18">
        <v>0</v>
      </c>
      <c r="F176" s="56">
        <f t="shared" si="8"/>
        <v>667.85776199999987</v>
      </c>
      <c r="G176" s="92"/>
      <c r="H176" s="93"/>
      <c r="I176" s="34"/>
      <c r="J176" s="52">
        <f t="shared" si="2"/>
        <v>1.4499999999999997</v>
      </c>
      <c r="N176" s="2" t="str">
        <f ca="1">O176&amp;""&amp;" to "&amp;""&amp;P176</f>
        <v>204 to 704</v>
      </c>
      <c r="O176" s="2">
        <f t="shared" ca="1" si="9"/>
        <v>204</v>
      </c>
      <c r="P176" s="2">
        <f t="shared" ca="1" si="9"/>
        <v>704</v>
      </c>
    </row>
    <row r="177" spans="1:16" s="9" customFormat="1" x14ac:dyDescent="0.35">
      <c r="A177" s="102" t="s">
        <v>202</v>
      </c>
      <c r="B177" s="102"/>
      <c r="C177" s="102"/>
      <c r="D177" s="102"/>
      <c r="E177" s="102"/>
      <c r="F177" s="102"/>
      <c r="G177" s="102"/>
      <c r="H177" s="102"/>
      <c r="J177" s="52" t="e">
        <f t="shared" si="2"/>
        <v>#DIV/0!</v>
      </c>
    </row>
    <row r="178" spans="1:16" s="2" customFormat="1" x14ac:dyDescent="0.35">
      <c r="A178" s="99" t="s">
        <v>220</v>
      </c>
      <c r="B178" s="99"/>
      <c r="C178" s="99"/>
      <c r="D178" s="99"/>
      <c r="E178" s="99"/>
      <c r="F178" s="99"/>
      <c r="G178" s="99"/>
      <c r="H178" s="99"/>
      <c r="I178" s="34"/>
      <c r="J178" s="52" t="e">
        <f t="shared" si="2"/>
        <v>#DIV/0!</v>
      </c>
      <c r="L178" s="94"/>
      <c r="M178" s="94"/>
    </row>
    <row r="179" spans="1:16" s="2" customFormat="1" ht="15.65" customHeight="1" x14ac:dyDescent="0.35">
      <c r="A179" s="95">
        <v>1</v>
      </c>
      <c r="B179" s="95"/>
      <c r="C179" s="71" t="s">
        <v>203</v>
      </c>
      <c r="D179" s="64">
        <f>(29.34+1*(2.75+2.45+2.75)+1*(2.75+2.75))*10.764</f>
        <v>460.59155999999996</v>
      </c>
      <c r="E179" s="57">
        <f>(1.2*2.75)*10.764</f>
        <v>35.521199999999993</v>
      </c>
      <c r="F179" s="71">
        <f t="shared" ref="F179:F183" si="10">D179*1.45+E179</f>
        <v>703.37896199999989</v>
      </c>
      <c r="G179" s="95" t="str">
        <f>A178</f>
        <v>1st Floor For Residential</v>
      </c>
      <c r="H179" s="95"/>
      <c r="I179" s="34"/>
      <c r="J179" s="52">
        <f t="shared" si="2"/>
        <v>1.5271208226221078</v>
      </c>
      <c r="N179" s="34"/>
    </row>
    <row r="180" spans="1:16" s="2" customFormat="1" ht="15.65" customHeight="1" x14ac:dyDescent="0.35">
      <c r="A180" s="95">
        <v>2</v>
      </c>
      <c r="B180" s="95"/>
      <c r="C180" s="71" t="s">
        <v>203</v>
      </c>
      <c r="D180" s="64">
        <f>(29.34+1*(2.75+2.45+2.75)+1*(2.75+2.75))*10.764</f>
        <v>460.59155999999996</v>
      </c>
      <c r="E180" s="57">
        <f>(2*2.75+1*5.6)*10.764</f>
        <v>119.48039999999999</v>
      </c>
      <c r="F180" s="71">
        <f>D180*1.45+E180/2</f>
        <v>727.59796199999982</v>
      </c>
      <c r="G180" s="95"/>
      <c r="H180" s="95"/>
      <c r="I180" s="41"/>
      <c r="J180" s="52">
        <f t="shared" si="2"/>
        <v>1.5797032016826358</v>
      </c>
      <c r="N180" s="34"/>
    </row>
    <row r="181" spans="1:16" s="55" customFormat="1" ht="15.65" customHeight="1" x14ac:dyDescent="0.35">
      <c r="A181" s="95">
        <v>3</v>
      </c>
      <c r="B181" s="95"/>
      <c r="C181" s="71" t="s">
        <v>203</v>
      </c>
      <c r="D181" s="64">
        <f>(29.88+1*(2.75+2.75)+2.75*0.45)*10.764</f>
        <v>394.15076999999991</v>
      </c>
      <c r="E181" s="57">
        <f>(0.9*8.8)*10.764</f>
        <v>85.250880000000009</v>
      </c>
      <c r="F181" s="71">
        <f>D181*1.45+E181/2</f>
        <v>614.14405649999992</v>
      </c>
      <c r="G181" s="95"/>
      <c r="H181" s="95"/>
      <c r="I181" s="34"/>
      <c r="J181" s="52">
        <f t="shared" ref="J181" si="11">F181/D181</f>
        <v>1.5581450126305729</v>
      </c>
      <c r="N181" s="34"/>
    </row>
    <row r="182" spans="1:16" s="2" customFormat="1" ht="15.65" customHeight="1" x14ac:dyDescent="0.35">
      <c r="A182" s="95">
        <v>4</v>
      </c>
      <c r="B182" s="95"/>
      <c r="C182" s="71" t="s">
        <v>203</v>
      </c>
      <c r="D182" s="64">
        <f>(29.34+1*(2.75+2.45+2.75)+1*(2.75+2.75))*10.764</f>
        <v>460.59155999999996</v>
      </c>
      <c r="E182" s="57">
        <f>(2*2.75+1*5.6)*10.764</f>
        <v>119.48039999999999</v>
      </c>
      <c r="F182" s="71">
        <f t="shared" si="10"/>
        <v>787.3381619999999</v>
      </c>
      <c r="G182" s="95"/>
      <c r="H182" s="95"/>
      <c r="I182" s="34"/>
      <c r="J182" s="52">
        <f t="shared" si="2"/>
        <v>1.7094064033652723</v>
      </c>
      <c r="N182" s="34"/>
    </row>
    <row r="183" spans="1:16" s="2" customFormat="1" ht="15.65" customHeight="1" x14ac:dyDescent="0.35">
      <c r="A183" s="95">
        <v>5</v>
      </c>
      <c r="B183" s="95"/>
      <c r="C183" s="71" t="s">
        <v>203</v>
      </c>
      <c r="D183" s="64">
        <f>(29.34+1*(2.75+2.45+2.75)+1*(2.75+2.75))*10.764</f>
        <v>460.59155999999996</v>
      </c>
      <c r="E183" s="57">
        <f>(1.2*2.75)*10.764</f>
        <v>35.521199999999993</v>
      </c>
      <c r="F183" s="71">
        <f t="shared" si="10"/>
        <v>703.37896199999989</v>
      </c>
      <c r="G183" s="95"/>
      <c r="H183" s="95"/>
      <c r="I183" s="34"/>
      <c r="J183" s="52">
        <f t="shared" si="2"/>
        <v>1.5271208226221078</v>
      </c>
      <c r="N183" s="34"/>
    </row>
    <row r="184" spans="1:16" s="2" customFormat="1" x14ac:dyDescent="0.35">
      <c r="A184" s="149" t="s">
        <v>245</v>
      </c>
      <c r="B184" s="150"/>
      <c r="C184" s="150"/>
      <c r="D184" s="150"/>
      <c r="E184" s="150"/>
      <c r="F184" s="150"/>
      <c r="G184" s="150"/>
      <c r="H184" s="151"/>
      <c r="I184" s="34"/>
      <c r="J184" s="52" t="e">
        <f t="shared" si="2"/>
        <v>#DIV/0!</v>
      </c>
    </row>
    <row r="185" spans="1:16" s="2" customFormat="1" ht="15.75" customHeight="1" x14ac:dyDescent="0.35">
      <c r="A185" s="96">
        <v>1</v>
      </c>
      <c r="B185" s="98"/>
      <c r="C185" s="18" t="s">
        <v>203</v>
      </c>
      <c r="D185" s="64">
        <f>(29.34+1*(2.75+2.45+2.75)+1*(2.75+2.75))*10.764</f>
        <v>460.59155999999996</v>
      </c>
      <c r="E185" s="18">
        <v>0</v>
      </c>
      <c r="F185" s="56">
        <f t="shared" ref="F185:F189" si="12">D185*1.45+E185</f>
        <v>667.85776199999987</v>
      </c>
      <c r="G185" s="88" t="str">
        <f>A184</f>
        <v>2nd to 7th, 9th to 12th, 14th &amp; 15th Floor</v>
      </c>
      <c r="H185" s="89"/>
      <c r="I185" s="34"/>
      <c r="J185" s="52">
        <f t="shared" si="2"/>
        <v>1.4499999999999997</v>
      </c>
      <c r="N185" s="2" t="str">
        <f ca="1">O185&amp;""&amp;" to "&amp;""&amp;P185</f>
        <v>201 to 1501</v>
      </c>
      <c r="O185" s="2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10^ROW(INDIRECT("1:"&amp;LEN((LEFT(A184,SUM(LEN(A184)-LEN(SUBSTITUTE(A184,{"0","1","2"},""))))))))/10))*100+1</f>
        <v>201</v>
      </c>
      <c r="P185" s="2">
        <f ca="1">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1501</v>
      </c>
    </row>
    <row r="186" spans="1:16" s="2" customFormat="1" ht="15.75" customHeight="1" x14ac:dyDescent="0.35">
      <c r="A186" s="96">
        <v>2</v>
      </c>
      <c r="B186" s="98"/>
      <c r="C186" s="54" t="s">
        <v>203</v>
      </c>
      <c r="D186" s="64">
        <f>(29.34+1*(2.75+2.45+2.75)+1*(2.75+2.75))*10.764</f>
        <v>460.59155999999996</v>
      </c>
      <c r="E186" s="18">
        <v>0</v>
      </c>
      <c r="F186" s="56">
        <f t="shared" si="12"/>
        <v>667.85776199999987</v>
      </c>
      <c r="G186" s="90"/>
      <c r="H186" s="91"/>
      <c r="I186" s="34"/>
      <c r="J186" s="52">
        <f t="shared" si="2"/>
        <v>1.4499999999999997</v>
      </c>
      <c r="N186" s="2" t="str">
        <f ca="1">O186&amp;""&amp;" to "&amp;""&amp;P186</f>
        <v>202 to 1502</v>
      </c>
      <c r="O186" s="2">
        <f t="shared" ref="O186:P189" ca="1" si="13">O185+1</f>
        <v>202</v>
      </c>
      <c r="P186" s="2">
        <f t="shared" ca="1" si="13"/>
        <v>1502</v>
      </c>
    </row>
    <row r="187" spans="1:16" s="55" customFormat="1" ht="15.75" customHeight="1" x14ac:dyDescent="0.35">
      <c r="A187" s="96">
        <v>3</v>
      </c>
      <c r="B187" s="98"/>
      <c r="C187" s="54" t="s">
        <v>203</v>
      </c>
      <c r="D187" s="64">
        <f>(29.88+1*(2.75+2.75)+2.75*0.45)*10.764</f>
        <v>394.15076999999991</v>
      </c>
      <c r="E187" s="54">
        <v>0</v>
      </c>
      <c r="F187" s="56">
        <f t="shared" si="12"/>
        <v>571.51861649999989</v>
      </c>
      <c r="G187" s="90"/>
      <c r="H187" s="91"/>
      <c r="I187" s="34"/>
      <c r="J187" s="52">
        <f t="shared" ref="J187" si="14">F187/D187</f>
        <v>1.45</v>
      </c>
      <c r="N187" s="55" t="str">
        <f ca="1">O187&amp;""&amp;" to "&amp;""&amp;P187</f>
        <v>202 to 1502</v>
      </c>
      <c r="O187" s="55">
        <f ca="1">O185+1</f>
        <v>202</v>
      </c>
      <c r="P187" s="55">
        <f ca="1">P185+1</f>
        <v>1502</v>
      </c>
    </row>
    <row r="188" spans="1:16" s="2" customFormat="1" ht="15.75" customHeight="1" x14ac:dyDescent="0.35">
      <c r="A188" s="96">
        <v>4</v>
      </c>
      <c r="B188" s="98"/>
      <c r="C188" s="54" t="s">
        <v>203</v>
      </c>
      <c r="D188" s="64">
        <f>(29.34+1*(2.75+2.45+2.75)+1*(2.75+2.75))*10.764</f>
        <v>460.59155999999996</v>
      </c>
      <c r="E188" s="18">
        <v>0</v>
      </c>
      <c r="F188" s="56">
        <f t="shared" si="12"/>
        <v>667.85776199999987</v>
      </c>
      <c r="G188" s="90"/>
      <c r="H188" s="91"/>
      <c r="I188" s="34"/>
      <c r="J188" s="52">
        <f t="shared" si="2"/>
        <v>1.4499999999999997</v>
      </c>
      <c r="N188" s="2" t="str">
        <f ca="1">O188&amp;""&amp;" to "&amp;""&amp;P188</f>
        <v>203 to 1503</v>
      </c>
      <c r="O188" s="2">
        <f ca="1">O186+1</f>
        <v>203</v>
      </c>
      <c r="P188" s="2">
        <f ca="1">P186+1</f>
        <v>1503</v>
      </c>
    </row>
    <row r="189" spans="1:16" s="2" customFormat="1" ht="15.75" customHeight="1" x14ac:dyDescent="0.35">
      <c r="A189" s="96">
        <v>5</v>
      </c>
      <c r="B189" s="98"/>
      <c r="C189" s="54" t="s">
        <v>203</v>
      </c>
      <c r="D189" s="64">
        <f>(29.34+1*(2.75+2.45+2.75)+1*(2.75+2.75))*10.764</f>
        <v>460.59155999999996</v>
      </c>
      <c r="E189" s="18">
        <v>0</v>
      </c>
      <c r="F189" s="56">
        <f t="shared" si="12"/>
        <v>667.85776199999987</v>
      </c>
      <c r="G189" s="92"/>
      <c r="H189" s="93"/>
      <c r="I189" s="34"/>
      <c r="J189" s="52">
        <f t="shared" si="2"/>
        <v>1.4499999999999997</v>
      </c>
      <c r="N189" s="2" t="str">
        <f ca="1">O189&amp;""&amp;" to "&amp;""&amp;P189</f>
        <v>204 to 1504</v>
      </c>
      <c r="O189" s="2">
        <f t="shared" ca="1" si="13"/>
        <v>204</v>
      </c>
      <c r="P189" s="2">
        <f t="shared" ca="1" si="13"/>
        <v>1504</v>
      </c>
    </row>
    <row r="190" spans="1:16" s="55" customFormat="1" x14ac:dyDescent="0.35">
      <c r="A190" s="149" t="s">
        <v>221</v>
      </c>
      <c r="B190" s="150"/>
      <c r="C190" s="150"/>
      <c r="D190" s="150"/>
      <c r="E190" s="150"/>
      <c r="F190" s="150"/>
      <c r="G190" s="150"/>
      <c r="H190" s="151"/>
      <c r="I190" s="34"/>
      <c r="J190" s="52" t="e">
        <f t="shared" ref="J190:J196" si="15">F190/D190</f>
        <v>#DIV/0!</v>
      </c>
    </row>
    <row r="191" spans="1:16" s="55" customFormat="1" ht="15.65" customHeight="1" x14ac:dyDescent="0.35">
      <c r="A191" s="96">
        <v>1</v>
      </c>
      <c r="B191" s="98"/>
      <c r="C191" s="54" t="s">
        <v>203</v>
      </c>
      <c r="D191" s="64">
        <f>(29.34+1*(2.75+2.45+2.75)+1*(2.75+2.75))*10.764</f>
        <v>460.59155999999996</v>
      </c>
      <c r="E191" s="54">
        <v>0</v>
      </c>
      <c r="F191" s="56">
        <f t="shared" ref="F191:F192" si="16">D191*1.45+E191</f>
        <v>667.85776199999987</v>
      </c>
      <c r="G191" s="88" t="str">
        <f>A190</f>
        <v>8th &amp; 13th Floor (Part Refuge Area)</v>
      </c>
      <c r="H191" s="89"/>
      <c r="I191" s="34"/>
      <c r="J191" s="52">
        <f t="shared" si="15"/>
        <v>1.4499999999999997</v>
      </c>
      <c r="N191" s="55" t="str">
        <f ca="1">O191&amp;""&amp;" to "&amp;""&amp;P191</f>
        <v>801 to 1301</v>
      </c>
      <c r="O191" s="55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10^ROW(INDIRECT("1:"&amp;LEN((LEFT(A190,SUM(LEN(A190)-LEN(SUBSTITUTE(A190,{"0","1","2"},""))))))))/10))*100+1</f>
        <v>801</v>
      </c>
      <c r="P191" s="55">
        <f ca="1">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",LEN(A190))),LEN(A190)))))))/10))*100+1</f>
        <v>1301</v>
      </c>
    </row>
    <row r="192" spans="1:16" s="55" customFormat="1" ht="15.65" customHeight="1" x14ac:dyDescent="0.35">
      <c r="A192" s="96">
        <v>2</v>
      </c>
      <c r="B192" s="98"/>
      <c r="C192" s="54" t="s">
        <v>204</v>
      </c>
      <c r="D192" s="64">
        <f>(39.63+1*(2.75+2.45+2.75+2.75)+1*(2.75+2.75)+2.75*0.45)*10.764</f>
        <v>614.27456999999993</v>
      </c>
      <c r="E192" s="54">
        <v>0</v>
      </c>
      <c r="F192" s="56">
        <f t="shared" si="16"/>
        <v>890.69812649999983</v>
      </c>
      <c r="G192" s="90"/>
      <c r="H192" s="91"/>
      <c r="I192" s="34"/>
      <c r="J192" s="52">
        <f t="shared" si="15"/>
        <v>1.45</v>
      </c>
      <c r="N192" s="55" t="str">
        <f ca="1">O192&amp;""&amp;" to "&amp;""&amp;P192</f>
        <v>802 to 1302</v>
      </c>
      <c r="O192" s="55">
        <f t="shared" ref="O192:P192" ca="1" si="17">O191+1</f>
        <v>802</v>
      </c>
      <c r="P192" s="55">
        <f t="shared" ca="1" si="17"/>
        <v>1302</v>
      </c>
    </row>
    <row r="193" spans="1:16" s="55" customFormat="1" ht="15.65" customHeight="1" x14ac:dyDescent="0.35">
      <c r="A193" s="96">
        <v>3</v>
      </c>
      <c r="B193" s="98"/>
      <c r="C193" s="96" t="s">
        <v>222</v>
      </c>
      <c r="D193" s="97"/>
      <c r="E193" s="97"/>
      <c r="F193" s="98"/>
      <c r="G193" s="90"/>
      <c r="H193" s="91"/>
      <c r="I193" s="34"/>
      <c r="J193" s="52" t="e">
        <f t="shared" si="15"/>
        <v>#DIV/0!</v>
      </c>
      <c r="N193" s="55" t="str">
        <f ca="1">O193&amp;""&amp;" to "&amp;""&amp;P193</f>
        <v>802 to 1302</v>
      </c>
      <c r="O193" s="55">
        <f ca="1">O191+1</f>
        <v>802</v>
      </c>
      <c r="P193" s="55">
        <f ca="1">P191+1</f>
        <v>1302</v>
      </c>
    </row>
    <row r="194" spans="1:16" s="55" customFormat="1" ht="15.65" customHeight="1" x14ac:dyDescent="0.35">
      <c r="A194" s="96">
        <v>4</v>
      </c>
      <c r="B194" s="98"/>
      <c r="C194" s="54" t="s">
        <v>203</v>
      </c>
      <c r="D194" s="64">
        <f>(29.34+1*(2.75+2.45+2.75)+1*(2.75+2.75))*10.764</f>
        <v>460.59155999999996</v>
      </c>
      <c r="E194" s="54">
        <v>0</v>
      </c>
      <c r="F194" s="56">
        <f t="shared" ref="F194:F195" si="18">D194*1.45+E194</f>
        <v>667.85776199999987</v>
      </c>
      <c r="G194" s="90"/>
      <c r="H194" s="91"/>
      <c r="I194" s="34"/>
      <c r="J194" s="52">
        <f t="shared" si="15"/>
        <v>1.4499999999999997</v>
      </c>
      <c r="N194" s="55" t="str">
        <f ca="1">O194&amp;""&amp;" to "&amp;""&amp;P194</f>
        <v>803 to 1303</v>
      </c>
      <c r="O194" s="55">
        <f ca="1">O192+1</f>
        <v>803</v>
      </c>
      <c r="P194" s="55">
        <f ca="1">P192+1</f>
        <v>1303</v>
      </c>
    </row>
    <row r="195" spans="1:16" s="55" customFormat="1" ht="15.65" customHeight="1" x14ac:dyDescent="0.35">
      <c r="A195" s="96">
        <v>5</v>
      </c>
      <c r="B195" s="98"/>
      <c r="C195" s="54" t="s">
        <v>203</v>
      </c>
      <c r="D195" s="64">
        <f>(29.34+1*(2.75+2.45+2.75)+1*(2.75+2.75))*10.764</f>
        <v>460.59155999999996</v>
      </c>
      <c r="E195" s="54">
        <v>0</v>
      </c>
      <c r="F195" s="56">
        <f t="shared" si="18"/>
        <v>667.85776199999987</v>
      </c>
      <c r="G195" s="92"/>
      <c r="H195" s="93"/>
      <c r="I195" s="34"/>
      <c r="J195" s="52">
        <f t="shared" si="15"/>
        <v>1.4499999999999997</v>
      </c>
      <c r="N195" s="55" t="str">
        <f ca="1">O195&amp;""&amp;" to "&amp;""&amp;P195</f>
        <v>804 to 1304</v>
      </c>
      <c r="O195" s="55">
        <f t="shared" ref="O195:P195" ca="1" si="19">O194+1</f>
        <v>804</v>
      </c>
      <c r="P195" s="55">
        <f t="shared" ca="1" si="19"/>
        <v>1304</v>
      </c>
    </row>
    <row r="196" spans="1:16" s="9" customFormat="1" x14ac:dyDescent="0.35">
      <c r="A196" s="102" t="s">
        <v>225</v>
      </c>
      <c r="B196" s="102"/>
      <c r="C196" s="102"/>
      <c r="D196" s="102"/>
      <c r="E196" s="102"/>
      <c r="F196" s="102"/>
      <c r="G196" s="102"/>
      <c r="H196" s="102"/>
      <c r="J196" s="52" t="e">
        <f t="shared" si="15"/>
        <v>#DIV/0!</v>
      </c>
    </row>
    <row r="197" spans="1:16" s="61" customFormat="1" x14ac:dyDescent="0.35">
      <c r="A197" s="99" t="s">
        <v>220</v>
      </c>
      <c r="B197" s="99"/>
      <c r="C197" s="99"/>
      <c r="D197" s="99"/>
      <c r="E197" s="99"/>
      <c r="F197" s="99"/>
      <c r="G197" s="99"/>
      <c r="H197" s="99"/>
      <c r="I197" s="34"/>
      <c r="J197" s="52"/>
      <c r="L197" s="94"/>
      <c r="M197" s="94"/>
    </row>
    <row r="198" spans="1:16" s="61" customFormat="1" ht="15.65" customHeight="1" x14ac:dyDescent="0.35">
      <c r="A198" s="95">
        <v>1</v>
      </c>
      <c r="B198" s="95"/>
      <c r="C198" s="62" t="s">
        <v>203</v>
      </c>
      <c r="D198" s="64">
        <f>(29.34+1*(2.75+2.45+2.75)+1*(2.75+2.75))*10.764</f>
        <v>460.59155999999996</v>
      </c>
      <c r="E198" s="57">
        <f>(2*2.75+1*5.6)*10.764</f>
        <v>119.48039999999999</v>
      </c>
      <c r="F198" s="62">
        <f>D198*1.45+E198</f>
        <v>787.3381619999999</v>
      </c>
      <c r="G198" s="95" t="str">
        <f>A197</f>
        <v>1st Floor For Residential</v>
      </c>
      <c r="H198" s="95"/>
      <c r="I198" s="52"/>
      <c r="J198" s="52"/>
      <c r="N198" s="34"/>
    </row>
    <row r="199" spans="1:16" s="61" customFormat="1" ht="15.65" customHeight="1" x14ac:dyDescent="0.35">
      <c r="A199" s="95">
        <f>A198+1</f>
        <v>2</v>
      </c>
      <c r="B199" s="95"/>
      <c r="C199" s="62" t="s">
        <v>203</v>
      </c>
      <c r="D199" s="64">
        <f>(29.88+1*(2.75+2.75)+2.75*0.45)*10.764</f>
        <v>394.15076999999991</v>
      </c>
      <c r="E199" s="57">
        <f>(0.9*8.8)*10.764</f>
        <v>85.250880000000009</v>
      </c>
      <c r="F199" s="62">
        <f>D199*1.45+E199/2</f>
        <v>614.14405649999992</v>
      </c>
      <c r="G199" s="95"/>
      <c r="H199" s="95"/>
      <c r="I199" s="41"/>
      <c r="J199" s="52"/>
      <c r="N199" s="34"/>
    </row>
    <row r="200" spans="1:16" s="61" customFormat="1" ht="15.65" customHeight="1" x14ac:dyDescent="0.35">
      <c r="A200" s="95">
        <f>A199+1</f>
        <v>3</v>
      </c>
      <c r="B200" s="95"/>
      <c r="C200" s="62" t="s">
        <v>203</v>
      </c>
      <c r="D200" s="64">
        <f>(29.34+1*(2.75+2.45+2.75)+1*(2.75+2.75))*10.764</f>
        <v>460.59155999999996</v>
      </c>
      <c r="E200" s="57">
        <f>(2*2.75+1*5.6)*10.764</f>
        <v>119.48039999999999</v>
      </c>
      <c r="F200" s="62">
        <f>D200*1.45+E200/4</f>
        <v>697.72786199999985</v>
      </c>
      <c r="G200" s="95"/>
      <c r="H200" s="95"/>
      <c r="I200" s="34"/>
      <c r="J200" s="52"/>
      <c r="N200" s="34"/>
    </row>
    <row r="201" spans="1:16" s="61" customFormat="1" ht="15.65" customHeight="1" x14ac:dyDescent="0.35">
      <c r="A201" s="95">
        <f>A200+1</f>
        <v>4</v>
      </c>
      <c r="B201" s="95"/>
      <c r="C201" s="62" t="s">
        <v>203</v>
      </c>
      <c r="D201" s="64">
        <f>(29.34+1*(2.75+2.45+2.75)+1*(2.75+2.75))*10.764</f>
        <v>460.59155999999996</v>
      </c>
      <c r="E201" s="57">
        <f>(1.2*2.75)*10.764</f>
        <v>35.521199999999993</v>
      </c>
      <c r="F201" s="62">
        <f t="shared" ref="F201" si="20">D201*1.45+E201</f>
        <v>703.37896199999989</v>
      </c>
      <c r="G201" s="95"/>
      <c r="H201" s="95"/>
      <c r="I201" s="34"/>
      <c r="J201" s="52"/>
      <c r="N201" s="34"/>
    </row>
    <row r="202" spans="1:16" s="61" customFormat="1" ht="15.65" customHeight="1" x14ac:dyDescent="0.35">
      <c r="A202" s="99" t="s">
        <v>245</v>
      </c>
      <c r="B202" s="99"/>
      <c r="C202" s="99"/>
      <c r="D202" s="99"/>
      <c r="E202" s="99"/>
      <c r="F202" s="99"/>
      <c r="G202" s="99"/>
      <c r="H202" s="99"/>
      <c r="I202" s="34"/>
      <c r="J202" s="52"/>
      <c r="L202" s="94"/>
      <c r="M202" s="94"/>
    </row>
    <row r="203" spans="1:16" s="61" customFormat="1" ht="15.65" customHeight="1" x14ac:dyDescent="0.35">
      <c r="A203" s="95">
        <v>1</v>
      </c>
      <c r="B203" s="95"/>
      <c r="C203" s="67" t="s">
        <v>203</v>
      </c>
      <c r="D203" s="64">
        <f>(29.34+1*(2.75+2.45+2.75)+1*(2.75+2.75))*10.764</f>
        <v>460.59155999999996</v>
      </c>
      <c r="E203" s="57">
        <v>0</v>
      </c>
      <c r="F203" s="67">
        <f>D203*1.45+E203</f>
        <v>667.85776199999987</v>
      </c>
      <c r="G203" s="95" t="str">
        <f>A202</f>
        <v>2nd to 7th, 9th to 12th, 14th &amp; 15th Floor</v>
      </c>
      <c r="H203" s="95"/>
      <c r="I203" s="52"/>
      <c r="J203" s="52"/>
      <c r="N203" s="34"/>
    </row>
    <row r="204" spans="1:16" s="61" customFormat="1" ht="15.65" customHeight="1" x14ac:dyDescent="0.35">
      <c r="A204" s="95">
        <f>A203+1</f>
        <v>2</v>
      </c>
      <c r="B204" s="95"/>
      <c r="C204" s="67" t="s">
        <v>203</v>
      </c>
      <c r="D204" s="64">
        <f>(29.88+1*(2.75+2.75)+2.75*0.45)*10.764</f>
        <v>394.15076999999991</v>
      </c>
      <c r="E204" s="57">
        <v>0</v>
      </c>
      <c r="F204" s="67">
        <f>D204*1.45+E204/2</f>
        <v>571.51861649999989</v>
      </c>
      <c r="G204" s="95"/>
      <c r="H204" s="95"/>
      <c r="I204" s="41"/>
      <c r="J204" s="52"/>
      <c r="N204" s="34"/>
    </row>
    <row r="205" spans="1:16" s="61" customFormat="1" ht="15.65" customHeight="1" x14ac:dyDescent="0.35">
      <c r="A205" s="95">
        <f>A204+1</f>
        <v>3</v>
      </c>
      <c r="B205" s="95"/>
      <c r="C205" s="67" t="s">
        <v>203</v>
      </c>
      <c r="D205" s="64">
        <f>(29.34+1*(2.75+2.45+2.75)+1*(2.75+2.75))*10.764</f>
        <v>460.59155999999996</v>
      </c>
      <c r="E205" s="57">
        <v>0</v>
      </c>
      <c r="F205" s="67">
        <f>D205*1.45+E205/4</f>
        <v>667.85776199999987</v>
      </c>
      <c r="G205" s="95"/>
      <c r="H205" s="95"/>
      <c r="I205" s="34"/>
      <c r="J205" s="52"/>
      <c r="N205" s="34"/>
    </row>
    <row r="206" spans="1:16" s="61" customFormat="1" ht="15.65" customHeight="1" x14ac:dyDescent="0.35">
      <c r="A206" s="95">
        <f>A205+1</f>
        <v>4</v>
      </c>
      <c r="B206" s="95"/>
      <c r="C206" s="67" t="s">
        <v>203</v>
      </c>
      <c r="D206" s="64">
        <f>(29.34+1*(2.75+2.45+2.75)+1*(2.75+2.75))*10.764</f>
        <v>460.59155999999996</v>
      </c>
      <c r="E206" s="57">
        <v>0</v>
      </c>
      <c r="F206" s="67">
        <f t="shared" ref="F206" si="21">D206*1.45+E206</f>
        <v>667.85776199999987</v>
      </c>
      <c r="G206" s="95"/>
      <c r="H206" s="95"/>
      <c r="I206" s="34"/>
      <c r="J206" s="52"/>
      <c r="N206" s="34"/>
    </row>
    <row r="207" spans="1:16" s="61" customFormat="1" ht="15.65" customHeight="1" x14ac:dyDescent="0.35">
      <c r="A207" s="99" t="s">
        <v>221</v>
      </c>
      <c r="B207" s="99"/>
      <c r="C207" s="99"/>
      <c r="D207" s="99"/>
      <c r="E207" s="99"/>
      <c r="F207" s="99"/>
      <c r="G207" s="99"/>
      <c r="H207" s="99"/>
      <c r="I207" s="34"/>
      <c r="J207" s="52"/>
      <c r="L207" s="94"/>
      <c r="M207" s="94"/>
    </row>
    <row r="208" spans="1:16" s="61" customFormat="1" ht="15.65" customHeight="1" x14ac:dyDescent="0.35">
      <c r="A208" s="95">
        <v>1</v>
      </c>
      <c r="B208" s="95"/>
      <c r="C208" s="60" t="s">
        <v>203</v>
      </c>
      <c r="D208" s="64">
        <f>(29.34+1*(2.75+2.45+2.75)+1*(2.75+2.75))*10.764</f>
        <v>460.59155999999996</v>
      </c>
      <c r="E208" s="57">
        <v>0</v>
      </c>
      <c r="F208" s="60">
        <f>D208*1.45+E208</f>
        <v>667.85776199999987</v>
      </c>
      <c r="G208" s="88" t="str">
        <f>A207</f>
        <v>8th &amp; 13th Floor (Part Refuge Area)</v>
      </c>
      <c r="H208" s="89"/>
      <c r="I208" s="52"/>
      <c r="J208" s="52"/>
      <c r="N208" s="34"/>
    </row>
    <row r="209" spans="1:14" s="61" customFormat="1" ht="15.65" customHeight="1" x14ac:dyDescent="0.35">
      <c r="A209" s="95">
        <f>A208+1</f>
        <v>2</v>
      </c>
      <c r="B209" s="95"/>
      <c r="C209" s="96" t="s">
        <v>222</v>
      </c>
      <c r="D209" s="97"/>
      <c r="E209" s="97"/>
      <c r="F209" s="98"/>
      <c r="G209" s="90"/>
      <c r="H209" s="91"/>
      <c r="I209" s="41"/>
      <c r="J209" s="52"/>
      <c r="N209" s="34"/>
    </row>
    <row r="210" spans="1:14" s="61" customFormat="1" ht="15.65" customHeight="1" x14ac:dyDescent="0.35">
      <c r="A210" s="95">
        <f>A209+1</f>
        <v>3</v>
      </c>
      <c r="B210" s="95"/>
      <c r="C210" s="60" t="s">
        <v>204</v>
      </c>
      <c r="D210" s="64">
        <f>(39.63+1*(2.75+2.45+2.75+2.75)+1*(2.75+2.75)+2.75*0.45)*10.764</f>
        <v>614.27456999999993</v>
      </c>
      <c r="E210" s="57">
        <v>0</v>
      </c>
      <c r="F210" s="60">
        <f>D210*1.45+E210/4</f>
        <v>890.69812649999983</v>
      </c>
      <c r="G210" s="90"/>
      <c r="H210" s="91"/>
      <c r="I210" s="34"/>
      <c r="J210" s="52"/>
      <c r="N210" s="34"/>
    </row>
    <row r="211" spans="1:14" s="61" customFormat="1" ht="15.65" customHeight="1" x14ac:dyDescent="0.35">
      <c r="A211" s="95">
        <f>A210+1</f>
        <v>4</v>
      </c>
      <c r="B211" s="95"/>
      <c r="C211" s="60" t="s">
        <v>203</v>
      </c>
      <c r="D211" s="64">
        <f>(29.34+1*(2.75+2.45+2.75)+1*(2.75+2.75))*10.764</f>
        <v>460.59155999999996</v>
      </c>
      <c r="E211" s="57">
        <v>0</v>
      </c>
      <c r="F211" s="60">
        <f t="shared" ref="F211" si="22">D211*1.45+E211</f>
        <v>667.85776199999987</v>
      </c>
      <c r="G211" s="92"/>
      <c r="H211" s="93"/>
      <c r="I211" s="34"/>
      <c r="J211" s="52"/>
      <c r="N211" s="34"/>
    </row>
    <row r="212" spans="1:14" s="1" customFormat="1" x14ac:dyDescent="0.35">
      <c r="A212" s="148" t="s">
        <v>73</v>
      </c>
      <c r="B212" s="148"/>
      <c r="C212" s="148"/>
      <c r="D212" s="148"/>
      <c r="E212" s="148"/>
      <c r="F212" s="148"/>
      <c r="G212" s="148"/>
      <c r="H212" s="148"/>
      <c r="J212" s="52"/>
    </row>
    <row r="213" spans="1:14" s="1" customFormat="1" ht="30.75" customHeight="1" x14ac:dyDescent="0.35">
      <c r="A213" s="50">
        <v>1</v>
      </c>
      <c r="B213" s="83" t="s">
        <v>259</v>
      </c>
      <c r="C213" s="84"/>
      <c r="D213" s="84"/>
      <c r="E213" s="84"/>
      <c r="F213" s="84"/>
      <c r="G213" s="84"/>
      <c r="H213" s="85"/>
      <c r="J213" s="52"/>
    </row>
    <row r="214" spans="1:14" s="1" customFormat="1" x14ac:dyDescent="0.35">
      <c r="A214" s="50">
        <f t="shared" ref="A214:A223" si="23">A213+1</f>
        <v>2</v>
      </c>
      <c r="B214" s="83" t="s">
        <v>228</v>
      </c>
      <c r="C214" s="84"/>
      <c r="D214" s="84"/>
      <c r="E214" s="84"/>
      <c r="F214" s="84"/>
      <c r="G214" s="84"/>
      <c r="H214" s="85"/>
      <c r="J214" s="52"/>
    </row>
    <row r="215" spans="1:14" s="1" customFormat="1" x14ac:dyDescent="0.35">
      <c r="A215" s="50">
        <f t="shared" si="23"/>
        <v>3</v>
      </c>
      <c r="B215" s="83" t="s">
        <v>161</v>
      </c>
      <c r="C215" s="84"/>
      <c r="D215" s="84"/>
      <c r="E215" s="84"/>
      <c r="F215" s="84"/>
      <c r="G215" s="84"/>
      <c r="H215" s="85"/>
    </row>
    <row r="216" spans="1:14" s="1" customFormat="1" x14ac:dyDescent="0.35">
      <c r="A216" s="50">
        <f t="shared" si="23"/>
        <v>4</v>
      </c>
      <c r="B216" s="83" t="s">
        <v>246</v>
      </c>
      <c r="C216" s="84"/>
      <c r="D216" s="84"/>
      <c r="E216" s="84"/>
      <c r="F216" s="84"/>
      <c r="G216" s="84"/>
      <c r="H216" s="85"/>
    </row>
    <row r="217" spans="1:14" s="1" customFormat="1" x14ac:dyDescent="0.35">
      <c r="A217" s="50">
        <f t="shared" si="23"/>
        <v>5</v>
      </c>
      <c r="B217" s="83" t="s">
        <v>162</v>
      </c>
      <c r="C217" s="84"/>
      <c r="D217" s="84"/>
      <c r="E217" s="84"/>
      <c r="F217" s="84"/>
      <c r="G217" s="84"/>
      <c r="H217" s="85"/>
    </row>
    <row r="218" spans="1:14" s="1" customFormat="1" x14ac:dyDescent="0.35">
      <c r="A218" s="50">
        <f t="shared" si="23"/>
        <v>6</v>
      </c>
      <c r="B218" s="83" t="s">
        <v>163</v>
      </c>
      <c r="C218" s="84"/>
      <c r="D218" s="84"/>
      <c r="E218" s="84"/>
      <c r="F218" s="84"/>
      <c r="G218" s="84"/>
      <c r="H218" s="85"/>
    </row>
    <row r="219" spans="1:14" s="1" customFormat="1" x14ac:dyDescent="0.35">
      <c r="A219" s="50">
        <f t="shared" si="23"/>
        <v>7</v>
      </c>
      <c r="B219" s="83" t="s">
        <v>229</v>
      </c>
      <c r="C219" s="84"/>
      <c r="D219" s="84"/>
      <c r="E219" s="84"/>
      <c r="F219" s="84"/>
      <c r="G219" s="84"/>
      <c r="H219" s="85"/>
    </row>
    <row r="220" spans="1:14" s="1" customFormat="1" hidden="1" x14ac:dyDescent="0.35">
      <c r="A220" s="50" t="e">
        <f>#REF!+1</f>
        <v>#REF!</v>
      </c>
      <c r="B220" s="83" t="s">
        <v>233</v>
      </c>
      <c r="C220" s="84"/>
      <c r="D220" s="84"/>
      <c r="E220" s="84"/>
      <c r="F220" s="84"/>
      <c r="G220" s="84"/>
      <c r="H220" s="85"/>
    </row>
    <row r="221" spans="1:14" s="1" customFormat="1" x14ac:dyDescent="0.35">
      <c r="A221" s="50">
        <v>9</v>
      </c>
      <c r="B221" s="83" t="s">
        <v>231</v>
      </c>
      <c r="C221" s="84"/>
      <c r="D221" s="84"/>
      <c r="E221" s="84"/>
      <c r="F221" s="84"/>
      <c r="G221" s="84"/>
      <c r="H221" s="85"/>
    </row>
    <row r="222" spans="1:14" s="1" customFormat="1" x14ac:dyDescent="0.35">
      <c r="A222" s="50">
        <f t="shared" si="23"/>
        <v>10</v>
      </c>
      <c r="B222" s="83" t="s">
        <v>234</v>
      </c>
      <c r="C222" s="84"/>
      <c r="D222" s="84"/>
      <c r="E222" s="84"/>
      <c r="F222" s="84"/>
      <c r="G222" s="84"/>
      <c r="H222" s="85"/>
    </row>
    <row r="223" spans="1:14" s="1" customFormat="1" x14ac:dyDescent="0.35">
      <c r="A223" s="50">
        <f t="shared" si="23"/>
        <v>11</v>
      </c>
      <c r="B223" s="83" t="s">
        <v>247</v>
      </c>
      <c r="C223" s="84"/>
      <c r="D223" s="84"/>
      <c r="E223" s="84"/>
      <c r="F223" s="84"/>
      <c r="G223" s="84"/>
      <c r="H223" s="85"/>
    </row>
    <row r="224" spans="1:14" s="1" customFormat="1" x14ac:dyDescent="0.35">
      <c r="A224" s="50">
        <v>12</v>
      </c>
      <c r="B224" s="83" t="s">
        <v>260</v>
      </c>
      <c r="C224" s="84"/>
      <c r="D224" s="84"/>
      <c r="E224" s="84"/>
      <c r="F224" s="84"/>
      <c r="G224" s="84"/>
      <c r="H224" s="85"/>
    </row>
    <row r="225" spans="1:8" x14ac:dyDescent="0.35">
      <c r="A225" s="158" t="s">
        <v>66</v>
      </c>
      <c r="B225" s="158"/>
      <c r="C225" s="158"/>
      <c r="D225" s="158"/>
      <c r="E225" s="158"/>
      <c r="F225" s="158"/>
      <c r="G225" s="158"/>
      <c r="H225" s="158"/>
    </row>
    <row r="226" spans="1:8" x14ac:dyDescent="0.35">
      <c r="A226" s="106" t="s">
        <v>67</v>
      </c>
      <c r="B226" s="106"/>
      <c r="C226" s="106"/>
      <c r="D226" s="106"/>
      <c r="E226" s="106"/>
      <c r="F226" s="106"/>
      <c r="G226" s="106"/>
      <c r="H226" s="106"/>
    </row>
    <row r="227" spans="1:8" ht="15.75" customHeight="1" x14ac:dyDescent="0.35">
      <c r="A227" s="156" t="s">
        <v>68</v>
      </c>
      <c r="B227" s="156"/>
      <c r="C227" s="156"/>
      <c r="D227" s="156"/>
      <c r="E227" s="156"/>
      <c r="F227" s="156"/>
      <c r="G227" s="156"/>
      <c r="H227" s="156"/>
    </row>
    <row r="228" spans="1:8" x14ac:dyDescent="0.35">
      <c r="A228" s="106" t="s">
        <v>69</v>
      </c>
      <c r="B228" s="106"/>
      <c r="C228" s="106"/>
      <c r="D228" s="106"/>
      <c r="E228" s="106"/>
      <c r="F228" s="106"/>
      <c r="G228" s="106"/>
      <c r="H228" s="106"/>
    </row>
    <row r="229" spans="1:8" x14ac:dyDescent="0.35">
      <c r="A229" s="106" t="s">
        <v>70</v>
      </c>
      <c r="B229" s="106"/>
      <c r="C229" s="106"/>
      <c r="D229" s="106"/>
      <c r="E229" s="106"/>
      <c r="F229" s="106"/>
      <c r="G229" s="106"/>
      <c r="H229" s="106"/>
    </row>
    <row r="230" spans="1:8" hidden="1" x14ac:dyDescent="0.35">
      <c r="A230" s="106" t="s">
        <v>164</v>
      </c>
      <c r="B230" s="106"/>
      <c r="C230" s="106"/>
      <c r="D230" s="106"/>
      <c r="E230" s="106"/>
      <c r="F230" s="106"/>
      <c r="G230" s="106"/>
      <c r="H230" s="106"/>
    </row>
    <row r="231" spans="1:8" hidden="1" x14ac:dyDescent="0.35">
      <c r="A231" s="107" t="s">
        <v>165</v>
      </c>
      <c r="B231" s="107"/>
      <c r="C231" s="107"/>
      <c r="D231" s="107"/>
      <c r="E231" s="107"/>
      <c r="F231" s="107"/>
      <c r="G231" s="107"/>
      <c r="H231" s="107"/>
    </row>
    <row r="232" spans="1:8" x14ac:dyDescent="0.35">
      <c r="A232" s="146" t="s">
        <v>106</v>
      </c>
      <c r="B232" s="146"/>
      <c r="C232" s="146" t="s">
        <v>261</v>
      </c>
      <c r="D232" s="146"/>
      <c r="E232" s="146" t="s">
        <v>141</v>
      </c>
      <c r="F232" s="146"/>
      <c r="G232" s="146" t="s">
        <v>235</v>
      </c>
      <c r="H232" s="146"/>
    </row>
    <row r="233" spans="1:8" x14ac:dyDescent="0.35">
      <c r="A233" s="145" t="s">
        <v>108</v>
      </c>
      <c r="B233" s="145"/>
      <c r="C233" s="145"/>
      <c r="D233" s="145"/>
      <c r="E233" s="145"/>
      <c r="F233" s="145"/>
      <c r="G233" s="145"/>
      <c r="H233" s="145"/>
    </row>
    <row r="234" spans="1:8" x14ac:dyDescent="0.35">
      <c r="A234" s="145"/>
      <c r="B234" s="145"/>
      <c r="C234" s="145"/>
      <c r="D234" s="145"/>
      <c r="E234" s="145"/>
      <c r="F234" s="145"/>
      <c r="G234" s="145"/>
      <c r="H234" s="145"/>
    </row>
    <row r="235" spans="1:8" x14ac:dyDescent="0.35">
      <c r="A235" s="145"/>
      <c r="B235" s="145"/>
      <c r="C235" s="145"/>
      <c r="D235" s="145"/>
      <c r="E235" s="145"/>
      <c r="F235" s="145"/>
      <c r="G235" s="145"/>
      <c r="H235" s="145"/>
    </row>
    <row r="236" spans="1:8" x14ac:dyDescent="0.35">
      <c r="A236" s="145"/>
      <c r="B236" s="145"/>
      <c r="C236" s="145"/>
      <c r="D236" s="145"/>
      <c r="E236" s="145"/>
      <c r="F236" s="145"/>
      <c r="G236" s="145"/>
      <c r="H236" s="145"/>
    </row>
    <row r="237" spans="1:8" x14ac:dyDescent="0.35">
      <c r="A237" s="53" t="s">
        <v>71</v>
      </c>
      <c r="B237" s="14"/>
      <c r="C237" s="14"/>
      <c r="D237" s="13" t="str">
        <f>E8</f>
        <v>Shree Vighneshwar Heights</v>
      </c>
      <c r="F237" s="14"/>
      <c r="G237" s="14"/>
      <c r="H237" s="14"/>
    </row>
    <row r="238" spans="1:8" x14ac:dyDescent="0.35">
      <c r="A238" s="14"/>
      <c r="B238" s="14"/>
      <c r="C238" s="14"/>
      <c r="D238" s="14"/>
      <c r="E238" s="14"/>
      <c r="F238" s="14"/>
      <c r="G238" s="14"/>
      <c r="H238" s="14"/>
    </row>
    <row r="239" spans="1:8" x14ac:dyDescent="0.35">
      <c r="A239" s="14"/>
      <c r="B239" s="14"/>
      <c r="C239" s="14"/>
      <c r="D239" s="14"/>
      <c r="E239" s="14"/>
      <c r="F239" s="14"/>
      <c r="G239" s="14"/>
      <c r="H239" s="14"/>
    </row>
    <row r="240" spans="1:8" ht="15" customHeight="1" x14ac:dyDescent="0.35"/>
    <row r="275" spans="1:1" x14ac:dyDescent="0.35">
      <c r="A275" s="16"/>
    </row>
    <row r="278" spans="1:1" x14ac:dyDescent="0.35">
      <c r="A278" s="16" t="s">
        <v>250</v>
      </c>
    </row>
    <row r="314" spans="1:1" x14ac:dyDescent="0.35">
      <c r="A314" s="16" t="s">
        <v>72</v>
      </c>
    </row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</sheetData>
  <mergeCells count="408">
    <mergeCell ref="B223:H223"/>
    <mergeCell ref="A190:H190"/>
    <mergeCell ref="A191:B191"/>
    <mergeCell ref="A192:B192"/>
    <mergeCell ref="A189:B189"/>
    <mergeCell ref="L167:M167"/>
    <mergeCell ref="A164:H164"/>
    <mergeCell ref="A169:B169"/>
    <mergeCell ref="A174:B174"/>
    <mergeCell ref="A176:B176"/>
    <mergeCell ref="A178:H178"/>
    <mergeCell ref="A170:B170"/>
    <mergeCell ref="A173:B173"/>
    <mergeCell ref="A184:H184"/>
    <mergeCell ref="A185:B185"/>
    <mergeCell ref="A186:B186"/>
    <mergeCell ref="A188:B188"/>
    <mergeCell ref="A181:B181"/>
    <mergeCell ref="A187:B187"/>
    <mergeCell ref="B221:H221"/>
    <mergeCell ref="A193:B193"/>
    <mergeCell ref="A194:B194"/>
    <mergeCell ref="A195:B195"/>
    <mergeCell ref="C193:F193"/>
    <mergeCell ref="I122:M123"/>
    <mergeCell ref="A163:B163"/>
    <mergeCell ref="A160:B160"/>
    <mergeCell ref="I124:L125"/>
    <mergeCell ref="L163:M163"/>
    <mergeCell ref="A166:H166"/>
    <mergeCell ref="A177:H177"/>
    <mergeCell ref="A175:B175"/>
    <mergeCell ref="A171:B171"/>
    <mergeCell ref="L160:M160"/>
    <mergeCell ref="A153:B153"/>
    <mergeCell ref="L153:M153"/>
    <mergeCell ref="A157:B157"/>
    <mergeCell ref="L157:M157"/>
    <mergeCell ref="A158:B158"/>
    <mergeCell ref="A130:B130"/>
    <mergeCell ref="C130:D130"/>
    <mergeCell ref="E130:F130"/>
    <mergeCell ref="G130:H130"/>
    <mergeCell ref="A132:B132"/>
    <mergeCell ref="C132:D132"/>
    <mergeCell ref="C129:D129"/>
    <mergeCell ref="E129:F129"/>
    <mergeCell ref="G129:H129"/>
    <mergeCell ref="A74:B74"/>
    <mergeCell ref="D54:H54"/>
    <mergeCell ref="A54:C54"/>
    <mergeCell ref="G46:H46"/>
    <mergeCell ref="A47:B48"/>
    <mergeCell ref="G47:H47"/>
    <mergeCell ref="D52:H52"/>
    <mergeCell ref="C47:E47"/>
    <mergeCell ref="A148:B148"/>
    <mergeCell ref="A96:B96"/>
    <mergeCell ref="A72:B72"/>
    <mergeCell ref="F110:H110"/>
    <mergeCell ref="A107:H107"/>
    <mergeCell ref="A108:B108"/>
    <mergeCell ref="A109:H109"/>
    <mergeCell ref="G125:H125"/>
    <mergeCell ref="A227:H227"/>
    <mergeCell ref="A168:B168"/>
    <mergeCell ref="A128:B128"/>
    <mergeCell ref="G165:H165"/>
    <mergeCell ref="L159:M159"/>
    <mergeCell ref="L154:M154"/>
    <mergeCell ref="L156:M156"/>
    <mergeCell ref="L150:M150"/>
    <mergeCell ref="L151:M151"/>
    <mergeCell ref="L155:M155"/>
    <mergeCell ref="B222:H222"/>
    <mergeCell ref="L178:M178"/>
    <mergeCell ref="A161:B161"/>
    <mergeCell ref="L161:M161"/>
    <mergeCell ref="A162:B162"/>
    <mergeCell ref="L162:M162"/>
    <mergeCell ref="A225:H225"/>
    <mergeCell ref="A226:H226"/>
    <mergeCell ref="E128:F128"/>
    <mergeCell ref="A146:B146"/>
    <mergeCell ref="L149:M149"/>
    <mergeCell ref="A150:B150"/>
    <mergeCell ref="A152:B152"/>
    <mergeCell ref="A159:B159"/>
    <mergeCell ref="A124:B124"/>
    <mergeCell ref="F117:H117"/>
    <mergeCell ref="C124:D124"/>
    <mergeCell ref="F113:H113"/>
    <mergeCell ref="F120:H120"/>
    <mergeCell ref="F118:H118"/>
    <mergeCell ref="A134:H134"/>
    <mergeCell ref="G124:H124"/>
    <mergeCell ref="A119:E119"/>
    <mergeCell ref="C125:D125"/>
    <mergeCell ref="E125:F125"/>
    <mergeCell ref="F119:H119"/>
    <mergeCell ref="E124:F124"/>
    <mergeCell ref="F116:H116"/>
    <mergeCell ref="G126:H126"/>
    <mergeCell ref="A113:E113"/>
    <mergeCell ref="A120:E120"/>
    <mergeCell ref="A114:E114"/>
    <mergeCell ref="F114:H114"/>
    <mergeCell ref="A126:B126"/>
    <mergeCell ref="C126:D126"/>
    <mergeCell ref="E126:F126"/>
    <mergeCell ref="E132:F132"/>
    <mergeCell ref="G132:H132"/>
    <mergeCell ref="A233:H236"/>
    <mergeCell ref="A232:B232"/>
    <mergeCell ref="E232:F232"/>
    <mergeCell ref="C232:D232"/>
    <mergeCell ref="G232:H232"/>
    <mergeCell ref="A123:H123"/>
    <mergeCell ref="A121:E121"/>
    <mergeCell ref="F121:H121"/>
    <mergeCell ref="A122:E122"/>
    <mergeCell ref="F122:H122"/>
    <mergeCell ref="A167:H167"/>
    <mergeCell ref="A129:B129"/>
    <mergeCell ref="A125:B125"/>
    <mergeCell ref="A228:H228"/>
    <mergeCell ref="A127:H127"/>
    <mergeCell ref="A231:H231"/>
    <mergeCell ref="A229:H229"/>
    <mergeCell ref="A212:H212"/>
    <mergeCell ref="A172:H172"/>
    <mergeCell ref="A143:B143"/>
    <mergeCell ref="A144:B144"/>
    <mergeCell ref="A138:B138"/>
    <mergeCell ref="A230:H230"/>
    <mergeCell ref="A133:H133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33:H33"/>
    <mergeCell ref="A36:B36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A35:B35"/>
    <mergeCell ref="C35:H35"/>
    <mergeCell ref="C36:H36"/>
    <mergeCell ref="C108:H108"/>
    <mergeCell ref="E96:F105"/>
    <mergeCell ref="A102:B102"/>
    <mergeCell ref="A101:B101"/>
    <mergeCell ref="A110:E110"/>
    <mergeCell ref="A180:B180"/>
    <mergeCell ref="A182:B182"/>
    <mergeCell ref="A179:B179"/>
    <mergeCell ref="L144:M144"/>
    <mergeCell ref="L143:M143"/>
    <mergeCell ref="L146:M146"/>
    <mergeCell ref="A147:B147"/>
    <mergeCell ref="L147:M147"/>
    <mergeCell ref="A145:B145"/>
    <mergeCell ref="L152:M152"/>
    <mergeCell ref="L148:M148"/>
    <mergeCell ref="A149:B149"/>
    <mergeCell ref="A156:B156"/>
    <mergeCell ref="L142:M142"/>
    <mergeCell ref="L141:M141"/>
    <mergeCell ref="L140:M140"/>
    <mergeCell ref="L139:M139"/>
    <mergeCell ref="L138:M138"/>
    <mergeCell ref="A141:B141"/>
    <mergeCell ref="A87:B87"/>
    <mergeCell ref="A88:B88"/>
    <mergeCell ref="A89:B89"/>
    <mergeCell ref="A90:B90"/>
    <mergeCell ref="A91:B91"/>
    <mergeCell ref="A115:E115"/>
    <mergeCell ref="F115:H115"/>
    <mergeCell ref="A116:E116"/>
    <mergeCell ref="A118:E118"/>
    <mergeCell ref="F112:H112"/>
    <mergeCell ref="A117:E117"/>
    <mergeCell ref="A103:B103"/>
    <mergeCell ref="A104:B104"/>
    <mergeCell ref="A105:B105"/>
    <mergeCell ref="A111:E111"/>
    <mergeCell ref="A112:E112"/>
    <mergeCell ref="F111:H111"/>
    <mergeCell ref="G96:H105"/>
    <mergeCell ref="A97:B97"/>
    <mergeCell ref="A98:B98"/>
    <mergeCell ref="A99:B99"/>
    <mergeCell ref="A100:B100"/>
    <mergeCell ref="A106:E106"/>
    <mergeCell ref="F106:H106"/>
    <mergeCell ref="A92:B92"/>
    <mergeCell ref="C92:H92"/>
    <mergeCell ref="C64:H64"/>
    <mergeCell ref="A68:B68"/>
    <mergeCell ref="A70:B70"/>
    <mergeCell ref="E66:F66"/>
    <mergeCell ref="A65:B65"/>
    <mergeCell ref="C65:D65"/>
    <mergeCell ref="E65:F65"/>
    <mergeCell ref="G65:H65"/>
    <mergeCell ref="A79:B79"/>
    <mergeCell ref="A77:B77"/>
    <mergeCell ref="C77:H77"/>
    <mergeCell ref="C79:H79"/>
    <mergeCell ref="A81:B81"/>
    <mergeCell ref="E81:F81"/>
    <mergeCell ref="G81:H81"/>
    <mergeCell ref="A82:B82"/>
    <mergeCell ref="E82:F91"/>
    <mergeCell ref="G82:H91"/>
    <mergeCell ref="A83:B83"/>
    <mergeCell ref="A84:B84"/>
    <mergeCell ref="A85:B85"/>
    <mergeCell ref="A86:B86"/>
    <mergeCell ref="A45:B45"/>
    <mergeCell ref="G49:H49"/>
    <mergeCell ref="C48:H48"/>
    <mergeCell ref="D56:H56"/>
    <mergeCell ref="C45:E45"/>
    <mergeCell ref="G45:H45"/>
    <mergeCell ref="A55:C57"/>
    <mergeCell ref="D55:H55"/>
    <mergeCell ref="D57:H57"/>
    <mergeCell ref="C46:E46"/>
    <mergeCell ref="A46:B46"/>
    <mergeCell ref="A51:H51"/>
    <mergeCell ref="A52:C52"/>
    <mergeCell ref="A53:C53"/>
    <mergeCell ref="D53:H53"/>
    <mergeCell ref="C49:E49"/>
    <mergeCell ref="A38:D38"/>
    <mergeCell ref="E38:H38"/>
    <mergeCell ref="E41:H41"/>
    <mergeCell ref="E42:H42"/>
    <mergeCell ref="E43:H43"/>
    <mergeCell ref="A41:D41"/>
    <mergeCell ref="A42:D42"/>
    <mergeCell ref="A43:D43"/>
    <mergeCell ref="A44:H44"/>
    <mergeCell ref="E39:H39"/>
    <mergeCell ref="A39:D39"/>
    <mergeCell ref="A49:B49"/>
    <mergeCell ref="A37:H37"/>
    <mergeCell ref="A58:C58"/>
    <mergeCell ref="A59:C59"/>
    <mergeCell ref="D58:H58"/>
    <mergeCell ref="E67:F76"/>
    <mergeCell ref="G67:H76"/>
    <mergeCell ref="A75:B75"/>
    <mergeCell ref="A76:B76"/>
    <mergeCell ref="D59:H59"/>
    <mergeCell ref="A40:D40"/>
    <mergeCell ref="E40:H40"/>
    <mergeCell ref="A73:B73"/>
    <mergeCell ref="A66:B66"/>
    <mergeCell ref="A69:B69"/>
    <mergeCell ref="A61:C61"/>
    <mergeCell ref="D61:H61"/>
    <mergeCell ref="A67:B67"/>
    <mergeCell ref="G66:H66"/>
    <mergeCell ref="A64:B64"/>
    <mergeCell ref="A62:B62"/>
    <mergeCell ref="C62:H62"/>
    <mergeCell ref="A71:B71"/>
    <mergeCell ref="D60:H60"/>
    <mergeCell ref="L145:M145"/>
    <mergeCell ref="B218:H218"/>
    <mergeCell ref="B219:H219"/>
    <mergeCell ref="B220:H220"/>
    <mergeCell ref="B213:H213"/>
    <mergeCell ref="B214:H214"/>
    <mergeCell ref="B215:H215"/>
    <mergeCell ref="B216:H216"/>
    <mergeCell ref="B217:H217"/>
    <mergeCell ref="G138:H163"/>
    <mergeCell ref="G168:H171"/>
    <mergeCell ref="G179:H183"/>
    <mergeCell ref="A196:H196"/>
    <mergeCell ref="A207:H207"/>
    <mergeCell ref="G173:H176"/>
    <mergeCell ref="G191:H195"/>
    <mergeCell ref="A183:B183"/>
    <mergeCell ref="A142:B142"/>
    <mergeCell ref="A139:B139"/>
    <mergeCell ref="A140:B140"/>
    <mergeCell ref="L158:M158"/>
    <mergeCell ref="A154:B154"/>
    <mergeCell ref="A155:B155"/>
    <mergeCell ref="A151:B151"/>
    <mergeCell ref="L207:M207"/>
    <mergeCell ref="A208:B208"/>
    <mergeCell ref="G208:H211"/>
    <mergeCell ref="A209:B209"/>
    <mergeCell ref="A210:B210"/>
    <mergeCell ref="A211:B211"/>
    <mergeCell ref="C209:F209"/>
    <mergeCell ref="A197:H197"/>
    <mergeCell ref="L197:M197"/>
    <mergeCell ref="A198:B198"/>
    <mergeCell ref="G198:H201"/>
    <mergeCell ref="A199:B199"/>
    <mergeCell ref="A200:B200"/>
    <mergeCell ref="A201:B201"/>
    <mergeCell ref="A202:H202"/>
    <mergeCell ref="L202:M202"/>
    <mergeCell ref="A203:B203"/>
    <mergeCell ref="G203:H206"/>
    <mergeCell ref="A204:B204"/>
    <mergeCell ref="A205:B205"/>
    <mergeCell ref="A206:B206"/>
    <mergeCell ref="A50:B50"/>
    <mergeCell ref="C50:E50"/>
    <mergeCell ref="G50:H50"/>
    <mergeCell ref="A80:B80"/>
    <mergeCell ref="C80:D80"/>
    <mergeCell ref="E80:F80"/>
    <mergeCell ref="G80:H80"/>
    <mergeCell ref="B224:H224"/>
    <mergeCell ref="G135:H135"/>
    <mergeCell ref="G185:H189"/>
    <mergeCell ref="C128:D128"/>
    <mergeCell ref="G128:H128"/>
    <mergeCell ref="A137:H137"/>
    <mergeCell ref="A131:B131"/>
    <mergeCell ref="C131:D131"/>
    <mergeCell ref="E131:F131"/>
    <mergeCell ref="G131:H131"/>
    <mergeCell ref="A136:H136"/>
    <mergeCell ref="A60:C60"/>
    <mergeCell ref="A94:B94"/>
    <mergeCell ref="C94:H94"/>
    <mergeCell ref="A95:B95"/>
    <mergeCell ref="E95:F95"/>
    <mergeCell ref="G95:H95"/>
  </mergeCells>
  <hyperlinks>
    <hyperlink ref="C35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&amp;P</oddFooter>
  </headerFooter>
  <rowBreaks count="4" manualBreakCount="4">
    <brk id="91" max="16383" man="1"/>
    <brk id="236" max="16383" man="1"/>
    <brk id="277" max="16383" man="1"/>
    <brk id="31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74</v>
      </c>
      <c r="C2" s="168"/>
      <c r="D2" s="168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75</v>
      </c>
      <c r="B4" s="5" t="s">
        <v>76</v>
      </c>
      <c r="C4" s="169" t="s">
        <v>77</v>
      </c>
      <c r="D4" s="169"/>
      <c r="E4" s="169"/>
      <c r="F4" s="6"/>
      <c r="G4" s="169" t="s">
        <v>78</v>
      </c>
      <c r="H4" s="169"/>
      <c r="I4" s="169"/>
      <c r="J4" s="169" t="s">
        <v>79</v>
      </c>
      <c r="K4" s="169"/>
      <c r="L4" s="169"/>
    </row>
    <row r="5" spans="1:12" x14ac:dyDescent="0.35">
      <c r="A5" s="3">
        <v>202</v>
      </c>
      <c r="B5" s="5"/>
      <c r="C5" s="5" t="s">
        <v>80</v>
      </c>
      <c r="D5" s="5" t="s">
        <v>81</v>
      </c>
      <c r="E5" s="5" t="s">
        <v>58</v>
      </c>
      <c r="F5" s="5"/>
      <c r="G5" s="5" t="s">
        <v>80</v>
      </c>
      <c r="H5" s="5" t="s">
        <v>81</v>
      </c>
      <c r="I5" s="5" t="s">
        <v>58</v>
      </c>
      <c r="J5" s="5" t="s">
        <v>80</v>
      </c>
      <c r="K5" s="5" t="s">
        <v>81</v>
      </c>
      <c r="L5" s="5" t="s">
        <v>58</v>
      </c>
    </row>
    <row r="6" spans="1:12" x14ac:dyDescent="0.35">
      <c r="B6" s="7" t="s">
        <v>82</v>
      </c>
      <c r="C6" s="7"/>
      <c r="D6" s="7"/>
      <c r="E6" s="7">
        <f>C6*D6</f>
        <v>0</v>
      </c>
      <c r="F6" s="7" t="s">
        <v>83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84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85</v>
      </c>
      <c r="C9" s="7"/>
      <c r="D9" s="7"/>
      <c r="E9" s="7">
        <f t="shared" si="0"/>
        <v>0</v>
      </c>
      <c r="F9" s="7" t="s">
        <v>83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84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86</v>
      </c>
      <c r="C13" s="7"/>
      <c r="D13" s="7"/>
      <c r="E13" s="7">
        <f t="shared" si="0"/>
        <v>0</v>
      </c>
      <c r="F13" s="7" t="s">
        <v>83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84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87</v>
      </c>
      <c r="C17" s="7"/>
      <c r="D17" s="7"/>
      <c r="E17" s="7">
        <f t="shared" si="0"/>
        <v>0</v>
      </c>
      <c r="F17" s="7" t="s">
        <v>83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84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87</v>
      </c>
      <c r="C20" s="7"/>
      <c r="D20" s="7"/>
      <c r="E20" s="7">
        <f t="shared" si="0"/>
        <v>0</v>
      </c>
      <c r="F20" s="7" t="s">
        <v>83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84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88</v>
      </c>
      <c r="C23" s="7"/>
      <c r="D23" s="7"/>
      <c r="E23" s="7">
        <f t="shared" si="0"/>
        <v>0</v>
      </c>
      <c r="F23" s="7" t="s">
        <v>89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90</v>
      </c>
      <c r="C24" s="7"/>
      <c r="D24" s="7"/>
      <c r="E24" s="7">
        <f t="shared" si="0"/>
        <v>0</v>
      </c>
      <c r="F24" s="7" t="s">
        <v>89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91</v>
      </c>
      <c r="C25" s="7"/>
      <c r="D25" s="7"/>
      <c r="E25" s="7">
        <f t="shared" si="0"/>
        <v>0</v>
      </c>
      <c r="F25" s="7" t="s">
        <v>89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92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93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94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95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59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7" zoomScale="115" zoomScaleNormal="115" workbookViewId="0">
      <selection activeCell="B15" sqref="B15"/>
    </sheetView>
  </sheetViews>
  <sheetFormatPr defaultColWidth="8.7265625" defaultRowHeight="14.5" x14ac:dyDescent="0.35"/>
  <cols>
    <col min="1" max="1" width="8.7265625" style="22"/>
    <col min="2" max="2" width="22.1796875" style="22" customWidth="1"/>
    <col min="3" max="3" width="37" style="22" customWidth="1"/>
    <col min="4" max="5" width="11.453125" style="22" customWidth="1"/>
    <col min="6" max="6" width="14" style="22" customWidth="1"/>
    <col min="7" max="7" width="20" style="22" customWidth="1"/>
    <col min="8" max="8" width="16.453125" style="22" customWidth="1"/>
    <col min="9" max="16384" width="8.7265625" style="22"/>
  </cols>
  <sheetData>
    <row r="1" spans="1:9" ht="15" customHeight="1" x14ac:dyDescent="0.35"/>
    <row r="2" spans="1:9" ht="15" customHeight="1" x14ac:dyDescent="0.35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35">
      <c r="A3" s="23"/>
      <c r="B3" s="170" t="s">
        <v>142</v>
      </c>
      <c r="C3" s="170"/>
      <c r="D3" s="170"/>
      <c r="E3" s="170"/>
      <c r="F3" s="170"/>
      <c r="G3" s="170"/>
      <c r="H3" s="170"/>
    </row>
    <row r="4" spans="1:9" x14ac:dyDescent="0.35">
      <c r="A4" s="23"/>
      <c r="B4" s="24" t="s">
        <v>143</v>
      </c>
      <c r="C4" s="24" t="s">
        <v>144</v>
      </c>
      <c r="D4" s="24" t="s">
        <v>75</v>
      </c>
      <c r="E4" s="24" t="s">
        <v>145</v>
      </c>
      <c r="F4" s="24" t="s">
        <v>152</v>
      </c>
      <c r="G4" s="24" t="s">
        <v>153</v>
      </c>
      <c r="H4" s="24" t="s">
        <v>146</v>
      </c>
    </row>
    <row r="5" spans="1:9" ht="15" customHeight="1" x14ac:dyDescent="0.35">
      <c r="A5" s="23"/>
      <c r="B5" s="26" t="s">
        <v>147</v>
      </c>
      <c r="C5" s="27"/>
      <c r="D5" s="26" t="s">
        <v>148</v>
      </c>
      <c r="E5" s="26">
        <v>1106</v>
      </c>
      <c r="F5" s="28">
        <f>E5*1.6</f>
        <v>1769.6000000000001</v>
      </c>
      <c r="G5" s="28">
        <f>H5/F5</f>
        <v>31532.549728752259</v>
      </c>
      <c r="H5" s="29">
        <v>55800000</v>
      </c>
    </row>
    <row r="6" spans="1:9" x14ac:dyDescent="0.35">
      <c r="A6" s="23"/>
      <c r="B6" s="26" t="s">
        <v>147</v>
      </c>
      <c r="C6" s="30"/>
      <c r="D6" s="26"/>
      <c r="E6" s="26"/>
      <c r="F6" s="28">
        <f>E6*1.6</f>
        <v>0</v>
      </c>
      <c r="G6" s="28" t="e">
        <f t="shared" ref="G6:G11" si="0">H6/F6</f>
        <v>#DIV/0!</v>
      </c>
      <c r="H6" s="29"/>
    </row>
    <row r="7" spans="1:9" ht="15" customHeight="1" x14ac:dyDescent="0.35">
      <c r="A7" s="23"/>
      <c r="B7" s="26" t="s">
        <v>147</v>
      </c>
      <c r="C7" s="27"/>
      <c r="D7" s="26"/>
      <c r="E7" s="26"/>
      <c r="F7" s="28">
        <f>E7*1.6</f>
        <v>0</v>
      </c>
      <c r="G7" s="28" t="e">
        <f t="shared" si="0"/>
        <v>#DIV/0!</v>
      </c>
      <c r="H7" s="29"/>
    </row>
    <row r="8" spans="1:9" x14ac:dyDescent="0.35">
      <c r="A8" s="23"/>
      <c r="B8" s="26" t="s">
        <v>147</v>
      </c>
      <c r="C8" s="30"/>
      <c r="D8" s="26"/>
      <c r="E8" s="26"/>
      <c r="F8" s="28">
        <f>E8*1.6</f>
        <v>0</v>
      </c>
      <c r="G8" s="28" t="e">
        <f t="shared" si="0"/>
        <v>#DIV/0!</v>
      </c>
      <c r="H8" s="29"/>
    </row>
    <row r="9" spans="1:9" ht="15" customHeight="1" x14ac:dyDescent="0.35">
      <c r="A9" s="23"/>
      <c r="B9" s="26" t="s">
        <v>147</v>
      </c>
      <c r="C9" s="30"/>
      <c r="D9" s="26"/>
      <c r="E9" s="26"/>
      <c r="F9" s="28">
        <f>E9*1.6</f>
        <v>0</v>
      </c>
      <c r="G9" s="28" t="e">
        <f t="shared" si="0"/>
        <v>#DIV/0!</v>
      </c>
      <c r="H9" s="29"/>
    </row>
    <row r="10" spans="1:9" ht="15" customHeight="1" x14ac:dyDescent="0.35">
      <c r="A10" s="23"/>
      <c r="B10" s="26" t="s">
        <v>149</v>
      </c>
      <c r="C10" s="27"/>
      <c r="D10" s="26" t="s">
        <v>203</v>
      </c>
      <c r="E10" s="26">
        <v>467</v>
      </c>
      <c r="F10" s="28">
        <f>E10*1.45</f>
        <v>677.15</v>
      </c>
      <c r="G10" s="28">
        <f t="shared" si="0"/>
        <v>4312.1907996751088</v>
      </c>
      <c r="H10" s="29">
        <v>2920000</v>
      </c>
    </row>
    <row r="11" spans="1:9" ht="15" customHeight="1" x14ac:dyDescent="0.35">
      <c r="A11" s="23"/>
      <c r="B11" s="26" t="s">
        <v>149</v>
      </c>
      <c r="C11" s="27"/>
      <c r="D11" s="26" t="s">
        <v>204</v>
      </c>
      <c r="E11" s="26">
        <v>596</v>
      </c>
      <c r="F11" s="28">
        <f>E11*1.45</f>
        <v>864.19999999999993</v>
      </c>
      <c r="G11" s="28">
        <f t="shared" si="0"/>
        <v>4049.9884286044899</v>
      </c>
      <c r="H11" s="29">
        <v>3500000</v>
      </c>
    </row>
    <row r="12" spans="1:9" ht="15" customHeight="1" x14ac:dyDescent="0.35">
      <c r="A12" s="23"/>
      <c r="B12" s="31" t="s">
        <v>150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35">
      <c r="B13" s="31" t="s">
        <v>151</v>
      </c>
      <c r="C13" s="26"/>
      <c r="D13" s="26"/>
      <c r="E13" s="26"/>
      <c r="F13" s="33"/>
      <c r="G13" s="31"/>
      <c r="H13" s="31"/>
      <c r="I13" s="25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2025-07-22T07:59:24Z</cp:lastPrinted>
  <dcterms:created xsi:type="dcterms:W3CDTF">2019-07-16T09:29:46Z</dcterms:created>
  <dcterms:modified xsi:type="dcterms:W3CDTF">2025-07-22T08:01:13Z</dcterms:modified>
</cp:coreProperties>
</file>