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July 2025\AXIS\New\pranita\15028 - Mahindra Marina64 - Phase 1\"/>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5" i="1" l="1"/>
  <c r="C104" i="1"/>
  <c r="G104" i="1"/>
  <c r="G105" i="1"/>
  <c r="E105" i="1"/>
  <c r="E104" i="1"/>
  <c r="E183" i="1"/>
  <c r="D183" i="1"/>
  <c r="F183" i="1" s="1"/>
  <c r="H183" i="1" s="1"/>
  <c r="E182" i="1"/>
  <c r="D182" i="1"/>
  <c r="E181" i="1"/>
  <c r="D181" i="1"/>
  <c r="A181" i="1"/>
  <c r="A182" i="1" s="1"/>
  <c r="A183" i="1" s="1"/>
  <c r="E180" i="1"/>
  <c r="D180" i="1"/>
  <c r="E178" i="1"/>
  <c r="D178" i="1"/>
  <c r="E177" i="1"/>
  <c r="D177" i="1"/>
  <c r="E176" i="1"/>
  <c r="D176" i="1"/>
  <c r="A176" i="1"/>
  <c r="A177" i="1" s="1"/>
  <c r="A178" i="1" s="1"/>
  <c r="E175" i="1"/>
  <c r="D175" i="1"/>
  <c r="E173" i="1"/>
  <c r="D173" i="1"/>
  <c r="E172" i="1"/>
  <c r="D172" i="1"/>
  <c r="F172" i="1" s="1"/>
  <c r="H172" i="1" s="1"/>
  <c r="E171" i="1"/>
  <c r="D171" i="1"/>
  <c r="A171" i="1"/>
  <c r="A172" i="1" s="1"/>
  <c r="A173" i="1" s="1"/>
  <c r="E170" i="1"/>
  <c r="D170" i="1"/>
  <c r="D159" i="1"/>
  <c r="D153" i="1"/>
  <c r="D147" i="1"/>
  <c r="D141" i="1"/>
  <c r="D135" i="1"/>
  <c r="E138" i="1"/>
  <c r="D138" i="1"/>
  <c r="E137" i="1"/>
  <c r="D137" i="1"/>
  <c r="E136" i="1"/>
  <c r="D136" i="1"/>
  <c r="A136" i="1"/>
  <c r="A137" i="1" s="1"/>
  <c r="A138" i="1" s="1"/>
  <c r="E135" i="1"/>
  <c r="E156" i="1"/>
  <c r="D156" i="1"/>
  <c r="E155" i="1"/>
  <c r="D155" i="1"/>
  <c r="E154" i="1"/>
  <c r="D154" i="1"/>
  <c r="A154" i="1"/>
  <c r="A155" i="1" s="1"/>
  <c r="A156" i="1" s="1"/>
  <c r="E153" i="1"/>
  <c r="D144" i="1"/>
  <c r="D143" i="1"/>
  <c r="D142" i="1"/>
  <c r="D150" i="1"/>
  <c r="D149" i="1"/>
  <c r="D148" i="1"/>
  <c r="E162" i="1"/>
  <c r="D162" i="1"/>
  <c r="E161" i="1"/>
  <c r="D161" i="1"/>
  <c r="E160" i="1"/>
  <c r="D160" i="1"/>
  <c r="A160" i="1"/>
  <c r="A161" i="1" s="1"/>
  <c r="A162" i="1" s="1"/>
  <c r="E159" i="1"/>
  <c r="E150" i="1"/>
  <c r="E149" i="1"/>
  <c r="E148" i="1"/>
  <c r="A148" i="1"/>
  <c r="A149" i="1" s="1"/>
  <c r="A150" i="1" s="1"/>
  <c r="E147" i="1"/>
  <c r="F180" i="1" l="1"/>
  <c r="H180" i="1" s="1"/>
  <c r="F181" i="1"/>
  <c r="H181" i="1" s="1"/>
  <c r="F178" i="1"/>
  <c r="H178" i="1" s="1"/>
  <c r="F182" i="1"/>
  <c r="H182" i="1" s="1"/>
  <c r="F173" i="1"/>
  <c r="H173" i="1" s="1"/>
  <c r="F177" i="1"/>
  <c r="H177" i="1" s="1"/>
  <c r="F175" i="1"/>
  <c r="H175" i="1" s="1"/>
  <c r="F176" i="1"/>
  <c r="H176" i="1" s="1"/>
  <c r="F170" i="1"/>
  <c r="H170" i="1" s="1"/>
  <c r="F138" i="1"/>
  <c r="H138" i="1" s="1"/>
  <c r="F160" i="1"/>
  <c r="H160" i="1" s="1"/>
  <c r="F162" i="1"/>
  <c r="H162" i="1" s="1"/>
  <c r="F150" i="1"/>
  <c r="H150" i="1" s="1"/>
  <c r="F137" i="1"/>
  <c r="H137" i="1" s="1"/>
  <c r="F171" i="1"/>
  <c r="H171" i="1" s="1"/>
  <c r="F156" i="1"/>
  <c r="H156" i="1" s="1"/>
  <c r="F153" i="1"/>
  <c r="H153" i="1" s="1"/>
  <c r="F136" i="1"/>
  <c r="H136" i="1" s="1"/>
  <c r="F135" i="1"/>
  <c r="H135" i="1" s="1"/>
  <c r="F161" i="1"/>
  <c r="H161" i="1" s="1"/>
  <c r="F155" i="1"/>
  <c r="H155" i="1" s="1"/>
  <c r="F154" i="1"/>
  <c r="H154" i="1" s="1"/>
  <c r="F147" i="1"/>
  <c r="H147" i="1" s="1"/>
  <c r="F159" i="1"/>
  <c r="H159" i="1" s="1"/>
  <c r="F148" i="1"/>
  <c r="H148" i="1" s="1"/>
  <c r="F149" i="1"/>
  <c r="H149" i="1" s="1"/>
  <c r="I144" i="1"/>
  <c r="I133" i="1" l="1"/>
  <c r="I128" i="1"/>
  <c r="D130" i="1"/>
  <c r="E130" i="1"/>
  <c r="E141" i="1"/>
  <c r="D165" i="1"/>
  <c r="E165" i="1"/>
  <c r="A166" i="1"/>
  <c r="A167" i="1" s="1"/>
  <c r="A168" i="1" s="1"/>
  <c r="A142" i="1"/>
  <c r="A143" i="1" s="1"/>
  <c r="A144" i="1" s="1"/>
  <c r="A131" i="1"/>
  <c r="A132" i="1" s="1"/>
  <c r="A133" i="1" s="1"/>
  <c r="A126" i="1"/>
  <c r="A121" i="1"/>
  <c r="I60" i="1"/>
  <c r="I61" i="1"/>
  <c r="C16" i="1"/>
  <c r="E168" i="1" l="1"/>
  <c r="D168" i="1"/>
  <c r="E167" i="1"/>
  <c r="D167" i="1"/>
  <c r="E166" i="1"/>
  <c r="D166" i="1"/>
  <c r="E144" i="1"/>
  <c r="F144" i="1" s="1"/>
  <c r="H144" i="1" s="1"/>
  <c r="E143" i="1"/>
  <c r="E142" i="1"/>
  <c r="F142" i="1" s="1"/>
  <c r="H142" i="1" s="1"/>
  <c r="I134" i="1" s="1"/>
  <c r="E133" i="1"/>
  <c r="D133" i="1"/>
  <c r="E132" i="1"/>
  <c r="D132" i="1"/>
  <c r="E131" i="1"/>
  <c r="D131" i="1"/>
  <c r="E126" i="1"/>
  <c r="D126" i="1"/>
  <c r="E125" i="1"/>
  <c r="D125" i="1"/>
  <c r="E121" i="1"/>
  <c r="D121" i="1"/>
  <c r="E120" i="1"/>
  <c r="D120" i="1"/>
  <c r="E116" i="1"/>
  <c r="D116" i="1"/>
  <c r="E115" i="1"/>
  <c r="D115" i="1"/>
  <c r="I109" i="1"/>
  <c r="E43" i="1"/>
  <c r="F167" i="1" l="1"/>
  <c r="H167" i="1" s="1"/>
  <c r="I142" i="1" s="1"/>
  <c r="F121" i="1"/>
  <c r="H121" i="1" s="1"/>
  <c r="F165" i="1"/>
  <c r="H165" i="1" s="1"/>
  <c r="I140" i="1" s="1"/>
  <c r="F168" i="1"/>
  <c r="H168" i="1" s="1"/>
  <c r="I143" i="1" s="1"/>
  <c r="F125" i="1"/>
  <c r="H125" i="1" s="1"/>
  <c r="F141" i="1"/>
  <c r="H141" i="1" s="1"/>
  <c r="F143" i="1"/>
  <c r="H143" i="1" s="1"/>
  <c r="F166" i="1"/>
  <c r="H166" i="1" s="1"/>
  <c r="I141" i="1" s="1"/>
  <c r="F126" i="1"/>
  <c r="H126" i="1" s="1"/>
  <c r="F120" i="1"/>
  <c r="H120" i="1" s="1"/>
  <c r="B38" i="6"/>
  <c r="B39" i="6" s="1"/>
  <c r="B40" i="6" s="1"/>
  <c r="B41" i="6" s="1"/>
  <c r="B42" i="6" s="1"/>
  <c r="B43" i="6" s="1"/>
  <c r="B44" i="6" s="1"/>
  <c r="B45" i="6" s="1"/>
  <c r="B46" i="6" s="1"/>
  <c r="B47" i="6" s="1"/>
  <c r="B48" i="6" s="1"/>
  <c r="B49" i="6" s="1"/>
  <c r="B50" i="6" s="1"/>
  <c r="B51" i="6" s="1"/>
  <c r="B52" i="6" s="1"/>
  <c r="B53" i="6" s="1"/>
  <c r="B54"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11" i="1"/>
  <c r="B186" i="1"/>
  <c r="F133" i="1"/>
  <c r="H133" i="1" s="1"/>
  <c r="I132" i="1" s="1"/>
  <c r="F132" i="1"/>
  <c r="H132" i="1" s="1"/>
  <c r="F131" i="1"/>
  <c r="H131" i="1" s="1"/>
  <c r="I130" i="1" s="1"/>
  <c r="F130" i="1"/>
  <c r="H130" i="1" s="1"/>
  <c r="I129" i="1" s="1"/>
  <c r="F116" i="1"/>
  <c r="A116" i="1"/>
  <c r="F115" i="1"/>
  <c r="F101" i="1"/>
  <c r="C75" i="1"/>
  <c r="D69" i="1"/>
  <c r="D64" i="1"/>
  <c r="K55" i="1"/>
  <c r="G51" i="1"/>
  <c r="C51" i="1"/>
  <c r="E44" i="1"/>
  <c r="E45" i="1" s="1"/>
  <c r="S33" i="1"/>
  <c r="E31" i="1"/>
  <c r="E28" i="1"/>
  <c r="E26" i="1"/>
  <c r="I15" i="1"/>
  <c r="Z13" i="1"/>
  <c r="E8" i="1"/>
  <c r="E3" i="1"/>
  <c r="B197" i="1" s="1"/>
  <c r="H116" i="1" l="1"/>
  <c r="H115" i="1"/>
  <c r="E42" i="7"/>
  <c r="J83" i="1"/>
  <c r="J84" i="1"/>
  <c r="I42" i="7"/>
  <c r="H42" i="7" s="1"/>
  <c r="L42" i="7"/>
  <c r="K42" i="7" s="1"/>
  <c r="D42" i="7"/>
  <c r="L55" i="1"/>
  <c r="J85" i="1"/>
  <c r="J86" i="1"/>
  <c r="I52" i="1"/>
  <c r="H76" i="1"/>
  <c r="E106" i="1" l="1"/>
  <c r="G106" i="1"/>
  <c r="C106" i="1"/>
  <c r="D87" i="1"/>
  <c r="D81" i="1"/>
  <c r="J81" i="1"/>
  <c r="J82" i="1" s="1"/>
  <c r="J87" i="1" s="1"/>
  <c r="J88" i="1" s="1"/>
  <c r="E79" i="1" s="1"/>
  <c r="J80" i="1"/>
  <c r="D79" i="1" s="1"/>
  <c r="D86" i="1"/>
  <c r="D85" i="1"/>
  <c r="J75" i="1"/>
  <c r="J77" i="1" s="1"/>
  <c r="D84" i="1"/>
  <c r="D88" i="1"/>
  <c r="D82" i="1"/>
  <c r="J79" i="1"/>
  <c r="J78" i="1"/>
  <c r="D83" i="1"/>
  <c r="D44" i="7"/>
  <c r="E44" i="7"/>
  <c r="D80" i="1" l="1"/>
  <c r="I76" i="1" s="1"/>
  <c r="I77" i="1" s="1"/>
  <c r="G79" i="1"/>
  <c r="D73" i="1" s="1"/>
  <c r="D74" i="1" s="1"/>
  <c r="J76" i="1"/>
  <c r="F74" i="1" l="1"/>
  <c r="I75" i="1"/>
  <c r="C7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1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<sst xmlns="http://schemas.openxmlformats.org/spreadsheetml/2006/main" count="736" uniqueCount="446">
  <si>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</si>
  <si>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</si>
  <si>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</si>
  <si>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</si>
  <si>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</si>
  <si>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</si>
  <si>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</si>
  <si>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</si>
  <si>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</si>
  <si>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</si>
  <si>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</si>
  <si>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</si>
  <si>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</si>
  <si>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</si>
  <si>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</si>
  <si>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</si>
  <si>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</si>
  <si>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</si>
  <si>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</si>
  <si>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</si>
  <si>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</si>
  <si>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</si>
  <si>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</si>
  <si>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</si>
  <si>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</si>
  <si>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</si>
  <si>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</si>
  <si>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</si>
  <si>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</si>
  <si>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</si>
  <si>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</si>
  <si>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</si>
  <si>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</si>
  <si>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</si>
  <si>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</si>
  <si>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</si>
  <si>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</si>
  <si>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</si>
  <si>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</si>
  <si>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</si>
  <si>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</si>
  <si>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</si>
  <si>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</si>
  <si>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</si>
  <si>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</si>
  <si>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</si>
  <si>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</si>
  <si>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</si>
  <si>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</si>
  <si>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</si>
  <si>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</si>
  <si>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</si>
  <si>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</si>
  <si>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</si>
  <si>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</si>
  <si>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</si>
  <si>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</si>
  <si>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</si>
  <si>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</si>
  <si>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</si>
  <si>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</si>
  <si>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</si>
  <si>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</si>
  <si>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</si>
  <si>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</si>
  <si>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</si>
  <si>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</si>
  <si>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</si>
  <si>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</si>
  <si>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</si>
  <si>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</si>
  <si>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</si>
  <si>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</si>
  <si>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</si>
  <si>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</si>
  <si>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</si>
  <si>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</si>
  <si>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</si>
  <si>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</si>
  <si>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</si>
  <si>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</si>
  <si>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</si>
  <si>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</si>
  <si>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</si>
  <si>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</si>
  <si>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</si>
  <si>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</si>
  <si>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</si>
  <si>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</si>
  <si>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</si>
  <si>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</si>
  <si>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</si>
  <si>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</si>
  <si>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</si>
  <si>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</si>
  <si>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</si>
  <si>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</si>
  <si>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</si>
  <si>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</si>
  <si>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</si>
  <si>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</si>
  <si>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</si>
  <si>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</si>
  <si>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</si>
  <si>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</si>
  <si>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</si>
  <si>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</si>
  <si>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</si>
  <si>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</si>
  <si>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</si>
  <si>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</si>
  <si>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</si>
  <si>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</si>
  <si>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</si>
  <si>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</si>
  <si>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</si>
  <si>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</si>
  <si>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</si>
  <si>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</si>
  <si>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</si>
  <si>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</si>
  <si>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</si>
  <si>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</si>
  <si>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</si>
  <si>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</si>
  <si>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</si>
  <si>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</si>
  <si>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</si>
  <si>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</si>
  <si>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</si>
  <si>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</si>
  <si>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</si>
  <si>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</si>
  <si>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</si>
  <si>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</si>
  <si>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</si>
  <si>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</si>
  <si>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</si>
  <si>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</si>
  <si>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</si>
  <si>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</si>
  <si>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</si>
  <si>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</si>
  <si>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</si>
  <si>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</si>
  <si>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</si>
  <si>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</si>
  <si>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</si>
  <si>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</si>
  <si>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</si>
  <si>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</si>
  <si>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</si>
  <si>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</si>
  <si>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</si>
  <si>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</si>
  <si>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</si>
  <si>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</si>
  <si>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</si>
  <si>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</si>
  <si>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</si>
  <si>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</si>
  <si>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</si>
  <si>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</si>
  <si>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</si>
  <si>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</si>
  <si>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</si>
  <si>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</si>
  <si>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</si>
  <si>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</si>
  <si>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</si>
  <si>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</si>
  <si>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</si>
  <si>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</si>
  <si>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</si>
  <si>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</si>
  <si>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</si>
  <si>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</si>
  <si>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</si>
  <si>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</si>
  <si>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</si>
  <si>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</si>
  <si>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</si>
  <si>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</si>
  <si>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</si>
  <si>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</si>
  <si>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</si>
  <si>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</si>
  <si>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</si>
  <si>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</si>
  <si>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</si>
  <si>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</si>
  <si>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</si>
  <si>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</si>
  <si>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</si>
  <si>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</si>
  <si>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</si>
  <si>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</si>
  <si>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</si>
  <si>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</si>
  <si>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</si>
  <si>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</si>
  <si>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</si>
  <si>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</si>
  <si>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</si>
  <si>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</si>
  <si>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</si>
  <si>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</si>
  <si>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</si>
  <si>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</si>
  <si>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</si>
  <si>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</si>
  <si>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</si>
  <si>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</si>
  <si>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</si>
  <si>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</si>
  <si>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</si>
  <si>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</si>
  <si>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</si>
  <si>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</si>
  <si>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</si>
  <si>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</si>
  <si>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</si>
  <si>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</si>
  <si>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</si>
  <si>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</si>
  <si>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</si>
  <si>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</si>
  <si>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</si>
  <si>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</si>
  <si>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</si>
  <si>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</si>
  <si>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</si>
  <si>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</si>
  <si>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</si>
  <si>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</si>
  <si>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</si>
  <si>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</si>
  <si>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</si>
  <si>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</si>
  <si>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</si>
  <si>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</si>
  <si>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</si>
  <si>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</si>
  <si>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</si>
  <si>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</si>
  <si>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</si>
  <si>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</si>
  <si>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</si>
  <si>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</si>
  <si>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</si>
  <si>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</si>
  <si>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</si>
  <si>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</si>
  <si>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</si>
  <si>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</si>
  <si>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</si>
  <si>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</si>
  <si>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</si>
  <si>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</si>
  <si>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</si>
  <si>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</si>
  <si>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</si>
  <si>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</si>
  <si>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</si>
  <si>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</si>
  <si>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</si>
  <si>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</si>
  <si>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</si>
  <si>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</si>
  <si>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</si>
  <si>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</si>
  <si>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</si>
  <si>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</si>
  <si>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</si>
  <si>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</si>
  <si>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</si>
  <si>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</si>
  <si>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</si>
  <si>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</si>
  <si>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</si>
  <si>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</si>
  <si>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</si>
  <si>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</si>
  <si>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</si>
  <si>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</si>
  <si>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</si>
  <si>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</si>
  <si>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</si>
  <si>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</si>
  <si>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</si>
  <si>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</si>
  <si>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</si>
  <si>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</si>
  <si>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</si>
  <si>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</si>
  <si>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</si>
  <si>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</si>
  <si>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</si>
  <si>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</si>
  <si>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</si>
  <si>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</si>
  <si>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</si>
  <si>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</si>
  <si>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</si>
  <si>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</si>
  <si>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</si>
  <si>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</si>
  <si>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</si>
  <si>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</si>
  <si>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</si>
  <si>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</si>
  <si>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</si>
  <si>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</si>
  <si>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</si>
  <si>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</si>
  <si>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</si>
  <si>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</si>
  <si>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</si>
  <si>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</si>
  <si>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</si>
  <si>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</si>
  <si>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</si>
  <si>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</si>
  <si>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</si>
  <si>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</si>
  <si>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</si>
  <si>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</si>
  <si>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</si>
  <si>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</si>
  <si>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</si>
  <si>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</si>
  <si>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</si>
  <si>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</si>
  <si>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</si>
  <si>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</si>
  <si>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</si>
  <si>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</si>
  <si>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</si>
  <si>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</si>
  <si>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</si>
  <si>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</si>
  <si>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</si>
  <si>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</si>
  <si>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</si>
  <si>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</si>
  <si>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</si>
  <si>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</si>
  <si>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</si>
  <si>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</si>
  <si>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</si>
  <si>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</si>
  <si>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</si>
  <si>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</si>
  <si>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</si>
  <si>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</si>
  <si>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</si>
  <si>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</si>
  <si>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</si>
  <si>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</si>
  <si>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</si>
  <si>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</si>
  <si>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</si>
  <si>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</si>
  <si>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</si>
  <si>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</si>
  <si>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</si>
  <si>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</si>
  <si>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</si>
  <si>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Masjid is located in 150 to 200m from project</t>
  </si>
  <si>
    <t>JFL</t>
  </si>
  <si>
    <t>JFL Koparkhairane</t>
  </si>
  <si>
    <t>M/s. Mahindra Lifespace Developers limited</t>
  </si>
  <si>
    <t>Mahindra Marina64 - Phase 1</t>
  </si>
  <si>
    <t>PR1181012500087</t>
  </si>
  <si>
    <t>Malad South</t>
  </si>
  <si>
    <t>https://maps.app.goo.gl/pzLjXBZoZZnPM39UA</t>
  </si>
  <si>
    <t>Rishab Jay Amrat Society</t>
  </si>
  <si>
    <t>Navy Nagar Road</t>
  </si>
  <si>
    <t>Malad West</t>
  </si>
  <si>
    <t>19.1862038,72.8391221</t>
  </si>
  <si>
    <t>9.14 M Wide Internal Road</t>
  </si>
  <si>
    <t>Open Plot</t>
  </si>
  <si>
    <t>Rishab Jay Amrat</t>
  </si>
  <si>
    <t xml:space="preserve">P-19621/2023/(2/11)/P/N Ward/Malad SouthCFO/1/New
</t>
  </si>
  <si>
    <t>B + G + 1st to 22nd Floor (Total Height = 69.95 Mtrs)</t>
  </si>
  <si>
    <t xml:space="preserve">Commencement-CC No
Valid Up to: </t>
  </si>
  <si>
    <t>JUHU/WEST/B/061623/763692</t>
  </si>
  <si>
    <t xml:space="preserve">Airport Noc No
Valid Up for: 
</t>
  </si>
  <si>
    <t>https://mahindramarinaa64-malad.com/?pp_pg=google&amp;pp_mobile=1&amp;pp_chatbox=1&amp;utm_source=website&amp;utm_medium=ppmcc&amp;utm_campaign=google-search&amp;Keyword=mahindra%20marina%2064&amp;Device=c&amp;ads_id=TBD&amp;ads_group_id=187424376144&amp;ads_extension_id=&amp;ads_set_name=Mahindra-New-Launch-Malad-Mumbai-s-l-262-p&amp;campaign_id=22643494790&amp;campaign_name=Mahindra-New-Launch-Malad-Mumbai-s-l&amp;keyword_type=p&amp;physical_location=9062210&amp;ad_strategy=s-l&amp;gad_source=1&amp;gad_campaignid=22643494790&amp;gbraid=0AAAAACQve7WngD9y9ob5X6dFREKbMh1-I&amp;gclid=Cj0KCQjwpf7CBhCfARIsANIETVpkiagJEbpmD3THVG2fhCTYSoyrycQfjWHyKATZbyQ4edgf3TpZE4UaArjuEALw_wcB</t>
  </si>
  <si>
    <t>As per RERA - 31/12/2029</t>
  </si>
  <si>
    <t xml:space="preserve">Kids Play Area, Temple, Sports Court, Swimming Pool, Multipurpose Hall etc. </t>
  </si>
  <si>
    <r>
      <t xml:space="preserve">Proposed Amenities :                                                                                                                                                                                                                         </t>
    </r>
    <r>
      <rPr>
        <b/>
        <sz val="12"/>
        <rFont val="Times New Roman"/>
        <family val="1"/>
      </rPr>
      <t xml:space="preserve">                                               </t>
    </r>
  </si>
  <si>
    <t>Ground Floor For Parking, Entrance Lobby, DG Room, Substation Room, Meter Room, Society Office &amp; DG Room</t>
  </si>
  <si>
    <t>2BHK</t>
  </si>
  <si>
    <t>1st to 3rd Floor For Residential &amp; Podium Parking</t>
  </si>
  <si>
    <t>4th Floor For Residential &amp; Podium Parking</t>
  </si>
  <si>
    <t>6th Floor For Residential</t>
  </si>
  <si>
    <t xml:space="preserve"> - </t>
  </si>
  <si>
    <t>Podium Parking</t>
  </si>
  <si>
    <t>Deck Area</t>
  </si>
  <si>
    <t xml:space="preserve">Details of Residential in Building   </t>
  </si>
  <si>
    <t>3BHK</t>
  </si>
  <si>
    <t>We considered Gross carpet area = Net carpet + Deck Area.</t>
  </si>
  <si>
    <r>
      <t xml:space="preserve">Flat No.
</t>
    </r>
    <r>
      <rPr>
        <b/>
        <sz val="11"/>
        <rFont val="Times New Roman"/>
        <family val="1"/>
      </rPr>
      <t>(Approved Plan)</t>
    </r>
  </si>
  <si>
    <t>OK</t>
  </si>
  <si>
    <t>1.30 KM from Malad Railway Station</t>
  </si>
  <si>
    <t xml:space="preserve">Roshan Kudalkar
</t>
  </si>
  <si>
    <t>NSC Colony</t>
  </si>
  <si>
    <t>CTS No.2/7B</t>
  </si>
  <si>
    <t>CTS No.227</t>
  </si>
  <si>
    <t>Site Elevation (AMSL) = 4.92 M
Permissible Top Elevation (AMSL) = 193.94 M</t>
  </si>
  <si>
    <t>Basement Floor For Pump Room, Flushing Tank, Rain Water Tank, Fire Tank, Domestic Tank</t>
  </si>
  <si>
    <t>Sale / Rehab</t>
  </si>
  <si>
    <t>Rehab</t>
  </si>
  <si>
    <t>Sale</t>
  </si>
  <si>
    <t>5th Floor For Residential &amp; Part Fitness Center &amp; RG Area</t>
  </si>
  <si>
    <t>Fitness Center &amp; RG Area</t>
  </si>
  <si>
    <t xml:space="preserve">We have given Valuation for Sale Flat only.
</t>
  </si>
  <si>
    <t>Sale Flat</t>
  </si>
  <si>
    <t>Rehab Flat</t>
  </si>
  <si>
    <t>wait for INSPECTION SHEET</t>
  </si>
  <si>
    <t>Work not yet Started.</t>
  </si>
  <si>
    <t>Jio Finance Koperkhairane</t>
  </si>
  <si>
    <t>The Nau Sanrakshan Co-Operative Housing Society Limited</t>
  </si>
  <si>
    <t>2/11, Redevelopment of " The Nau Sanrakshan Co-Operative Housing Society Limited "</t>
  </si>
  <si>
    <t>Approved Plans, CC, RERA Certificate, Fire Noc, Airport Noc</t>
  </si>
  <si>
    <t>Pranita Mhatre</t>
  </si>
  <si>
    <t>P-19621/2023/(2/11)/P/N Ward/Malad South/337/1/Amend</t>
  </si>
  <si>
    <t>We have referred latest approved CC from MCGM Portal.</t>
  </si>
  <si>
    <t>P-19621/2023/(2/11)/P/N Ward/Malad
South/CC/1/Amend</t>
  </si>
  <si>
    <t>The first C.C. is re-endorsed for the work up to top of plinth level only for the portion marked on attached plan (i.e.hatched portion marked ‘A’ to ‘X-1’), as per Approved Amended plans dt.25.06.2025.</t>
  </si>
  <si>
    <t>Tower G</t>
  </si>
  <si>
    <t>11th Floor For Part Refuge Area @ Mid Landing</t>
  </si>
  <si>
    <t>13th Floor For Part Refuge Area @ Mid Landing</t>
  </si>
  <si>
    <t>17th Floor For Part Refuge Area @ Mid Landing</t>
  </si>
  <si>
    <t>9th, Floor For Part Refuge Area @ Mid Landing</t>
  </si>
  <si>
    <t>7th &amp; 15th Floor For Part Refuge Area @ Mid Landing</t>
  </si>
  <si>
    <t xml:space="preserve">8th &amp; 10th Floor </t>
  </si>
  <si>
    <t xml:space="preserve">14th Floor </t>
  </si>
  <si>
    <t xml:space="preserve">12th &amp; 16th Floor </t>
  </si>
  <si>
    <t xml:space="preserve">18th Floor </t>
  </si>
  <si>
    <t>-</t>
  </si>
  <si>
    <t>Refuge Area @ Mid Landing</t>
  </si>
  <si>
    <t>Tower G = B + G + 1st to 18th Floor</t>
  </si>
  <si>
    <t>Tower G = B + G + 1st to 22nd Floor</t>
  </si>
  <si>
    <t>Sale Flat - 30, Rehab Flat - 32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</si>
</sst>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5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9" fontId="12" fillId="0" borderId="16"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0" fontId="14" fillId="0" borderId="0" xfId="0" applyFont="1" applyAlignment="1">
      <alignment horizontal="center" vertical="center"/>
    </xf>
    <xf numFmtId="0" fontId="11" fillId="0" borderId="1" xfId="1" applyFont="1" applyBorder="1" applyAlignment="1" applyProtection="1">
      <alignment vertical="top" wrapText="1"/>
      <protection locked="0"/>
    </xf>
    <xf numFmtId="0" fontId="12" fillId="0" borderId="0" xfId="1" applyFont="1"/>
    <xf numFmtId="1" fontId="9" fillId="0" borderId="0" xfId="1" applyNumberFormat="1" applyFont="1" applyAlignment="1">
      <alignment horizontal="center" vertical="center"/>
    </xf>
    <xf numFmtId="9" fontId="11" fillId="0" borderId="1" xfId="8" applyFont="1" applyFill="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11" fillId="0" borderId="7" xfId="1" applyFont="1" applyBorder="1" applyAlignment="1" applyProtection="1">
      <alignment horizontal="center" vertical="top"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2" fillId="0" borderId="16" xfId="1" applyFont="1" applyBorder="1" applyAlignment="1" applyProtection="1">
      <alignment horizontal="left" vertical="top"/>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12" fillId="0" borderId="16"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center"/>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left" vertical="top" wrapText="1"/>
      <protection locked="0"/>
    </xf>
    <xf numFmtId="1" fontId="7" fillId="0" borderId="1" xfId="1"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6"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6"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2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64" fontId="11" fillId="0" borderId="1" xfId="1" applyNumberFormat="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2" fontId="11"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24"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1" fillId="0" borderId="8" xfId="1" applyFont="1" applyBorder="1" applyAlignment="1" applyProtection="1">
      <alignment vertical="top" wrapText="1"/>
      <protection locked="0"/>
    </xf>
    <xf numFmtId="0" fontId="11" fillId="0" borderId="21" xfId="1" applyFont="1" applyBorder="1" applyAlignment="1" applyProtection="1">
      <alignment vertical="top" wrapText="1"/>
      <protection locked="0"/>
    </xf>
    <xf numFmtId="0" fontId="11" fillId="0" borderId="9" xfId="1" applyFont="1" applyBorder="1" applyAlignment="1" applyProtection="1">
      <alignment vertical="top" wrapText="1"/>
      <protection locked="0"/>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12"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851038</xdr:colOff>
      <xdr:row>12</xdr:row>
      <xdr:rowOff>337516</xdr:rowOff>
    </xdr:from>
    <xdr:to>
      <xdr:col>13</xdr:col>
      <xdr:colOff>823988</xdr:colOff>
      <xdr:row>32</xdr:row>
      <xdr:rowOff>110751</xdr:rowOff>
    </xdr:to>
    <xdr:pic>
      <xdr:nvPicPr>
        <xdr:cNvPr id="2" name="Picture 1"/>
        <xdr:cNvPicPr>
          <a:picLocks noChangeAspect="1"/>
        </xdr:cNvPicPr>
      </xdr:nvPicPr>
      <xdr:blipFill>
        <a:blip xmlns:r="http://schemas.openxmlformats.org/officeDocument/2006/relationships" r:embed="rId1"/>
        <a:stretch>
          <a:fillRect/>
        </a:stretch>
      </xdr:blipFill>
      <xdr:spPr>
        <a:xfrm>
          <a:off x="7166113" y="3118816"/>
          <a:ext cx="4363975" cy="5202485"/>
        </a:xfrm>
        <a:prstGeom prst="rect">
          <a:avLst/>
        </a:prstGeom>
      </xdr:spPr>
    </xdr:pic>
    <xdr:clientData/>
  </xdr:twoCellAnchor>
  <xdr:twoCellAnchor editAs="oneCell">
    <xdr:from>
      <xdr:col>8</xdr:col>
      <xdr:colOff>857250</xdr:colOff>
      <xdr:row>11</xdr:row>
      <xdr:rowOff>142875</xdr:rowOff>
    </xdr:from>
    <xdr:to>
      <xdr:col>15</xdr:col>
      <xdr:colOff>227924</xdr:colOff>
      <xdr:row>14</xdr:row>
      <xdr:rowOff>199887</xdr:rowOff>
    </xdr:to>
    <xdr:pic>
      <xdr:nvPicPr>
        <xdr:cNvPr id="3" name="Picture 2"/>
        <xdr:cNvPicPr>
          <a:picLocks noChangeAspect="1"/>
        </xdr:cNvPicPr>
      </xdr:nvPicPr>
      <xdr:blipFill>
        <a:blip xmlns:r="http://schemas.openxmlformats.org/officeDocument/2006/relationships" r:embed="rId2"/>
        <a:stretch>
          <a:fillRect/>
        </a:stretch>
      </xdr:blipFill>
      <xdr:spPr>
        <a:xfrm>
          <a:off x="7172325" y="2724150"/>
          <a:ext cx="5409524" cy="1104762"/>
        </a:xfrm>
        <a:prstGeom prst="rect">
          <a:avLst/>
        </a:prstGeom>
      </xdr:spPr>
    </xdr:pic>
    <xdr:clientData/>
  </xdr:twoCellAnchor>
  <xdr:twoCellAnchor editAs="oneCell">
    <xdr:from>
      <xdr:col>9</xdr:col>
      <xdr:colOff>400050</xdr:colOff>
      <xdr:row>45</xdr:row>
      <xdr:rowOff>85725</xdr:rowOff>
    </xdr:from>
    <xdr:to>
      <xdr:col>13</xdr:col>
      <xdr:colOff>828218</xdr:colOff>
      <xdr:row>63</xdr:row>
      <xdr:rowOff>10250</xdr:rowOff>
    </xdr:to>
    <xdr:pic>
      <xdr:nvPicPr>
        <xdr:cNvPr id="4" name="Picture 3"/>
        <xdr:cNvPicPr>
          <a:picLocks noChangeAspect="1"/>
        </xdr:cNvPicPr>
      </xdr:nvPicPr>
      <xdr:blipFill>
        <a:blip xmlns:r="http://schemas.openxmlformats.org/officeDocument/2006/relationships" r:embed="rId3"/>
        <a:stretch>
          <a:fillRect/>
        </a:stretch>
      </xdr:blipFill>
      <xdr:spPr>
        <a:xfrm>
          <a:off x="7877175" y="10296525"/>
          <a:ext cx="3657143" cy="5085714"/>
        </a:xfrm>
        <a:prstGeom prst="rect">
          <a:avLst/>
        </a:prstGeom>
      </xdr:spPr>
    </xdr:pic>
    <xdr:clientData/>
  </xdr:twoCellAnchor>
  <xdr:twoCellAnchor editAs="oneCell">
    <xdr:from>
      <xdr:col>10</xdr:col>
      <xdr:colOff>257175</xdr:colOff>
      <xdr:row>43</xdr:row>
      <xdr:rowOff>180975</xdr:rowOff>
    </xdr:from>
    <xdr:to>
      <xdr:col>14</xdr:col>
      <xdr:colOff>761524</xdr:colOff>
      <xdr:row>63</xdr:row>
      <xdr:rowOff>48307</xdr:rowOff>
    </xdr:to>
    <xdr:pic>
      <xdr:nvPicPr>
        <xdr:cNvPr id="5" name="Picture 4"/>
        <xdr:cNvPicPr>
          <a:picLocks noChangeAspect="1"/>
        </xdr:cNvPicPr>
      </xdr:nvPicPr>
      <xdr:blipFill>
        <a:blip xmlns:r="http://schemas.openxmlformats.org/officeDocument/2006/relationships" r:embed="rId4"/>
        <a:stretch>
          <a:fillRect/>
        </a:stretch>
      </xdr:blipFill>
      <xdr:spPr>
        <a:xfrm>
          <a:off x="8496300" y="9991725"/>
          <a:ext cx="3809524" cy="5428571"/>
        </a:xfrm>
        <a:prstGeom prst="rect">
          <a:avLst/>
        </a:prstGeom>
      </xdr:spPr>
    </xdr:pic>
    <xdr:clientData/>
  </xdr:twoCellAnchor>
  <xdr:twoCellAnchor editAs="oneCell">
    <xdr:from>
      <xdr:col>10</xdr:col>
      <xdr:colOff>438150</xdr:colOff>
      <xdr:row>43</xdr:row>
      <xdr:rowOff>180975</xdr:rowOff>
    </xdr:from>
    <xdr:to>
      <xdr:col>15</xdr:col>
      <xdr:colOff>75731</xdr:colOff>
      <xdr:row>62</xdr:row>
      <xdr:rowOff>95951</xdr:rowOff>
    </xdr:to>
    <xdr:pic>
      <xdr:nvPicPr>
        <xdr:cNvPr id="6" name="Picture 5"/>
        <xdr:cNvPicPr>
          <a:picLocks noChangeAspect="1"/>
        </xdr:cNvPicPr>
      </xdr:nvPicPr>
      <xdr:blipFill>
        <a:blip xmlns:r="http://schemas.openxmlformats.org/officeDocument/2006/relationships" r:embed="rId5"/>
        <a:stretch>
          <a:fillRect/>
        </a:stretch>
      </xdr:blipFill>
      <xdr:spPr>
        <a:xfrm>
          <a:off x="8677275" y="9991725"/>
          <a:ext cx="3752381" cy="5276190"/>
        </a:xfrm>
        <a:prstGeom prst="rect">
          <a:avLst/>
        </a:prstGeom>
      </xdr:spPr>
    </xdr:pic>
    <xdr:clientData/>
  </xdr:twoCellAnchor>
  <xdr:twoCellAnchor>
    <xdr:from>
      <xdr:col>1</xdr:col>
      <xdr:colOff>152400</xdr:colOff>
      <xdr:row>299</xdr:row>
      <xdr:rowOff>133350</xdr:rowOff>
    </xdr:from>
    <xdr:to>
      <xdr:col>7</xdr:col>
      <xdr:colOff>18077</xdr:colOff>
      <xdr:row>340</xdr:row>
      <xdr:rowOff>24026</xdr:rowOff>
    </xdr:to>
    <xdr:grpSp>
      <xdr:nvGrpSpPr>
        <xdr:cNvPr id="8" name="Group 7"/>
        <xdr:cNvGrpSpPr/>
      </xdr:nvGrpSpPr>
      <xdr:grpSpPr>
        <a:xfrm>
          <a:off x="914400" y="61855350"/>
          <a:ext cx="4685327" cy="8091701"/>
          <a:chOff x="1083673" y="324269"/>
          <a:chExt cx="4685327" cy="8091701"/>
        </a:xfrm>
      </xdr:grpSpPr>
      <xdr:pic>
        <xdr:nvPicPr>
          <xdr:cNvPr id="9" name="Picture 8"/>
          <xdr:cNvPicPr>
            <a:picLocks noChangeAspect="1"/>
          </xdr:cNvPicPr>
        </xdr:nvPicPr>
        <xdr:blipFill rotWithShape="1">
          <a:blip xmlns:r="http://schemas.openxmlformats.org/officeDocument/2006/relationships" r:embed="rId6"/>
          <a:srcRect l="26889" t="23157" r="28045" b="13862"/>
          <a:stretch/>
        </xdr:blipFill>
        <xdr:spPr>
          <a:xfrm>
            <a:off x="1083673" y="324269"/>
            <a:ext cx="4675414" cy="3960000"/>
          </a:xfrm>
          <a:prstGeom prst="rect">
            <a:avLst/>
          </a:prstGeom>
          <a:ln>
            <a:solidFill>
              <a:schemeClr val="tx1"/>
            </a:solidFill>
          </a:ln>
        </xdr:spPr>
      </xdr:pic>
      <xdr:grpSp>
        <xdr:nvGrpSpPr>
          <xdr:cNvPr id="10" name="Group 9"/>
          <xdr:cNvGrpSpPr/>
        </xdr:nvGrpSpPr>
        <xdr:grpSpPr>
          <a:xfrm>
            <a:off x="1089000" y="4455970"/>
            <a:ext cx="4680000" cy="3960000"/>
            <a:chOff x="896815" y="4614232"/>
            <a:chExt cx="4680000" cy="3960000"/>
          </a:xfrm>
        </xdr:grpSpPr>
        <xdr:pic>
          <xdr:nvPicPr>
            <xdr:cNvPr id="11" name="Picture 10"/>
            <xdr:cNvPicPr>
              <a:picLocks noChangeAspect="1"/>
            </xdr:cNvPicPr>
          </xdr:nvPicPr>
          <xdr:blipFill rotWithShape="1">
            <a:blip xmlns:r="http://schemas.openxmlformats.org/officeDocument/2006/relationships" r:embed="rId7"/>
            <a:srcRect l="30673" t="19711" r="26484" b="12741"/>
            <a:stretch/>
          </xdr:blipFill>
          <xdr:spPr>
            <a:xfrm>
              <a:off x="896815" y="4614232"/>
              <a:ext cx="4680000" cy="3960000"/>
            </a:xfrm>
            <a:prstGeom prst="rect">
              <a:avLst/>
            </a:prstGeom>
            <a:ln>
              <a:solidFill>
                <a:schemeClr val="tx1"/>
              </a:solidFill>
            </a:ln>
          </xdr:spPr>
        </xdr:pic>
        <xdr:sp macro="" textlink="">
          <xdr:nvSpPr>
            <xdr:cNvPr id="12" name="Rectangle 11"/>
            <xdr:cNvSpPr/>
          </xdr:nvSpPr>
          <xdr:spPr>
            <a:xfrm>
              <a:off x="2819400" y="6004560"/>
              <a:ext cx="1203960" cy="187451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TextBox 18"/>
            <xdr:cNvSpPr txBox="1"/>
          </xdr:nvSpPr>
          <xdr:spPr>
            <a:xfrm>
              <a:off x="2034540" y="5547360"/>
              <a:ext cx="3171773" cy="3577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latin typeface="Times New Roman" panose="02020603050405020304" pitchFamily="18" charset="0"/>
                  <a:cs typeface="Times New Roman" panose="02020603050405020304" pitchFamily="18" charset="0"/>
                </a:rPr>
                <a:t>Mahindra Marina64 - Phase 1</a:t>
              </a:r>
            </a:p>
          </xdr:txBody>
        </xdr:sp>
      </xdr:grpSp>
    </xdr:grpSp>
    <xdr:clientData/>
  </xdr:twoCellAnchor>
  <xdr:twoCellAnchor>
    <xdr:from>
      <xdr:col>1</xdr:col>
      <xdr:colOff>108697</xdr:colOff>
      <xdr:row>256</xdr:row>
      <xdr:rowOff>1</xdr:rowOff>
    </xdr:from>
    <xdr:to>
      <xdr:col>6</xdr:col>
      <xdr:colOff>448215</xdr:colOff>
      <xdr:row>296</xdr:row>
      <xdr:rowOff>106548</xdr:rowOff>
    </xdr:to>
    <xdr:grpSp>
      <xdr:nvGrpSpPr>
        <xdr:cNvPr id="14" name="Group 13"/>
        <xdr:cNvGrpSpPr/>
      </xdr:nvGrpSpPr>
      <xdr:grpSpPr>
        <a:xfrm>
          <a:off x="870697" y="53120926"/>
          <a:ext cx="4425743" cy="8107547"/>
          <a:chOff x="1043401" y="285205"/>
          <a:chExt cx="4201953" cy="8339038"/>
        </a:xfrm>
      </xdr:grpSpPr>
      <xdr:pic>
        <xdr:nvPicPr>
          <xdr:cNvPr id="15" name="Picture 14"/>
          <xdr:cNvPicPr>
            <a:picLocks noChangeAspect="1"/>
          </xdr:cNvPicPr>
        </xdr:nvPicPr>
        <xdr:blipFill>
          <a:blip xmlns:r="http://schemas.openxmlformats.org/officeDocument/2006/relationships" r:embed="rId8"/>
          <a:stretch>
            <a:fillRect/>
          </a:stretch>
        </xdr:blipFill>
        <xdr:spPr>
          <a:xfrm>
            <a:off x="1043401" y="285205"/>
            <a:ext cx="4201953" cy="5194222"/>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9"/>
          <a:stretch>
            <a:fillRect/>
          </a:stretch>
        </xdr:blipFill>
        <xdr:spPr>
          <a:xfrm>
            <a:off x="2138485" y="5605185"/>
            <a:ext cx="1895088" cy="3019058"/>
          </a:xfrm>
          <a:prstGeom prst="rect">
            <a:avLst/>
          </a:prstGeom>
          <a:ln>
            <a:solidFill>
              <a:schemeClr val="tx1"/>
            </a:solidFill>
          </a:ln>
        </xdr:spPr>
      </xdr:pic>
    </xdr:grpSp>
    <xdr:clientData/>
  </xdr:twoCellAnchor>
  <xdr:twoCellAnchor editAs="oneCell">
    <xdr:from>
      <xdr:col>11</xdr:col>
      <xdr:colOff>67235</xdr:colOff>
      <xdr:row>138</xdr:row>
      <xdr:rowOff>22412</xdr:rowOff>
    </xdr:from>
    <xdr:to>
      <xdr:col>17</xdr:col>
      <xdr:colOff>574475</xdr:colOff>
      <xdr:row>160</xdr:row>
      <xdr:rowOff>43205</xdr:rowOff>
    </xdr:to>
    <xdr:pic>
      <xdr:nvPicPr>
        <xdr:cNvPr id="18" name="Picture 17"/>
        <xdr:cNvPicPr>
          <a:picLocks noChangeAspect="1"/>
        </xdr:cNvPicPr>
      </xdr:nvPicPr>
      <xdr:blipFill>
        <a:blip xmlns:r="http://schemas.openxmlformats.org/officeDocument/2006/relationships" r:embed="rId10"/>
        <a:stretch>
          <a:fillRect/>
        </a:stretch>
      </xdr:blipFill>
      <xdr:spPr>
        <a:xfrm>
          <a:off x="9054353" y="29650765"/>
          <a:ext cx="5258534" cy="4458322"/>
        </a:xfrm>
        <a:prstGeom prst="rect">
          <a:avLst/>
        </a:prstGeom>
      </xdr:spPr>
    </xdr:pic>
    <xdr:clientData/>
  </xdr:twoCellAnchor>
  <xdr:twoCellAnchor editAs="oneCell">
    <xdr:from>
      <xdr:col>14</xdr:col>
      <xdr:colOff>341780</xdr:colOff>
      <xdr:row>131</xdr:row>
      <xdr:rowOff>117663</xdr:rowOff>
    </xdr:from>
    <xdr:to>
      <xdr:col>22</xdr:col>
      <xdr:colOff>477994</xdr:colOff>
      <xdr:row>143</xdr:row>
      <xdr:rowOff>116879</xdr:rowOff>
    </xdr:to>
    <xdr:pic>
      <xdr:nvPicPr>
        <xdr:cNvPr id="19" name="Picture 18"/>
        <xdr:cNvPicPr>
          <a:picLocks noChangeAspect="1"/>
        </xdr:cNvPicPr>
      </xdr:nvPicPr>
      <xdr:blipFill>
        <a:blip xmlns:r="http://schemas.openxmlformats.org/officeDocument/2006/relationships" r:embed="rId11"/>
        <a:stretch>
          <a:fillRect/>
        </a:stretch>
      </xdr:blipFill>
      <xdr:spPr>
        <a:xfrm>
          <a:off x="11880637" y="29223342"/>
          <a:ext cx="5619893" cy="2448501"/>
        </a:xfrm>
        <a:prstGeom prst="rect">
          <a:avLst/>
        </a:prstGeom>
      </xdr:spPr>
    </xdr:pic>
    <xdr:clientData/>
  </xdr:twoCellAnchor>
  <xdr:twoCellAnchor editAs="oneCell">
    <xdr:from>
      <xdr:col>10</xdr:col>
      <xdr:colOff>498662</xdr:colOff>
      <xdr:row>59</xdr:row>
      <xdr:rowOff>136151</xdr:rowOff>
    </xdr:from>
    <xdr:to>
      <xdr:col>15</xdr:col>
      <xdr:colOff>430871</xdr:colOff>
      <xdr:row>79</xdr:row>
      <xdr:rowOff>168228</xdr:rowOff>
    </xdr:to>
    <xdr:pic>
      <xdr:nvPicPr>
        <xdr:cNvPr id="20" name="Picture 19"/>
        <xdr:cNvPicPr>
          <a:picLocks noChangeAspect="1"/>
        </xdr:cNvPicPr>
      </xdr:nvPicPr>
      <xdr:blipFill>
        <a:blip xmlns:r="http://schemas.openxmlformats.org/officeDocument/2006/relationships" r:embed="rId12"/>
        <a:stretch>
          <a:fillRect/>
        </a:stretch>
      </xdr:blipFill>
      <xdr:spPr>
        <a:xfrm>
          <a:off x="8737787" y="14861801"/>
          <a:ext cx="4047009" cy="5004127"/>
        </a:xfrm>
        <a:prstGeom prst="rect">
          <a:avLst/>
        </a:prstGeom>
      </xdr:spPr>
    </xdr:pic>
    <xdr:clientData/>
  </xdr:twoCellAnchor>
  <xdr:twoCellAnchor editAs="oneCell">
    <xdr:from>
      <xdr:col>9</xdr:col>
      <xdr:colOff>449035</xdr:colOff>
      <xdr:row>115</xdr:row>
      <xdr:rowOff>90450</xdr:rowOff>
    </xdr:from>
    <xdr:to>
      <xdr:col>20</xdr:col>
      <xdr:colOff>507915</xdr:colOff>
      <xdr:row>134</xdr:row>
      <xdr:rowOff>161430</xdr:rowOff>
    </xdr:to>
    <xdr:pic>
      <xdr:nvPicPr>
        <xdr:cNvPr id="21" name="Picture 20"/>
        <xdr:cNvPicPr>
          <a:picLocks noChangeAspect="1"/>
        </xdr:cNvPicPr>
      </xdr:nvPicPr>
      <xdr:blipFill>
        <a:blip xmlns:r="http://schemas.openxmlformats.org/officeDocument/2006/relationships" r:embed="rId13"/>
        <a:stretch>
          <a:fillRect/>
        </a:stretch>
      </xdr:blipFill>
      <xdr:spPr>
        <a:xfrm>
          <a:off x="7923359" y="25718303"/>
          <a:ext cx="8373644" cy="3903392"/>
        </a:xfrm>
        <a:prstGeom prst="rect">
          <a:avLst/>
        </a:prstGeom>
      </xdr:spPr>
    </xdr:pic>
    <xdr:clientData/>
  </xdr:twoCellAnchor>
  <xdr:twoCellAnchor editAs="oneCell">
    <xdr:from>
      <xdr:col>10</xdr:col>
      <xdr:colOff>444233</xdr:colOff>
      <xdr:row>139</xdr:row>
      <xdr:rowOff>119421</xdr:rowOff>
    </xdr:from>
    <xdr:to>
      <xdr:col>18</xdr:col>
      <xdr:colOff>33372</xdr:colOff>
      <xdr:row>152</xdr:row>
      <xdr:rowOff>190162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8676554" y="30857957"/>
          <a:ext cx="5712354" cy="2724134"/>
        </a:xfrm>
        <a:prstGeom prst="rect">
          <a:avLst/>
        </a:prstGeom>
      </xdr:spPr>
    </xdr:pic>
    <xdr:clientData/>
  </xdr:twoCellAnchor>
  <xdr:twoCellAnchor editAs="oneCell">
    <xdr:from>
      <xdr:col>8</xdr:col>
      <xdr:colOff>590550</xdr:colOff>
      <xdr:row>7</xdr:row>
      <xdr:rowOff>0</xdr:rowOff>
    </xdr:from>
    <xdr:to>
      <xdr:col>15</xdr:col>
      <xdr:colOff>257971</xdr:colOff>
      <xdr:row>13</xdr:row>
      <xdr:rowOff>343142</xdr:rowOff>
    </xdr:to>
    <xdr:pic>
      <xdr:nvPicPr>
        <xdr:cNvPr id="17" name="Picture 16"/>
        <xdr:cNvPicPr>
          <a:picLocks noChangeAspect="1"/>
        </xdr:cNvPicPr>
      </xdr:nvPicPr>
      <xdr:blipFill>
        <a:blip xmlns:r="http://schemas.openxmlformats.org/officeDocument/2006/relationships" r:embed="rId15"/>
        <a:stretch>
          <a:fillRect/>
        </a:stretch>
      </xdr:blipFill>
      <xdr:spPr>
        <a:xfrm>
          <a:off x="6905625" y="1790700"/>
          <a:ext cx="5706271" cy="1733792"/>
        </a:xfrm>
        <a:prstGeom prst="rect">
          <a:avLst/>
        </a:prstGeom>
      </xdr:spPr>
    </xdr:pic>
    <xdr:clientData/>
  </xdr:twoCellAnchor>
  <xdr:twoCellAnchor editAs="oneCell">
    <xdr:from>
      <xdr:col>12</xdr:col>
      <xdr:colOff>257736</xdr:colOff>
      <xdr:row>89</xdr:row>
      <xdr:rowOff>100853</xdr:rowOff>
    </xdr:from>
    <xdr:to>
      <xdr:col>16</xdr:col>
      <xdr:colOff>412289</xdr:colOff>
      <xdr:row>110</xdr:row>
      <xdr:rowOff>182500</xdr:rowOff>
    </xdr:to>
    <xdr:pic>
      <xdr:nvPicPr>
        <xdr:cNvPr id="29" name="Picture 28"/>
        <xdr:cNvPicPr>
          <a:picLocks noChangeAspect="1"/>
        </xdr:cNvPicPr>
      </xdr:nvPicPr>
      <xdr:blipFill>
        <a:blip xmlns:r="http://schemas.openxmlformats.org/officeDocument/2006/relationships" r:embed="rId16"/>
        <a:stretch>
          <a:fillRect/>
        </a:stretch>
      </xdr:blipFill>
      <xdr:spPr>
        <a:xfrm>
          <a:off x="10163736" y="21896294"/>
          <a:ext cx="3381847" cy="2905530"/>
        </a:xfrm>
        <a:prstGeom prst="rect">
          <a:avLst/>
        </a:prstGeom>
      </xdr:spPr>
    </xdr:pic>
    <xdr:clientData/>
  </xdr:twoCellAnchor>
  <xdr:twoCellAnchor editAs="oneCell">
    <xdr:from>
      <xdr:col>11</xdr:col>
      <xdr:colOff>313765</xdr:colOff>
      <xdr:row>111</xdr:row>
      <xdr:rowOff>156883</xdr:rowOff>
    </xdr:from>
    <xdr:to>
      <xdr:col>18</xdr:col>
      <xdr:colOff>664745</xdr:colOff>
      <xdr:row>120</xdr:row>
      <xdr:rowOff>85407</xdr:rowOff>
    </xdr:to>
    <xdr:pic>
      <xdr:nvPicPr>
        <xdr:cNvPr id="30" name="Picture 29"/>
        <xdr:cNvPicPr>
          <a:picLocks noChangeAspect="1"/>
        </xdr:cNvPicPr>
      </xdr:nvPicPr>
      <xdr:blipFill>
        <a:blip xmlns:r="http://schemas.openxmlformats.org/officeDocument/2006/relationships" r:embed="rId15"/>
        <a:stretch>
          <a:fillRect/>
        </a:stretch>
      </xdr:blipFill>
      <xdr:spPr>
        <a:xfrm>
          <a:off x="9300883" y="24977912"/>
          <a:ext cx="5707391" cy="1743877"/>
        </a:xfrm>
        <a:prstGeom prst="rect">
          <a:avLst/>
        </a:prstGeom>
      </xdr:spPr>
    </xdr:pic>
    <xdr:clientData/>
  </xdr:twoCellAnchor>
  <xdr:twoCellAnchor>
    <xdr:from>
      <xdr:col>0</xdr:col>
      <xdr:colOff>144607</xdr:colOff>
      <xdr:row>211</xdr:row>
      <xdr:rowOff>83127</xdr:rowOff>
    </xdr:from>
    <xdr:to>
      <xdr:col>7</xdr:col>
      <xdr:colOff>592282</xdr:colOff>
      <xdr:row>244</xdr:row>
      <xdr:rowOff>25111</xdr:rowOff>
    </xdr:to>
    <xdr:grpSp>
      <xdr:nvGrpSpPr>
        <xdr:cNvPr id="31" name="Group 30"/>
        <xdr:cNvGrpSpPr/>
      </xdr:nvGrpSpPr>
      <xdr:grpSpPr>
        <a:xfrm>
          <a:off x="144607" y="44202927"/>
          <a:ext cx="6029325" cy="6542809"/>
          <a:chOff x="637617" y="1886813"/>
          <a:chExt cx="5867358" cy="6221892"/>
        </a:xfrm>
      </xdr:grpSpPr>
      <xdr:pic>
        <xdr:nvPicPr>
          <xdr:cNvPr id="32" name="Picture 31"/>
          <xdr:cNvPicPr>
            <a:picLocks noChangeAspect="1"/>
          </xdr:cNvPicPr>
        </xdr:nvPicPr>
        <xdr:blipFill>
          <a:blip xmlns:r="http://schemas.openxmlformats.org/officeDocument/2006/relationships" r:embed="rId17"/>
          <a:stretch>
            <a:fillRect/>
          </a:stretch>
        </xdr:blipFill>
        <xdr:spPr>
          <a:xfrm>
            <a:off x="4602769" y="5711708"/>
            <a:ext cx="1902206" cy="2396997"/>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8"/>
          <a:stretch>
            <a:fillRect/>
          </a:stretch>
        </xdr:blipFill>
        <xdr:spPr>
          <a:xfrm>
            <a:off x="2614738" y="5711708"/>
            <a:ext cx="1902206" cy="2396997"/>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9"/>
          <a:stretch>
            <a:fillRect/>
          </a:stretch>
        </xdr:blipFill>
        <xdr:spPr>
          <a:xfrm>
            <a:off x="734792" y="1886814"/>
            <a:ext cx="2732308" cy="3701599"/>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20"/>
          <a:stretch>
            <a:fillRect/>
          </a:stretch>
        </xdr:blipFill>
        <xdr:spPr>
          <a:xfrm>
            <a:off x="3584982" y="1886813"/>
            <a:ext cx="2732308" cy="3701599"/>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21"/>
          <a:stretch>
            <a:fillRect/>
          </a:stretch>
        </xdr:blipFill>
        <xdr:spPr>
          <a:xfrm>
            <a:off x="637617" y="5702183"/>
            <a:ext cx="1863399" cy="2396228"/>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zLjXBZoZZnPM39U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99"/>
  <sheetViews>
    <sheetView tabSelected="1" view="pageBreakPreview" zoomScaleNormal="100" zoomScaleSheetLayoutView="100" zoomScalePageLayoutView="85" workbookViewId="0">
      <selection activeCell="I7" sqref="I7"/>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1.285156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60" t="s">
        <v>365</v>
      </c>
      <c r="B1" s="160"/>
      <c r="C1" s="160"/>
      <c r="D1" s="160"/>
      <c r="E1" s="160"/>
      <c r="F1" s="160"/>
      <c r="G1" s="160"/>
      <c r="H1" s="160"/>
    </row>
    <row r="2" spans="1:26" ht="16.5" customHeight="1" x14ac:dyDescent="0.25">
      <c r="A2" s="161" t="s">
        <v>0</v>
      </c>
      <c r="B2" s="161"/>
      <c r="C2" s="161"/>
      <c r="D2" s="161"/>
      <c r="E2" s="161"/>
      <c r="F2" s="161"/>
      <c r="G2" s="161"/>
      <c r="H2" s="161"/>
    </row>
    <row r="3" spans="1:26" x14ac:dyDescent="0.25">
      <c r="A3" s="117" t="s">
        <v>1</v>
      </c>
      <c r="B3" s="117"/>
      <c r="C3" s="117"/>
      <c r="D3" s="117"/>
      <c r="E3" s="117" t="str">
        <f ca="1">TEXT(TODAY(),"DD/MM/YYYY")</f>
        <v>22/07/2025</v>
      </c>
      <c r="F3" s="117"/>
      <c r="G3" s="117"/>
      <c r="H3" s="117"/>
      <c r="K3" s="49" t="s">
        <v>225</v>
      </c>
      <c r="L3" s="48" t="s">
        <v>223</v>
      </c>
      <c r="M3" s="48" t="s">
        <v>228</v>
      </c>
      <c r="N3" s="48" t="s">
        <v>226</v>
      </c>
      <c r="O3" s="48" t="s">
        <v>343</v>
      </c>
      <c r="P3" s="48" t="s">
        <v>369</v>
      </c>
    </row>
    <row r="4" spans="1:26" ht="15" customHeight="1" x14ac:dyDescent="0.25">
      <c r="A4" s="117" t="s">
        <v>222</v>
      </c>
      <c r="B4" s="117"/>
      <c r="C4" s="117"/>
      <c r="D4" s="117"/>
      <c r="E4" s="117" t="s">
        <v>223</v>
      </c>
      <c r="F4" s="117"/>
      <c r="G4" s="117"/>
      <c r="H4" s="117"/>
      <c r="K4" s="47" t="s">
        <v>224</v>
      </c>
      <c r="L4" s="48" t="s">
        <v>162</v>
      </c>
      <c r="M4" s="48" t="s">
        <v>233</v>
      </c>
      <c r="N4" s="48" t="s">
        <v>235</v>
      </c>
      <c r="O4" s="48" t="s">
        <v>330</v>
      </c>
      <c r="P4" s="48" t="s">
        <v>370</v>
      </c>
    </row>
    <row r="5" spans="1:26" ht="15" customHeight="1" x14ac:dyDescent="0.25">
      <c r="A5" s="117" t="s">
        <v>2</v>
      </c>
      <c r="B5" s="117"/>
      <c r="C5" s="117"/>
      <c r="D5" s="117"/>
      <c r="E5" s="117" t="s">
        <v>162</v>
      </c>
      <c r="F5" s="117"/>
      <c r="G5" s="117"/>
      <c r="H5" s="117"/>
      <c r="K5" s="47"/>
      <c r="L5" s="48" t="s">
        <v>230</v>
      </c>
      <c r="M5" s="48" t="s">
        <v>234</v>
      </c>
      <c r="N5" s="48" t="s">
        <v>236</v>
      </c>
      <c r="O5" s="48" t="s">
        <v>331</v>
      </c>
      <c r="P5" s="48" t="s">
        <v>422</v>
      </c>
    </row>
    <row r="6" spans="1:26" x14ac:dyDescent="0.25">
      <c r="A6" s="117" t="s">
        <v>3</v>
      </c>
      <c r="B6" s="117"/>
      <c r="C6" s="117"/>
      <c r="D6" s="117"/>
      <c r="E6" s="162">
        <v>45859</v>
      </c>
      <c r="F6" s="117"/>
      <c r="G6" s="117"/>
      <c r="H6" s="117"/>
      <c r="K6" s="47"/>
      <c r="L6" s="48" t="s">
        <v>231</v>
      </c>
      <c r="M6" s="48" t="s">
        <v>341</v>
      </c>
      <c r="N6" s="48"/>
      <c r="O6" s="48" t="s">
        <v>332</v>
      </c>
      <c r="P6" s="48"/>
    </row>
    <row r="7" spans="1:26" ht="16.5" customHeight="1" x14ac:dyDescent="0.25">
      <c r="A7" s="117" t="s">
        <v>4</v>
      </c>
      <c r="B7" s="117"/>
      <c r="C7" s="117"/>
      <c r="D7" s="117"/>
      <c r="E7" s="117" t="s">
        <v>371</v>
      </c>
      <c r="F7" s="117"/>
      <c r="G7" s="117"/>
      <c r="H7" s="117"/>
      <c r="K7" s="47"/>
      <c r="L7" s="48" t="s">
        <v>232</v>
      </c>
      <c r="M7" s="48"/>
      <c r="N7" s="48"/>
      <c r="O7" s="48" t="s">
        <v>332</v>
      </c>
      <c r="P7" s="48"/>
    </row>
    <row r="8" spans="1:26" ht="15" customHeight="1" x14ac:dyDescent="0.25">
      <c r="A8" s="117" t="s">
        <v>5</v>
      </c>
      <c r="B8" s="117"/>
      <c r="C8" s="117"/>
      <c r="D8" s="117"/>
      <c r="E8" s="117" t="str">
        <f>E7</f>
        <v>M/s. Mahindra Lifespace Developers limited</v>
      </c>
      <c r="F8" s="117"/>
      <c r="G8" s="117"/>
      <c r="H8" s="117"/>
      <c r="K8" s="47"/>
      <c r="L8" s="48"/>
      <c r="M8" s="48"/>
      <c r="N8" s="48"/>
      <c r="O8" s="48" t="s">
        <v>333</v>
      </c>
      <c r="P8" s="48"/>
    </row>
    <row r="9" spans="1:26" x14ac:dyDescent="0.25">
      <c r="A9" s="117" t="s">
        <v>6</v>
      </c>
      <c r="B9" s="117"/>
      <c r="C9" s="117"/>
      <c r="D9" s="117"/>
      <c r="E9" s="154" t="s">
        <v>372</v>
      </c>
      <c r="F9" s="154"/>
      <c r="G9" s="154"/>
      <c r="H9" s="154"/>
      <c r="K9" s="47"/>
      <c r="L9" s="48"/>
      <c r="M9" s="48"/>
      <c r="N9" s="48"/>
      <c r="O9" s="48" t="s">
        <v>334</v>
      </c>
      <c r="P9" s="48"/>
    </row>
    <row r="10" spans="1:26" x14ac:dyDescent="0.25">
      <c r="A10" s="117" t="s">
        <v>159</v>
      </c>
      <c r="B10" s="117"/>
      <c r="C10" s="117"/>
      <c r="D10" s="117"/>
      <c r="E10" s="117" t="s">
        <v>28</v>
      </c>
      <c r="F10" s="117"/>
      <c r="G10" s="117"/>
      <c r="H10" s="117"/>
      <c r="K10" s="47"/>
      <c r="L10" s="48"/>
      <c r="M10" s="48"/>
      <c r="N10" s="48"/>
      <c r="O10" s="48" t="s">
        <v>335</v>
      </c>
      <c r="P10" s="48"/>
    </row>
    <row r="11" spans="1:26" x14ac:dyDescent="0.25">
      <c r="A11" s="117" t="s">
        <v>160</v>
      </c>
      <c r="B11" s="117"/>
      <c r="C11" s="117"/>
      <c r="D11" s="117"/>
      <c r="E11" s="117" t="s">
        <v>28</v>
      </c>
      <c r="F11" s="117"/>
      <c r="G11" s="117"/>
      <c r="H11" s="117"/>
      <c r="O11" s="48" t="s">
        <v>336</v>
      </c>
    </row>
    <row r="12" spans="1:26" x14ac:dyDescent="0.25">
      <c r="A12" s="117" t="s">
        <v>7</v>
      </c>
      <c r="B12" s="117"/>
      <c r="C12" s="117"/>
      <c r="D12" s="117"/>
      <c r="E12" s="117" t="s">
        <v>431</v>
      </c>
      <c r="F12" s="117"/>
      <c r="G12" s="117"/>
      <c r="H12" s="117"/>
    </row>
    <row r="13" spans="1:26" ht="31.5" customHeight="1" x14ac:dyDescent="0.25">
      <c r="A13" s="117" t="s">
        <v>163</v>
      </c>
      <c r="B13" s="117"/>
      <c r="C13" s="117"/>
      <c r="D13" s="117"/>
      <c r="E13" s="159" t="s">
        <v>423</v>
      </c>
      <c r="F13" s="159"/>
      <c r="G13" s="159"/>
      <c r="H13" s="159"/>
      <c r="S13" s="48" t="s">
        <v>170</v>
      </c>
      <c r="T13" s="48" t="s">
        <v>179</v>
      </c>
      <c r="U13" s="48" t="s">
        <v>164</v>
      </c>
      <c r="V13" s="48" t="s">
        <v>184</v>
      </c>
      <c r="W13" s="48" t="s">
        <v>202</v>
      </c>
      <c r="X13"/>
      <c r="Y13" t="s">
        <v>184</v>
      </c>
      <c r="Z13" t="e">
        <f ca="1">OFFSET($S$13,1,MATCH($G20,$S$13:$W$13,0)-1,15,1)</f>
        <v>#VALUE!</v>
      </c>
    </row>
    <row r="14" spans="1:26" ht="35.25" customHeight="1" x14ac:dyDescent="0.25">
      <c r="A14" s="118" t="s">
        <v>268</v>
      </c>
      <c r="B14" s="118"/>
      <c r="C14" s="118"/>
      <c r="D14" s="118"/>
      <c r="E14" s="159" t="s">
        <v>425</v>
      </c>
      <c r="F14" s="159"/>
      <c r="G14" s="159"/>
      <c r="H14" s="159"/>
      <c r="S14" s="48" t="s">
        <v>170</v>
      </c>
      <c r="T14" s="48" t="s">
        <v>177</v>
      </c>
      <c r="U14" s="48" t="s">
        <v>199</v>
      </c>
      <c r="V14" s="48" t="s">
        <v>185</v>
      </c>
      <c r="W14" s="48" t="s">
        <v>203</v>
      </c>
      <c r="X14"/>
      <c r="Y14"/>
      <c r="Z14"/>
    </row>
    <row r="15" spans="1:26" x14ac:dyDescent="0.25">
      <c r="A15" s="118" t="s">
        <v>8</v>
      </c>
      <c r="B15" s="118"/>
      <c r="C15" s="118"/>
      <c r="D15" s="118"/>
      <c r="E15" s="159" t="s">
        <v>373</v>
      </c>
      <c r="F15" s="117"/>
      <c r="G15" s="117"/>
      <c r="H15" s="117"/>
      <c r="I15" s="119" t="e">
        <f ca="1">OFFSET($D$5,1,MATCH($J13,$D$5:$H$5,0)-1,15,1)</f>
        <v>#N/A</v>
      </c>
      <c r="J15" s="120"/>
      <c r="K15" s="120"/>
      <c r="L15" s="120"/>
      <c r="M15" s="120"/>
      <c r="N15" s="120"/>
      <c r="O15" s="120"/>
      <c r="P15" s="120"/>
      <c r="S15" s="48" t="s">
        <v>171</v>
      </c>
      <c r="T15" s="48" t="s">
        <v>178</v>
      </c>
      <c r="U15" s="48" t="s">
        <v>200</v>
      </c>
      <c r="V15" s="48" t="s">
        <v>186</v>
      </c>
      <c r="W15" s="48" t="s">
        <v>216</v>
      </c>
      <c r="X15"/>
      <c r="Y15"/>
      <c r="Z15"/>
    </row>
    <row r="16" spans="1:26" ht="61.5" customHeight="1" x14ac:dyDescent="0.25">
      <c r="A16" s="126" t="s">
        <v>9</v>
      </c>
      <c r="B16" s="126"/>
      <c r="C16" s="126" t="str">
        <f>CONCATENATE((IF(OR(E9="",E9="NA"),"",E9)),", ",(IF(OR(A17="",A17="NA"),"",A17)),".",(IF(OR(C17="",C17="NA"),"",C17)),", near ",(IF(OR(C22="",C22="NA"),"",C22)),", ",(IF(OR(C19="",C19="NA"),"",C19)),", ",(IF(OR(C18="",C18="NA"),"",C18)),", ",(IF(OR(G19="",G19="NA"),"",G19)),", ",(IF(OR(C20="",C20="NA"),"",C20)),", ",(IF(OR(C21="",C21="NA"),"",C21)),", ",(IF(OR(G20="",G20="NA"),"",G20))," - ",(IF(OR(G21="",G21="NA"),"",G21)),".")</f>
        <v>Mahindra Marina64 - Phase 1, CTS No.2/11, Redevelopment of " The Nau Sanrakshan Co-Operative Housing Society Limited ", near Rishab Jay Amrat Society, Navy Nagar Road, NSC Colony, Malad South, Malad West, Borivali, Mumbai - 400064.</v>
      </c>
      <c r="D16" s="126"/>
      <c r="E16" s="126"/>
      <c r="F16" s="126"/>
      <c r="G16" s="126"/>
      <c r="H16" s="126"/>
      <c r="S16" s="48" t="s">
        <v>172</v>
      </c>
      <c r="T16" s="48" t="s">
        <v>180</v>
      </c>
      <c r="U16" s="48" t="s">
        <v>201</v>
      </c>
      <c r="V16" s="48" t="s">
        <v>187</v>
      </c>
      <c r="W16" s="48" t="s">
        <v>204</v>
      </c>
      <c r="X16"/>
      <c r="Y16"/>
      <c r="Z16"/>
    </row>
    <row r="17" spans="1:26" ht="30.75" customHeight="1" x14ac:dyDescent="0.25">
      <c r="A17" s="159" t="s">
        <v>167</v>
      </c>
      <c r="B17" s="159"/>
      <c r="C17" s="159" t="s">
        <v>424</v>
      </c>
      <c r="D17" s="159"/>
      <c r="E17" s="159"/>
      <c r="F17" s="159"/>
      <c r="G17" s="159"/>
      <c r="H17" s="159"/>
      <c r="S17" s="48" t="s">
        <v>173</v>
      </c>
      <c r="T17" s="48" t="s">
        <v>181</v>
      </c>
      <c r="U17" s="48" t="s">
        <v>164</v>
      </c>
      <c r="V17" s="48" t="s">
        <v>188</v>
      </c>
      <c r="W17" s="48" t="s">
        <v>205</v>
      </c>
      <c r="X17"/>
      <c r="Y17"/>
      <c r="Z17"/>
    </row>
    <row r="18" spans="1:26" ht="15.75" customHeight="1" x14ac:dyDescent="0.25">
      <c r="A18" s="159" t="s">
        <v>156</v>
      </c>
      <c r="B18" s="159"/>
      <c r="C18" s="159" t="s">
        <v>407</v>
      </c>
      <c r="D18" s="159"/>
      <c r="E18" s="159"/>
      <c r="F18" s="159"/>
      <c r="G18" s="159"/>
      <c r="H18" s="159"/>
      <c r="S18" s="48" t="s">
        <v>174</v>
      </c>
      <c r="T18" s="48" t="s">
        <v>179</v>
      </c>
      <c r="U18" s="48"/>
      <c r="V18" s="48" t="s">
        <v>189</v>
      </c>
      <c r="W18" s="48" t="s">
        <v>206</v>
      </c>
      <c r="X18"/>
      <c r="Y18"/>
      <c r="Z18"/>
    </row>
    <row r="19" spans="1:26" ht="15.75" customHeight="1" x14ac:dyDescent="0.25">
      <c r="A19" s="126" t="s">
        <v>10</v>
      </c>
      <c r="B19" s="126"/>
      <c r="C19" s="117" t="s">
        <v>377</v>
      </c>
      <c r="D19" s="117"/>
      <c r="E19" s="126" t="s">
        <v>69</v>
      </c>
      <c r="F19" s="126"/>
      <c r="G19" s="159" t="s">
        <v>374</v>
      </c>
      <c r="H19" s="159"/>
      <c r="S19" s="48" t="s">
        <v>175</v>
      </c>
      <c r="T19" s="48" t="s">
        <v>182</v>
      </c>
      <c r="U19" s="48"/>
      <c r="V19" s="48" t="s">
        <v>190</v>
      </c>
      <c r="W19" s="48" t="s">
        <v>207</v>
      </c>
      <c r="X19"/>
      <c r="Y19"/>
      <c r="Z19"/>
    </row>
    <row r="20" spans="1:26" x14ac:dyDescent="0.25">
      <c r="A20" s="118" t="s">
        <v>12</v>
      </c>
      <c r="B20" s="118"/>
      <c r="C20" s="159" t="s">
        <v>378</v>
      </c>
      <c r="D20" s="159"/>
      <c r="E20" s="126" t="s">
        <v>11</v>
      </c>
      <c r="F20" s="126"/>
      <c r="G20" s="167" t="s">
        <v>164</v>
      </c>
      <c r="H20" s="167"/>
      <c r="S20" s="48" t="s">
        <v>176</v>
      </c>
      <c r="T20" s="48" t="s">
        <v>183</v>
      </c>
      <c r="U20" s="48"/>
      <c r="V20" s="48" t="s">
        <v>191</v>
      </c>
      <c r="W20" s="48" t="s">
        <v>208</v>
      </c>
      <c r="X20"/>
      <c r="Y20"/>
      <c r="Z20"/>
    </row>
    <row r="21" spans="1:26" x14ac:dyDescent="0.25">
      <c r="A21" s="118" t="s">
        <v>70</v>
      </c>
      <c r="B21" s="118"/>
      <c r="C21" s="159" t="s">
        <v>200</v>
      </c>
      <c r="D21" s="159"/>
      <c r="E21" s="126" t="s">
        <v>13</v>
      </c>
      <c r="F21" s="126"/>
      <c r="G21" s="159">
        <v>400064</v>
      </c>
      <c r="H21" s="159"/>
      <c r="S21" s="48"/>
      <c r="T21" s="48"/>
      <c r="U21" s="48"/>
      <c r="V21" s="48" t="s">
        <v>192</v>
      </c>
      <c r="W21" s="48" t="s">
        <v>209</v>
      </c>
      <c r="X21"/>
      <c r="Y21"/>
      <c r="Z21"/>
    </row>
    <row r="22" spans="1:26" ht="32.25" customHeight="1" x14ac:dyDescent="0.25">
      <c r="A22" s="118" t="s">
        <v>117</v>
      </c>
      <c r="B22" s="118"/>
      <c r="C22" s="159" t="s">
        <v>376</v>
      </c>
      <c r="D22" s="159"/>
      <c r="E22" s="126" t="s">
        <v>14</v>
      </c>
      <c r="F22" s="126"/>
      <c r="G22" s="168" t="s">
        <v>405</v>
      </c>
      <c r="H22" s="168"/>
      <c r="S22" s="48"/>
      <c r="T22" s="48"/>
      <c r="U22" s="48"/>
      <c r="V22" s="48" t="s">
        <v>193</v>
      </c>
      <c r="W22" s="48" t="s">
        <v>210</v>
      </c>
      <c r="X22"/>
      <c r="Y22"/>
      <c r="Z22"/>
    </row>
    <row r="23" spans="1:26" ht="15" customHeight="1" x14ac:dyDescent="0.25">
      <c r="A23" s="126" t="s">
        <v>71</v>
      </c>
      <c r="B23" s="126"/>
      <c r="C23" s="126"/>
      <c r="D23" s="126"/>
      <c r="E23" s="117" t="s">
        <v>15</v>
      </c>
      <c r="F23" s="117"/>
      <c r="G23" s="117"/>
      <c r="H23" s="117"/>
      <c r="S23" s="48"/>
      <c r="T23" s="48"/>
      <c r="U23" s="48"/>
      <c r="V23" s="48" t="s">
        <v>194</v>
      </c>
      <c r="W23" s="48" t="s">
        <v>211</v>
      </c>
      <c r="X23"/>
      <c r="Y23"/>
      <c r="Z23"/>
    </row>
    <row r="24" spans="1:26" ht="18.75" customHeight="1" x14ac:dyDescent="0.25">
      <c r="A24" s="126"/>
      <c r="B24" s="126"/>
      <c r="C24" s="126"/>
      <c r="D24" s="126"/>
      <c r="E24" s="117"/>
      <c r="F24" s="117"/>
      <c r="G24" s="117"/>
      <c r="H24" s="117"/>
      <c r="S24" s="48"/>
      <c r="T24" s="48"/>
      <c r="U24" s="48"/>
      <c r="V24" s="48" t="s">
        <v>195</v>
      </c>
      <c r="W24" s="48" t="s">
        <v>212</v>
      </c>
      <c r="X24"/>
      <c r="Y24"/>
      <c r="Z24"/>
    </row>
    <row r="25" spans="1:26" ht="15" customHeight="1" x14ac:dyDescent="0.25">
      <c r="A25" s="126" t="s">
        <v>16</v>
      </c>
      <c r="B25" s="126"/>
      <c r="C25" s="126"/>
      <c r="D25" s="126"/>
      <c r="E25" s="159" t="s">
        <v>17</v>
      </c>
      <c r="F25" s="159"/>
      <c r="G25" s="159"/>
      <c r="H25" s="159"/>
      <c r="S25" s="48"/>
      <c r="T25" s="48"/>
      <c r="U25" s="48"/>
      <c r="V25" s="48" t="s">
        <v>196</v>
      </c>
      <c r="W25" s="48" t="s">
        <v>213</v>
      </c>
      <c r="X25"/>
      <c r="Y25"/>
      <c r="Z25"/>
    </row>
    <row r="26" spans="1:26" ht="15" customHeight="1" x14ac:dyDescent="0.25">
      <c r="A26" s="118" t="s">
        <v>18</v>
      </c>
      <c r="B26" s="118"/>
      <c r="C26" s="118"/>
      <c r="D26" s="118"/>
      <c r="E26" s="159" t="str">
        <f>IF(AND(G20="Mumbai"),"Upper Class","Middle Class")</f>
        <v>Upper Class</v>
      </c>
      <c r="F26" s="159"/>
      <c r="G26" s="159"/>
      <c r="H26" s="159"/>
      <c r="S26" s="48"/>
      <c r="T26" s="48"/>
      <c r="U26" s="48"/>
      <c r="V26" s="48" t="s">
        <v>197</v>
      </c>
      <c r="W26" s="48" t="s">
        <v>214</v>
      </c>
      <c r="X26"/>
      <c r="Y26"/>
      <c r="Z26"/>
    </row>
    <row r="27" spans="1:26" x14ac:dyDescent="0.25">
      <c r="A27" s="118" t="s">
        <v>19</v>
      </c>
      <c r="B27" s="118"/>
      <c r="C27" s="118"/>
      <c r="D27" s="118"/>
      <c r="E27" s="159" t="s">
        <v>20</v>
      </c>
      <c r="F27" s="159"/>
      <c r="G27" s="159"/>
      <c r="H27" s="159"/>
      <c r="S27" s="48"/>
      <c r="T27" s="48"/>
      <c r="U27" s="48"/>
      <c r="V27" s="48" t="s">
        <v>198</v>
      </c>
      <c r="W27" s="48" t="s">
        <v>215</v>
      </c>
      <c r="X27"/>
      <c r="Y27"/>
      <c r="Z27"/>
    </row>
    <row r="28" spans="1:26" ht="15.75" customHeight="1" x14ac:dyDescent="0.25">
      <c r="A28" s="118" t="s">
        <v>21</v>
      </c>
      <c r="B28" s="118"/>
      <c r="C28" s="118"/>
      <c r="D28" s="118"/>
      <c r="E28" s="159" t="str">
        <f>IF(AND(G20="Mumbai"),"Developed","Developing")</f>
        <v>Developed</v>
      </c>
      <c r="F28" s="159"/>
      <c r="G28" s="159"/>
      <c r="H28" s="159"/>
    </row>
    <row r="29" spans="1:26" x14ac:dyDescent="0.25">
      <c r="A29" s="118" t="s">
        <v>22</v>
      </c>
      <c r="B29" s="118"/>
      <c r="C29" s="118"/>
      <c r="D29" s="118"/>
      <c r="E29" s="159" t="s">
        <v>23</v>
      </c>
      <c r="F29" s="159"/>
      <c r="G29" s="159"/>
      <c r="H29" s="159"/>
    </row>
    <row r="30" spans="1:26" ht="15.75" customHeight="1" x14ac:dyDescent="0.25">
      <c r="A30" s="118" t="s">
        <v>76</v>
      </c>
      <c r="B30" s="118"/>
      <c r="C30" s="118"/>
      <c r="D30" s="118"/>
      <c r="E30" s="159" t="s">
        <v>77</v>
      </c>
      <c r="F30" s="159"/>
      <c r="G30" s="159"/>
      <c r="H30" s="159"/>
    </row>
    <row r="31" spans="1:26" ht="15" customHeight="1" x14ac:dyDescent="0.25">
      <c r="A31" s="118" t="s">
        <v>30</v>
      </c>
      <c r="B31" s="118"/>
      <c r="C31" s="118"/>
      <c r="D31" s="118"/>
      <c r="E31" s="159"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1" s="159"/>
      <c r="G31" s="159"/>
      <c r="H31" s="159"/>
    </row>
    <row r="32" spans="1:26" ht="15.75" customHeight="1" x14ac:dyDescent="0.25">
      <c r="A32" s="118" t="s">
        <v>88</v>
      </c>
      <c r="B32" s="118"/>
      <c r="C32" s="118"/>
      <c r="D32" s="118"/>
      <c r="E32" s="159" t="s">
        <v>31</v>
      </c>
      <c r="F32" s="159"/>
      <c r="G32" s="159"/>
      <c r="H32" s="159"/>
    </row>
    <row r="33" spans="1:19" s="19" customFormat="1" x14ac:dyDescent="0.25">
      <c r="A33" s="172" t="s">
        <v>89</v>
      </c>
      <c r="B33" s="172"/>
      <c r="C33" s="169" t="s">
        <v>165</v>
      </c>
      <c r="D33" s="170"/>
      <c r="E33" s="171"/>
      <c r="F33" s="169" t="s">
        <v>29</v>
      </c>
      <c r="G33" s="170"/>
      <c r="H33" s="171"/>
      <c r="S33" s="19" t="e">
        <f ca="1">OFFSET($S$13,1,MATCH($G20,$S$13:$W$13,0)-1,15,1)</f>
        <v>#VALUE!</v>
      </c>
    </row>
    <row r="34" spans="1:19" s="19" customFormat="1" x14ac:dyDescent="0.25">
      <c r="A34" s="163" t="s">
        <v>24</v>
      </c>
      <c r="B34" s="163" t="s">
        <v>28</v>
      </c>
      <c r="C34" s="164" t="s">
        <v>408</v>
      </c>
      <c r="D34" s="165"/>
      <c r="E34" s="166"/>
      <c r="F34" s="164" t="s">
        <v>381</v>
      </c>
      <c r="G34" s="165"/>
      <c r="H34" s="166"/>
    </row>
    <row r="35" spans="1:19" x14ac:dyDescent="0.25">
      <c r="A35" s="163" t="s">
        <v>25</v>
      </c>
      <c r="B35" s="163" t="s">
        <v>28</v>
      </c>
      <c r="C35" s="164" t="s">
        <v>380</v>
      </c>
      <c r="D35" s="165"/>
      <c r="E35" s="166"/>
      <c r="F35" s="164" t="s">
        <v>377</v>
      </c>
      <c r="G35" s="165"/>
      <c r="H35" s="166"/>
    </row>
    <row r="36" spans="1:19" s="19" customFormat="1" x14ac:dyDescent="0.25">
      <c r="A36" s="163" t="s">
        <v>27</v>
      </c>
      <c r="B36" s="163" t="s">
        <v>28</v>
      </c>
      <c r="C36" s="164" t="s">
        <v>408</v>
      </c>
      <c r="D36" s="165"/>
      <c r="E36" s="166"/>
      <c r="F36" s="164" t="s">
        <v>381</v>
      </c>
      <c r="G36" s="165"/>
      <c r="H36" s="166"/>
    </row>
    <row r="37" spans="1:19" x14ac:dyDescent="0.25">
      <c r="A37" s="163" t="s">
        <v>26</v>
      </c>
      <c r="B37" s="163" t="s">
        <v>28</v>
      </c>
      <c r="C37" s="164" t="s">
        <v>409</v>
      </c>
      <c r="D37" s="165"/>
      <c r="E37" s="166"/>
      <c r="F37" s="164" t="s">
        <v>382</v>
      </c>
      <c r="G37" s="165"/>
      <c r="H37" s="166"/>
    </row>
    <row r="38" spans="1:19" x14ac:dyDescent="0.25">
      <c r="A38" s="118" t="s">
        <v>269</v>
      </c>
      <c r="B38" s="118"/>
      <c r="C38" s="118"/>
      <c r="D38" s="118"/>
      <c r="E38" s="118"/>
      <c r="F38" s="118"/>
      <c r="G38" s="118"/>
      <c r="H38" s="118"/>
    </row>
    <row r="39" spans="1:19" ht="15.75" customHeight="1" x14ac:dyDescent="0.25">
      <c r="A39" s="118" t="s">
        <v>158</v>
      </c>
      <c r="B39" s="118"/>
      <c r="C39" s="198" t="s">
        <v>379</v>
      </c>
      <c r="D39" s="198"/>
      <c r="E39" s="198"/>
      <c r="F39" s="198"/>
      <c r="G39" s="198"/>
      <c r="H39" s="198"/>
    </row>
    <row r="40" spans="1:19" x14ac:dyDescent="0.25">
      <c r="A40" s="118" t="s">
        <v>155</v>
      </c>
      <c r="B40" s="118"/>
      <c r="C40" s="225" t="s">
        <v>375</v>
      </c>
      <c r="D40" s="159"/>
      <c r="E40" s="159"/>
      <c r="F40" s="159"/>
      <c r="G40" s="159"/>
      <c r="H40" s="159"/>
    </row>
    <row r="41" spans="1:19" x14ac:dyDescent="0.25">
      <c r="A41" s="198" t="s">
        <v>32</v>
      </c>
      <c r="B41" s="198"/>
      <c r="C41" s="198"/>
      <c r="D41" s="198"/>
      <c r="E41" s="198"/>
      <c r="F41" s="198"/>
      <c r="G41" s="198"/>
      <c r="H41" s="198"/>
    </row>
    <row r="42" spans="1:19" x14ac:dyDescent="0.25">
      <c r="A42" s="118" t="s">
        <v>33</v>
      </c>
      <c r="B42" s="118"/>
      <c r="C42" s="118"/>
      <c r="D42" s="118"/>
      <c r="E42" s="197">
        <v>1544.4</v>
      </c>
      <c r="F42" s="197"/>
      <c r="G42" s="197"/>
      <c r="H42" s="197"/>
    </row>
    <row r="43" spans="1:19" x14ac:dyDescent="0.25">
      <c r="A43" s="118" t="s">
        <v>34</v>
      </c>
      <c r="B43" s="118"/>
      <c r="C43" s="118"/>
      <c r="D43" s="118"/>
      <c r="E43" s="185">
        <f>1948.22/E42</f>
        <v>1.2614737114737113</v>
      </c>
      <c r="F43" s="185"/>
      <c r="G43" s="185"/>
      <c r="H43" s="185"/>
    </row>
    <row r="44" spans="1:19" x14ac:dyDescent="0.25">
      <c r="A44" s="118" t="s">
        <v>35</v>
      </c>
      <c r="B44" s="118"/>
      <c r="C44" s="118"/>
      <c r="D44" s="118"/>
      <c r="E44" s="200">
        <f>E46/E42-E43</f>
        <v>2.1325498575498569</v>
      </c>
      <c r="F44" s="200"/>
      <c r="G44" s="200"/>
      <c r="H44" s="200"/>
    </row>
    <row r="45" spans="1:19" x14ac:dyDescent="0.25">
      <c r="A45" s="118" t="s">
        <v>36</v>
      </c>
      <c r="B45" s="118"/>
      <c r="C45" s="118"/>
      <c r="D45" s="118"/>
      <c r="E45" s="200">
        <f>E43+E44</f>
        <v>3.3940235690235685</v>
      </c>
      <c r="F45" s="200"/>
      <c r="G45" s="200"/>
      <c r="H45" s="200"/>
    </row>
    <row r="46" spans="1:19" x14ac:dyDescent="0.25">
      <c r="A46" s="118" t="s">
        <v>87</v>
      </c>
      <c r="B46" s="118"/>
      <c r="C46" s="118"/>
      <c r="D46" s="118"/>
      <c r="E46" s="201">
        <v>5241.7299999999996</v>
      </c>
      <c r="F46" s="201"/>
      <c r="G46" s="201"/>
      <c r="H46" s="201"/>
    </row>
    <row r="47" spans="1:19" x14ac:dyDescent="0.25">
      <c r="A47" s="117" t="s">
        <v>37</v>
      </c>
      <c r="B47" s="117"/>
      <c r="C47" s="117"/>
      <c r="D47" s="117"/>
      <c r="E47" s="117" t="s">
        <v>115</v>
      </c>
      <c r="F47" s="117"/>
      <c r="G47" s="117"/>
      <c r="H47" s="117"/>
    </row>
    <row r="48" spans="1:19" x14ac:dyDescent="0.25">
      <c r="A48" s="198" t="s">
        <v>38</v>
      </c>
      <c r="B48" s="198"/>
      <c r="C48" s="198"/>
      <c r="D48" s="198"/>
      <c r="E48" s="198"/>
      <c r="F48" s="198"/>
      <c r="G48" s="198"/>
      <c r="H48" s="198"/>
    </row>
    <row r="49" spans="1:24" ht="33.75" customHeight="1" x14ac:dyDescent="0.25">
      <c r="A49" s="176" t="s">
        <v>146</v>
      </c>
      <c r="B49" s="178"/>
      <c r="C49" s="204" t="s">
        <v>244</v>
      </c>
      <c r="D49" s="205"/>
      <c r="E49" s="205"/>
      <c r="F49" s="205"/>
      <c r="G49" s="205"/>
      <c r="H49" s="206"/>
      <c r="R49" t="s">
        <v>242</v>
      </c>
      <c r="S49" s="50" t="s">
        <v>164</v>
      </c>
      <c r="T49" s="50" t="s">
        <v>170</v>
      </c>
      <c r="U49" s="50" t="s">
        <v>184</v>
      </c>
      <c r="V49" s="50" t="s">
        <v>179</v>
      </c>
    </row>
    <row r="50" spans="1:24" ht="30" customHeight="1" x14ac:dyDescent="0.25">
      <c r="A50" s="176" t="s">
        <v>39</v>
      </c>
      <c r="B50" s="178"/>
      <c r="C50" s="176" t="s">
        <v>427</v>
      </c>
      <c r="D50" s="177"/>
      <c r="E50" s="178"/>
      <c r="F50" s="17" t="s">
        <v>40</v>
      </c>
      <c r="G50" s="207">
        <v>45833</v>
      </c>
      <c r="H50" s="208"/>
      <c r="R50"/>
      <c r="S50" s="50" t="s">
        <v>243</v>
      </c>
      <c r="T50" s="50" t="s">
        <v>248</v>
      </c>
      <c r="U50" s="50" t="s">
        <v>259</v>
      </c>
      <c r="V50" s="50" t="s">
        <v>264</v>
      </c>
    </row>
    <row r="51" spans="1:24" ht="33.75" customHeight="1" x14ac:dyDescent="0.25">
      <c r="A51" s="176" t="s">
        <v>41</v>
      </c>
      <c r="B51" s="178"/>
      <c r="C51" s="176" t="str">
        <f>C50</f>
        <v>P-19621/2023/(2/11)/P/N Ward/Malad South/337/1/Amend</v>
      </c>
      <c r="D51" s="177"/>
      <c r="E51" s="178"/>
      <c r="F51" s="17" t="s">
        <v>40</v>
      </c>
      <c r="G51" s="207">
        <f>G50</f>
        <v>45833</v>
      </c>
      <c r="H51" s="208"/>
      <c r="R51"/>
      <c r="S51" s="50" t="s">
        <v>244</v>
      </c>
      <c r="T51" s="50" t="s">
        <v>344</v>
      </c>
      <c r="U51" s="50" t="s">
        <v>257</v>
      </c>
      <c r="V51" s="50" t="s">
        <v>265</v>
      </c>
    </row>
    <row r="52" spans="1:24" s="20" customFormat="1" ht="15.75" customHeight="1" x14ac:dyDescent="0.25">
      <c r="A52" s="179" t="s">
        <v>385</v>
      </c>
      <c r="B52" s="181"/>
      <c r="C52" s="179" t="s">
        <v>429</v>
      </c>
      <c r="D52" s="180"/>
      <c r="E52" s="181"/>
      <c r="F52" s="17" t="s">
        <v>40</v>
      </c>
      <c r="G52" s="207">
        <v>45818</v>
      </c>
      <c r="H52" s="208"/>
      <c r="I52" s="19" t="str">
        <f ca="1">IF(G52&gt;EDATE(E3,-48),"NO REMARK","CC REMARK FOR CC")</f>
        <v>NO REMARK</v>
      </c>
      <c r="J52" s="69"/>
      <c r="R52"/>
      <c r="S52" s="50" t="s">
        <v>245</v>
      </c>
      <c r="T52" s="50" t="s">
        <v>250</v>
      </c>
      <c r="U52" s="50" t="s">
        <v>247</v>
      </c>
      <c r="V52" s="50" t="s">
        <v>266</v>
      </c>
    </row>
    <row r="53" spans="1:24" s="20" customFormat="1" ht="33.75" customHeight="1" x14ac:dyDescent="0.25">
      <c r="A53" s="217"/>
      <c r="B53" s="218"/>
      <c r="C53" s="182"/>
      <c r="D53" s="183"/>
      <c r="E53" s="184"/>
      <c r="F53" s="17" t="s">
        <v>116</v>
      </c>
      <c r="G53" s="207">
        <v>46182</v>
      </c>
      <c r="H53" s="178"/>
      <c r="R53"/>
      <c r="S53" s="50" t="s">
        <v>246</v>
      </c>
      <c r="T53" s="50" t="s">
        <v>253</v>
      </c>
      <c r="U53" s="50" t="s">
        <v>260</v>
      </c>
      <c r="V53" s="65" t="s">
        <v>338</v>
      </c>
    </row>
    <row r="54" spans="1:24" s="20" customFormat="1" ht="48.75" customHeight="1" x14ac:dyDescent="0.25">
      <c r="A54" s="182"/>
      <c r="B54" s="184"/>
      <c r="C54" s="209" t="s">
        <v>430</v>
      </c>
      <c r="D54" s="210"/>
      <c r="E54" s="210"/>
      <c r="F54" s="210"/>
      <c r="G54" s="210"/>
      <c r="H54" s="211"/>
      <c r="R54"/>
      <c r="S54" s="50"/>
      <c r="T54" s="50"/>
      <c r="U54" s="50"/>
      <c r="V54" s="65"/>
    </row>
    <row r="55" spans="1:24" s="20" customFormat="1" ht="33.75" customHeight="1" x14ac:dyDescent="0.25">
      <c r="A55" s="129" t="s">
        <v>270</v>
      </c>
      <c r="B55" s="130"/>
      <c r="C55" s="209" t="s">
        <v>383</v>
      </c>
      <c r="D55" s="210"/>
      <c r="E55" s="211"/>
      <c r="F55" s="93" t="s">
        <v>40</v>
      </c>
      <c r="G55" s="219">
        <v>45303</v>
      </c>
      <c r="H55" s="220"/>
      <c r="K55" s="70">
        <f>EDATE(G52,-48)</f>
        <v>44357</v>
      </c>
      <c r="L55" s="20" t="str">
        <f ca="1">IF(G52&gt;EDATE(E3,-48),"NO REMARK","CC REMARK FOR CC")</f>
        <v>NO REMARK</v>
      </c>
      <c r="R55"/>
      <c r="S55" s="50" t="s">
        <v>245</v>
      </c>
      <c r="T55" s="50" t="s">
        <v>250</v>
      </c>
      <c r="U55" s="50" t="s">
        <v>247</v>
      </c>
      <c r="V55" s="50" t="s">
        <v>266</v>
      </c>
    </row>
    <row r="56" spans="1:24" s="20" customFormat="1" x14ac:dyDescent="0.25">
      <c r="A56" s="131"/>
      <c r="B56" s="132"/>
      <c r="C56" s="214" t="s">
        <v>384</v>
      </c>
      <c r="D56" s="215"/>
      <c r="E56" s="215"/>
      <c r="F56" s="215"/>
      <c r="G56" s="215"/>
      <c r="H56" s="216"/>
      <c r="R56"/>
      <c r="S56" s="50" t="s">
        <v>247</v>
      </c>
      <c r="T56" s="50" t="s">
        <v>251</v>
      </c>
      <c r="U56" s="50" t="s">
        <v>261</v>
      </c>
      <c r="V56" s="66"/>
      <c r="W56" s="18"/>
      <c r="X56" s="18"/>
    </row>
    <row r="57" spans="1:24" s="20" customFormat="1" ht="34.5" hidden="1" customHeight="1" x14ac:dyDescent="0.25">
      <c r="A57" s="221" t="s">
        <v>271</v>
      </c>
      <c r="B57" s="222"/>
      <c r="C57" s="176"/>
      <c r="D57" s="177"/>
      <c r="E57" s="178"/>
      <c r="F57" s="17" t="s">
        <v>40</v>
      </c>
      <c r="G57" s="207"/>
      <c r="H57" s="208"/>
      <c r="R57"/>
      <c r="S57" s="66"/>
      <c r="T57" s="50" t="s">
        <v>252</v>
      </c>
      <c r="U57" s="50" t="s">
        <v>262</v>
      </c>
      <c r="V57" s="66"/>
      <c r="W57" s="18"/>
      <c r="X57" s="18"/>
    </row>
    <row r="58" spans="1:24" s="20" customFormat="1" ht="41.25" hidden="1" customHeight="1" x14ac:dyDescent="0.25">
      <c r="A58" s="223"/>
      <c r="B58" s="224"/>
      <c r="C58" s="176"/>
      <c r="D58" s="177"/>
      <c r="E58" s="177"/>
      <c r="F58" s="177"/>
      <c r="G58" s="177"/>
      <c r="H58" s="178"/>
      <c r="R58"/>
      <c r="S58" s="66"/>
      <c r="T58" s="50" t="s">
        <v>254</v>
      </c>
      <c r="U58" s="50" t="s">
        <v>263</v>
      </c>
      <c r="V58" s="66"/>
      <c r="W58" s="18"/>
      <c r="X58" s="18"/>
    </row>
    <row r="59" spans="1:24" s="20" customFormat="1" ht="15.75" customHeight="1" x14ac:dyDescent="0.25">
      <c r="A59" s="129" t="s">
        <v>387</v>
      </c>
      <c r="B59" s="130"/>
      <c r="C59" s="179" t="s">
        <v>386</v>
      </c>
      <c r="D59" s="180"/>
      <c r="E59" s="181"/>
      <c r="F59" s="17" t="s">
        <v>40</v>
      </c>
      <c r="G59" s="207">
        <v>45119</v>
      </c>
      <c r="H59" s="208"/>
      <c r="R59"/>
      <c r="S59" s="66"/>
      <c r="T59" s="50" t="s">
        <v>255</v>
      </c>
      <c r="U59" s="66" t="s">
        <v>285</v>
      </c>
      <c r="V59" s="66"/>
      <c r="W59" s="18"/>
      <c r="X59" s="18"/>
    </row>
    <row r="60" spans="1:24" s="20" customFormat="1" ht="33.75" customHeight="1" x14ac:dyDescent="0.25">
      <c r="A60" s="174"/>
      <c r="B60" s="175"/>
      <c r="C60" s="182"/>
      <c r="D60" s="183"/>
      <c r="E60" s="184"/>
      <c r="F60" s="17" t="s">
        <v>340</v>
      </c>
      <c r="G60" s="207">
        <v>48040</v>
      </c>
      <c r="H60" s="208"/>
      <c r="I60" s="94">
        <f>3*22+3.9</f>
        <v>69.900000000000006</v>
      </c>
      <c r="R60"/>
      <c r="S60" s="66"/>
      <c r="T60" s="50" t="s">
        <v>256</v>
      </c>
      <c r="U60" s="66"/>
      <c r="V60" s="66"/>
      <c r="W60" s="18"/>
      <c r="X60" s="18"/>
    </row>
    <row r="61" spans="1:24" s="20" customFormat="1" ht="33.75" customHeight="1" x14ac:dyDescent="0.25">
      <c r="A61" s="131"/>
      <c r="B61" s="132"/>
      <c r="C61" s="176" t="s">
        <v>410</v>
      </c>
      <c r="D61" s="177"/>
      <c r="E61" s="177"/>
      <c r="F61" s="177"/>
      <c r="G61" s="177"/>
      <c r="H61" s="178"/>
      <c r="I61" s="94">
        <f>193.94-4.92</f>
        <v>189.02</v>
      </c>
      <c r="R61"/>
      <c r="S61" s="66"/>
      <c r="T61" s="50"/>
      <c r="U61" s="66"/>
      <c r="V61" s="66"/>
      <c r="W61" s="18"/>
      <c r="X61" s="18"/>
    </row>
    <row r="62" spans="1:24" x14ac:dyDescent="0.25">
      <c r="A62" s="122" t="s">
        <v>42</v>
      </c>
      <c r="B62" s="123"/>
      <c r="C62" s="122" t="s">
        <v>101</v>
      </c>
      <c r="D62" s="124"/>
      <c r="E62" s="123"/>
      <c r="F62" s="40" t="s">
        <v>40</v>
      </c>
      <c r="G62" s="127" t="s">
        <v>28</v>
      </c>
      <c r="H62" s="128"/>
      <c r="R62"/>
      <c r="S62" s="66"/>
      <c r="T62" s="50" t="s">
        <v>258</v>
      </c>
      <c r="U62" s="66"/>
      <c r="V62" s="66"/>
    </row>
    <row r="63" spans="1:24" x14ac:dyDescent="0.25">
      <c r="A63" s="156" t="s">
        <v>44</v>
      </c>
      <c r="B63" s="156"/>
      <c r="C63" s="156"/>
      <c r="D63" s="156"/>
      <c r="E63" s="156"/>
      <c r="F63" s="156"/>
      <c r="G63" s="156"/>
      <c r="H63" s="156"/>
      <c r="S63" s="66"/>
      <c r="T63" s="50" t="s">
        <v>267</v>
      </c>
      <c r="U63" s="66"/>
      <c r="V63" s="66"/>
    </row>
    <row r="64" spans="1:24" x14ac:dyDescent="0.25">
      <c r="A64" s="126" t="s">
        <v>86</v>
      </c>
      <c r="B64" s="126"/>
      <c r="C64" s="126"/>
      <c r="D64" s="117">
        <f>E46</f>
        <v>5241.7299999999996</v>
      </c>
      <c r="E64" s="117"/>
      <c r="F64" s="117"/>
      <c r="G64" s="117"/>
      <c r="H64" s="117"/>
      <c r="R64"/>
    </row>
    <row r="65" spans="1:19" x14ac:dyDescent="0.25">
      <c r="A65" s="159" t="s">
        <v>45</v>
      </c>
      <c r="B65" s="117"/>
      <c r="C65" s="117"/>
      <c r="D65" s="117" t="s">
        <v>445</v>
      </c>
      <c r="E65" s="117"/>
      <c r="F65" s="117"/>
      <c r="G65" s="117"/>
      <c r="H65" s="117"/>
      <c r="I65" s="21"/>
      <c r="R65"/>
    </row>
    <row r="66" spans="1:19" x14ac:dyDescent="0.25">
      <c r="A66" s="129" t="s">
        <v>46</v>
      </c>
      <c r="B66" s="203"/>
      <c r="C66" s="130"/>
      <c r="D66" s="195" t="s">
        <v>443</v>
      </c>
      <c r="E66" s="202"/>
      <c r="F66" s="202"/>
      <c r="G66" s="202"/>
      <c r="H66" s="202"/>
      <c r="R66"/>
    </row>
    <row r="67" spans="1:19" ht="15.75" customHeight="1" x14ac:dyDescent="0.25">
      <c r="A67" s="129" t="s">
        <v>84</v>
      </c>
      <c r="B67" s="203"/>
      <c r="C67" s="203"/>
      <c r="D67" s="159" t="s">
        <v>444</v>
      </c>
      <c r="E67" s="117"/>
      <c r="F67" s="117"/>
      <c r="G67" s="117"/>
      <c r="H67" s="117"/>
      <c r="R67"/>
    </row>
    <row r="68" spans="1:19" ht="15.75" customHeight="1" x14ac:dyDescent="0.25">
      <c r="A68" s="118" t="s">
        <v>43</v>
      </c>
      <c r="B68" s="118"/>
      <c r="C68" s="118"/>
      <c r="D68" s="173" t="s">
        <v>389</v>
      </c>
      <c r="E68" s="173"/>
      <c r="F68" s="173"/>
      <c r="G68" s="173"/>
      <c r="H68" s="173"/>
      <c r="J68" s="22"/>
      <c r="K68" s="21"/>
      <c r="N68" s="21"/>
      <c r="S68"/>
    </row>
    <row r="69" spans="1:19" ht="15.75" customHeight="1" x14ac:dyDescent="0.25">
      <c r="A69" s="118" t="s">
        <v>82</v>
      </c>
      <c r="B69" s="118"/>
      <c r="C69" s="118"/>
      <c r="D69" s="199" t="str">
        <f>(IF(G62="NA","60 Years After Completion",IF(G62&lt;&gt;"NA",""&amp;60-ROUNDDOWN((E3-G62)/360,0)&amp;" Years"," ")))</f>
        <v>60 Years After Completion</v>
      </c>
      <c r="E69" s="199"/>
      <c r="F69" s="199"/>
      <c r="G69" s="199"/>
      <c r="H69" s="199"/>
      <c r="N69" s="21"/>
      <c r="S69"/>
    </row>
    <row r="70" spans="1:19" ht="15.75" customHeight="1" x14ac:dyDescent="0.25">
      <c r="A70" s="118" t="s">
        <v>83</v>
      </c>
      <c r="B70" s="118"/>
      <c r="C70" s="118"/>
      <c r="D70" s="126" t="s">
        <v>23</v>
      </c>
      <c r="E70" s="126"/>
      <c r="F70" s="126"/>
      <c r="G70" s="126"/>
      <c r="H70" s="126"/>
      <c r="J70" s="23"/>
      <c r="K70" s="23"/>
      <c r="S70"/>
    </row>
    <row r="71" spans="1:19" ht="38.450000000000003" customHeight="1" x14ac:dyDescent="0.25">
      <c r="A71" s="117" t="s">
        <v>391</v>
      </c>
      <c r="B71" s="117"/>
      <c r="C71" s="117"/>
      <c r="D71" s="159" t="s">
        <v>390</v>
      </c>
      <c r="E71" s="126"/>
      <c r="F71" s="126"/>
      <c r="G71" s="126"/>
      <c r="H71" s="126"/>
      <c r="I71" s="18" t="s">
        <v>388</v>
      </c>
      <c r="S71"/>
    </row>
    <row r="72" spans="1:19" x14ac:dyDescent="0.25">
      <c r="A72" s="126" t="s">
        <v>143</v>
      </c>
      <c r="B72" s="126"/>
      <c r="C72" s="126"/>
      <c r="D72" s="126" t="s">
        <v>28</v>
      </c>
      <c r="E72" s="126"/>
      <c r="F72" s="126"/>
      <c r="G72" s="126"/>
      <c r="H72" s="126"/>
      <c r="I72" s="24"/>
      <c r="J72" s="24"/>
      <c r="K72" s="24"/>
      <c r="L72" s="24"/>
      <c r="M72" s="24"/>
      <c r="N72" s="24"/>
    </row>
    <row r="73" spans="1:19" ht="15.75" customHeight="1" x14ac:dyDescent="0.25">
      <c r="A73" s="196" t="s">
        <v>81</v>
      </c>
      <c r="B73" s="196"/>
      <c r="C73" s="196"/>
      <c r="D73" s="195" t="str">
        <f ca="1">(IF(G79&gt;95%,"Nothing",IF(G79&gt;0%,"Cement, Aggregate, Steel, etc",IF(G79=0%,"Work not yet Started"))))</f>
        <v>Work not yet Started</v>
      </c>
      <c r="E73" s="195"/>
      <c r="F73" s="195"/>
      <c r="G73" s="195"/>
      <c r="H73" s="195"/>
      <c r="J73" s="23"/>
      <c r="S73"/>
    </row>
    <row r="74" spans="1:19" ht="33.75" customHeight="1" thickBot="1" x14ac:dyDescent="0.3">
      <c r="A74" s="194" t="s">
        <v>114</v>
      </c>
      <c r="B74" s="194"/>
      <c r="C74" s="194"/>
      <c r="D74" s="195" t="str">
        <f ca="1">(IF(D73="Nothing","Yes",IF(D73="Cement, Aggregate, Steel, etc","Under Construction",IF(D73="Work not yet Started","Work not yet Started"))))</f>
        <v>Work not yet Started</v>
      </c>
      <c r="E74" s="195"/>
      <c r="F74" s="195" t="str">
        <f ca="1">(IF(D73="Nothing","Yes",IF(D73="Cement, Aggregate, Steel, etc","Under Construction",IF(D73="Work not yet Started","Work not yet Started"))))</f>
        <v>Work not yet Started</v>
      </c>
      <c r="G74" s="195"/>
      <c r="H74" s="195"/>
      <c r="S74"/>
    </row>
    <row r="75" spans="1:19" ht="15.75" customHeight="1" x14ac:dyDescent="0.25">
      <c r="A75" s="187" t="s">
        <v>135</v>
      </c>
      <c r="B75" s="188"/>
      <c r="C75" s="189" t="str">
        <f>D67</f>
        <v>Tower G = B + G + 1st to 22nd Floor</v>
      </c>
      <c r="D75" s="190"/>
      <c r="E75" s="190"/>
      <c r="F75" s="190"/>
      <c r="G75" s="190"/>
      <c r="H75" s="191"/>
      <c r="I75" s="43" t="str">
        <f ca="1">IF(D88=100%,"All work Completed. Possession granted to the Building.",IF(D87=100%,"All work Completed, Waiting for OC",I76&amp;""&amp;I77&amp;""&amp;J76&amp;""&amp;J75&amp;" "&amp;J77))</f>
        <v xml:space="preserve">Work not yet Started. </v>
      </c>
      <c r="J75" s="44"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5" t="s">
        <v>137</v>
      </c>
      <c r="B76" s="42">
        <v>1</v>
      </c>
      <c r="C76" s="42" t="s">
        <v>68</v>
      </c>
      <c r="D76" s="42">
        <v>1</v>
      </c>
      <c r="E76" s="42" t="s">
        <v>67</v>
      </c>
      <c r="F76" s="42">
        <v>0</v>
      </c>
      <c r="G76" s="42" t="s">
        <v>75</v>
      </c>
      <c r="H76" s="16">
        <f ca="1">--TRIM(RIGHT(SUBSTITUTE(LEFT(C75,_xlfn.AGGREGATE(16,6,FIND({0,1,2,3,4,5,6,7,8,9},C75,ROW(INDIRECT("1:"&amp;LEN(C75)))),1))," ",REPT(" ",LEN(C75))),LEN(C75)))</f>
        <v>22</v>
      </c>
      <c r="I76" s="45" t="str">
        <f ca="1">IF(D79=100%,"Excavation","")&amp;IF(D80=100%,", Plinth","")&amp;IF(D81=100%,", RCC Slab","")&amp;IF(D82=100%,", Brickwork","")&amp;IF(D83=100%,", Internal Plaster","")&amp;IF(D84=100%,", External Plaster","")&amp;IF(D85=100%,", Flooring","")&amp;IF(D86=100%,", Painting","")&amp;IF(D87=100%,", Building common Amenities","")</f>
        <v/>
      </c>
      <c r="J76" s="46" t="str">
        <f>(IF(C79=0,"Work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Work not yet Started.</v>
      </c>
      <c r="S76"/>
    </row>
    <row r="77" spans="1:19" x14ac:dyDescent="0.25">
      <c r="A77" s="186" t="s">
        <v>85</v>
      </c>
      <c r="B77" s="154"/>
      <c r="C77" s="192" t="str">
        <f ca="1">I75</f>
        <v xml:space="preserve">Work not yet Started. </v>
      </c>
      <c r="D77" s="192"/>
      <c r="E77" s="192"/>
      <c r="F77" s="192"/>
      <c r="G77" s="192"/>
      <c r="H77" s="193"/>
      <c r="I77" s="45" t="str">
        <f ca="1">IF(I76&lt;&gt;""," Completed","")</f>
        <v/>
      </c>
      <c r="J77" s="46" t="str">
        <f ca="1">IF(J75&lt;&gt;"","Completed","")</f>
        <v/>
      </c>
      <c r="S77"/>
    </row>
    <row r="78" spans="1:19" ht="15.75" customHeight="1" x14ac:dyDescent="0.25">
      <c r="A78" s="110" t="s">
        <v>47</v>
      </c>
      <c r="B78" s="111"/>
      <c r="C78" s="98" t="s">
        <v>134</v>
      </c>
      <c r="D78" s="98" t="s">
        <v>78</v>
      </c>
      <c r="E78" s="111" t="s">
        <v>80</v>
      </c>
      <c r="F78" s="111"/>
      <c r="G78" s="111" t="s">
        <v>79</v>
      </c>
      <c r="H78" s="112"/>
      <c r="I78" s="13" t="s">
        <v>136</v>
      </c>
      <c r="J78" s="25">
        <f ca="1">H76*25%</f>
        <v>5.5</v>
      </c>
      <c r="S78"/>
    </row>
    <row r="79" spans="1:19" x14ac:dyDescent="0.25">
      <c r="A79" s="110" t="s">
        <v>123</v>
      </c>
      <c r="B79" s="111"/>
      <c r="C79" s="98">
        <v>0</v>
      </c>
      <c r="D79" s="96">
        <f ca="1">((100/H76)*C79)/100</f>
        <v>0</v>
      </c>
      <c r="E79" s="226">
        <f ca="1">(((C80/H76*10)+(40/(D76+F76+H76)*C81)+(7.5/(H76)*C82)+(7.5/(H76)*C83)+(10/H76*C84)+(10/H76*C85)+(5/H76*C86)+(5/H76*C87)+(5/H76*C88))/100)</f>
        <v>0</v>
      </c>
      <c r="F79" s="227"/>
      <c r="G79" s="226">
        <f ca="1">((((C79/H76)*20)+((C80/H76)*25)+(30/(H76+F76+D76)*C81)+(5/H76*C82)+(5/H76*C83)+(5/H76*C84)+(5/H76*C85)+(0/H76*C86)+(0/H76*C87)+(5/H76*C88))/100)</f>
        <v>0</v>
      </c>
      <c r="H79" s="232"/>
      <c r="I79" s="13" t="s">
        <v>96</v>
      </c>
      <c r="J79" s="26">
        <f ca="1">H76*50%</f>
        <v>11</v>
      </c>
    </row>
    <row r="80" spans="1:19" x14ac:dyDescent="0.25">
      <c r="A80" s="110" t="s">
        <v>48</v>
      </c>
      <c r="B80" s="111"/>
      <c r="C80" s="98">
        <v>0</v>
      </c>
      <c r="D80" s="96">
        <f ca="1">((100/H76)*C80)/100</f>
        <v>0</v>
      </c>
      <c r="E80" s="228"/>
      <c r="F80" s="229"/>
      <c r="G80" s="228"/>
      <c r="H80" s="233"/>
      <c r="I80" s="13" t="s">
        <v>97</v>
      </c>
      <c r="J80" s="26">
        <f ca="1">H76</f>
        <v>22</v>
      </c>
      <c r="S80"/>
    </row>
    <row r="81" spans="1:22" ht="15.75" customHeight="1" x14ac:dyDescent="0.25">
      <c r="A81" s="110" t="s">
        <v>124</v>
      </c>
      <c r="B81" s="111"/>
      <c r="C81" s="98">
        <v>0</v>
      </c>
      <c r="D81" s="96">
        <f ca="1">((100/(D76+F76+H76))*C81)/100</f>
        <v>0</v>
      </c>
      <c r="E81" s="228"/>
      <c r="F81" s="229"/>
      <c r="G81" s="228"/>
      <c r="H81" s="233"/>
      <c r="I81" s="13" t="s">
        <v>98</v>
      </c>
      <c r="J81" s="27">
        <f ca="1">(IF(B76&gt;1,(H76/(B76+2)),H76/4))</f>
        <v>5.5</v>
      </c>
      <c r="S81"/>
    </row>
    <row r="82" spans="1:22" ht="15.75" customHeight="1" x14ac:dyDescent="0.25">
      <c r="A82" s="110" t="s">
        <v>131</v>
      </c>
      <c r="B82" s="111" t="s">
        <v>125</v>
      </c>
      <c r="C82" s="98">
        <v>0</v>
      </c>
      <c r="D82" s="96">
        <f ca="1">((100/H76)*C82)/100</f>
        <v>0</v>
      </c>
      <c r="E82" s="228"/>
      <c r="F82" s="229"/>
      <c r="G82" s="228"/>
      <c r="H82" s="233"/>
      <c r="I82" s="13" t="s">
        <v>99</v>
      </c>
      <c r="J82" s="27">
        <f ca="1">(IF(B76&gt;1,(H76/(B76+2)+J81),H76/4+J81))</f>
        <v>11</v>
      </c>
    </row>
    <row r="83" spans="1:22" ht="15.75" customHeight="1" x14ac:dyDescent="0.25">
      <c r="A83" s="110" t="s">
        <v>132</v>
      </c>
      <c r="B83" s="111" t="s">
        <v>125</v>
      </c>
      <c r="C83" s="98">
        <v>0</v>
      </c>
      <c r="D83" s="96">
        <f ca="1">((100/H76)*C83)/100</f>
        <v>0</v>
      </c>
      <c r="E83" s="228"/>
      <c r="F83" s="229"/>
      <c r="G83" s="228"/>
      <c r="H83" s="233"/>
      <c r="I83" s="13" t="s">
        <v>141</v>
      </c>
      <c r="J83" s="27">
        <f>(IF(B76&gt;1,(H76/(B76+2)+J82),0))</f>
        <v>0</v>
      </c>
    </row>
    <row r="84" spans="1:22" ht="15" customHeight="1" x14ac:dyDescent="0.25">
      <c r="A84" s="110" t="s">
        <v>130</v>
      </c>
      <c r="B84" s="111" t="s">
        <v>127</v>
      </c>
      <c r="C84" s="98">
        <v>0</v>
      </c>
      <c r="D84" s="96">
        <f ca="1">((100/(H76))*C84)/100</f>
        <v>0</v>
      </c>
      <c r="E84" s="228"/>
      <c r="F84" s="229"/>
      <c r="G84" s="228"/>
      <c r="H84" s="233"/>
      <c r="I84" s="13" t="s">
        <v>138</v>
      </c>
      <c r="J84" s="27">
        <f>(IF(B76&gt;2,(H76/(B76+2)+J83),0))</f>
        <v>0</v>
      </c>
    </row>
    <row r="85" spans="1:22" ht="15.75" customHeight="1" x14ac:dyDescent="0.25">
      <c r="A85" s="110" t="s">
        <v>126</v>
      </c>
      <c r="B85" s="111" t="s">
        <v>126</v>
      </c>
      <c r="C85" s="98">
        <v>0</v>
      </c>
      <c r="D85" s="96">
        <f ca="1">((100/H76)*C85)/100</f>
        <v>0</v>
      </c>
      <c r="E85" s="228"/>
      <c r="F85" s="229"/>
      <c r="G85" s="228"/>
      <c r="H85" s="233"/>
      <c r="I85" s="13" t="s">
        <v>139</v>
      </c>
      <c r="J85" s="28">
        <f>(IF(B76&gt;3,(H76/(B76+2)+J84),0))</f>
        <v>0</v>
      </c>
    </row>
    <row r="86" spans="1:22" ht="15.75" customHeight="1" x14ac:dyDescent="0.25">
      <c r="A86" s="110" t="s">
        <v>133</v>
      </c>
      <c r="B86" s="111"/>
      <c r="C86" s="98">
        <v>0</v>
      </c>
      <c r="D86" s="96">
        <f ca="1">((100/H76)*C86)/100</f>
        <v>0</v>
      </c>
      <c r="E86" s="228"/>
      <c r="F86" s="229"/>
      <c r="G86" s="228"/>
      <c r="H86" s="233"/>
      <c r="I86" s="13" t="s">
        <v>140</v>
      </c>
      <c r="J86" s="27">
        <f>(IF(B76&gt;4,(H76/(B76+2)+J85),0))</f>
        <v>0</v>
      </c>
    </row>
    <row r="87" spans="1:22" ht="15.75" customHeight="1" x14ac:dyDescent="0.25">
      <c r="A87" s="110" t="s">
        <v>128</v>
      </c>
      <c r="B87" s="111" t="s">
        <v>128</v>
      </c>
      <c r="C87" s="98">
        <v>0</v>
      </c>
      <c r="D87" s="96">
        <f ca="1">((100/(H76))*C87)/100</f>
        <v>0</v>
      </c>
      <c r="E87" s="228"/>
      <c r="F87" s="229"/>
      <c r="G87" s="228"/>
      <c r="H87" s="233"/>
      <c r="I87" s="13" t="s">
        <v>142</v>
      </c>
      <c r="J87" s="27">
        <f ca="1">(IF(B76=1,(H76/(B76+3)+J82),IF(B76=0,(H76/4+J82),IF(B76&gt;1,0))))</f>
        <v>16.5</v>
      </c>
    </row>
    <row r="88" spans="1:22" ht="16.5" thickBot="1" x14ac:dyDescent="0.3">
      <c r="A88" s="113" t="s">
        <v>129</v>
      </c>
      <c r="B88" s="114"/>
      <c r="C88" s="103">
        <v>0</v>
      </c>
      <c r="D88" s="97">
        <f ca="1">((100/(H76))*C88)/100</f>
        <v>0</v>
      </c>
      <c r="E88" s="230"/>
      <c r="F88" s="231"/>
      <c r="G88" s="230"/>
      <c r="H88" s="234"/>
      <c r="I88" s="14" t="s">
        <v>100</v>
      </c>
      <c r="J88" s="29">
        <f ca="1">(IF(B76&gt;1.5,(H76/(B76+2)+J82+MAX(0,J83-J82)+MAX(0,J84-J83)+MAX(0,J85-J84)+MAX(0,J86-J85)+MAX(0,J87-J86)),IF(B76=1,(H76/(B76+3)+J87),IF(B76=0,H76/4+J87))))</f>
        <v>22</v>
      </c>
    </row>
    <row r="89" spans="1:22" x14ac:dyDescent="0.25">
      <c r="A89" s="133" t="s">
        <v>150</v>
      </c>
      <c r="B89" s="133"/>
      <c r="C89" s="133"/>
      <c r="D89" s="133"/>
      <c r="E89" s="133"/>
      <c r="F89" s="140" t="s">
        <v>154</v>
      </c>
      <c r="G89" s="140"/>
      <c r="H89" s="140"/>
      <c r="R89" t="s">
        <v>242</v>
      </c>
      <c r="S89" t="s">
        <v>164</v>
      </c>
      <c r="T89" t="s">
        <v>170</v>
      </c>
      <c r="U89" t="s">
        <v>184</v>
      </c>
      <c r="V89" t="s">
        <v>179</v>
      </c>
    </row>
    <row r="90" spans="1:22" x14ac:dyDescent="0.25">
      <c r="A90" s="117" t="s">
        <v>152</v>
      </c>
      <c r="B90" s="117"/>
      <c r="C90" s="117"/>
      <c r="D90" s="117"/>
      <c r="E90" s="117"/>
      <c r="F90" s="116">
        <v>20000</v>
      </c>
      <c r="G90" s="116"/>
      <c r="H90" s="116"/>
      <c r="I90" s="18" t="s">
        <v>420</v>
      </c>
      <c r="R90"/>
      <c r="S90">
        <v>800000</v>
      </c>
      <c r="T90">
        <v>150000</v>
      </c>
      <c r="U90">
        <v>100000</v>
      </c>
      <c r="V90">
        <v>100000</v>
      </c>
    </row>
    <row r="91" spans="1:22" hidden="1" x14ac:dyDescent="0.25">
      <c r="A91" s="117" t="s">
        <v>151</v>
      </c>
      <c r="B91" s="117"/>
      <c r="C91" s="117"/>
      <c r="D91" s="117"/>
      <c r="E91" s="117"/>
      <c r="F91" s="116"/>
      <c r="G91" s="116"/>
      <c r="H91" s="116"/>
      <c r="R91"/>
      <c r="S91">
        <v>900000</v>
      </c>
      <c r="T91">
        <v>200000</v>
      </c>
      <c r="U91">
        <v>150000</v>
      </c>
      <c r="V91">
        <v>150000</v>
      </c>
    </row>
    <row r="92" spans="1:22" hidden="1" x14ac:dyDescent="0.25">
      <c r="A92" s="117" t="s">
        <v>153</v>
      </c>
      <c r="B92" s="117"/>
      <c r="C92" s="117"/>
      <c r="D92" s="117"/>
      <c r="E92" s="117"/>
      <c r="F92" s="116"/>
      <c r="G92" s="116"/>
      <c r="H92" s="116"/>
      <c r="R92"/>
      <c r="S92">
        <v>1000000</v>
      </c>
      <c r="T92">
        <v>250000</v>
      </c>
      <c r="U92">
        <v>200000</v>
      </c>
      <c r="V92">
        <v>200000</v>
      </c>
    </row>
    <row r="93" spans="1:22" s="30" customFormat="1" hidden="1" x14ac:dyDescent="0.25">
      <c r="A93" s="117" t="s">
        <v>166</v>
      </c>
      <c r="B93" s="117"/>
      <c r="C93" s="117"/>
      <c r="D93" s="117"/>
      <c r="E93" s="117"/>
      <c r="F93" s="116"/>
      <c r="G93" s="116"/>
      <c r="H93" s="116"/>
      <c r="R93"/>
      <c r="S93">
        <v>1100000</v>
      </c>
      <c r="T93">
        <v>300000</v>
      </c>
      <c r="U93">
        <v>250000</v>
      </c>
      <c r="V93" s="20">
        <v>250000</v>
      </c>
    </row>
    <row r="94" spans="1:22" s="30" customFormat="1" hidden="1" x14ac:dyDescent="0.25">
      <c r="A94" s="117" t="s">
        <v>90</v>
      </c>
      <c r="B94" s="117"/>
      <c r="C94" s="117"/>
      <c r="D94" s="117"/>
      <c r="E94" s="117"/>
      <c r="F94" s="116"/>
      <c r="G94" s="116"/>
      <c r="H94" s="116"/>
      <c r="R94"/>
      <c r="S94">
        <v>1200000</v>
      </c>
      <c r="T94">
        <v>350000</v>
      </c>
      <c r="U94">
        <v>300000</v>
      </c>
      <c r="V94">
        <v>300000</v>
      </c>
    </row>
    <row r="95" spans="1:22" s="30" customFormat="1" hidden="1" x14ac:dyDescent="0.25">
      <c r="A95" s="117" t="s">
        <v>91</v>
      </c>
      <c r="B95" s="117"/>
      <c r="C95" s="117"/>
      <c r="D95" s="117"/>
      <c r="E95" s="117"/>
      <c r="F95" s="116"/>
      <c r="G95" s="116"/>
      <c r="H95" s="116"/>
      <c r="R95"/>
      <c r="S95">
        <v>1300000</v>
      </c>
      <c r="T95">
        <v>400000</v>
      </c>
      <c r="U95">
        <v>350000</v>
      </c>
      <c r="V95" s="20">
        <v>400000</v>
      </c>
    </row>
    <row r="96" spans="1:22" s="30" customFormat="1" hidden="1" x14ac:dyDescent="0.25">
      <c r="A96" s="117" t="s">
        <v>92</v>
      </c>
      <c r="B96" s="117"/>
      <c r="C96" s="117"/>
      <c r="D96" s="117"/>
      <c r="E96" s="117"/>
      <c r="F96" s="116"/>
      <c r="G96" s="116"/>
      <c r="H96" s="116"/>
      <c r="R96"/>
      <c r="S96">
        <v>1400000</v>
      </c>
      <c r="T96">
        <v>500000</v>
      </c>
      <c r="U96">
        <v>400000</v>
      </c>
      <c r="V96"/>
    </row>
    <row r="97" spans="1:22" s="30" customFormat="1" hidden="1" x14ac:dyDescent="0.25">
      <c r="A97" s="117" t="s">
        <v>93</v>
      </c>
      <c r="B97" s="117"/>
      <c r="C97" s="117"/>
      <c r="D97" s="117"/>
      <c r="E97" s="117"/>
      <c r="F97" s="116"/>
      <c r="G97" s="116"/>
      <c r="H97" s="116"/>
      <c r="R97"/>
      <c r="S97">
        <v>1500000</v>
      </c>
      <c r="T97">
        <v>600000</v>
      </c>
      <c r="U97">
        <v>500000</v>
      </c>
      <c r="V97" s="20"/>
    </row>
    <row r="98" spans="1:22" s="30" customFormat="1" hidden="1" x14ac:dyDescent="0.25">
      <c r="A98" s="117" t="s">
        <v>94</v>
      </c>
      <c r="B98" s="117"/>
      <c r="C98" s="117"/>
      <c r="D98" s="117"/>
      <c r="E98" s="117"/>
      <c r="F98" s="116"/>
      <c r="G98" s="116"/>
      <c r="H98" s="116"/>
      <c r="R98"/>
      <c r="S98">
        <v>1600000</v>
      </c>
      <c r="T98">
        <v>700000</v>
      </c>
      <c r="U98">
        <v>600000</v>
      </c>
      <c r="V98"/>
    </row>
    <row r="99" spans="1:22" s="30" customFormat="1" hidden="1" x14ac:dyDescent="0.25">
      <c r="A99" s="117" t="s">
        <v>95</v>
      </c>
      <c r="B99" s="117"/>
      <c r="C99" s="117"/>
      <c r="D99" s="117"/>
      <c r="E99" s="117"/>
      <c r="F99" s="116"/>
      <c r="G99" s="116"/>
      <c r="H99" s="116"/>
      <c r="R99"/>
      <c r="S99">
        <v>1700000</v>
      </c>
      <c r="T99">
        <v>800000</v>
      </c>
      <c r="U99"/>
      <c r="V99" s="20"/>
    </row>
    <row r="100" spans="1:22" x14ac:dyDescent="0.25">
      <c r="A100" s="117" t="s">
        <v>49</v>
      </c>
      <c r="B100" s="117"/>
      <c r="C100" s="117"/>
      <c r="D100" s="117"/>
      <c r="E100" s="117"/>
      <c r="F100" s="116">
        <v>800000</v>
      </c>
      <c r="G100" s="116"/>
      <c r="H100" s="116"/>
      <c r="R100"/>
      <c r="S100">
        <v>1800000</v>
      </c>
      <c r="T100">
        <v>900000</v>
      </c>
      <c r="U100"/>
    </row>
    <row r="101" spans="1:22" s="31" customFormat="1" x14ac:dyDescent="0.25">
      <c r="A101" s="154" t="s">
        <v>50</v>
      </c>
      <c r="B101" s="154"/>
      <c r="C101" s="154"/>
      <c r="D101" s="154"/>
      <c r="E101" s="154"/>
      <c r="F101" s="116">
        <f>F90*0.8</f>
        <v>16000</v>
      </c>
      <c r="G101" s="116"/>
      <c r="H101" s="116"/>
      <c r="R101" s="18"/>
      <c r="S101" s="18"/>
      <c r="T101">
        <v>1000000</v>
      </c>
      <c r="U101"/>
      <c r="V101" s="18"/>
    </row>
    <row r="102" spans="1:22" s="32" customFormat="1" x14ac:dyDescent="0.25">
      <c r="A102" s="258" t="s">
        <v>66</v>
      </c>
      <c r="B102" s="258"/>
      <c r="C102" s="258"/>
      <c r="D102" s="258"/>
      <c r="E102" s="258"/>
      <c r="F102" s="258"/>
      <c r="G102" s="258"/>
      <c r="H102" s="258"/>
      <c r="T102"/>
    </row>
    <row r="103" spans="1:22" s="32" customFormat="1" ht="15.75" customHeight="1" x14ac:dyDescent="0.25">
      <c r="A103" s="157" t="s">
        <v>51</v>
      </c>
      <c r="B103" s="157"/>
      <c r="C103" s="125" t="s">
        <v>73</v>
      </c>
      <c r="D103" s="125"/>
      <c r="E103" s="115" t="s">
        <v>52</v>
      </c>
      <c r="F103" s="115"/>
      <c r="G103" s="157" t="s">
        <v>53</v>
      </c>
      <c r="H103" s="157"/>
      <c r="T103"/>
    </row>
    <row r="104" spans="1:22" s="32" customFormat="1" x14ac:dyDescent="0.25">
      <c r="A104" s="253" t="s">
        <v>431</v>
      </c>
      <c r="B104" s="101" t="s">
        <v>418</v>
      </c>
      <c r="C104" s="145">
        <f>COUNT(F115:F116)*3+COUNT(F120:F121)+COUNT(F125:F126)+COUNT(F131,F133)+COUNT(F138)*2+COUNT(F148)+COUNT(F155:F156)+COUNT(F160:F160,F162)+COUNT(F168)*2+COUNT(F171,F173)*2+COUNT(F177:F178)+COUNT(F181:F183)</f>
        <v>30</v>
      </c>
      <c r="D104" s="145"/>
      <c r="E104" s="145">
        <f>SUM(F115:F116)*3+SUM(F120:F121)+SUM(F125:F126)+SUM(F131,F133)+SUM(F138)*2+SUM(F148)+SUM(F155:F156)+SUM(F160:F160,F162)+SUM(F168)*2+SUM(F171,F173)*2+SUM(F177:F178)+SUM(F181:F183)</f>
        <v>24051.18924</v>
      </c>
      <c r="F104" s="145"/>
      <c r="G104" s="145">
        <f>SUM(H115:H116)*3+SUM(H120:H121)+SUM(H125:H126)+SUM(H131,H133)+SUM(H138)*2+SUM(H148)+SUM(H155:H156)+SUM(H160:H160,H162)+SUM(H168)*2+SUM(H171,H173)*2+SUM(H177:H178)+SUM(H181:H183)</f>
        <v>36076.783860000003</v>
      </c>
      <c r="H104" s="145"/>
      <c r="I104" s="92" t="s">
        <v>404</v>
      </c>
      <c r="T104"/>
    </row>
    <row r="105" spans="1:22" s="32" customFormat="1" x14ac:dyDescent="0.25">
      <c r="A105" s="254"/>
      <c r="B105" s="101" t="s">
        <v>419</v>
      </c>
      <c r="C105" s="145">
        <f>COUNT(F130,F132)+COUNT(F135:F137)*2+COUNT(F141:F144)+COUNT(F147,F149:F150)+COUNT(F153:F154)+COUNT(F159,F161)+COUNT(F165:F167)*2+COUNT(F170,F172)*2+COUNT(F175:F176)+COUNT(F180)</f>
        <v>32</v>
      </c>
      <c r="D105" s="145"/>
      <c r="E105" s="145">
        <f>SUM(F130,F132)+SUM(F135:F137)*2+SUM(F141:F144)+SUM(F147,F149:F150)+SUM(F153:F154)+SUM(F159,F161)+SUM(F165:F167)*2+SUM(F170,F172)*2+SUM(F175:F176)+SUM(F180)</f>
        <v>25738.553879999996</v>
      </c>
      <c r="F105" s="145"/>
      <c r="G105" s="145">
        <f>SUM(H130,H132)+SUM(H135:H137)*2+SUM(H141:H144)+SUM(H147,H149:H150)+SUM(H153:H154)+SUM(H159,H161)+SUM(H165:H167)*2+SUM(H170,H172)*2+SUM(H175:H176)+SUM(H180)</f>
        <v>38607.830819999996</v>
      </c>
      <c r="H105" s="145"/>
      <c r="I105" s="92"/>
      <c r="T105"/>
    </row>
    <row r="106" spans="1:22" s="32" customFormat="1" x14ac:dyDescent="0.25">
      <c r="A106" s="155" t="s">
        <v>145</v>
      </c>
      <c r="B106" s="155"/>
      <c r="C106" s="141">
        <f t="shared" ref="C106:G106" si="0">SUM(C104:D105)</f>
        <v>62</v>
      </c>
      <c r="D106" s="125"/>
      <c r="E106" s="235">
        <f t="shared" si="0"/>
        <v>49789.743119999999</v>
      </c>
      <c r="F106" s="115"/>
      <c r="G106" s="157">
        <f t="shared" si="0"/>
        <v>74684.614679999999</v>
      </c>
      <c r="H106" s="157"/>
      <c r="T106"/>
    </row>
    <row r="107" spans="1:22" s="31" customFormat="1" x14ac:dyDescent="0.25">
      <c r="A107" s="140" t="s">
        <v>342</v>
      </c>
      <c r="B107" s="140"/>
      <c r="C107" s="140"/>
      <c r="D107" s="140"/>
      <c r="E107" s="140"/>
      <c r="F107" s="140"/>
      <c r="G107" s="140"/>
      <c r="H107" s="140"/>
      <c r="T107" s="32"/>
    </row>
    <row r="108" spans="1:22" x14ac:dyDescent="0.25">
      <c r="A108" s="121" t="s">
        <v>400</v>
      </c>
      <c r="B108" s="121"/>
      <c r="C108" s="121"/>
      <c r="D108" s="121"/>
      <c r="E108" s="121"/>
      <c r="F108" s="121"/>
      <c r="G108" s="121"/>
      <c r="H108" s="121"/>
      <c r="T108" s="32"/>
    </row>
    <row r="109" spans="1:22" ht="47.25" customHeight="1" x14ac:dyDescent="0.25">
      <c r="A109" s="148" t="s">
        <v>403</v>
      </c>
      <c r="B109" s="150" t="s">
        <v>412</v>
      </c>
      <c r="C109" s="150" t="s">
        <v>54</v>
      </c>
      <c r="D109" s="150" t="s">
        <v>362</v>
      </c>
      <c r="E109" s="150" t="s">
        <v>399</v>
      </c>
      <c r="F109" s="150" t="s">
        <v>55</v>
      </c>
      <c r="G109" s="212" t="s">
        <v>56</v>
      </c>
      <c r="H109" s="99" t="s">
        <v>144</v>
      </c>
      <c r="I109" s="91">
        <f>10.764</f>
        <v>10.763999999999999</v>
      </c>
      <c r="T109" s="34"/>
    </row>
    <row r="110" spans="1:22" s="34" customFormat="1" x14ac:dyDescent="0.25">
      <c r="A110" s="149"/>
      <c r="B110" s="151"/>
      <c r="C110" s="151"/>
      <c r="D110" s="151"/>
      <c r="E110" s="151"/>
      <c r="F110" s="151"/>
      <c r="G110" s="213"/>
      <c r="H110" s="90">
        <v>0.5</v>
      </c>
      <c r="I110" s="33"/>
    </row>
    <row r="111" spans="1:22" s="87" customFormat="1" x14ac:dyDescent="0.25">
      <c r="A111" s="255" t="s">
        <v>431</v>
      </c>
      <c r="B111" s="256"/>
      <c r="C111" s="256"/>
      <c r="D111" s="256"/>
      <c r="E111" s="256"/>
      <c r="F111" s="256"/>
      <c r="G111" s="256"/>
      <c r="H111" s="257"/>
      <c r="J111" s="33"/>
    </row>
    <row r="112" spans="1:22" s="87" customFormat="1" x14ac:dyDescent="0.25">
      <c r="A112" s="106" t="s">
        <v>411</v>
      </c>
      <c r="B112" s="107"/>
      <c r="C112" s="107"/>
      <c r="D112" s="107"/>
      <c r="E112" s="107"/>
      <c r="F112" s="107"/>
      <c r="G112" s="107"/>
      <c r="H112" s="108"/>
      <c r="J112" s="33"/>
    </row>
    <row r="113" spans="1:14" s="34" customFormat="1" x14ac:dyDescent="0.25">
      <c r="A113" s="106" t="s">
        <v>392</v>
      </c>
      <c r="B113" s="107"/>
      <c r="C113" s="107"/>
      <c r="D113" s="107"/>
      <c r="E113" s="107"/>
      <c r="F113" s="107"/>
      <c r="G113" s="107"/>
      <c r="H113" s="108"/>
      <c r="J113" s="33"/>
    </row>
    <row r="114" spans="1:14" s="34" customFormat="1" ht="15.75" customHeight="1" x14ac:dyDescent="0.25">
      <c r="A114" s="106" t="s">
        <v>394</v>
      </c>
      <c r="B114" s="107"/>
      <c r="C114" s="107"/>
      <c r="D114" s="107"/>
      <c r="E114" s="107"/>
      <c r="F114" s="107"/>
      <c r="G114" s="107"/>
      <c r="H114" s="108"/>
      <c r="I114" s="33"/>
      <c r="L114" s="105"/>
      <c r="M114" s="105"/>
      <c r="N114" s="33"/>
    </row>
    <row r="115" spans="1:14" s="34" customFormat="1" ht="15.75" customHeight="1" x14ac:dyDescent="0.25">
      <c r="A115" s="89">
        <v>1</v>
      </c>
      <c r="B115" s="102" t="s">
        <v>414</v>
      </c>
      <c r="C115" s="39" t="s">
        <v>393</v>
      </c>
      <c r="D115" s="91">
        <f>(68.4)*(10.764)</f>
        <v>736.25760000000002</v>
      </c>
      <c r="E115" s="91">
        <f>(2.68)*(10.764)</f>
        <v>28.847519999999999</v>
      </c>
      <c r="F115" s="39">
        <f>D115+E115</f>
        <v>765.10512000000006</v>
      </c>
      <c r="G115" s="39">
        <v>0</v>
      </c>
      <c r="H115" s="39">
        <f>F115*(($H$110)+1)+(IF(G115&lt;101,G115,IF(G115&lt;201,G115/2,IF(G115&lt;=301,G115/3,G115/4))))</f>
        <v>1147.65768</v>
      </c>
      <c r="I115" s="33"/>
      <c r="L115" s="105"/>
      <c r="M115" s="105"/>
      <c r="N115" s="33"/>
    </row>
    <row r="116" spans="1:14" s="87" customFormat="1" ht="15.75" customHeight="1" x14ac:dyDescent="0.25">
      <c r="A116" s="89">
        <f>A115+1</f>
        <v>2</v>
      </c>
      <c r="B116" s="102" t="s">
        <v>414</v>
      </c>
      <c r="C116" s="86" t="s">
        <v>393</v>
      </c>
      <c r="D116" s="91">
        <f>(70.69)*(10.764)</f>
        <v>760.90715999999998</v>
      </c>
      <c r="E116" s="91">
        <f>(3.2)*(10.764)</f>
        <v>34.444800000000001</v>
      </c>
      <c r="F116" s="39">
        <f>D116+E116</f>
        <v>795.35195999999996</v>
      </c>
      <c r="G116" s="39">
        <v>0</v>
      </c>
      <c r="H116" s="39">
        <f>F116*(($H$110)+1)+(IF(G116&lt;101,G116,IF(G116&lt;201,G116/2,IF(G116&lt;=301,G116/3,G116/4))))</f>
        <v>1193.0279399999999</v>
      </c>
      <c r="I116" s="33"/>
      <c r="N116" s="33"/>
    </row>
    <row r="117" spans="1:14" s="87" customFormat="1" x14ac:dyDescent="0.25">
      <c r="A117" s="109" t="s">
        <v>397</v>
      </c>
      <c r="B117" s="109"/>
      <c r="C117" s="236" t="s">
        <v>398</v>
      </c>
      <c r="D117" s="237"/>
      <c r="E117" s="237"/>
      <c r="F117" s="237"/>
      <c r="G117" s="237"/>
      <c r="H117" s="238"/>
      <c r="I117" s="33"/>
      <c r="N117" s="33"/>
    </row>
    <row r="118" spans="1:14" s="87" customFormat="1" x14ac:dyDescent="0.25">
      <c r="A118" s="109" t="s">
        <v>397</v>
      </c>
      <c r="B118" s="109"/>
      <c r="C118" s="239"/>
      <c r="D118" s="240"/>
      <c r="E118" s="240"/>
      <c r="F118" s="240"/>
      <c r="G118" s="240"/>
      <c r="H118" s="241"/>
      <c r="J118" s="33"/>
    </row>
    <row r="119" spans="1:14" s="87" customFormat="1" ht="15.75" customHeight="1" x14ac:dyDescent="0.25">
      <c r="A119" s="106" t="s">
        <v>395</v>
      </c>
      <c r="B119" s="107"/>
      <c r="C119" s="107"/>
      <c r="D119" s="107"/>
      <c r="E119" s="107"/>
      <c r="F119" s="107"/>
      <c r="G119" s="107"/>
      <c r="H119" s="108"/>
      <c r="I119" s="33"/>
      <c r="L119" s="105"/>
      <c r="M119" s="105"/>
      <c r="N119" s="33"/>
    </row>
    <row r="120" spans="1:14" s="87" customFormat="1" ht="15.75" customHeight="1" x14ac:dyDescent="0.25">
      <c r="A120" s="89">
        <v>1</v>
      </c>
      <c r="B120" s="102" t="s">
        <v>414</v>
      </c>
      <c r="C120" s="86" t="s">
        <v>393</v>
      </c>
      <c r="D120" s="91">
        <f>(68.4)*(10.764)</f>
        <v>736.25760000000002</v>
      </c>
      <c r="E120" s="91">
        <f>(2.68)*(10.764)</f>
        <v>28.847519999999999</v>
      </c>
      <c r="F120" s="86">
        <f>D120+E120</f>
        <v>765.10512000000006</v>
      </c>
      <c r="G120" s="86">
        <v>0</v>
      </c>
      <c r="H120" s="86">
        <f>F120*(($H$110)+1)+(IF(G120&lt;101,G120,IF(G120&lt;201,G120/2,IF(G120&lt;=301,G120/3,G120/4))))</f>
        <v>1147.65768</v>
      </c>
      <c r="I120" s="33"/>
      <c r="L120" s="105"/>
      <c r="M120" s="105"/>
      <c r="N120" s="33"/>
    </row>
    <row r="121" spans="1:14" s="87" customFormat="1" ht="15.75" customHeight="1" x14ac:dyDescent="0.25">
      <c r="A121" s="89">
        <f>A120+1</f>
        <v>2</v>
      </c>
      <c r="B121" s="102" t="s">
        <v>414</v>
      </c>
      <c r="C121" s="86" t="s">
        <v>393</v>
      </c>
      <c r="D121" s="91">
        <f>(70.69)*(10.764)</f>
        <v>760.90715999999998</v>
      </c>
      <c r="E121" s="91">
        <f>(3.2)*(10.764)</f>
        <v>34.444800000000001</v>
      </c>
      <c r="F121" s="86">
        <f>D121+E121</f>
        <v>795.35195999999996</v>
      </c>
      <c r="G121" s="86">
        <v>0</v>
      </c>
      <c r="H121" s="86">
        <f>F121*(($H$110)+1)+(IF(G121&lt;101,G121,IF(G121&lt;201,G121/2,IF(G121&lt;=301,G121/3,G121/4))))</f>
        <v>1193.0279399999999</v>
      </c>
      <c r="I121" s="33"/>
      <c r="N121" s="33"/>
    </row>
    <row r="122" spans="1:14" s="87" customFormat="1" x14ac:dyDescent="0.25">
      <c r="A122" s="109" t="s">
        <v>397</v>
      </c>
      <c r="B122" s="109"/>
      <c r="C122" s="236" t="s">
        <v>398</v>
      </c>
      <c r="D122" s="237"/>
      <c r="E122" s="237"/>
      <c r="F122" s="237"/>
      <c r="G122" s="237"/>
      <c r="H122" s="238"/>
      <c r="I122" s="33"/>
      <c r="N122" s="33"/>
    </row>
    <row r="123" spans="1:14" s="87" customFormat="1" x14ac:dyDescent="0.25">
      <c r="A123" s="109" t="s">
        <v>397</v>
      </c>
      <c r="B123" s="109"/>
      <c r="C123" s="239"/>
      <c r="D123" s="240"/>
      <c r="E123" s="240"/>
      <c r="F123" s="240"/>
      <c r="G123" s="240"/>
      <c r="H123" s="241"/>
      <c r="J123" s="33"/>
    </row>
    <row r="124" spans="1:14" s="87" customFormat="1" ht="15.75" customHeight="1" x14ac:dyDescent="0.25">
      <c r="A124" s="106" t="s">
        <v>415</v>
      </c>
      <c r="B124" s="107"/>
      <c r="C124" s="107"/>
      <c r="D124" s="107"/>
      <c r="E124" s="107"/>
      <c r="F124" s="107"/>
      <c r="G124" s="107"/>
      <c r="H124" s="108"/>
      <c r="I124" s="33"/>
      <c r="L124" s="105"/>
      <c r="M124" s="105"/>
      <c r="N124" s="33"/>
    </row>
    <row r="125" spans="1:14" s="87" customFormat="1" ht="15.75" customHeight="1" x14ac:dyDescent="0.25">
      <c r="A125" s="89">
        <v>1</v>
      </c>
      <c r="B125" s="102" t="s">
        <v>414</v>
      </c>
      <c r="C125" s="86" t="s">
        <v>393</v>
      </c>
      <c r="D125" s="91">
        <f>(68.4)*(10.764)</f>
        <v>736.25760000000002</v>
      </c>
      <c r="E125" s="91">
        <f>(2.68)*(10.764)</f>
        <v>28.847519999999999</v>
      </c>
      <c r="F125" s="86">
        <f>D125+E125</f>
        <v>765.10512000000006</v>
      </c>
      <c r="G125" s="86">
        <v>0</v>
      </c>
      <c r="H125" s="86">
        <f>F125*(($H$110)+1)+(IF(G125&lt;101,G125,IF(G125&lt;201,G125/2,IF(G125&lt;=301,G125/3,G125/4))))</f>
        <v>1147.65768</v>
      </c>
      <c r="I125" s="33"/>
      <c r="L125" s="105"/>
      <c r="M125" s="105"/>
      <c r="N125" s="33"/>
    </row>
    <row r="126" spans="1:14" s="87" customFormat="1" ht="15.75" customHeight="1" x14ac:dyDescent="0.25">
      <c r="A126" s="89">
        <f>A125+1</f>
        <v>2</v>
      </c>
      <c r="B126" s="102" t="s">
        <v>414</v>
      </c>
      <c r="C126" s="86" t="s">
        <v>393</v>
      </c>
      <c r="D126" s="91">
        <f>(70.69)*(10.764)</f>
        <v>760.90715999999998</v>
      </c>
      <c r="E126" s="91">
        <f>(3.2)*(10.764)</f>
        <v>34.444800000000001</v>
      </c>
      <c r="F126" s="86">
        <f>D126+E126</f>
        <v>795.35195999999996</v>
      </c>
      <c r="G126" s="86">
        <v>0</v>
      </c>
      <c r="H126" s="86">
        <f>F126*(($H$110)+1)+(IF(G126&lt;101,G126,IF(G126&lt;201,G126/2,IF(G126&lt;=301,G126/3,G126/4))))</f>
        <v>1193.0279399999999</v>
      </c>
      <c r="I126" s="33"/>
      <c r="N126" s="33"/>
    </row>
    <row r="127" spans="1:14" s="87" customFormat="1" x14ac:dyDescent="0.25">
      <c r="A127" s="109" t="s">
        <v>397</v>
      </c>
      <c r="B127" s="109"/>
      <c r="C127" s="236" t="s">
        <v>416</v>
      </c>
      <c r="D127" s="237"/>
      <c r="E127" s="237"/>
      <c r="F127" s="237"/>
      <c r="G127" s="237"/>
      <c r="H127" s="238"/>
      <c r="I127" s="33"/>
      <c r="N127" s="33"/>
    </row>
    <row r="128" spans="1:14" s="34" customFormat="1" x14ac:dyDescent="0.25">
      <c r="A128" s="109" t="s">
        <v>397</v>
      </c>
      <c r="B128" s="109"/>
      <c r="C128" s="239"/>
      <c r="D128" s="240"/>
      <c r="E128" s="240"/>
      <c r="F128" s="240"/>
      <c r="G128" s="240"/>
      <c r="H128" s="241"/>
      <c r="I128" s="33">
        <f>26200000-(26200000*0.12)</f>
        <v>23056000</v>
      </c>
      <c r="L128" s="105"/>
      <c r="M128" s="105"/>
    </row>
    <row r="129" spans="1:20" s="34" customFormat="1" x14ac:dyDescent="0.25">
      <c r="A129" s="147" t="s">
        <v>396</v>
      </c>
      <c r="B129" s="147"/>
      <c r="C129" s="147"/>
      <c r="D129" s="147"/>
      <c r="E129" s="147"/>
      <c r="F129" s="147"/>
      <c r="G129" s="147"/>
      <c r="H129" s="147"/>
      <c r="I129" s="95">
        <f>23000000/H130</f>
        <v>20205.693964559214</v>
      </c>
      <c r="N129" s="33"/>
    </row>
    <row r="130" spans="1:20" s="34" customFormat="1" x14ac:dyDescent="0.25">
      <c r="A130" s="89">
        <v>1</v>
      </c>
      <c r="B130" s="89" t="s">
        <v>413</v>
      </c>
      <c r="C130" s="86" t="s">
        <v>393</v>
      </c>
      <c r="D130" s="91">
        <f>(67.82)*(10.764)</f>
        <v>730.01447999999993</v>
      </c>
      <c r="E130" s="91">
        <f>(2.68)*(10.764)</f>
        <v>28.847519999999999</v>
      </c>
      <c r="F130" s="39">
        <f>D130+E130</f>
        <v>758.86199999999997</v>
      </c>
      <c r="G130" s="39">
        <v>0</v>
      </c>
      <c r="H130" s="39">
        <f>F130*(($H$110)+1)+(IF(G130&lt;101,G130,IF(G130&lt;201,G130/2,IF(G130&lt;=301,G130/3,G130/4))))</f>
        <v>1138.2929999999999</v>
      </c>
      <c r="I130" s="33">
        <f>H131*$I$139</f>
        <v>23860558.799999997</v>
      </c>
      <c r="N130" s="33"/>
    </row>
    <row r="131" spans="1:20" s="34" customFormat="1" x14ac:dyDescent="0.25">
      <c r="A131" s="89">
        <f>A130+1</f>
        <v>2</v>
      </c>
      <c r="B131" s="102" t="s">
        <v>414</v>
      </c>
      <c r="C131" s="86" t="s">
        <v>393</v>
      </c>
      <c r="D131" s="91">
        <f>(70.69)*(10.764)</f>
        <v>760.90715999999998</v>
      </c>
      <c r="E131" s="91">
        <f>(3.2)*(10.764)</f>
        <v>34.444800000000001</v>
      </c>
      <c r="F131" s="39">
        <f>D131+E131</f>
        <v>795.35195999999996</v>
      </c>
      <c r="G131" s="39">
        <v>0</v>
      </c>
      <c r="H131" s="39">
        <f>F131*(($H$110)+1)+(IF(G131&lt;101,G131,IF(G131&lt;201,G131/2,IF(G131&lt;=301,G131/3,G131/4))))</f>
        <v>1193.0279399999999</v>
      </c>
      <c r="I131" s="33"/>
      <c r="N131" s="33"/>
    </row>
    <row r="132" spans="1:20" s="34" customFormat="1" x14ac:dyDescent="0.25">
      <c r="A132" s="89">
        <f>A131+1</f>
        <v>3</v>
      </c>
      <c r="B132" s="89" t="s">
        <v>413</v>
      </c>
      <c r="C132" s="86" t="s">
        <v>393</v>
      </c>
      <c r="D132" s="91">
        <f>(67.75)*(10.764)</f>
        <v>729.26099999999997</v>
      </c>
      <c r="E132" s="91">
        <f>(2.68)*(10.764)</f>
        <v>28.847519999999999</v>
      </c>
      <c r="F132" s="39">
        <f>D132+E132</f>
        <v>758.10852</v>
      </c>
      <c r="G132" s="39">
        <v>0</v>
      </c>
      <c r="H132" s="39">
        <f>F132*(($H$110)+1)+(IF(G132&lt;101,G132,IF(G132&lt;201,G132/2,IF(G132&lt;=301,G132/3,G132/4))))</f>
        <v>1137.1627800000001</v>
      </c>
      <c r="I132" s="95">
        <f>23000000/H133</f>
        <v>20225.776295632888</v>
      </c>
      <c r="N132" s="33"/>
    </row>
    <row r="133" spans="1:20" s="87" customFormat="1" x14ac:dyDescent="0.25">
      <c r="A133" s="89">
        <f>A132+1</f>
        <v>4</v>
      </c>
      <c r="B133" s="102" t="s">
        <v>414</v>
      </c>
      <c r="C133" s="86" t="s">
        <v>393</v>
      </c>
      <c r="D133" s="91">
        <f>(67.75)*(10.764)</f>
        <v>729.26099999999997</v>
      </c>
      <c r="E133" s="91">
        <f>(2.68)*(10.764)</f>
        <v>28.847519999999999</v>
      </c>
      <c r="F133" s="39">
        <f>D133+E133</f>
        <v>758.10852</v>
      </c>
      <c r="G133" s="39">
        <v>0</v>
      </c>
      <c r="H133" s="39">
        <f>F133*(($H$110)+1)+(IF(G133&lt;101,G133,IF(G133&lt;201,G133/2,IF(G133&lt;=301,G133/3,G133/4))))</f>
        <v>1137.1627800000001</v>
      </c>
      <c r="I133" s="33">
        <f>33300000-(33300000*0.12)</f>
        <v>29304000</v>
      </c>
      <c r="L133" s="105"/>
      <c r="M133" s="105"/>
    </row>
    <row r="134" spans="1:20" s="87" customFormat="1" x14ac:dyDescent="0.25">
      <c r="A134" s="147" t="s">
        <v>436</v>
      </c>
      <c r="B134" s="147"/>
      <c r="C134" s="147"/>
      <c r="D134" s="147"/>
      <c r="E134" s="147"/>
      <c r="F134" s="147"/>
      <c r="G134" s="147"/>
      <c r="H134" s="147"/>
      <c r="I134" s="95">
        <f>I133/H142</f>
        <v>20181.682247346846</v>
      </c>
      <c r="N134" s="33"/>
    </row>
    <row r="135" spans="1:20" s="87" customFormat="1" x14ac:dyDescent="0.25">
      <c r="A135" s="100">
        <v>1</v>
      </c>
      <c r="B135" s="100" t="s">
        <v>413</v>
      </c>
      <c r="C135" s="100" t="s">
        <v>393</v>
      </c>
      <c r="D135" s="91">
        <f>(67.82)*(10.764)</f>
        <v>730.01447999999993</v>
      </c>
      <c r="E135" s="91">
        <f>(2.68)*(10.764)</f>
        <v>28.847519999999999</v>
      </c>
      <c r="F135" s="100">
        <f>D135+E135</f>
        <v>758.86199999999997</v>
      </c>
      <c r="G135" s="100">
        <v>0</v>
      </c>
      <c r="H135" s="100">
        <f>F135*(($H$110)+1)+(IF(G135&lt;101,G135,IF(G135&lt;201,G135/2,IF(G135&lt;=301,G135/3,G135/4))))</f>
        <v>1138.2929999999999</v>
      </c>
      <c r="I135" s="33"/>
      <c r="N135" s="33"/>
    </row>
    <row r="136" spans="1:20" s="87" customFormat="1" x14ac:dyDescent="0.25">
      <c r="A136" s="100">
        <f>A135+1</f>
        <v>2</v>
      </c>
      <c r="B136" s="100" t="s">
        <v>413</v>
      </c>
      <c r="C136" s="100" t="s">
        <v>401</v>
      </c>
      <c r="D136" s="249">
        <f>(86.73)*(10.764)</f>
        <v>933.56172000000004</v>
      </c>
      <c r="E136" s="91">
        <f>(3.2)*(10.764)</f>
        <v>34.444800000000001</v>
      </c>
      <c r="F136" s="100">
        <f>D136+E136</f>
        <v>968.00652000000002</v>
      </c>
      <c r="G136" s="100">
        <v>0</v>
      </c>
      <c r="H136" s="100">
        <f>F136*(($H$110)+1)+(IF(G136&lt;101,G136,IF(G136&lt;201,G136/2,IF(G136&lt;=301,G136/3,G136/4))))</f>
        <v>1452.0097800000001</v>
      </c>
      <c r="I136" s="33"/>
      <c r="N136" s="33"/>
    </row>
    <row r="137" spans="1:20" s="104" customFormat="1" x14ac:dyDescent="0.25">
      <c r="A137" s="100">
        <f>A136+1</f>
        <v>3</v>
      </c>
      <c r="B137" s="100" t="s">
        <v>413</v>
      </c>
      <c r="C137" s="100" t="s">
        <v>393</v>
      </c>
      <c r="D137" s="249">
        <f>(67.75)*(10.764)</f>
        <v>729.26099999999997</v>
      </c>
      <c r="E137" s="91">
        <f>(2.68)*(10.764)</f>
        <v>28.847519999999999</v>
      </c>
      <c r="F137" s="100">
        <f>D137+E137</f>
        <v>758.10852</v>
      </c>
      <c r="G137" s="100">
        <v>0</v>
      </c>
      <c r="H137" s="100">
        <f>F137*(($H$110)+1)+(IF(G137&lt;101,G137,IF(G137&lt;201,G137/2,IF(G137&lt;=301,G137/3,G137/4))))</f>
        <v>1137.1627800000001</v>
      </c>
      <c r="I137" s="33"/>
      <c r="N137" s="33"/>
    </row>
    <row r="138" spans="1:20" s="87" customFormat="1" x14ac:dyDescent="0.25">
      <c r="A138" s="100">
        <f>A137+1</f>
        <v>4</v>
      </c>
      <c r="B138" s="102" t="s">
        <v>414</v>
      </c>
      <c r="C138" s="100" t="s">
        <v>393</v>
      </c>
      <c r="D138" s="249">
        <f>(67.75)*(10.764)</f>
        <v>729.26099999999997</v>
      </c>
      <c r="E138" s="91">
        <f>(2.68)*(10.764)</f>
        <v>28.847519999999999</v>
      </c>
      <c r="F138" s="100">
        <f>D138+E138</f>
        <v>758.10852</v>
      </c>
      <c r="G138" s="100">
        <v>0</v>
      </c>
      <c r="H138" s="100">
        <f>F138*(($H$110)+1)+(IF(G138&lt;101,G138,IF(G138&lt;201,G138/2,IF(G138&lt;=301,G138/3,G138/4))))</f>
        <v>1137.1627800000001</v>
      </c>
      <c r="I138" s="33"/>
      <c r="N138" s="33"/>
    </row>
    <row r="139" spans="1:20" s="87" customFormat="1" x14ac:dyDescent="0.25">
      <c r="A139" s="100" t="s">
        <v>441</v>
      </c>
      <c r="B139" s="250" t="s">
        <v>442</v>
      </c>
      <c r="C139" s="251"/>
      <c r="D139" s="251"/>
      <c r="E139" s="251"/>
      <c r="F139" s="251"/>
      <c r="G139" s="251"/>
      <c r="H139" s="252"/>
      <c r="I139" s="33">
        <v>20000</v>
      </c>
      <c r="L139" s="105"/>
      <c r="M139" s="105"/>
    </row>
    <row r="140" spans="1:20" s="87" customFormat="1" ht="15.75" customHeight="1" x14ac:dyDescent="0.25">
      <c r="A140" s="147" t="s">
        <v>435</v>
      </c>
      <c r="B140" s="147"/>
      <c r="C140" s="147"/>
      <c r="D140" s="147"/>
      <c r="E140" s="147"/>
      <c r="F140" s="147"/>
      <c r="G140" s="147"/>
      <c r="H140" s="147"/>
      <c r="I140" s="33">
        <f>H165*$I$139</f>
        <v>22765859.999999996</v>
      </c>
      <c r="N140" s="33"/>
    </row>
    <row r="141" spans="1:20" s="87" customFormat="1" x14ac:dyDescent="0.25">
      <c r="A141" s="89">
        <v>1</v>
      </c>
      <c r="B141" s="89" t="s">
        <v>413</v>
      </c>
      <c r="C141" s="86" t="s">
        <v>393</v>
      </c>
      <c r="D141" s="91">
        <f>(67.82)*(10.764)</f>
        <v>730.01447999999993</v>
      </c>
      <c r="E141" s="91">
        <f>(2.68)*(10.764)</f>
        <v>28.847519999999999</v>
      </c>
      <c r="F141" s="86">
        <f>D141+E141</f>
        <v>758.86199999999997</v>
      </c>
      <c r="G141" s="86">
        <v>0</v>
      </c>
      <c r="H141" s="86">
        <f>F141*(($H$110)+1)+(IF(G141&lt;101,G141,IF(G141&lt;201,G141/2,IF(G141&lt;=301,G141/3,G141/4))))</f>
        <v>1138.2929999999999</v>
      </c>
      <c r="I141" s="33">
        <f t="shared" ref="I141:I143" si="1">H166*$I$139</f>
        <v>29040195.600000001</v>
      </c>
      <c r="N141" s="33"/>
    </row>
    <row r="142" spans="1:20" s="87" customFormat="1" x14ac:dyDescent="0.25">
      <c r="A142" s="89">
        <f>A141+1</f>
        <v>2</v>
      </c>
      <c r="B142" s="100" t="s">
        <v>413</v>
      </c>
      <c r="C142" s="86" t="s">
        <v>401</v>
      </c>
      <c r="D142" s="249">
        <f>(86.73)*(10.764)</f>
        <v>933.56172000000004</v>
      </c>
      <c r="E142" s="91">
        <f>(3.2)*(10.764)</f>
        <v>34.444800000000001</v>
      </c>
      <c r="F142" s="86">
        <f>D142+E142</f>
        <v>968.00652000000002</v>
      </c>
      <c r="G142" s="86">
        <v>0</v>
      </c>
      <c r="H142" s="86">
        <f>F142*(($H$110)+1)+(IF(G142&lt;101,G142,IF(G142&lt;201,G142/2,IF(G142&lt;=301,G142/3,G142/4))))</f>
        <v>1452.0097800000001</v>
      </c>
      <c r="I142" s="33">
        <f t="shared" si="1"/>
        <v>22743255.600000001</v>
      </c>
      <c r="N142" s="33"/>
    </row>
    <row r="143" spans="1:20" s="87" customFormat="1" x14ac:dyDescent="0.25">
      <c r="A143" s="89">
        <f>A142+1</f>
        <v>3</v>
      </c>
      <c r="B143" s="100" t="s">
        <v>413</v>
      </c>
      <c r="C143" s="86" t="s">
        <v>393</v>
      </c>
      <c r="D143" s="249">
        <f>(67.75)*(10.764)</f>
        <v>729.26099999999997</v>
      </c>
      <c r="E143" s="91">
        <f>(2.68)*(10.764)</f>
        <v>28.847519999999999</v>
      </c>
      <c r="F143" s="86">
        <f>D143+E143</f>
        <v>758.10852</v>
      </c>
      <c r="G143" s="86">
        <v>0</v>
      </c>
      <c r="H143" s="86">
        <f>F143*(($H$110)+1)+(IF(G143&lt;101,G143,IF(G143&lt;201,G143/2,IF(G143&lt;=301,G143/3,G143/4))))</f>
        <v>1137.1627800000001</v>
      </c>
      <c r="I143" s="33">
        <f t="shared" si="1"/>
        <v>22743255.600000001</v>
      </c>
      <c r="N143" s="33"/>
    </row>
    <row r="144" spans="1:20" s="32" customFormat="1" x14ac:dyDescent="0.25">
      <c r="A144" s="89">
        <f>A143+1</f>
        <v>4</v>
      </c>
      <c r="B144" s="100" t="s">
        <v>413</v>
      </c>
      <c r="C144" s="86" t="s">
        <v>393</v>
      </c>
      <c r="D144" s="249">
        <f>(67.75)*(10.764)</f>
        <v>729.26099999999997</v>
      </c>
      <c r="E144" s="91">
        <f>(2.68)*(10.764)</f>
        <v>28.847519999999999</v>
      </c>
      <c r="F144" s="86">
        <f>D144+E144</f>
        <v>758.10852</v>
      </c>
      <c r="G144" s="86">
        <v>0</v>
      </c>
      <c r="H144" s="86">
        <f>F144*(($H$110)+1)+(IF(G144&lt;101,G144,IF(G144&lt;201,G144/2,IF(G144&lt;=301,G144/3,G144/4))))</f>
        <v>1137.1627800000001</v>
      </c>
      <c r="I144" s="33">
        <f>H184*$I$139</f>
        <v>0</v>
      </c>
      <c r="T144" s="34"/>
    </row>
    <row r="145" spans="1:20" s="32" customFormat="1" x14ac:dyDescent="0.25">
      <c r="A145" s="100" t="s">
        <v>441</v>
      </c>
      <c r="B145" s="250" t="s">
        <v>442</v>
      </c>
      <c r="C145" s="251"/>
      <c r="D145" s="251"/>
      <c r="E145" s="251"/>
      <c r="F145" s="251"/>
      <c r="G145" s="251"/>
      <c r="H145" s="252"/>
      <c r="T145" s="34"/>
    </row>
    <row r="146" spans="1:20" s="32" customFormat="1" x14ac:dyDescent="0.25">
      <c r="A146" s="147" t="s">
        <v>432</v>
      </c>
      <c r="B146" s="147"/>
      <c r="C146" s="147"/>
      <c r="D146" s="147"/>
      <c r="E146" s="147"/>
      <c r="F146" s="147"/>
      <c r="G146" s="147"/>
      <c r="H146" s="147"/>
      <c r="T146" s="34"/>
    </row>
    <row r="147" spans="1:20" s="32" customFormat="1" x14ac:dyDescent="0.25">
      <c r="A147" s="100">
        <v>1</v>
      </c>
      <c r="B147" s="100" t="s">
        <v>413</v>
      </c>
      <c r="C147" s="100" t="s">
        <v>393</v>
      </c>
      <c r="D147" s="91">
        <f>(67.82)*(10.764)</f>
        <v>730.01447999999993</v>
      </c>
      <c r="E147" s="91">
        <f>(2.68)*(10.764)</f>
        <v>28.847519999999999</v>
      </c>
      <c r="F147" s="100">
        <f>D147+E147</f>
        <v>758.86199999999997</v>
      </c>
      <c r="G147" s="100">
        <v>0</v>
      </c>
      <c r="H147" s="100">
        <f>F147*(($H$110)+1)+(IF(G147&lt;101,G147,IF(G147&lt;201,G147/2,IF(G147&lt;=301,G147/3,G147/4))))</f>
        <v>1138.2929999999999</v>
      </c>
      <c r="T147" s="34"/>
    </row>
    <row r="148" spans="1:20" s="32" customFormat="1" x14ac:dyDescent="0.25">
      <c r="A148" s="100">
        <f>A147+1</f>
        <v>2</v>
      </c>
      <c r="B148" s="102" t="s">
        <v>414</v>
      </c>
      <c r="C148" s="100" t="s">
        <v>401</v>
      </c>
      <c r="D148" s="249">
        <f>(86.73)*(10.764)</f>
        <v>933.56172000000004</v>
      </c>
      <c r="E148" s="91">
        <f>(3.2)*(10.764)</f>
        <v>34.444800000000001</v>
      </c>
      <c r="F148" s="100">
        <f>D148+E148</f>
        <v>968.00652000000002</v>
      </c>
      <c r="G148" s="100">
        <v>0</v>
      </c>
      <c r="H148" s="100">
        <f>F148*(($H$110)+1)+(IF(G148&lt;101,G148,IF(G148&lt;201,G148/2,IF(G148&lt;=301,G148/3,G148/4))))</f>
        <v>1452.0097800000001</v>
      </c>
      <c r="T148" s="34"/>
    </row>
    <row r="149" spans="1:20" s="32" customFormat="1" x14ac:dyDescent="0.25">
      <c r="A149" s="100">
        <f>A148+1</f>
        <v>3</v>
      </c>
      <c r="B149" s="100" t="s">
        <v>413</v>
      </c>
      <c r="C149" s="100" t="s">
        <v>393</v>
      </c>
      <c r="D149" s="249">
        <f>(67.75)*(10.764)</f>
        <v>729.26099999999997</v>
      </c>
      <c r="E149" s="91">
        <f>(2.68)*(10.764)</f>
        <v>28.847519999999999</v>
      </c>
      <c r="F149" s="100">
        <f>D149+E149</f>
        <v>758.10852</v>
      </c>
      <c r="G149" s="100">
        <v>0</v>
      </c>
      <c r="H149" s="100">
        <f>F149*(($H$110)+1)+(IF(G149&lt;101,G149,IF(G149&lt;201,G149/2,IF(G149&lt;=301,G149/3,G149/4))))</f>
        <v>1137.1627800000001</v>
      </c>
    </row>
    <row r="150" spans="1:20" s="32" customFormat="1" x14ac:dyDescent="0.25">
      <c r="A150" s="100">
        <f>A149+1</f>
        <v>4</v>
      </c>
      <c r="B150" s="100" t="s">
        <v>413</v>
      </c>
      <c r="C150" s="100" t="s">
        <v>393</v>
      </c>
      <c r="D150" s="249">
        <f>(67.75)*(10.764)</f>
        <v>729.26099999999997</v>
      </c>
      <c r="E150" s="91">
        <f>(2.68)*(10.764)</f>
        <v>28.847519999999999</v>
      </c>
      <c r="F150" s="100">
        <f>D150+E150</f>
        <v>758.10852</v>
      </c>
      <c r="G150" s="100">
        <v>0</v>
      </c>
      <c r="H150" s="100">
        <f>F150*(($H$110)+1)+(IF(G150&lt;101,G150,IF(G150&lt;201,G150/2,IF(G150&lt;=301,G150/3,G150/4))))</f>
        <v>1137.1627800000001</v>
      </c>
    </row>
    <row r="151" spans="1:20" s="32" customFormat="1" x14ac:dyDescent="0.25">
      <c r="A151" s="100" t="s">
        <v>441</v>
      </c>
      <c r="B151" s="250" t="s">
        <v>442</v>
      </c>
      <c r="C151" s="251"/>
      <c r="D151" s="251"/>
      <c r="E151" s="251"/>
      <c r="F151" s="251"/>
      <c r="G151" s="251"/>
      <c r="H151" s="252"/>
    </row>
    <row r="152" spans="1:20" s="32" customFormat="1" x14ac:dyDescent="0.25">
      <c r="A152" s="247" t="s">
        <v>433</v>
      </c>
      <c r="B152" s="247"/>
      <c r="C152" s="247"/>
      <c r="D152" s="247"/>
      <c r="E152" s="247"/>
      <c r="F152" s="247"/>
      <c r="G152" s="247"/>
      <c r="H152" s="247"/>
    </row>
    <row r="153" spans="1:20" s="32" customFormat="1" x14ac:dyDescent="0.25">
      <c r="A153" s="248">
        <v>1</v>
      </c>
      <c r="B153" s="248" t="s">
        <v>413</v>
      </c>
      <c r="C153" s="248" t="s">
        <v>393</v>
      </c>
      <c r="D153" s="91">
        <f>(67.82)*(10.764)</f>
        <v>730.01447999999993</v>
      </c>
      <c r="E153" s="249">
        <f>(2.68)*(10.764)</f>
        <v>28.847519999999999</v>
      </c>
      <c r="F153" s="248">
        <f>D153+E153</f>
        <v>758.86199999999997</v>
      </c>
      <c r="G153" s="248">
        <v>0</v>
      </c>
      <c r="H153" s="248">
        <f>F153*(($H$110)+1)+(IF(G153&lt;101,G153,IF(G153&lt;201,G153/2,IF(G153&lt;=301,G153/3,G153/4))))</f>
        <v>1138.2929999999999</v>
      </c>
    </row>
    <row r="154" spans="1:20" s="32" customFormat="1" x14ac:dyDescent="0.25">
      <c r="A154" s="248">
        <f>A153+1</f>
        <v>2</v>
      </c>
      <c r="B154" s="248" t="s">
        <v>413</v>
      </c>
      <c r="C154" s="248" t="s">
        <v>401</v>
      </c>
      <c r="D154" s="249">
        <f>(86.73)*(10.764)</f>
        <v>933.56172000000004</v>
      </c>
      <c r="E154" s="249">
        <f>(3.2)*(10.764)</f>
        <v>34.444800000000001</v>
      </c>
      <c r="F154" s="248">
        <f>D154+E154</f>
        <v>968.00652000000002</v>
      </c>
      <c r="G154" s="248">
        <v>0</v>
      </c>
      <c r="H154" s="248">
        <f>F154*(($H$110)+1)+(IF(G154&lt;101,G154,IF(G154&lt;201,G154/2,IF(G154&lt;=301,G154/3,G154/4))))</f>
        <v>1452.0097800000001</v>
      </c>
    </row>
    <row r="155" spans="1:20" x14ac:dyDescent="0.25">
      <c r="A155" s="248">
        <f>A154+1</f>
        <v>3</v>
      </c>
      <c r="B155" s="102" t="s">
        <v>414</v>
      </c>
      <c r="C155" s="248" t="s">
        <v>393</v>
      </c>
      <c r="D155" s="249">
        <f>(67.75)*(10.764)</f>
        <v>729.26099999999997</v>
      </c>
      <c r="E155" s="249">
        <f>(2.68)*(10.764)</f>
        <v>28.847519999999999</v>
      </c>
      <c r="F155" s="248">
        <f>D155+E155</f>
        <v>758.10852</v>
      </c>
      <c r="G155" s="248">
        <v>0</v>
      </c>
      <c r="H155" s="248">
        <f>F155*(($H$110)+1)+(IF(G155&lt;101,G155,IF(G155&lt;201,G155/2,IF(G155&lt;=301,G155/3,G155/4))))</f>
        <v>1137.1627800000001</v>
      </c>
      <c r="T155" s="32"/>
    </row>
    <row r="156" spans="1:20" ht="15.75" customHeight="1" x14ac:dyDescent="0.25">
      <c r="A156" s="248">
        <f>A155+1</f>
        <v>4</v>
      </c>
      <c r="B156" s="102" t="s">
        <v>414</v>
      </c>
      <c r="C156" s="248" t="s">
        <v>393</v>
      </c>
      <c r="D156" s="249">
        <f>(67.75)*(10.764)</f>
        <v>729.26099999999997</v>
      </c>
      <c r="E156" s="249">
        <f>(2.68)*(10.764)</f>
        <v>28.847519999999999</v>
      </c>
      <c r="F156" s="248">
        <f>D156+E156</f>
        <v>758.10852</v>
      </c>
      <c r="G156" s="248">
        <v>0</v>
      </c>
      <c r="H156" s="248">
        <f>F156*(($H$110)+1)+(IF(G156&lt;101,G156,IF(G156&lt;201,G156/2,IF(G156&lt;=301,G156/3,G156/4))))</f>
        <v>1137.1627800000001</v>
      </c>
      <c r="T156" s="32"/>
    </row>
    <row r="157" spans="1:20" x14ac:dyDescent="0.25">
      <c r="A157" s="100" t="s">
        <v>441</v>
      </c>
      <c r="B157" s="250" t="s">
        <v>442</v>
      </c>
      <c r="C157" s="251"/>
      <c r="D157" s="251"/>
      <c r="E157" s="251"/>
      <c r="F157" s="251"/>
      <c r="G157" s="251"/>
      <c r="H157" s="252"/>
      <c r="T157" s="32"/>
    </row>
    <row r="158" spans="1:20" x14ac:dyDescent="0.25">
      <c r="A158" s="247" t="s">
        <v>434</v>
      </c>
      <c r="B158" s="247"/>
      <c r="C158" s="247"/>
      <c r="D158" s="247"/>
      <c r="E158" s="247"/>
      <c r="F158" s="247"/>
      <c r="G158" s="247"/>
      <c r="H158" s="247"/>
      <c r="T158" s="32"/>
    </row>
    <row r="159" spans="1:20" x14ac:dyDescent="0.25">
      <c r="A159" s="248">
        <v>1</v>
      </c>
      <c r="B159" s="248" t="s">
        <v>413</v>
      </c>
      <c r="C159" s="248" t="s">
        <v>393</v>
      </c>
      <c r="D159" s="91">
        <f>(67.82)*(10.764)</f>
        <v>730.01447999999993</v>
      </c>
      <c r="E159" s="249">
        <f>(2.68)*(10.764)</f>
        <v>28.847519999999999</v>
      </c>
      <c r="F159" s="248">
        <f>D159+E159</f>
        <v>758.86199999999997</v>
      </c>
      <c r="G159" s="248">
        <v>0</v>
      </c>
      <c r="H159" s="248">
        <f>F159*(($H$110)+1)+(IF(G159&lt;101,G159,IF(G159&lt;201,G159/2,IF(G159&lt;=301,G159/3,G159/4))))</f>
        <v>1138.2929999999999</v>
      </c>
      <c r="T159" s="32"/>
    </row>
    <row r="160" spans="1:20" x14ac:dyDescent="0.25">
      <c r="A160" s="248">
        <f>A159+1</f>
        <v>2</v>
      </c>
      <c r="B160" s="102" t="s">
        <v>414</v>
      </c>
      <c r="C160" s="248" t="s">
        <v>401</v>
      </c>
      <c r="D160" s="249">
        <f>(86.73)*(10.764)</f>
        <v>933.56172000000004</v>
      </c>
      <c r="E160" s="249">
        <f>(3.2)*(10.764)</f>
        <v>34.444800000000001</v>
      </c>
      <c r="F160" s="248">
        <f>D160+E160</f>
        <v>968.00652000000002</v>
      </c>
      <c r="G160" s="248">
        <v>0</v>
      </c>
      <c r="H160" s="248">
        <f>F160*(($H$110)+1)+(IF(G160&lt;101,G160,IF(G160&lt;201,G160/2,IF(G160&lt;=301,G160/3,G160/4))))</f>
        <v>1452.0097800000001</v>
      </c>
    </row>
    <row r="161" spans="1:8" x14ac:dyDescent="0.25">
      <c r="A161" s="248">
        <f>A160+1</f>
        <v>3</v>
      </c>
      <c r="B161" s="248" t="s">
        <v>413</v>
      </c>
      <c r="C161" s="248" t="s">
        <v>393</v>
      </c>
      <c r="D161" s="249">
        <f>(67.75)*(10.764)</f>
        <v>729.26099999999997</v>
      </c>
      <c r="E161" s="249">
        <f>(2.68)*(10.764)</f>
        <v>28.847519999999999</v>
      </c>
      <c r="F161" s="248">
        <f>D161+E161</f>
        <v>758.10852</v>
      </c>
      <c r="G161" s="248">
        <v>0</v>
      </c>
      <c r="H161" s="248">
        <f>F161*(($H$110)+1)+(IF(G161&lt;101,G161,IF(G161&lt;201,G161/2,IF(G161&lt;=301,G161/3,G161/4))))</f>
        <v>1137.1627800000001</v>
      </c>
    </row>
    <row r="162" spans="1:8" x14ac:dyDescent="0.25">
      <c r="A162" s="248">
        <f>A161+1</f>
        <v>4</v>
      </c>
      <c r="B162" s="102" t="s">
        <v>414</v>
      </c>
      <c r="C162" s="248" t="s">
        <v>393</v>
      </c>
      <c r="D162" s="249">
        <f>(67.75)*(10.764)</f>
        <v>729.26099999999997</v>
      </c>
      <c r="E162" s="249">
        <f>(2.68)*(10.764)</f>
        <v>28.847519999999999</v>
      </c>
      <c r="F162" s="248">
        <f>D162+E162</f>
        <v>758.10852</v>
      </c>
      <c r="G162" s="248">
        <v>0</v>
      </c>
      <c r="H162" s="248">
        <f>F162*(($H$110)+1)+(IF(G162&lt;101,G162,IF(G162&lt;201,G162/2,IF(G162&lt;=301,G162/3,G162/4))))</f>
        <v>1137.1627800000001</v>
      </c>
    </row>
    <row r="163" spans="1:8" x14ac:dyDescent="0.25">
      <c r="A163" s="100" t="s">
        <v>441</v>
      </c>
      <c r="B163" s="250" t="s">
        <v>442</v>
      </c>
      <c r="C163" s="251"/>
      <c r="D163" s="251"/>
      <c r="E163" s="251"/>
      <c r="F163" s="251"/>
      <c r="G163" s="251"/>
      <c r="H163" s="252"/>
    </row>
    <row r="164" spans="1:8" x14ac:dyDescent="0.25">
      <c r="A164" s="147" t="s">
        <v>437</v>
      </c>
      <c r="B164" s="147"/>
      <c r="C164" s="147"/>
      <c r="D164" s="147"/>
      <c r="E164" s="147"/>
      <c r="F164" s="147"/>
      <c r="G164" s="147"/>
      <c r="H164" s="147"/>
    </row>
    <row r="165" spans="1:8" x14ac:dyDescent="0.25">
      <c r="A165" s="89">
        <v>1</v>
      </c>
      <c r="B165" s="89" t="s">
        <v>413</v>
      </c>
      <c r="C165" s="86" t="s">
        <v>393</v>
      </c>
      <c r="D165" s="91">
        <f>(67.82)*(10.764)</f>
        <v>730.01447999999993</v>
      </c>
      <c r="E165" s="91">
        <f>(2.68)*(10.764)</f>
        <v>28.847519999999999</v>
      </c>
      <c r="F165" s="86">
        <f>D165+E165</f>
        <v>758.86199999999997</v>
      </c>
      <c r="G165" s="86">
        <v>0</v>
      </c>
      <c r="H165" s="86">
        <f>F165*(($H$110)+1)+(IF(G165&lt;101,G165,IF(G165&lt;201,G165/2,IF(G165&lt;=301,G165/3,G165/4))))</f>
        <v>1138.2929999999999</v>
      </c>
    </row>
    <row r="166" spans="1:8" x14ac:dyDescent="0.25">
      <c r="A166" s="89">
        <f>A165+1</f>
        <v>2</v>
      </c>
      <c r="B166" s="100" t="s">
        <v>413</v>
      </c>
      <c r="C166" s="86" t="s">
        <v>401</v>
      </c>
      <c r="D166" s="91">
        <f>(86.73)*(10.764)</f>
        <v>933.56172000000004</v>
      </c>
      <c r="E166" s="91">
        <f>(3.2)*(10.764)</f>
        <v>34.444800000000001</v>
      </c>
      <c r="F166" s="86">
        <f>D166+E166</f>
        <v>968.00652000000002</v>
      </c>
      <c r="G166" s="86">
        <v>0</v>
      </c>
      <c r="H166" s="86">
        <f>F166*(($H$110)+1)+(IF(G166&lt;101,G166,IF(G166&lt;201,G166/2,IF(G166&lt;=301,G166/3,G166/4))))</f>
        <v>1452.0097800000001</v>
      </c>
    </row>
    <row r="167" spans="1:8" x14ac:dyDescent="0.25">
      <c r="A167" s="89">
        <f>A166+1</f>
        <v>3</v>
      </c>
      <c r="B167" s="89" t="s">
        <v>413</v>
      </c>
      <c r="C167" s="86" t="s">
        <v>393</v>
      </c>
      <c r="D167" s="91">
        <f>(67.75)*(10.764)</f>
        <v>729.26099999999997</v>
      </c>
      <c r="E167" s="91">
        <f>(2.68)*(10.764)</f>
        <v>28.847519999999999</v>
      </c>
      <c r="F167" s="86">
        <f>D167+E167</f>
        <v>758.10852</v>
      </c>
      <c r="G167" s="86">
        <v>0</v>
      </c>
      <c r="H167" s="86">
        <f>F167*(($H$110)+1)+(IF(G167&lt;101,G167,IF(G167&lt;201,G167/2,IF(G167&lt;=301,G167/3,G167/4))))</f>
        <v>1137.1627800000001</v>
      </c>
    </row>
    <row r="168" spans="1:8" x14ac:dyDescent="0.25">
      <c r="A168" s="89">
        <f>A167+1</f>
        <v>4</v>
      </c>
      <c r="B168" s="102" t="s">
        <v>414</v>
      </c>
      <c r="C168" s="86" t="s">
        <v>393</v>
      </c>
      <c r="D168" s="91">
        <f>(67.75)*(10.764)</f>
        <v>729.26099999999997</v>
      </c>
      <c r="E168" s="91">
        <f>(2.68)*(10.764)</f>
        <v>28.847519999999999</v>
      </c>
      <c r="F168" s="86">
        <f>D168+E168</f>
        <v>758.10852</v>
      </c>
      <c r="G168" s="86">
        <v>0</v>
      </c>
      <c r="H168" s="86">
        <f>F168*(($H$110)+1)+(IF(G168&lt;101,G168,IF(G168&lt;201,G168/2,IF(G168&lt;=301,G168/3,G168/4))))</f>
        <v>1137.1627800000001</v>
      </c>
    </row>
    <row r="169" spans="1:8" ht="15" customHeight="1" x14ac:dyDescent="0.25">
      <c r="A169" s="147" t="s">
        <v>439</v>
      </c>
      <c r="B169" s="147"/>
      <c r="C169" s="147"/>
      <c r="D169" s="147"/>
      <c r="E169" s="147"/>
      <c r="F169" s="147"/>
      <c r="G169" s="147"/>
      <c r="H169" s="147"/>
    </row>
    <row r="170" spans="1:8" x14ac:dyDescent="0.25">
      <c r="A170" s="100">
        <v>1</v>
      </c>
      <c r="B170" s="100" t="s">
        <v>413</v>
      </c>
      <c r="C170" s="100" t="s">
        <v>393</v>
      </c>
      <c r="D170" s="91">
        <f>(67.82)*(10.764)</f>
        <v>730.01447999999993</v>
      </c>
      <c r="E170" s="91">
        <f>(2.68)*(10.764)</f>
        <v>28.847519999999999</v>
      </c>
      <c r="F170" s="100">
        <f>D170+E170</f>
        <v>758.86199999999997</v>
      </c>
      <c r="G170" s="100">
        <v>0</v>
      </c>
      <c r="H170" s="100">
        <f>F170*(($H$110)+1)+(IF(G170&lt;101,G170,IF(G170&lt;201,G170/2,IF(G170&lt;=301,G170/3,G170/4))))</f>
        <v>1138.2929999999999</v>
      </c>
    </row>
    <row r="171" spans="1:8" x14ac:dyDescent="0.25">
      <c r="A171" s="100">
        <f>A170+1</f>
        <v>2</v>
      </c>
      <c r="B171" s="102" t="s">
        <v>414</v>
      </c>
      <c r="C171" s="100" t="s">
        <v>401</v>
      </c>
      <c r="D171" s="91">
        <f>(86.73)*(10.764)</f>
        <v>933.56172000000004</v>
      </c>
      <c r="E171" s="91">
        <f>(3.2)*(10.764)</f>
        <v>34.444800000000001</v>
      </c>
      <c r="F171" s="100">
        <f>D171+E171</f>
        <v>968.00652000000002</v>
      </c>
      <c r="G171" s="100">
        <v>0</v>
      </c>
      <c r="H171" s="100">
        <f>F171*(($H$110)+1)+(IF(G171&lt;101,G171,IF(G171&lt;201,G171/2,IF(G171&lt;=301,G171/3,G171/4))))</f>
        <v>1452.0097800000001</v>
      </c>
    </row>
    <row r="172" spans="1:8" x14ac:dyDescent="0.25">
      <c r="A172" s="100">
        <f>A171+1</f>
        <v>3</v>
      </c>
      <c r="B172" s="100" t="s">
        <v>413</v>
      </c>
      <c r="C172" s="100" t="s">
        <v>393</v>
      </c>
      <c r="D172" s="91">
        <f>(67.75)*(10.764)</f>
        <v>729.26099999999997</v>
      </c>
      <c r="E172" s="91">
        <f>(2.68)*(10.764)</f>
        <v>28.847519999999999</v>
      </c>
      <c r="F172" s="100">
        <f>D172+E172</f>
        <v>758.10852</v>
      </c>
      <c r="G172" s="100">
        <v>0</v>
      </c>
      <c r="H172" s="100">
        <f>F172*(($H$110)+1)+(IF(G172&lt;101,G172,IF(G172&lt;201,G172/2,IF(G172&lt;=301,G172/3,G172/4))))</f>
        <v>1137.1627800000001</v>
      </c>
    </row>
    <row r="173" spans="1:8" x14ac:dyDescent="0.25">
      <c r="A173" s="100">
        <f>A172+1</f>
        <v>4</v>
      </c>
      <c r="B173" s="102" t="s">
        <v>414</v>
      </c>
      <c r="C173" s="100" t="s">
        <v>393</v>
      </c>
      <c r="D173" s="91">
        <f>(67.75)*(10.764)</f>
        <v>729.26099999999997</v>
      </c>
      <c r="E173" s="91">
        <f>(2.68)*(10.764)</f>
        <v>28.847519999999999</v>
      </c>
      <c r="F173" s="100">
        <f>D173+E173</f>
        <v>758.10852</v>
      </c>
      <c r="G173" s="100">
        <v>0</v>
      </c>
      <c r="H173" s="100">
        <f>F173*(($H$110)+1)+(IF(G173&lt;101,G173,IF(G173&lt;201,G173/2,IF(G173&lt;=301,G173/3,G173/4))))</f>
        <v>1137.1627800000001</v>
      </c>
    </row>
    <row r="174" spans="1:8" x14ac:dyDescent="0.25">
      <c r="A174" s="147" t="s">
        <v>438</v>
      </c>
      <c r="B174" s="147"/>
      <c r="C174" s="147"/>
      <c r="D174" s="147"/>
      <c r="E174" s="147"/>
      <c r="F174" s="147"/>
      <c r="G174" s="147"/>
      <c r="H174" s="147"/>
    </row>
    <row r="175" spans="1:8" x14ac:dyDescent="0.25">
      <c r="A175" s="100">
        <v>1</v>
      </c>
      <c r="B175" s="100" t="s">
        <v>413</v>
      </c>
      <c r="C175" s="100" t="s">
        <v>393</v>
      </c>
      <c r="D175" s="91">
        <f>(67.82)*(10.764)</f>
        <v>730.01447999999993</v>
      </c>
      <c r="E175" s="91">
        <f>(2.68)*(10.764)</f>
        <v>28.847519999999999</v>
      </c>
      <c r="F175" s="100">
        <f>D175+E175</f>
        <v>758.86199999999997</v>
      </c>
      <c r="G175" s="100">
        <v>0</v>
      </c>
      <c r="H175" s="100">
        <f>F175*(($H$110)+1)+(IF(G175&lt;101,G175,IF(G175&lt;201,G175/2,IF(G175&lt;=301,G175/3,G175/4))))</f>
        <v>1138.2929999999999</v>
      </c>
    </row>
    <row r="176" spans="1:8" x14ac:dyDescent="0.25">
      <c r="A176" s="100">
        <f>A175+1</f>
        <v>2</v>
      </c>
      <c r="B176" s="100" t="s">
        <v>413</v>
      </c>
      <c r="C176" s="100" t="s">
        <v>401</v>
      </c>
      <c r="D176" s="91">
        <f>(86.73)*(10.764)</f>
        <v>933.56172000000004</v>
      </c>
      <c r="E176" s="91">
        <f>(3.2)*(10.764)</f>
        <v>34.444800000000001</v>
      </c>
      <c r="F176" s="100">
        <f>D176+E176</f>
        <v>968.00652000000002</v>
      </c>
      <c r="G176" s="100">
        <v>0</v>
      </c>
      <c r="H176" s="100">
        <f>F176*(($H$110)+1)+(IF(G176&lt;101,G176,IF(G176&lt;201,G176/2,IF(G176&lt;=301,G176/3,G176/4))))</f>
        <v>1452.0097800000001</v>
      </c>
    </row>
    <row r="177" spans="1:8" x14ac:dyDescent="0.25">
      <c r="A177" s="100">
        <f>A176+1</f>
        <v>3</v>
      </c>
      <c r="B177" s="102" t="s">
        <v>414</v>
      </c>
      <c r="C177" s="100" t="s">
        <v>393</v>
      </c>
      <c r="D177" s="91">
        <f>(67.75)*(10.764)</f>
        <v>729.26099999999997</v>
      </c>
      <c r="E177" s="91">
        <f>(2.68)*(10.764)</f>
        <v>28.847519999999999</v>
      </c>
      <c r="F177" s="100">
        <f>D177+E177</f>
        <v>758.10852</v>
      </c>
      <c r="G177" s="100">
        <v>0</v>
      </c>
      <c r="H177" s="100">
        <f>F177*(($H$110)+1)+(IF(G177&lt;101,G177,IF(G177&lt;201,G177/2,IF(G177&lt;=301,G177/3,G177/4))))</f>
        <v>1137.1627800000001</v>
      </c>
    </row>
    <row r="178" spans="1:8" x14ac:dyDescent="0.25">
      <c r="A178" s="100">
        <f>A177+1</f>
        <v>4</v>
      </c>
      <c r="B178" s="102" t="s">
        <v>414</v>
      </c>
      <c r="C178" s="100" t="s">
        <v>393</v>
      </c>
      <c r="D178" s="91">
        <f>(67.75)*(10.764)</f>
        <v>729.26099999999997</v>
      </c>
      <c r="E178" s="91">
        <f>(2.68)*(10.764)</f>
        <v>28.847519999999999</v>
      </c>
      <c r="F178" s="100">
        <f>D178+E178</f>
        <v>758.10852</v>
      </c>
      <c r="G178" s="100">
        <v>0</v>
      </c>
      <c r="H178" s="100">
        <f>F178*(($H$110)+1)+(IF(G178&lt;101,G178,IF(G178&lt;201,G178/2,IF(G178&lt;=301,G178/3,G178/4))))</f>
        <v>1137.1627800000001</v>
      </c>
    </row>
    <row r="179" spans="1:8" x14ac:dyDescent="0.25">
      <c r="A179" s="147" t="s">
        <v>440</v>
      </c>
      <c r="B179" s="147"/>
      <c r="C179" s="147"/>
      <c r="D179" s="147"/>
      <c r="E179" s="147"/>
      <c r="F179" s="147"/>
      <c r="G179" s="147"/>
      <c r="H179" s="147"/>
    </row>
    <row r="180" spans="1:8" x14ac:dyDescent="0.25">
      <c r="A180" s="100">
        <v>1</v>
      </c>
      <c r="B180" s="100" t="s">
        <v>413</v>
      </c>
      <c r="C180" s="100" t="s">
        <v>393</v>
      </c>
      <c r="D180" s="91">
        <f>(67.82)*(10.764)</f>
        <v>730.01447999999993</v>
      </c>
      <c r="E180" s="91">
        <f>(2.68)*(10.764)</f>
        <v>28.847519999999999</v>
      </c>
      <c r="F180" s="100">
        <f>D180+E180</f>
        <v>758.86199999999997</v>
      </c>
      <c r="G180" s="100">
        <v>0</v>
      </c>
      <c r="H180" s="100">
        <f>F180*(($H$110)+1)+(IF(G180&lt;101,G180,IF(G180&lt;201,G180/2,IF(G180&lt;=301,G180/3,G180/4))))</f>
        <v>1138.2929999999999</v>
      </c>
    </row>
    <row r="181" spans="1:8" x14ac:dyDescent="0.25">
      <c r="A181" s="100">
        <f>A180+1</f>
        <v>2</v>
      </c>
      <c r="B181" s="102" t="s">
        <v>414</v>
      </c>
      <c r="C181" s="100" t="s">
        <v>401</v>
      </c>
      <c r="D181" s="91">
        <f>(86.73)*(10.764)</f>
        <v>933.56172000000004</v>
      </c>
      <c r="E181" s="91">
        <f>(3.2)*(10.764)</f>
        <v>34.444800000000001</v>
      </c>
      <c r="F181" s="100">
        <f>D181+E181</f>
        <v>968.00652000000002</v>
      </c>
      <c r="G181" s="100">
        <v>0</v>
      </c>
      <c r="H181" s="100">
        <f>F181*(($H$110)+1)+(IF(G181&lt;101,G181,IF(G181&lt;201,G181/2,IF(G181&lt;=301,G181/3,G181/4))))</f>
        <v>1452.0097800000001</v>
      </c>
    </row>
    <row r="182" spans="1:8" x14ac:dyDescent="0.25">
      <c r="A182" s="100">
        <f>A181+1</f>
        <v>3</v>
      </c>
      <c r="B182" s="102" t="s">
        <v>414</v>
      </c>
      <c r="C182" s="100" t="s">
        <v>393</v>
      </c>
      <c r="D182" s="91">
        <f>(67.75)*(10.764)</f>
        <v>729.26099999999997</v>
      </c>
      <c r="E182" s="91">
        <f>(2.68)*(10.764)</f>
        <v>28.847519999999999</v>
      </c>
      <c r="F182" s="100">
        <f>D182+E182</f>
        <v>758.10852</v>
      </c>
      <c r="G182" s="100">
        <v>0</v>
      </c>
      <c r="H182" s="100">
        <f>F182*(($H$110)+1)+(IF(G182&lt;101,G182,IF(G182&lt;201,G182/2,IF(G182&lt;=301,G182/3,G182/4))))</f>
        <v>1137.1627800000001</v>
      </c>
    </row>
    <row r="183" spans="1:8" x14ac:dyDescent="0.25">
      <c r="A183" s="100">
        <f>A182+1</f>
        <v>4</v>
      </c>
      <c r="B183" s="102" t="s">
        <v>414</v>
      </c>
      <c r="C183" s="100" t="s">
        <v>393</v>
      </c>
      <c r="D183" s="91">
        <f>(67.75)*(10.764)</f>
        <v>729.26099999999997</v>
      </c>
      <c r="E183" s="91">
        <f>(2.68)*(10.764)</f>
        <v>28.847519999999999</v>
      </c>
      <c r="F183" s="100">
        <f>D183+E183</f>
        <v>758.10852</v>
      </c>
      <c r="G183" s="100">
        <v>0</v>
      </c>
      <c r="H183" s="100">
        <f>F183*(($H$110)+1)+(IF(G183&lt;101,G183,IF(G183&lt;201,G183/2,IF(G183&lt;=301,G183/3,G183/4))))</f>
        <v>1137.1627800000001</v>
      </c>
    </row>
    <row r="184" spans="1:8" x14ac:dyDescent="0.25">
      <c r="A184" s="146" t="s">
        <v>64</v>
      </c>
      <c r="B184" s="146"/>
      <c r="C184" s="146"/>
      <c r="D184" s="146"/>
      <c r="E184" s="146"/>
      <c r="F184" s="146"/>
      <c r="G184" s="146"/>
      <c r="H184" s="146"/>
    </row>
    <row r="185" spans="1:8" x14ac:dyDescent="0.25">
      <c r="A185" s="41" t="s">
        <v>148</v>
      </c>
      <c r="B185" s="134" t="s">
        <v>421</v>
      </c>
      <c r="C185" s="135"/>
      <c r="D185" s="135"/>
      <c r="E185" s="135"/>
      <c r="F185" s="135"/>
      <c r="G185" s="135"/>
      <c r="H185" s="136"/>
    </row>
    <row r="186" spans="1:8" x14ac:dyDescent="0.25">
      <c r="A186" s="41" t="s">
        <v>148</v>
      </c>
      <c r="B186" s="134" t="str">
        <f>(IF(H109="Saleable area Loading :","We have considered Saleable area of Flats as per our Calculation.","We considered Saleable area of Flat as per Builder area Sheet."))</f>
        <v>We have considered Saleable area of Flats as per our Calculation.</v>
      </c>
      <c r="C186" s="135"/>
      <c r="D186" s="135"/>
      <c r="E186" s="135"/>
      <c r="F186" s="135"/>
      <c r="G186" s="135"/>
      <c r="H186" s="136"/>
    </row>
    <row r="187" spans="1:8" x14ac:dyDescent="0.25">
      <c r="A187" s="41" t="s">
        <v>148</v>
      </c>
      <c r="B187" s="137" t="s">
        <v>118</v>
      </c>
      <c r="C187" s="138"/>
      <c r="D187" s="138"/>
      <c r="E187" s="138"/>
      <c r="F187" s="138"/>
      <c r="G187" s="138"/>
      <c r="H187" s="139"/>
    </row>
    <row r="188" spans="1:8" x14ac:dyDescent="0.25">
      <c r="A188" s="41" t="s">
        <v>148</v>
      </c>
      <c r="B188" s="134" t="s">
        <v>402</v>
      </c>
      <c r="C188" s="135"/>
      <c r="D188" s="135"/>
      <c r="E188" s="135"/>
      <c r="F188" s="135"/>
      <c r="G188" s="135"/>
      <c r="H188" s="136"/>
    </row>
    <row r="189" spans="1:8" x14ac:dyDescent="0.25">
      <c r="A189" s="41" t="s">
        <v>148</v>
      </c>
      <c r="B189" s="137" t="s">
        <v>147</v>
      </c>
      <c r="C189" s="138"/>
      <c r="D189" s="138"/>
      <c r="E189" s="138"/>
      <c r="F189" s="138"/>
      <c r="G189" s="138"/>
      <c r="H189" s="139"/>
    </row>
    <row r="190" spans="1:8" x14ac:dyDescent="0.25">
      <c r="A190" s="41" t="s">
        <v>148</v>
      </c>
      <c r="B190" s="137" t="s">
        <v>119</v>
      </c>
      <c r="C190" s="138"/>
      <c r="D190" s="138"/>
      <c r="E190" s="138"/>
      <c r="F190" s="138"/>
      <c r="G190" s="138"/>
      <c r="H190" s="139"/>
    </row>
    <row r="191" spans="1:8" ht="33.75" customHeight="1" x14ac:dyDescent="0.25">
      <c r="A191" s="41" t="s">
        <v>148</v>
      </c>
      <c r="B191" s="134" t="s">
        <v>149</v>
      </c>
      <c r="C191" s="135"/>
      <c r="D191" s="135"/>
      <c r="E191" s="135"/>
      <c r="F191" s="135"/>
      <c r="G191" s="135"/>
      <c r="H191" s="136"/>
    </row>
    <row r="192" spans="1:8" x14ac:dyDescent="0.25">
      <c r="A192" s="41" t="s">
        <v>148</v>
      </c>
      <c r="B192" s="137" t="s">
        <v>120</v>
      </c>
      <c r="C192" s="138"/>
      <c r="D192" s="138"/>
      <c r="E192" s="138"/>
      <c r="F192" s="138"/>
      <c r="G192" s="138"/>
      <c r="H192" s="139"/>
    </row>
    <row r="193" spans="1:8" x14ac:dyDescent="0.25">
      <c r="A193" s="88" t="s">
        <v>148</v>
      </c>
      <c r="B193" s="134" t="s">
        <v>417</v>
      </c>
      <c r="C193" s="135"/>
      <c r="D193" s="135"/>
      <c r="E193" s="135"/>
      <c r="F193" s="135"/>
      <c r="G193" s="135"/>
      <c r="H193" s="136"/>
    </row>
    <row r="194" spans="1:8" x14ac:dyDescent="0.25">
      <c r="A194" s="41" t="s">
        <v>148</v>
      </c>
      <c r="B194" s="134" t="s">
        <v>428</v>
      </c>
      <c r="C194" s="135"/>
      <c r="D194" s="135"/>
      <c r="E194" s="135"/>
      <c r="F194" s="135"/>
      <c r="G194" s="135"/>
      <c r="H194" s="136"/>
    </row>
    <row r="195" spans="1:8" ht="33.75" hidden="1" customHeight="1" x14ac:dyDescent="0.25">
      <c r="A195" s="41" t="s">
        <v>148</v>
      </c>
      <c r="B195" s="142" t="s">
        <v>168</v>
      </c>
      <c r="C195" s="143"/>
      <c r="D195" s="143"/>
      <c r="E195" s="143"/>
      <c r="F195" s="143"/>
      <c r="G195" s="143"/>
      <c r="H195" s="144"/>
    </row>
    <row r="196" spans="1:8" hidden="1" x14ac:dyDescent="0.25">
      <c r="A196" s="41" t="s">
        <v>148</v>
      </c>
      <c r="B196" s="142" t="s">
        <v>417</v>
      </c>
      <c r="C196" s="143"/>
      <c r="D196" s="143"/>
      <c r="E196" s="143"/>
      <c r="F196" s="143"/>
      <c r="G196" s="143"/>
      <c r="H196" s="144"/>
    </row>
    <row r="197" spans="1:8" hidden="1" x14ac:dyDescent="0.25">
      <c r="A197" s="41" t="s">
        <v>148</v>
      </c>
      <c r="B197" s="142" t="str">
        <f ca="1">IF(G52&gt;EDATE(E3,-48),"NO REMARK FOR CC","REMARK FOR CC")</f>
        <v>NO REMARK FOR CC</v>
      </c>
      <c r="C197" s="143"/>
      <c r="D197" s="143"/>
      <c r="E197" s="143"/>
      <c r="F197" s="143"/>
      <c r="G197" s="143"/>
      <c r="H197" s="144"/>
    </row>
    <row r="198" spans="1:8" hidden="1" x14ac:dyDescent="0.25">
      <c r="A198" s="41" t="s">
        <v>148</v>
      </c>
      <c r="B198" s="142" t="s">
        <v>339</v>
      </c>
      <c r="C198" s="143"/>
      <c r="D198" s="143"/>
      <c r="E198" s="143"/>
      <c r="F198" s="143"/>
      <c r="G198" s="143"/>
      <c r="H198" s="144"/>
    </row>
    <row r="199" spans="1:8" x14ac:dyDescent="0.25">
      <c r="A199" s="156" t="s">
        <v>57</v>
      </c>
      <c r="B199" s="156"/>
      <c r="C199" s="156"/>
      <c r="D199" s="156"/>
      <c r="E199" s="156"/>
      <c r="F199" s="156"/>
      <c r="G199" s="156"/>
      <c r="H199" s="156"/>
    </row>
    <row r="200" spans="1:8" x14ac:dyDescent="0.25">
      <c r="A200" s="118" t="s">
        <v>58</v>
      </c>
      <c r="B200" s="118"/>
      <c r="C200" s="118"/>
      <c r="D200" s="118"/>
      <c r="E200" s="118"/>
      <c r="F200" s="118"/>
      <c r="G200" s="118"/>
      <c r="H200" s="118"/>
    </row>
    <row r="201" spans="1:8" x14ac:dyDescent="0.25">
      <c r="A201" s="158" t="s">
        <v>59</v>
      </c>
      <c r="B201" s="158"/>
      <c r="C201" s="158"/>
      <c r="D201" s="158"/>
      <c r="E201" s="158"/>
      <c r="F201" s="158"/>
      <c r="G201" s="158"/>
      <c r="H201" s="158"/>
    </row>
    <row r="202" spans="1:8" x14ac:dyDescent="0.25">
      <c r="A202" s="118" t="s">
        <v>60</v>
      </c>
      <c r="B202" s="118"/>
      <c r="C202" s="118"/>
      <c r="D202" s="118"/>
      <c r="E202" s="118"/>
      <c r="F202" s="118"/>
      <c r="G202" s="118"/>
      <c r="H202" s="118"/>
    </row>
    <row r="203" spans="1:8" x14ac:dyDescent="0.25">
      <c r="A203" s="118" t="s">
        <v>61</v>
      </c>
      <c r="B203" s="118"/>
      <c r="C203" s="118"/>
      <c r="D203" s="118"/>
      <c r="E203" s="118"/>
      <c r="F203" s="118"/>
      <c r="G203" s="118"/>
      <c r="H203" s="118"/>
    </row>
    <row r="204" spans="1:8" x14ac:dyDescent="0.25">
      <c r="A204" s="118" t="s">
        <v>121</v>
      </c>
      <c r="B204" s="118"/>
      <c r="C204" s="118"/>
      <c r="D204" s="118"/>
      <c r="E204" s="118"/>
      <c r="F204" s="118"/>
      <c r="G204" s="118"/>
      <c r="H204" s="118"/>
    </row>
    <row r="205" spans="1:8" x14ac:dyDescent="0.25">
      <c r="A205" s="126" t="s">
        <v>122</v>
      </c>
      <c r="B205" s="126"/>
      <c r="C205" s="126"/>
      <c r="D205" s="126"/>
      <c r="E205" s="126"/>
      <c r="F205" s="126"/>
      <c r="G205" s="126"/>
      <c r="H205" s="126"/>
    </row>
    <row r="206" spans="1:8" x14ac:dyDescent="0.25">
      <c r="A206" s="153" t="s">
        <v>72</v>
      </c>
      <c r="B206" s="153"/>
      <c r="C206" s="153" t="s">
        <v>406</v>
      </c>
      <c r="D206" s="153"/>
      <c r="E206" s="153" t="s">
        <v>102</v>
      </c>
      <c r="F206" s="153"/>
      <c r="G206" s="153" t="s">
        <v>426</v>
      </c>
      <c r="H206" s="153"/>
    </row>
    <row r="207" spans="1:8" x14ac:dyDescent="0.25">
      <c r="A207" s="152" t="s">
        <v>74</v>
      </c>
      <c r="B207" s="152"/>
      <c r="C207" s="152"/>
      <c r="D207" s="152"/>
      <c r="E207" s="152"/>
      <c r="F207" s="152"/>
      <c r="G207" s="152"/>
      <c r="H207" s="152"/>
    </row>
    <row r="208" spans="1:8" x14ac:dyDescent="0.25">
      <c r="A208" s="152"/>
      <c r="B208" s="152"/>
      <c r="C208" s="152"/>
      <c r="D208" s="152"/>
      <c r="E208" s="152"/>
      <c r="F208" s="152"/>
      <c r="G208" s="152"/>
      <c r="H208" s="152"/>
    </row>
    <row r="209" spans="1:8" x14ac:dyDescent="0.25">
      <c r="A209" s="152"/>
      <c r="B209" s="152"/>
      <c r="C209" s="152"/>
      <c r="D209" s="152"/>
      <c r="E209" s="152"/>
      <c r="F209" s="152"/>
      <c r="G209" s="152"/>
      <c r="H209" s="152"/>
    </row>
    <row r="210" spans="1:8" x14ac:dyDescent="0.25">
      <c r="A210" s="152"/>
      <c r="B210" s="152"/>
      <c r="C210" s="152"/>
      <c r="D210" s="152"/>
      <c r="E210" s="152"/>
      <c r="F210" s="152"/>
      <c r="G210" s="152"/>
      <c r="H210" s="152"/>
    </row>
    <row r="211" spans="1:8" x14ac:dyDescent="0.25">
      <c r="A211" s="35" t="s">
        <v>62</v>
      </c>
      <c r="B211" s="36"/>
      <c r="C211" s="36"/>
      <c r="D211" s="35" t="str">
        <f>E9</f>
        <v>Mahindra Marina64 - Phase 1</v>
      </c>
      <c r="F211" s="36"/>
      <c r="G211" s="36"/>
      <c r="H211" s="36"/>
    </row>
    <row r="212" spans="1:8" x14ac:dyDescent="0.25">
      <c r="A212" s="36"/>
      <c r="B212" s="36"/>
      <c r="C212" s="36"/>
      <c r="D212" s="36"/>
      <c r="E212" s="36"/>
      <c r="F212" s="36"/>
      <c r="G212" s="36"/>
      <c r="H212" s="36"/>
    </row>
    <row r="213" spans="1:8" x14ac:dyDescent="0.25">
      <c r="A213" s="36"/>
      <c r="B213" s="36"/>
      <c r="C213" s="36"/>
      <c r="D213" s="36"/>
      <c r="E213" s="36"/>
      <c r="F213" s="36"/>
      <c r="G213" s="36"/>
      <c r="H213" s="36"/>
    </row>
    <row r="255" spans="1:1" x14ac:dyDescent="0.25">
      <c r="A255" s="38" t="s">
        <v>157</v>
      </c>
    </row>
    <row r="299" spans="1:1" x14ac:dyDescent="0.25">
      <c r="A299" s="38" t="s">
        <v>63</v>
      </c>
    </row>
  </sheetData>
  <mergeCells count="291">
    <mergeCell ref="A174:H174"/>
    <mergeCell ref="A179:H179"/>
    <mergeCell ref="B139:H139"/>
    <mergeCell ref="B145:H145"/>
    <mergeCell ref="B151:H151"/>
    <mergeCell ref="B157:H157"/>
    <mergeCell ref="B163:H163"/>
    <mergeCell ref="A104:A105"/>
    <mergeCell ref="B194:H194"/>
    <mergeCell ref="A94:E94"/>
    <mergeCell ref="A106:B106"/>
    <mergeCell ref="E106:F106"/>
    <mergeCell ref="A99:E99"/>
    <mergeCell ref="G106:H106"/>
    <mergeCell ref="B192:H192"/>
    <mergeCell ref="B109:B110"/>
    <mergeCell ref="C117:H118"/>
    <mergeCell ref="C122:H123"/>
    <mergeCell ref="C127:H128"/>
    <mergeCell ref="C104:D104"/>
    <mergeCell ref="E104:F104"/>
    <mergeCell ref="G104:H104"/>
    <mergeCell ref="B190:H190"/>
    <mergeCell ref="A128:B128"/>
    <mergeCell ref="C109:C110"/>
    <mergeCell ref="A111:H111"/>
    <mergeCell ref="A146:H146"/>
    <mergeCell ref="A158:H158"/>
    <mergeCell ref="A152:H152"/>
    <mergeCell ref="A134:H134"/>
    <mergeCell ref="A169:H169"/>
    <mergeCell ref="G109:G110"/>
    <mergeCell ref="A117:B117"/>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C57:E57"/>
    <mergeCell ref="G55:H55"/>
    <mergeCell ref="A57:B58"/>
    <mergeCell ref="A38:H38"/>
    <mergeCell ref="A40:B40"/>
    <mergeCell ref="C40:H40"/>
    <mergeCell ref="G60:H60"/>
    <mergeCell ref="E42:H42"/>
    <mergeCell ref="A41:H41"/>
    <mergeCell ref="A78:B78"/>
    <mergeCell ref="A46:D46"/>
    <mergeCell ref="A47:D47"/>
    <mergeCell ref="D69:H69"/>
    <mergeCell ref="A44:D44"/>
    <mergeCell ref="E44:H44"/>
    <mergeCell ref="E45:H45"/>
    <mergeCell ref="E46:H46"/>
    <mergeCell ref="E47:H47"/>
    <mergeCell ref="C58:H58"/>
    <mergeCell ref="A48:H48"/>
    <mergeCell ref="D66:H66"/>
    <mergeCell ref="A66:C66"/>
    <mergeCell ref="A45:D45"/>
    <mergeCell ref="A49:B49"/>
    <mergeCell ref="C49:H49"/>
    <mergeCell ref="A67:C67"/>
    <mergeCell ref="D67:H67"/>
    <mergeCell ref="G53:H53"/>
    <mergeCell ref="G52:H52"/>
    <mergeCell ref="C54:H54"/>
    <mergeCell ref="A63:H63"/>
    <mergeCell ref="A77:B77"/>
    <mergeCell ref="A75:B75"/>
    <mergeCell ref="C75:H75"/>
    <mergeCell ref="A70:C70"/>
    <mergeCell ref="D70:H70"/>
    <mergeCell ref="C77:H77"/>
    <mergeCell ref="A71:C71"/>
    <mergeCell ref="D71:H71"/>
    <mergeCell ref="A74:C74"/>
    <mergeCell ref="D74:H74"/>
    <mergeCell ref="A73:C73"/>
    <mergeCell ref="A72:C72"/>
    <mergeCell ref="D73:H73"/>
    <mergeCell ref="A64:C64"/>
    <mergeCell ref="A68:C68"/>
    <mergeCell ref="A69:C69"/>
    <mergeCell ref="D68:H68"/>
    <mergeCell ref="A65:C65"/>
    <mergeCell ref="A59:B61"/>
    <mergeCell ref="C61:H61"/>
    <mergeCell ref="C59:E60"/>
    <mergeCell ref="E43:H43"/>
    <mergeCell ref="A43:D43"/>
    <mergeCell ref="A50:B50"/>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07:H210"/>
    <mergeCell ref="A206:B206"/>
    <mergeCell ref="E206:F206"/>
    <mergeCell ref="C206:D206"/>
    <mergeCell ref="G206:H206"/>
    <mergeCell ref="A100:E100"/>
    <mergeCell ref="F100:H100"/>
    <mergeCell ref="A101:E101"/>
    <mergeCell ref="F101:H101"/>
    <mergeCell ref="A129:H129"/>
    <mergeCell ref="A202:H202"/>
    <mergeCell ref="A102:H102"/>
    <mergeCell ref="A205:H205"/>
    <mergeCell ref="A203:H203"/>
    <mergeCell ref="A199:H199"/>
    <mergeCell ref="G103:H103"/>
    <mergeCell ref="B189:H189"/>
    <mergeCell ref="B198:H198"/>
    <mergeCell ref="A204:H204"/>
    <mergeCell ref="A201:H201"/>
    <mergeCell ref="A103:B103"/>
    <mergeCell ref="D109:D110"/>
    <mergeCell ref="E109:E110"/>
    <mergeCell ref="C106:D106"/>
    <mergeCell ref="A114:H114"/>
    <mergeCell ref="B188:H188"/>
    <mergeCell ref="B197:H197"/>
    <mergeCell ref="B196:H196"/>
    <mergeCell ref="F92:H92"/>
    <mergeCell ref="A96:E96"/>
    <mergeCell ref="B195:H195"/>
    <mergeCell ref="A92:E92"/>
    <mergeCell ref="F93:H93"/>
    <mergeCell ref="A93:E93"/>
    <mergeCell ref="B191:H191"/>
    <mergeCell ref="A112:H112"/>
    <mergeCell ref="B193:H193"/>
    <mergeCell ref="C105:D105"/>
    <mergeCell ref="E105:F105"/>
    <mergeCell ref="G105:H105"/>
    <mergeCell ref="A184:H184"/>
    <mergeCell ref="A164:H164"/>
    <mergeCell ref="A140:H140"/>
    <mergeCell ref="A107:H107"/>
    <mergeCell ref="A109:A110"/>
    <mergeCell ref="F109:F110"/>
    <mergeCell ref="A127:B127"/>
    <mergeCell ref="A200:H200"/>
    <mergeCell ref="A95:E95"/>
    <mergeCell ref="A85:B85"/>
    <mergeCell ref="I15:P15"/>
    <mergeCell ref="F99:H99"/>
    <mergeCell ref="F97:H97"/>
    <mergeCell ref="A108:H108"/>
    <mergeCell ref="A98:E98"/>
    <mergeCell ref="A62:B62"/>
    <mergeCell ref="C62:E62"/>
    <mergeCell ref="D64:H64"/>
    <mergeCell ref="F98:H98"/>
    <mergeCell ref="C103:D103"/>
    <mergeCell ref="D72:H72"/>
    <mergeCell ref="D65:H65"/>
    <mergeCell ref="G62:H62"/>
    <mergeCell ref="A55:B56"/>
    <mergeCell ref="A119:H119"/>
    <mergeCell ref="A89:E89"/>
    <mergeCell ref="B185:H185"/>
    <mergeCell ref="B186:H186"/>
    <mergeCell ref="B187:H187"/>
    <mergeCell ref="F89:H89"/>
    <mergeCell ref="A84:B84"/>
    <mergeCell ref="A79:B79"/>
    <mergeCell ref="G78:H78"/>
    <mergeCell ref="A87:B87"/>
    <mergeCell ref="A88:B88"/>
    <mergeCell ref="A83:B83"/>
    <mergeCell ref="A82:B82"/>
    <mergeCell ref="E78:F78"/>
    <mergeCell ref="A80:B80"/>
    <mergeCell ref="E103:F103"/>
    <mergeCell ref="F94:H94"/>
    <mergeCell ref="F95:H95"/>
    <mergeCell ref="A97:E97"/>
    <mergeCell ref="F90:H90"/>
    <mergeCell ref="F96:H96"/>
    <mergeCell ref="A81:B81"/>
    <mergeCell ref="E79:F88"/>
    <mergeCell ref="G79:H88"/>
    <mergeCell ref="A86:B86"/>
    <mergeCell ref="A90:E90"/>
    <mergeCell ref="F91:H91"/>
    <mergeCell ref="A91:E91"/>
    <mergeCell ref="L133:M133"/>
    <mergeCell ref="L139:M139"/>
    <mergeCell ref="A113:H113"/>
    <mergeCell ref="L120:M120"/>
    <mergeCell ref="A124:H124"/>
    <mergeCell ref="L124:M124"/>
    <mergeCell ref="L125:M125"/>
    <mergeCell ref="A118:B118"/>
    <mergeCell ref="A122:B122"/>
    <mergeCell ref="A123:B123"/>
    <mergeCell ref="L128:M128"/>
    <mergeCell ref="L119:M119"/>
    <mergeCell ref="L114:M114"/>
    <mergeCell ref="L115:M115"/>
  </mergeCells>
  <dataValidations disablePrompts="1"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206:H206">
      <formula1>"Kunal Kadam,Pranita Mhatre,Shruti Fule,Pooja Kawale,Gaurav Panchal,Shruti Tathare, Dipti Gothawade,Saurav Panse, Sachin Sawant"</formula1>
    </dataValidation>
    <dataValidation type="list" allowBlank="1" showInputMessage="1" showErrorMessage="1" sqref="F89:H89">
      <formula1>"On Saleable Area,On Builtup Area,On Carpet Area,On Plot Area"</formula1>
    </dataValidation>
    <dataValidation type="list" allowBlank="1" showInputMessage="1" showErrorMessage="1" sqref="B109:B11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09:E110">
      <formula1>"Deck Area, Fungible area,Balcony Area,Chajja Area,Cornice Area,AP Area,WS Area"</formula1>
    </dataValidation>
    <dataValidation type="list" allowBlank="1" showInputMessage="1" showErrorMessage="1" sqref="H11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09">
      <formula1>"Saleable area Loading :,Builder Saleable Area"</formula1>
    </dataValidation>
    <dataValidation type="list" allowBlank="1" showInputMessage="1" showErrorMessage="1" sqref="D109:D110">
      <formula1>"Carpet Area,Carpet + Encl Balcony Area,RERA Carpet area"</formula1>
    </dataValidation>
    <dataValidation type="list" allowBlank="1" showInputMessage="1" showErrorMessage="1" sqref="F100:H100">
      <formula1>OFFSET($S$89,1,MATCH($G20,$S$89:$W$89,0)-1,15,1)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183" max="7" man="1"/>
    <brk id="210" max="7" man="1"/>
    <brk id="254" max="7" man="1"/>
    <brk id="298"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2" t="s">
        <v>103</v>
      </c>
      <c r="C3" s="242"/>
      <c r="D3" s="242"/>
      <c r="E3" s="242"/>
      <c r="F3" s="242"/>
      <c r="G3" s="242"/>
      <c r="H3" s="242"/>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169</v>
      </c>
      <c r="E4" s="48" t="s">
        <v>179</v>
      </c>
      <c r="F4" s="48" t="s">
        <v>164</v>
      </c>
      <c r="G4" s="48" t="s">
        <v>184</v>
      </c>
      <c r="H4" s="48" t="s">
        <v>202</v>
      </c>
      <c r="J4" t="s">
        <v>184</v>
      </c>
      <c r="K4" t="s">
        <v>200</v>
      </c>
    </row>
    <row r="5" spans="2:11" x14ac:dyDescent="0.25">
      <c r="B5" s="47"/>
      <c r="C5" s="47"/>
      <c r="D5" s="48" t="s">
        <v>170</v>
      </c>
      <c r="E5" s="48" t="s">
        <v>177</v>
      </c>
      <c r="F5" s="48" t="s">
        <v>199</v>
      </c>
      <c r="G5" s="48" t="s">
        <v>185</v>
      </c>
      <c r="H5" s="48" t="s">
        <v>203</v>
      </c>
    </row>
    <row r="6" spans="2:11" x14ac:dyDescent="0.25">
      <c r="B6" s="47"/>
      <c r="C6" s="47"/>
      <c r="D6" s="48" t="s">
        <v>171</v>
      </c>
      <c r="E6" s="48" t="s">
        <v>178</v>
      </c>
      <c r="F6" s="48" t="s">
        <v>200</v>
      </c>
      <c r="G6" s="48" t="s">
        <v>186</v>
      </c>
      <c r="H6" s="48" t="s">
        <v>216</v>
      </c>
    </row>
    <row r="7" spans="2:11" x14ac:dyDescent="0.25">
      <c r="B7" s="47"/>
      <c r="C7" s="47"/>
      <c r="D7" s="48" t="s">
        <v>172</v>
      </c>
      <c r="E7" s="48" t="s">
        <v>180</v>
      </c>
      <c r="F7" s="48" t="s">
        <v>201</v>
      </c>
      <c r="G7" s="48" t="s">
        <v>187</v>
      </c>
      <c r="H7" s="48" t="s">
        <v>204</v>
      </c>
    </row>
    <row r="8" spans="2:11" x14ac:dyDescent="0.25">
      <c r="B8" s="47"/>
      <c r="C8" s="47"/>
      <c r="D8" s="48" t="s">
        <v>173</v>
      </c>
      <c r="E8" s="48" t="s">
        <v>181</v>
      </c>
      <c r="F8" s="48"/>
      <c r="G8" s="48" t="s">
        <v>188</v>
      </c>
      <c r="H8" s="48" t="s">
        <v>205</v>
      </c>
    </row>
    <row r="9" spans="2:11" x14ac:dyDescent="0.25">
      <c r="B9" s="47"/>
      <c r="C9" s="47"/>
      <c r="D9" s="48" t="s">
        <v>174</v>
      </c>
      <c r="E9" s="48" t="s">
        <v>179</v>
      </c>
      <c r="F9" s="48"/>
      <c r="G9" s="48" t="s">
        <v>189</v>
      </c>
      <c r="H9" s="48" t="s">
        <v>206</v>
      </c>
    </row>
    <row r="10" spans="2:11" x14ac:dyDescent="0.25">
      <c r="B10" s="47"/>
      <c r="C10" s="47"/>
      <c r="D10" s="48" t="s">
        <v>175</v>
      </c>
      <c r="E10" s="48" t="s">
        <v>182</v>
      </c>
      <c r="F10" s="48"/>
      <c r="G10" s="48" t="s">
        <v>190</v>
      </c>
      <c r="H10" s="48" t="s">
        <v>207</v>
      </c>
    </row>
    <row r="11" spans="2:11" x14ac:dyDescent="0.25">
      <c r="B11" s="47"/>
      <c r="C11" s="47"/>
      <c r="D11" s="48" t="s">
        <v>176</v>
      </c>
      <c r="E11" s="48" t="s">
        <v>183</v>
      </c>
      <c r="F11" s="48"/>
      <c r="G11" s="48" t="s">
        <v>191</v>
      </c>
      <c r="H11" s="48" t="s">
        <v>208</v>
      </c>
    </row>
    <row r="12" spans="2:11" x14ac:dyDescent="0.25">
      <c r="B12" s="47"/>
      <c r="C12" s="47"/>
      <c r="D12" s="48"/>
      <c r="E12" s="48"/>
      <c r="F12" s="48"/>
      <c r="G12" s="48" t="s">
        <v>192</v>
      </c>
      <c r="H12" s="48" t="s">
        <v>209</v>
      </c>
    </row>
    <row r="13" spans="2:11" x14ac:dyDescent="0.25">
      <c r="B13" s="47"/>
      <c r="C13" s="47"/>
      <c r="D13" s="48"/>
      <c r="E13" s="48"/>
      <c r="F13" s="48"/>
      <c r="G13" s="48" t="s">
        <v>193</v>
      </c>
      <c r="H13" s="48" t="s">
        <v>210</v>
      </c>
    </row>
    <row r="14" spans="2:11" x14ac:dyDescent="0.25">
      <c r="B14" s="47"/>
      <c r="C14" s="47"/>
      <c r="D14" s="48"/>
      <c r="E14" s="48"/>
      <c r="F14" s="48"/>
      <c r="G14" s="48" t="s">
        <v>194</v>
      </c>
      <c r="H14" s="48" t="s">
        <v>211</v>
      </c>
    </row>
    <row r="15" spans="2:11" x14ac:dyDescent="0.25">
      <c r="B15" s="47"/>
      <c r="C15" s="47"/>
      <c r="D15" s="48"/>
      <c r="E15" s="48"/>
      <c r="F15" s="48"/>
      <c r="G15" s="48" t="s">
        <v>195</v>
      </c>
      <c r="H15" s="48" t="s">
        <v>212</v>
      </c>
    </row>
    <row r="16" spans="2:11" x14ac:dyDescent="0.25">
      <c r="B16" s="47"/>
      <c r="C16" s="47"/>
      <c r="D16" s="48"/>
      <c r="E16" s="48"/>
      <c r="F16" s="48"/>
      <c r="G16" s="48" t="s">
        <v>196</v>
      </c>
      <c r="H16" s="48" t="s">
        <v>213</v>
      </c>
    </row>
    <row r="17" spans="2:8" x14ac:dyDescent="0.25">
      <c r="B17" s="47"/>
      <c r="C17" s="47"/>
      <c r="D17" s="48"/>
      <c r="E17" s="48"/>
      <c r="F17" s="48"/>
      <c r="G17" s="48" t="s">
        <v>197</v>
      </c>
      <c r="H17" s="48" t="s">
        <v>214</v>
      </c>
    </row>
    <row r="18" spans="2:8" x14ac:dyDescent="0.25">
      <c r="B18" s="47"/>
      <c r="C18" s="47"/>
      <c r="D18" s="48"/>
      <c r="E18" s="48"/>
      <c r="F18" s="48"/>
      <c r="G18" s="48" t="s">
        <v>198</v>
      </c>
      <c r="H18" s="48" t="s">
        <v>215</v>
      </c>
    </row>
    <row r="24" spans="2:8" x14ac:dyDescent="0.25">
      <c r="C24" t="s">
        <v>161</v>
      </c>
    </row>
    <row r="25" spans="2:8" x14ac:dyDescent="0.25">
      <c r="C25" t="s">
        <v>217</v>
      </c>
    </row>
    <row r="26" spans="2:8" x14ac:dyDescent="0.25">
      <c r="C26" t="s">
        <v>218</v>
      </c>
    </row>
    <row r="27" spans="2:8" x14ac:dyDescent="0.25">
      <c r="C27" t="s">
        <v>219</v>
      </c>
    </row>
    <row r="28" spans="2:8" x14ac:dyDescent="0.25">
      <c r="C28" t="s">
        <v>220</v>
      </c>
    </row>
    <row r="29" spans="2:8" x14ac:dyDescent="0.25">
      <c r="C29" t="s">
        <v>221</v>
      </c>
    </row>
    <row r="30" spans="2:8" x14ac:dyDescent="0.25">
      <c r="C30" t="s">
        <v>161</v>
      </c>
    </row>
    <row r="33" spans="3:11" x14ac:dyDescent="0.25">
      <c r="J33">
        <v>1</v>
      </c>
      <c r="K33">
        <v>2</v>
      </c>
    </row>
    <row r="34" spans="3:11" x14ac:dyDescent="0.25">
      <c r="C34" s="49" t="s">
        <v>225</v>
      </c>
      <c r="D34" s="48" t="s">
        <v>223</v>
      </c>
      <c r="E34" s="48" t="s">
        <v>228</v>
      </c>
      <c r="F34" s="48" t="s">
        <v>226</v>
      </c>
      <c r="G34" s="48" t="s">
        <v>227</v>
      </c>
      <c r="H34" s="48" t="s">
        <v>229</v>
      </c>
      <c r="J34" t="s">
        <v>184</v>
      </c>
      <c r="K34" t="s">
        <v>200</v>
      </c>
    </row>
    <row r="35" spans="3:11" x14ac:dyDescent="0.25">
      <c r="C35" s="47" t="s">
        <v>224</v>
      </c>
      <c r="D35" s="48" t="s">
        <v>162</v>
      </c>
      <c r="E35" s="48" t="s">
        <v>233</v>
      </c>
      <c r="F35" s="48" t="s">
        <v>235</v>
      </c>
      <c r="G35" s="48" t="s">
        <v>237</v>
      </c>
      <c r="H35" s="48"/>
    </row>
    <row r="36" spans="3:11" x14ac:dyDescent="0.25">
      <c r="C36" s="47"/>
      <c r="D36" s="48" t="s">
        <v>230</v>
      </c>
      <c r="E36" s="48" t="s">
        <v>234</v>
      </c>
      <c r="F36" s="48" t="s">
        <v>236</v>
      </c>
      <c r="G36" s="48" t="s">
        <v>238</v>
      </c>
      <c r="H36" s="48"/>
    </row>
    <row r="37" spans="3:11" x14ac:dyDescent="0.25">
      <c r="C37" s="47"/>
      <c r="D37" s="48" t="s">
        <v>231</v>
      </c>
      <c r="E37" s="48"/>
      <c r="F37" s="48"/>
      <c r="G37" s="48" t="s">
        <v>239</v>
      </c>
      <c r="H37" s="48"/>
    </row>
    <row r="38" spans="3:11" x14ac:dyDescent="0.25">
      <c r="C38" s="47"/>
      <c r="D38" s="48" t="s">
        <v>232</v>
      </c>
      <c r="E38" s="48"/>
      <c r="F38" s="48"/>
      <c r="G38" s="48" t="s">
        <v>239</v>
      </c>
      <c r="H38" s="48"/>
    </row>
    <row r="39" spans="3:11" x14ac:dyDescent="0.25">
      <c r="C39" s="47"/>
      <c r="D39" s="48"/>
      <c r="E39" s="48"/>
      <c r="F39" s="48"/>
      <c r="G39" s="48" t="s">
        <v>240</v>
      </c>
      <c r="H39" s="48"/>
    </row>
    <row r="40" spans="3:11" x14ac:dyDescent="0.25">
      <c r="C40" s="47"/>
      <c r="D40" s="48"/>
      <c r="E40" s="48"/>
      <c r="F40" s="48"/>
      <c r="G40" s="48" t="s">
        <v>241</v>
      </c>
      <c r="H40" s="48"/>
    </row>
    <row r="41" spans="3:11" x14ac:dyDescent="0.25">
      <c r="C41" s="47"/>
      <c r="D41" s="48"/>
      <c r="E41" s="48"/>
      <c r="F41" s="48"/>
      <c r="G41" s="48"/>
      <c r="H41" s="48"/>
    </row>
    <row r="43" spans="3:11" x14ac:dyDescent="0.25">
      <c r="C43" t="s">
        <v>242</v>
      </c>
    </row>
    <row r="44" spans="3:11" x14ac:dyDescent="0.25">
      <c r="C44" t="s">
        <v>164</v>
      </c>
      <c r="D44" t="s">
        <v>243</v>
      </c>
    </row>
    <row r="45" spans="3:11" x14ac:dyDescent="0.25">
      <c r="D45" t="s">
        <v>244</v>
      </c>
    </row>
    <row r="46" spans="3:11" x14ac:dyDescent="0.25">
      <c r="D46" t="s">
        <v>245</v>
      </c>
    </row>
    <row r="47" spans="3:11" x14ac:dyDescent="0.25">
      <c r="D47" t="s">
        <v>246</v>
      </c>
    </row>
    <row r="48" spans="3:11" x14ac:dyDescent="0.25">
      <c r="D48" t="s">
        <v>247</v>
      </c>
    </row>
    <row r="49" spans="3:4" x14ac:dyDescent="0.25">
      <c r="C49" t="s">
        <v>169</v>
      </c>
      <c r="D49" t="s">
        <v>248</v>
      </c>
    </row>
    <row r="50" spans="3:4" x14ac:dyDescent="0.25">
      <c r="D50" t="s">
        <v>249</v>
      </c>
    </row>
    <row r="51" spans="3:4" x14ac:dyDescent="0.25">
      <c r="D51" t="s">
        <v>250</v>
      </c>
    </row>
    <row r="52" spans="3:4" x14ac:dyDescent="0.25">
      <c r="D52" t="s">
        <v>253</v>
      </c>
    </row>
    <row r="53" spans="3:4" x14ac:dyDescent="0.25">
      <c r="D53" t="s">
        <v>251</v>
      </c>
    </row>
    <row r="54" spans="3:4" x14ac:dyDescent="0.25">
      <c r="D54" t="s">
        <v>252</v>
      </c>
    </row>
    <row r="55" spans="3:4" x14ac:dyDescent="0.25">
      <c r="D55" t="s">
        <v>254</v>
      </c>
    </row>
    <row r="56" spans="3:4" x14ac:dyDescent="0.25">
      <c r="D56" t="s">
        <v>255</v>
      </c>
    </row>
    <row r="57" spans="3:4" x14ac:dyDescent="0.25">
      <c r="D57" t="s">
        <v>256</v>
      </c>
    </row>
    <row r="58" spans="3:4" x14ac:dyDescent="0.25">
      <c r="D58" t="s">
        <v>258</v>
      </c>
    </row>
    <row r="59" spans="3:4" x14ac:dyDescent="0.25">
      <c r="D59" t="s">
        <v>267</v>
      </c>
    </row>
    <row r="60" spans="3:4" x14ac:dyDescent="0.25">
      <c r="C60" t="s">
        <v>184</v>
      </c>
      <c r="D60" t="s">
        <v>259</v>
      </c>
    </row>
    <row r="61" spans="3:4" x14ac:dyDescent="0.25">
      <c r="D61" t="s">
        <v>257</v>
      </c>
    </row>
    <row r="62" spans="3:4" x14ac:dyDescent="0.25">
      <c r="D62" t="s">
        <v>247</v>
      </c>
    </row>
    <row r="63" spans="3:4" x14ac:dyDescent="0.25">
      <c r="D63" t="s">
        <v>260</v>
      </c>
    </row>
    <row r="64" spans="3:4" x14ac:dyDescent="0.25">
      <c r="D64" t="s">
        <v>261</v>
      </c>
    </row>
    <row r="65" spans="3:4" x14ac:dyDescent="0.25">
      <c r="D65" t="s">
        <v>262</v>
      </c>
    </row>
    <row r="66" spans="3:4" x14ac:dyDescent="0.25">
      <c r="D66" t="s">
        <v>263</v>
      </c>
    </row>
    <row r="67" spans="3:4" x14ac:dyDescent="0.25">
      <c r="C67" t="s">
        <v>179</v>
      </c>
      <c r="D67" t="s">
        <v>264</v>
      </c>
    </row>
    <row r="68" spans="3:4" x14ac:dyDescent="0.25">
      <c r="D68" t="s">
        <v>265</v>
      </c>
    </row>
    <row r="69" spans="3:4" x14ac:dyDescent="0.25">
      <c r="D69" t="s">
        <v>266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5" zoomScale="85" zoomScaleNormal="85" workbookViewId="0">
      <selection activeCell="C57" sqref="C57"/>
    </sheetView>
  </sheetViews>
  <sheetFormatPr defaultRowHeight="15" x14ac:dyDescent="0.25"/>
  <cols>
    <col min="2" max="2" width="3" bestFit="1" customWidth="1"/>
    <col min="3" max="3" width="155.28515625" customWidth="1"/>
  </cols>
  <sheetData>
    <row r="2" spans="2:3" ht="15" customHeight="1" x14ac:dyDescent="0.25">
      <c r="B2" s="50">
        <v>1</v>
      </c>
      <c r="C2" s="52" t="s">
        <v>272</v>
      </c>
    </row>
    <row r="3" spans="2:3" x14ac:dyDescent="0.25">
      <c r="B3" s="50">
        <v>2</v>
      </c>
      <c r="C3" s="51" t="s">
        <v>273</v>
      </c>
    </row>
    <row r="4" spans="2:3" x14ac:dyDescent="0.25">
      <c r="B4" s="50">
        <v>3</v>
      </c>
      <c r="C4" s="50" t="s">
        <v>274</v>
      </c>
    </row>
    <row r="5" spans="2:3" x14ac:dyDescent="0.25">
      <c r="B5" s="50">
        <v>4</v>
      </c>
      <c r="C5" s="51" t="s">
        <v>275</v>
      </c>
    </row>
    <row r="6" spans="2:3" x14ac:dyDescent="0.25">
      <c r="B6" s="50">
        <v>5</v>
      </c>
      <c r="C6" s="50" t="s">
        <v>276</v>
      </c>
    </row>
    <row r="7" spans="2:3" ht="30" x14ac:dyDescent="0.25">
      <c r="B7" s="50">
        <v>6</v>
      </c>
      <c r="C7" s="51" t="s">
        <v>277</v>
      </c>
    </row>
    <row r="8" spans="2:3" ht="75" x14ac:dyDescent="0.25">
      <c r="B8" s="50">
        <v>7</v>
      </c>
      <c r="C8" s="51" t="s">
        <v>278</v>
      </c>
    </row>
    <row r="9" spans="2:3" x14ac:dyDescent="0.25">
      <c r="B9" s="50">
        <v>8</v>
      </c>
      <c r="C9" s="50" t="s">
        <v>279</v>
      </c>
    </row>
    <row r="10" spans="2:3" x14ac:dyDescent="0.25">
      <c r="B10" s="50">
        <v>9</v>
      </c>
      <c r="C10" s="50" t="s">
        <v>280</v>
      </c>
    </row>
    <row r="11" spans="2:3" x14ac:dyDescent="0.25">
      <c r="B11" s="50">
        <v>10</v>
      </c>
      <c r="C11" s="50" t="s">
        <v>281</v>
      </c>
    </row>
    <row r="12" spans="2:3" x14ac:dyDescent="0.25">
      <c r="B12" s="50">
        <v>11</v>
      </c>
      <c r="C12" s="50" t="s">
        <v>282</v>
      </c>
    </row>
    <row r="13" spans="2:3" x14ac:dyDescent="0.25">
      <c r="B13" s="50">
        <v>12</v>
      </c>
      <c r="C13" s="50" t="s">
        <v>283</v>
      </c>
    </row>
    <row r="14" spans="2:3" x14ac:dyDescent="0.25">
      <c r="B14" s="50">
        <v>13</v>
      </c>
      <c r="C14" s="50" t="s">
        <v>284</v>
      </c>
    </row>
    <row r="15" spans="2:3" x14ac:dyDescent="0.25">
      <c r="B15" s="50">
        <v>14</v>
      </c>
      <c r="C15" s="50" t="s">
        <v>274</v>
      </c>
    </row>
    <row r="16" spans="2:3" x14ac:dyDescent="0.25">
      <c r="B16" s="50">
        <v>15</v>
      </c>
      <c r="C16" s="50" t="s">
        <v>286</v>
      </c>
    </row>
    <row r="17" spans="2:3" x14ac:dyDescent="0.25">
      <c r="B17" s="68">
        <v>16</v>
      </c>
      <c r="C17" s="55" t="s">
        <v>287</v>
      </c>
    </row>
    <row r="18" spans="2:3" x14ac:dyDescent="0.25">
      <c r="B18" s="54">
        <v>17</v>
      </c>
      <c r="C18" s="55" t="s">
        <v>288</v>
      </c>
    </row>
    <row r="19" spans="2:3" x14ac:dyDescent="0.25">
      <c r="B19" s="53">
        <v>18</v>
      </c>
      <c r="C19" s="50" t="s">
        <v>289</v>
      </c>
    </row>
    <row r="20" spans="2:3" x14ac:dyDescent="0.25">
      <c r="B20" s="54">
        <v>19</v>
      </c>
      <c r="C20" s="50" t="s">
        <v>325</v>
      </c>
    </row>
    <row r="21" spans="2:3" x14ac:dyDescent="0.25">
      <c r="B21" s="50">
        <v>20</v>
      </c>
      <c r="C21" s="50" t="s">
        <v>290</v>
      </c>
    </row>
    <row r="22" spans="2:3" x14ac:dyDescent="0.25">
      <c r="B22" s="54">
        <v>21</v>
      </c>
      <c r="C22" s="50" t="s">
        <v>289</v>
      </c>
    </row>
    <row r="23" spans="2:3" s="63" customFormat="1" ht="29.25" customHeight="1" x14ac:dyDescent="0.25">
      <c r="B23" s="62">
        <v>22</v>
      </c>
      <c r="C23" s="52" t="s">
        <v>317</v>
      </c>
    </row>
    <row r="24" spans="2:3" s="63" customFormat="1" ht="30.75" customHeight="1" x14ac:dyDescent="0.25">
      <c r="B24" s="64">
        <v>23</v>
      </c>
      <c r="C24" s="52" t="s">
        <v>318</v>
      </c>
    </row>
    <row r="25" spans="2:3" x14ac:dyDescent="0.25">
      <c r="B25" s="50">
        <v>24</v>
      </c>
      <c r="C25" s="50" t="s">
        <v>321</v>
      </c>
    </row>
    <row r="26" spans="2:3" x14ac:dyDescent="0.25">
      <c r="B26" s="54">
        <v>25</v>
      </c>
      <c r="C26" s="50" t="s">
        <v>319</v>
      </c>
    </row>
    <row r="27" spans="2:3" x14ac:dyDescent="0.25">
      <c r="B27" s="64">
        <v>26</v>
      </c>
      <c r="C27" s="50" t="s">
        <v>320</v>
      </c>
    </row>
    <row r="28" spans="2:3" x14ac:dyDescent="0.25">
      <c r="B28" s="54">
        <v>27</v>
      </c>
      <c r="C28" s="50" t="s">
        <v>322</v>
      </c>
    </row>
    <row r="29" spans="2:3" ht="60" x14ac:dyDescent="0.25">
      <c r="B29" s="67">
        <v>28</v>
      </c>
      <c r="C29" s="51" t="s">
        <v>323</v>
      </c>
    </row>
    <row r="30" spans="2:3" x14ac:dyDescent="0.25">
      <c r="B30" s="64">
        <v>29</v>
      </c>
      <c r="C30" s="50" t="s">
        <v>324</v>
      </c>
    </row>
    <row r="31" spans="2:3" ht="30" x14ac:dyDescent="0.25">
      <c r="B31" s="64">
        <v>30</v>
      </c>
      <c r="C31" s="51" t="s">
        <v>326</v>
      </c>
    </row>
    <row r="32" spans="2:3" x14ac:dyDescent="0.25">
      <c r="B32" s="64">
        <v>31</v>
      </c>
      <c r="C32" s="50" t="s">
        <v>327</v>
      </c>
    </row>
    <row r="33" spans="2:4" x14ac:dyDescent="0.25">
      <c r="B33" s="64">
        <v>32</v>
      </c>
      <c r="C33" s="50" t="s">
        <v>328</v>
      </c>
    </row>
    <row r="34" spans="2:4" ht="36.75" customHeight="1" x14ac:dyDescent="0.25">
      <c r="B34" s="64">
        <v>33</v>
      </c>
      <c r="C34" s="55" t="s">
        <v>329</v>
      </c>
    </row>
    <row r="35" spans="2:4" x14ac:dyDescent="0.25">
      <c r="B35" s="62">
        <v>34</v>
      </c>
      <c r="C35" s="50" t="s">
        <v>337</v>
      </c>
    </row>
    <row r="36" spans="2:4" ht="60" x14ac:dyDescent="0.25">
      <c r="B36" s="62">
        <v>35</v>
      </c>
      <c r="C36" s="51" t="s">
        <v>339</v>
      </c>
    </row>
    <row r="37" spans="2:4" x14ac:dyDescent="0.25">
      <c r="B37" s="50">
        <v>36</v>
      </c>
      <c r="C37" s="51" t="s">
        <v>349</v>
      </c>
    </row>
    <row r="38" spans="2:4" x14ac:dyDescent="0.25">
      <c r="B38" s="50">
        <f t="shared" ref="B38:B44" si="0">B37+1</f>
        <v>37</v>
      </c>
      <c r="C38" s="50" t="s">
        <v>345</v>
      </c>
    </row>
    <row r="39" spans="2:4" x14ac:dyDescent="0.25">
      <c r="B39" s="50">
        <f t="shared" si="0"/>
        <v>38</v>
      </c>
      <c r="C39" s="50" t="s">
        <v>346</v>
      </c>
    </row>
    <row r="40" spans="2:4" x14ac:dyDescent="0.25">
      <c r="B40" s="50">
        <f t="shared" si="0"/>
        <v>39</v>
      </c>
      <c r="C40" s="50" t="s">
        <v>347</v>
      </c>
    </row>
    <row r="41" spans="2:4" x14ac:dyDescent="0.25">
      <c r="B41" s="50">
        <f t="shared" si="0"/>
        <v>40</v>
      </c>
      <c r="C41" s="50" t="s">
        <v>348</v>
      </c>
    </row>
    <row r="42" spans="2:4" ht="30.75" thickBot="1" x14ac:dyDescent="0.3">
      <c r="B42" s="71">
        <f t="shared" si="0"/>
        <v>41</v>
      </c>
      <c r="C42" s="72" t="s">
        <v>350</v>
      </c>
    </row>
    <row r="43" spans="2:4" ht="30" x14ac:dyDescent="0.25">
      <c r="B43" s="75">
        <f t="shared" si="0"/>
        <v>42</v>
      </c>
      <c r="C43" s="80" t="s">
        <v>355</v>
      </c>
      <c r="D43" t="s">
        <v>356</v>
      </c>
    </row>
    <row r="44" spans="2:4" ht="15.75" thickBot="1" x14ac:dyDescent="0.3">
      <c r="B44" s="77">
        <f t="shared" si="0"/>
        <v>43</v>
      </c>
      <c r="C44" s="79" t="s">
        <v>351</v>
      </c>
    </row>
    <row r="45" spans="2:4" ht="15.75" thickBot="1" x14ac:dyDescent="0.3">
      <c r="B45" s="73">
        <f t="shared" ref="B45:B54" si="1">B44+1</f>
        <v>44</v>
      </c>
      <c r="C45" s="74" t="s">
        <v>352</v>
      </c>
    </row>
    <row r="46" spans="2:4" ht="30" x14ac:dyDescent="0.25">
      <c r="B46" s="75">
        <f t="shared" si="1"/>
        <v>45</v>
      </c>
      <c r="C46" s="76" t="s">
        <v>353</v>
      </c>
    </row>
    <row r="47" spans="2:4" ht="15.75" thickBot="1" x14ac:dyDescent="0.3">
      <c r="B47" s="77">
        <f t="shared" si="1"/>
        <v>46</v>
      </c>
      <c r="C47" s="78" t="s">
        <v>354</v>
      </c>
    </row>
    <row r="48" spans="2:4" x14ac:dyDescent="0.25">
      <c r="B48" s="81">
        <f t="shared" si="1"/>
        <v>47</v>
      </c>
      <c r="C48" s="82" t="s">
        <v>357</v>
      </c>
    </row>
    <row r="49" spans="2:4" x14ac:dyDescent="0.25">
      <c r="B49" s="81">
        <f t="shared" si="1"/>
        <v>48</v>
      </c>
      <c r="C49" s="82" t="s">
        <v>358</v>
      </c>
    </row>
    <row r="50" spans="2:4" x14ac:dyDescent="0.25">
      <c r="B50" s="81">
        <f t="shared" si="1"/>
        <v>49</v>
      </c>
      <c r="C50" s="82" t="s">
        <v>360</v>
      </c>
      <c r="D50" t="s">
        <v>359</v>
      </c>
    </row>
    <row r="51" spans="2:4" ht="30" x14ac:dyDescent="0.25">
      <c r="B51" s="83">
        <f t="shared" si="1"/>
        <v>50</v>
      </c>
      <c r="C51" s="84" t="s">
        <v>361</v>
      </c>
    </row>
    <row r="52" spans="2:4" x14ac:dyDescent="0.25">
      <c r="B52" s="83">
        <f t="shared" si="1"/>
        <v>51</v>
      </c>
      <c r="C52" s="85" t="s">
        <v>363</v>
      </c>
      <c r="D52" t="s">
        <v>364</v>
      </c>
    </row>
    <row r="53" spans="2:4" x14ac:dyDescent="0.25">
      <c r="B53" s="83">
        <f t="shared" si="1"/>
        <v>52</v>
      </c>
      <c r="C53" s="85" t="s">
        <v>366</v>
      </c>
      <c r="D53" t="s">
        <v>367</v>
      </c>
    </row>
    <row r="54" spans="2:4" x14ac:dyDescent="0.25">
      <c r="B54" s="83">
        <f t="shared" si="1"/>
        <v>53</v>
      </c>
      <c r="C54" s="50" t="s">
        <v>368</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RowHeight="15" x14ac:dyDescent="0.25"/>
  <cols>
    <col min="1" max="1" width="9.140625" style="47"/>
    <col min="2" max="2" width="12.28515625" style="47" customWidth="1"/>
    <col min="3" max="16384" width="9.140625" style="47"/>
  </cols>
  <sheetData>
    <row r="2" spans="1:12" x14ac:dyDescent="0.25">
      <c r="B2" s="56" t="s">
        <v>291</v>
      </c>
      <c r="C2" s="243"/>
      <c r="D2" s="243"/>
    </row>
    <row r="3" spans="1:12" x14ac:dyDescent="0.25">
      <c r="D3" s="57"/>
      <c r="E3" s="57"/>
      <c r="F3" s="57"/>
      <c r="G3" s="57"/>
      <c r="H3" s="57"/>
      <c r="I3" s="57"/>
    </row>
    <row r="4" spans="1:12" x14ac:dyDescent="0.25">
      <c r="A4" s="56" t="s">
        <v>65</v>
      </c>
      <c r="B4" s="58" t="s">
        <v>292</v>
      </c>
      <c r="C4" s="244" t="s">
        <v>293</v>
      </c>
      <c r="D4" s="244"/>
      <c r="E4" s="244"/>
      <c r="F4" s="58"/>
      <c r="G4" s="245" t="s">
        <v>294</v>
      </c>
      <c r="H4" s="245"/>
      <c r="I4" s="245"/>
      <c r="J4" s="246" t="s">
        <v>295</v>
      </c>
      <c r="K4" s="246"/>
      <c r="L4" s="246"/>
    </row>
    <row r="5" spans="1:12" x14ac:dyDescent="0.25">
      <c r="A5" s="56"/>
      <c r="B5" s="58"/>
      <c r="C5" s="58" t="s">
        <v>296</v>
      </c>
      <c r="D5" s="58" t="s">
        <v>297</v>
      </c>
      <c r="E5" s="58" t="s">
        <v>298</v>
      </c>
      <c r="F5" s="58"/>
      <c r="G5" s="58" t="s">
        <v>296</v>
      </c>
      <c r="H5" s="58" t="s">
        <v>297</v>
      </c>
      <c r="I5" s="58" t="s">
        <v>298</v>
      </c>
      <c r="J5" s="58" t="s">
        <v>296</v>
      </c>
      <c r="K5" s="58" t="s">
        <v>297</v>
      </c>
      <c r="L5" s="58" t="s">
        <v>298</v>
      </c>
    </row>
    <row r="6" spans="1:12" x14ac:dyDescent="0.25">
      <c r="B6" s="48" t="s">
        <v>299</v>
      </c>
      <c r="C6" s="48"/>
      <c r="D6" s="48"/>
      <c r="E6" s="48">
        <f>C6*D6</f>
        <v>0</v>
      </c>
      <c r="F6" s="48" t="s">
        <v>316</v>
      </c>
      <c r="G6" s="48"/>
      <c r="H6" s="48"/>
      <c r="I6" s="48">
        <f>G6*H6</f>
        <v>0</v>
      </c>
      <c r="J6" s="48"/>
      <c r="K6" s="48"/>
      <c r="L6" s="48">
        <f>J6*K6</f>
        <v>0</v>
      </c>
    </row>
    <row r="7" spans="1:12" x14ac:dyDescent="0.25">
      <c r="B7" s="48"/>
      <c r="C7" s="48"/>
      <c r="D7" s="48"/>
      <c r="E7" s="48">
        <f t="shared" ref="E7:E41" si="0">C7*D7</f>
        <v>0</v>
      </c>
      <c r="F7" s="48" t="s">
        <v>316</v>
      </c>
      <c r="G7" s="48"/>
      <c r="H7" s="48"/>
      <c r="I7" s="48">
        <f t="shared" ref="I7:I35" si="1">G7*H7</f>
        <v>0</v>
      </c>
      <c r="J7" s="48"/>
      <c r="K7" s="48"/>
      <c r="L7" s="48">
        <f t="shared" ref="L7:L35" si="2">J7*K7</f>
        <v>0</v>
      </c>
    </row>
    <row r="8" spans="1:12" x14ac:dyDescent="0.25">
      <c r="B8" s="48"/>
      <c r="C8" s="48"/>
      <c r="D8" s="48"/>
      <c r="E8" s="48">
        <f t="shared" si="0"/>
        <v>0</v>
      </c>
      <c r="F8" s="48"/>
      <c r="G8" s="48"/>
      <c r="H8" s="48"/>
      <c r="I8" s="48">
        <f t="shared" si="1"/>
        <v>0</v>
      </c>
      <c r="J8" s="48"/>
      <c r="K8" s="48"/>
      <c r="L8" s="48">
        <f t="shared" si="2"/>
        <v>0</v>
      </c>
    </row>
    <row r="9" spans="1:12" x14ac:dyDescent="0.25">
      <c r="B9" s="48"/>
      <c r="C9" s="48"/>
      <c r="D9" s="48"/>
      <c r="E9" s="48">
        <f t="shared" si="0"/>
        <v>0</v>
      </c>
      <c r="F9" s="48" t="s">
        <v>300</v>
      </c>
      <c r="G9" s="48"/>
      <c r="H9" s="48"/>
      <c r="I9" s="48">
        <f t="shared" si="1"/>
        <v>0</v>
      </c>
      <c r="J9" s="48"/>
      <c r="K9" s="48"/>
      <c r="L9" s="48">
        <f t="shared" si="2"/>
        <v>0</v>
      </c>
    </row>
    <row r="10" spans="1:12" x14ac:dyDescent="0.25">
      <c r="B10" s="48" t="s">
        <v>301</v>
      </c>
      <c r="C10" s="48"/>
      <c r="D10" s="48"/>
      <c r="E10" s="48">
        <f t="shared" si="0"/>
        <v>0</v>
      </c>
      <c r="F10" s="48" t="s">
        <v>300</v>
      </c>
      <c r="G10" s="48"/>
      <c r="H10" s="48"/>
      <c r="I10" s="48">
        <f t="shared" si="1"/>
        <v>0</v>
      </c>
      <c r="J10" s="48"/>
      <c r="K10" s="48"/>
      <c r="L10" s="48">
        <f t="shared" si="2"/>
        <v>0</v>
      </c>
    </row>
    <row r="11" spans="1:12" x14ac:dyDescent="0.25">
      <c r="B11" s="48"/>
      <c r="C11" s="48"/>
      <c r="D11" s="48"/>
      <c r="E11" s="48">
        <f t="shared" si="0"/>
        <v>0</v>
      </c>
      <c r="F11" s="48" t="s">
        <v>302</v>
      </c>
      <c r="G11" s="48"/>
      <c r="H11" s="48"/>
      <c r="I11" s="48">
        <f t="shared" si="1"/>
        <v>0</v>
      </c>
      <c r="J11" s="48"/>
      <c r="K11" s="48"/>
      <c r="L11" s="48">
        <f t="shared" si="2"/>
        <v>0</v>
      </c>
    </row>
    <row r="12" spans="1:12" x14ac:dyDescent="0.25">
      <c r="B12" s="48"/>
      <c r="C12" s="48"/>
      <c r="D12" s="48"/>
      <c r="E12" s="48">
        <f t="shared" si="0"/>
        <v>0</v>
      </c>
      <c r="F12" s="48"/>
      <c r="G12" s="48"/>
      <c r="H12" s="48"/>
      <c r="I12" s="48">
        <f t="shared" si="1"/>
        <v>0</v>
      </c>
      <c r="J12" s="48"/>
      <c r="K12" s="48"/>
      <c r="L12" s="48">
        <f t="shared" si="2"/>
        <v>0</v>
      </c>
    </row>
    <row r="13" spans="1:12" x14ac:dyDescent="0.25">
      <c r="B13" s="48"/>
      <c r="C13" s="48"/>
      <c r="D13" s="48"/>
      <c r="E13" s="48">
        <f t="shared" si="0"/>
        <v>0</v>
      </c>
      <c r="F13" s="48"/>
      <c r="G13" s="48"/>
      <c r="H13" s="48"/>
      <c r="I13" s="48">
        <f t="shared" si="1"/>
        <v>0</v>
      </c>
      <c r="J13" s="48"/>
      <c r="K13" s="48"/>
      <c r="L13" s="48">
        <f t="shared" si="2"/>
        <v>0</v>
      </c>
    </row>
    <row r="14" spans="1:12" x14ac:dyDescent="0.25">
      <c r="B14" s="48" t="s">
        <v>303</v>
      </c>
      <c r="C14" s="48"/>
      <c r="D14" s="48"/>
      <c r="E14" s="48">
        <f t="shared" si="0"/>
        <v>0</v>
      </c>
      <c r="F14" s="48" t="s">
        <v>300</v>
      </c>
      <c r="G14" s="48"/>
      <c r="H14" s="48"/>
      <c r="I14" s="48">
        <f t="shared" si="1"/>
        <v>0</v>
      </c>
      <c r="J14" s="48"/>
      <c r="K14" s="48"/>
      <c r="L14" s="48">
        <f t="shared" si="2"/>
        <v>0</v>
      </c>
    </row>
    <row r="15" spans="1:12" x14ac:dyDescent="0.25">
      <c r="B15" s="48"/>
      <c r="C15" s="48"/>
      <c r="D15" s="48"/>
      <c r="E15" s="48">
        <f t="shared" si="0"/>
        <v>0</v>
      </c>
      <c r="F15" s="48" t="s">
        <v>302</v>
      </c>
      <c r="G15" s="48"/>
      <c r="H15" s="48"/>
      <c r="I15" s="48">
        <f t="shared" si="1"/>
        <v>0</v>
      </c>
      <c r="J15" s="48"/>
      <c r="K15" s="48"/>
      <c r="L15" s="48">
        <f t="shared" si="2"/>
        <v>0</v>
      </c>
    </row>
    <row r="16" spans="1:12" x14ac:dyDescent="0.25">
      <c r="B16" s="48"/>
      <c r="C16" s="48"/>
      <c r="D16" s="48"/>
      <c r="E16" s="48">
        <f t="shared" si="0"/>
        <v>0</v>
      </c>
      <c r="F16" s="48"/>
      <c r="G16" s="48"/>
      <c r="H16" s="48"/>
      <c r="I16" s="48">
        <f t="shared" si="1"/>
        <v>0</v>
      </c>
      <c r="J16" s="48"/>
      <c r="K16" s="48"/>
      <c r="L16" s="48">
        <f t="shared" si="2"/>
        <v>0</v>
      </c>
    </row>
    <row r="17" spans="2:12" x14ac:dyDescent="0.25">
      <c r="B17" s="48"/>
      <c r="C17" s="48"/>
      <c r="D17" s="48"/>
      <c r="E17" s="48">
        <f t="shared" si="0"/>
        <v>0</v>
      </c>
      <c r="F17" s="48"/>
      <c r="G17" s="48"/>
      <c r="H17" s="48"/>
      <c r="I17" s="48">
        <f t="shared" si="1"/>
        <v>0</v>
      </c>
      <c r="J17" s="48"/>
      <c r="K17" s="48"/>
      <c r="L17" s="48">
        <f t="shared" si="2"/>
        <v>0</v>
      </c>
    </row>
    <row r="18" spans="2:12" x14ac:dyDescent="0.25">
      <c r="B18" s="48" t="s">
        <v>304</v>
      </c>
      <c r="C18" s="48"/>
      <c r="D18" s="48"/>
      <c r="E18" s="48">
        <f t="shared" si="0"/>
        <v>0</v>
      </c>
      <c r="F18" s="48" t="s">
        <v>300</v>
      </c>
      <c r="G18" s="48"/>
      <c r="H18" s="48"/>
      <c r="I18" s="48">
        <f t="shared" si="1"/>
        <v>0</v>
      </c>
      <c r="J18" s="48"/>
      <c r="K18" s="48"/>
      <c r="L18" s="48">
        <f t="shared" si="2"/>
        <v>0</v>
      </c>
    </row>
    <row r="19" spans="2:12" x14ac:dyDescent="0.25">
      <c r="B19" s="48"/>
      <c r="C19" s="48"/>
      <c r="D19" s="48"/>
      <c r="E19" s="48">
        <f t="shared" si="0"/>
        <v>0</v>
      </c>
      <c r="F19" s="48" t="s">
        <v>302</v>
      </c>
      <c r="G19" s="48"/>
      <c r="H19" s="48"/>
      <c r="I19" s="48">
        <f t="shared" si="1"/>
        <v>0</v>
      </c>
      <c r="J19" s="48"/>
      <c r="K19" s="48"/>
      <c r="L19" s="48">
        <f t="shared" si="2"/>
        <v>0</v>
      </c>
    </row>
    <row r="20" spans="2:12" x14ac:dyDescent="0.25">
      <c r="B20" s="48"/>
      <c r="C20" s="48"/>
      <c r="D20" s="48"/>
      <c r="E20" s="48">
        <f t="shared" si="0"/>
        <v>0</v>
      </c>
      <c r="F20" s="48"/>
      <c r="G20" s="48"/>
      <c r="H20" s="48"/>
      <c r="I20" s="48">
        <f t="shared" si="1"/>
        <v>0</v>
      </c>
      <c r="J20" s="48"/>
      <c r="K20" s="48"/>
      <c r="L20" s="48">
        <f t="shared" si="2"/>
        <v>0</v>
      </c>
    </row>
    <row r="21" spans="2:12" x14ac:dyDescent="0.25">
      <c r="B21" s="48" t="s">
        <v>305</v>
      </c>
      <c r="C21" s="48"/>
      <c r="D21" s="48"/>
      <c r="E21" s="48">
        <f t="shared" si="0"/>
        <v>0</v>
      </c>
      <c r="F21" s="48" t="s">
        <v>300</v>
      </c>
      <c r="G21" s="48"/>
      <c r="H21" s="48"/>
      <c r="I21" s="48">
        <f t="shared" si="1"/>
        <v>0</v>
      </c>
      <c r="J21" s="48"/>
      <c r="K21" s="48"/>
      <c r="L21" s="48">
        <f t="shared" si="2"/>
        <v>0</v>
      </c>
    </row>
    <row r="22" spans="2:12" x14ac:dyDescent="0.25">
      <c r="B22" s="48"/>
      <c r="C22" s="48"/>
      <c r="D22" s="48"/>
      <c r="E22" s="48">
        <f t="shared" si="0"/>
        <v>0</v>
      </c>
      <c r="F22" s="48" t="s">
        <v>302</v>
      </c>
      <c r="G22" s="48"/>
      <c r="H22" s="48"/>
      <c r="I22" s="48">
        <f t="shared" si="1"/>
        <v>0</v>
      </c>
      <c r="J22" s="48"/>
      <c r="K22" s="48"/>
      <c r="L22" s="48">
        <f t="shared" si="2"/>
        <v>0</v>
      </c>
    </row>
    <row r="23" spans="2:12" x14ac:dyDescent="0.25">
      <c r="B23" s="48"/>
      <c r="C23" s="48"/>
      <c r="D23" s="48"/>
      <c r="E23" s="48">
        <f t="shared" si="0"/>
        <v>0</v>
      </c>
      <c r="F23" s="48"/>
      <c r="G23" s="48"/>
      <c r="H23" s="48"/>
      <c r="I23" s="48">
        <f t="shared" si="1"/>
        <v>0</v>
      </c>
      <c r="J23" s="48"/>
      <c r="K23" s="48"/>
      <c r="L23" s="48">
        <f t="shared" si="2"/>
        <v>0</v>
      </c>
    </row>
    <row r="24" spans="2:12" x14ac:dyDescent="0.25">
      <c r="B24" s="48" t="s">
        <v>306</v>
      </c>
      <c r="C24" s="48"/>
      <c r="D24" s="48"/>
      <c r="E24" s="48">
        <f t="shared" si="0"/>
        <v>0</v>
      </c>
      <c r="F24" s="48" t="s">
        <v>307</v>
      </c>
      <c r="G24" s="48"/>
      <c r="H24" s="48"/>
      <c r="I24" s="48">
        <f t="shared" si="1"/>
        <v>0</v>
      </c>
      <c r="J24" s="48"/>
      <c r="K24" s="48"/>
      <c r="L24" s="48">
        <f t="shared" si="2"/>
        <v>0</v>
      </c>
    </row>
    <row r="25" spans="2:12" x14ac:dyDescent="0.25">
      <c r="B25" s="48"/>
      <c r="C25" s="48"/>
      <c r="D25" s="48"/>
      <c r="E25" s="48">
        <f>C25*D25</f>
        <v>0</v>
      </c>
      <c r="F25" s="48" t="s">
        <v>307</v>
      </c>
      <c r="G25" s="48"/>
      <c r="H25" s="48"/>
      <c r="I25" s="48">
        <f>G25*H25</f>
        <v>0</v>
      </c>
      <c r="J25" s="48"/>
      <c r="K25" s="48"/>
      <c r="L25" s="48">
        <f>J25*K25</f>
        <v>0</v>
      </c>
    </row>
    <row r="26" spans="2:12" x14ac:dyDescent="0.25">
      <c r="B26" s="48"/>
      <c r="C26" s="48"/>
      <c r="D26" s="48"/>
      <c r="E26" s="48">
        <f>C26*D26</f>
        <v>0</v>
      </c>
      <c r="F26" s="48" t="s">
        <v>307</v>
      </c>
      <c r="G26" s="48"/>
      <c r="H26" s="48"/>
      <c r="I26" s="48">
        <f>G26*H26</f>
        <v>0</v>
      </c>
      <c r="J26" s="48"/>
      <c r="K26" s="48"/>
      <c r="L26" s="48">
        <f>J26*K26</f>
        <v>0</v>
      </c>
    </row>
    <row r="27" spans="2:12" x14ac:dyDescent="0.25">
      <c r="B27" s="48"/>
      <c r="C27" s="48"/>
      <c r="D27" s="48"/>
      <c r="E27" s="48">
        <f>C27*D27</f>
        <v>0</v>
      </c>
      <c r="F27" s="48" t="s">
        <v>307</v>
      </c>
      <c r="G27" s="48"/>
      <c r="H27" s="48"/>
      <c r="I27" s="48">
        <f>G27*H27</f>
        <v>0</v>
      </c>
      <c r="J27" s="48"/>
      <c r="K27" s="48"/>
      <c r="L27" s="48">
        <f>J27*K27</f>
        <v>0</v>
      </c>
    </row>
    <row r="28" spans="2:12" x14ac:dyDescent="0.25">
      <c r="B28" s="48" t="s">
        <v>308</v>
      </c>
      <c r="C28" s="48"/>
      <c r="D28" s="48"/>
      <c r="E28" s="48">
        <f t="shared" si="0"/>
        <v>0</v>
      </c>
      <c r="F28" s="48" t="s">
        <v>307</v>
      </c>
      <c r="G28" s="48"/>
      <c r="H28" s="48"/>
      <c r="I28" s="48">
        <f t="shared" si="1"/>
        <v>0</v>
      </c>
      <c r="J28" s="48"/>
      <c r="K28" s="48"/>
      <c r="L28" s="48">
        <f t="shared" si="2"/>
        <v>0</v>
      </c>
    </row>
    <row r="29" spans="2:12" x14ac:dyDescent="0.25">
      <c r="B29" s="48" t="s">
        <v>309</v>
      </c>
      <c r="C29" s="48"/>
      <c r="D29" s="48"/>
      <c r="E29" s="48">
        <f t="shared" si="0"/>
        <v>0</v>
      </c>
      <c r="F29" s="48" t="s">
        <v>307</v>
      </c>
      <c r="G29" s="48"/>
      <c r="H29" s="48"/>
      <c r="I29" s="48">
        <f t="shared" si="1"/>
        <v>0</v>
      </c>
      <c r="J29" s="48"/>
      <c r="K29" s="48"/>
      <c r="L29" s="48">
        <f t="shared" si="2"/>
        <v>0</v>
      </c>
    </row>
    <row r="30" spans="2:12" x14ac:dyDescent="0.25">
      <c r="B30" s="48" t="s">
        <v>313</v>
      </c>
      <c r="C30" s="48"/>
      <c r="D30" s="48"/>
      <c r="E30" s="48">
        <f t="shared" si="0"/>
        <v>0</v>
      </c>
      <c r="F30" s="48"/>
      <c r="G30" s="48"/>
      <c r="H30" s="48"/>
      <c r="I30" s="48">
        <f t="shared" si="1"/>
        <v>0</v>
      </c>
      <c r="J30" s="48"/>
      <c r="K30" s="48"/>
      <c r="L30" s="48">
        <f t="shared" si="2"/>
        <v>0</v>
      </c>
    </row>
    <row r="31" spans="2:12" x14ac:dyDescent="0.25">
      <c r="B31" s="48"/>
      <c r="C31" s="48"/>
      <c r="D31" s="48"/>
      <c r="E31" s="48">
        <f>C31*D31</f>
        <v>0</v>
      </c>
      <c r="F31" s="48"/>
      <c r="G31" s="48"/>
      <c r="H31" s="48"/>
      <c r="I31" s="48">
        <f>G31*H31</f>
        <v>0</v>
      </c>
      <c r="J31" s="48"/>
      <c r="K31" s="48"/>
      <c r="L31" s="48">
        <f>J31*K31</f>
        <v>0</v>
      </c>
    </row>
    <row r="32" spans="2:12" x14ac:dyDescent="0.25">
      <c r="B32" s="48"/>
      <c r="C32" s="48"/>
      <c r="D32" s="48"/>
      <c r="E32" s="48">
        <f>C32*D32</f>
        <v>0</v>
      </c>
      <c r="F32" s="48"/>
      <c r="G32" s="48"/>
      <c r="H32" s="48"/>
      <c r="I32" s="48">
        <f>G32*H32</f>
        <v>0</v>
      </c>
      <c r="J32" s="48"/>
      <c r="K32" s="48"/>
      <c r="L32" s="48">
        <f>J32*K32</f>
        <v>0</v>
      </c>
    </row>
    <row r="33" spans="2:12" x14ac:dyDescent="0.25">
      <c r="B33" s="48" t="s">
        <v>310</v>
      </c>
      <c r="C33" s="48"/>
      <c r="D33" s="48"/>
      <c r="E33" s="48">
        <f t="shared" si="0"/>
        <v>0</v>
      </c>
      <c r="F33" s="48"/>
      <c r="G33" s="48"/>
      <c r="H33" s="48"/>
      <c r="I33" s="48">
        <f t="shared" si="1"/>
        <v>0</v>
      </c>
      <c r="J33" s="48"/>
      <c r="K33" s="48"/>
      <c r="L33" s="48">
        <f t="shared" si="2"/>
        <v>0</v>
      </c>
    </row>
    <row r="34" spans="2:12" x14ac:dyDescent="0.25">
      <c r="B34" s="48" t="s">
        <v>314</v>
      </c>
      <c r="C34" s="48"/>
      <c r="D34" s="48"/>
      <c r="E34" s="48">
        <f t="shared" si="0"/>
        <v>0</v>
      </c>
      <c r="F34" s="48"/>
      <c r="G34" s="48"/>
      <c r="H34" s="48"/>
      <c r="I34" s="48">
        <f t="shared" si="1"/>
        <v>0</v>
      </c>
      <c r="J34" s="48"/>
      <c r="K34" s="48"/>
      <c r="L34" s="48">
        <f t="shared" si="2"/>
        <v>0</v>
      </c>
    </row>
    <row r="35" spans="2:12" x14ac:dyDescent="0.25">
      <c r="B35" s="48" t="s">
        <v>311</v>
      </c>
      <c r="C35" s="48"/>
      <c r="D35" s="48"/>
      <c r="E35" s="48">
        <f t="shared" si="0"/>
        <v>0</v>
      </c>
      <c r="F35" s="48"/>
      <c r="G35" s="48"/>
      <c r="H35" s="48"/>
      <c r="I35" s="48">
        <f t="shared" si="1"/>
        <v>0</v>
      </c>
      <c r="J35" s="48"/>
      <c r="K35" s="48"/>
      <c r="L35" s="48">
        <f t="shared" si="2"/>
        <v>0</v>
      </c>
    </row>
    <row r="36" spans="2:12" x14ac:dyDescent="0.25">
      <c r="B36" s="48" t="s">
        <v>312</v>
      </c>
      <c r="C36" s="48"/>
      <c r="D36" s="48"/>
      <c r="E36" s="48">
        <f t="shared" si="0"/>
        <v>0</v>
      </c>
      <c r="F36" s="48"/>
      <c r="G36" s="48"/>
      <c r="H36" s="48"/>
      <c r="I36" s="48">
        <f t="shared" ref="I36:I41" si="3">G36*H36</f>
        <v>0</v>
      </c>
      <c r="J36" s="48"/>
      <c r="K36" s="48"/>
      <c r="L36" s="48">
        <f t="shared" ref="L36:L41" si="4">J36*K36</f>
        <v>0</v>
      </c>
    </row>
    <row r="37" spans="2:12" x14ac:dyDescent="0.25">
      <c r="B37" s="48"/>
      <c r="C37" s="48"/>
      <c r="D37" s="48"/>
      <c r="E37" s="48">
        <f>C37*D37</f>
        <v>0</v>
      </c>
      <c r="F37" s="48"/>
      <c r="G37" s="48"/>
      <c r="H37" s="48"/>
      <c r="I37" s="48">
        <f t="shared" si="3"/>
        <v>0</v>
      </c>
      <c r="J37" s="48"/>
      <c r="K37" s="48"/>
      <c r="L37" s="48">
        <f t="shared" si="4"/>
        <v>0</v>
      </c>
    </row>
    <row r="38" spans="2:12" x14ac:dyDescent="0.25">
      <c r="B38" s="48" t="s">
        <v>315</v>
      </c>
      <c r="C38" s="48"/>
      <c r="D38" s="48"/>
      <c r="E38" s="48">
        <f>C38*D38</f>
        <v>0</v>
      </c>
      <c r="F38" s="48"/>
      <c r="G38" s="48"/>
      <c r="H38" s="48"/>
      <c r="I38" s="48">
        <f t="shared" si="3"/>
        <v>0</v>
      </c>
      <c r="J38" s="48"/>
      <c r="K38" s="48"/>
      <c r="L38" s="48">
        <f t="shared" si="4"/>
        <v>0</v>
      </c>
    </row>
    <row r="39" spans="2:12" x14ac:dyDescent="0.25">
      <c r="B39" s="48"/>
      <c r="C39" s="48"/>
      <c r="D39" s="48"/>
      <c r="E39" s="48">
        <f t="shared" si="0"/>
        <v>0</v>
      </c>
      <c r="F39" s="48"/>
      <c r="G39" s="48"/>
      <c r="H39" s="48"/>
      <c r="I39" s="48">
        <f t="shared" si="3"/>
        <v>0</v>
      </c>
      <c r="J39" s="48"/>
      <c r="K39" s="48"/>
      <c r="L39" s="48">
        <f t="shared" si="4"/>
        <v>0</v>
      </c>
    </row>
    <row r="40" spans="2:12" x14ac:dyDescent="0.25">
      <c r="B40" s="48"/>
      <c r="C40" s="48"/>
      <c r="D40" s="48"/>
      <c r="E40" s="48">
        <f t="shared" si="0"/>
        <v>0</v>
      </c>
      <c r="F40" s="48"/>
      <c r="G40" s="48"/>
      <c r="H40" s="48"/>
      <c r="I40" s="48">
        <f t="shared" si="3"/>
        <v>0</v>
      </c>
      <c r="J40" s="48"/>
      <c r="K40" s="48"/>
      <c r="L40" s="48">
        <f t="shared" si="4"/>
        <v>0</v>
      </c>
    </row>
    <row r="41" spans="2:12" x14ac:dyDescent="0.25">
      <c r="B41" s="48"/>
      <c r="C41" s="48"/>
      <c r="D41" s="48"/>
      <c r="E41" s="48">
        <f t="shared" si="0"/>
        <v>0</v>
      </c>
      <c r="F41" s="48"/>
      <c r="G41" s="48"/>
      <c r="H41" s="48"/>
      <c r="I41" s="48">
        <f t="shared" si="3"/>
        <v>0</v>
      </c>
      <c r="J41" s="48"/>
      <c r="K41" s="48"/>
      <c r="L41" s="48">
        <f t="shared" si="4"/>
        <v>0</v>
      </c>
    </row>
    <row r="42" spans="2:12" x14ac:dyDescent="0.25">
      <c r="B42" s="48" t="s">
        <v>145</v>
      </c>
      <c r="C42" s="48"/>
      <c r="D42" s="48">
        <f>E42*10.764</f>
        <v>0</v>
      </c>
      <c r="E42" s="61">
        <f>SUM(E6:E41)</f>
        <v>0</v>
      </c>
      <c r="F42" s="48"/>
      <c r="G42" s="48"/>
      <c r="H42" s="48">
        <f>I42*10.764</f>
        <v>0</v>
      </c>
      <c r="I42" s="60">
        <f>SUM(I6:I41)</f>
        <v>0</v>
      </c>
      <c r="J42" s="48"/>
      <c r="K42" s="48">
        <f>L42*10.764</f>
        <v>0</v>
      </c>
      <c r="L42" s="59">
        <f>SUM(L6:L41)</f>
        <v>0</v>
      </c>
    </row>
    <row r="44" spans="2:12" x14ac:dyDescent="0.2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2025-07-22T06:43:55Z</cp:lastPrinted>
  <dcterms:created xsi:type="dcterms:W3CDTF">2019-07-16T09:29:46Z</dcterms:created>
  <dcterms:modified xsi:type="dcterms:W3CDTF">2025-07-22T06:54:21Z</dcterms:modified>
</cp:coreProperties>
</file>