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21-07-2025\"/>
    </mc:Choice>
  </mc:AlternateContent>
  <bookViews>
    <workbookView xWindow="0" yWindow="0" windowWidth="19200" windowHeight="6640" tabRatio="725"/>
  </bookViews>
  <sheets>
    <sheet name="Report" sheetId="1" r:id="rId1"/>
    <sheet name="Note" sheetId="4" r:id="rId2"/>
    <sheet name="valuation" sheetId="5" r:id="rId3"/>
  </sheets>
  <definedNames>
    <definedName name="_xlnm.Print_Area" localSheetId="0">Report!$A$1:$H$334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1" i="1" l="1"/>
  <c r="D190" i="1"/>
  <c r="D189" i="1"/>
  <c r="D187" i="1"/>
  <c r="D188" i="1"/>
  <c r="D186" i="1"/>
  <c r="D185" i="1"/>
  <c r="D184" i="1"/>
  <c r="D181" i="1"/>
  <c r="D180" i="1"/>
  <c r="D183" i="1"/>
  <c r="D179" i="1" l="1"/>
  <c r="D178" i="1"/>
  <c r="D177" i="1"/>
  <c r="D176" i="1"/>
  <c r="D175" i="1"/>
  <c r="D174" i="1"/>
  <c r="J173" i="1"/>
  <c r="D173" i="1"/>
  <c r="C116" i="1" l="1"/>
  <c r="E116" i="1"/>
  <c r="D226" i="1"/>
  <c r="F226" i="1" s="1"/>
  <c r="D223" i="1"/>
  <c r="F223" i="1" s="1"/>
  <c r="D222" i="1"/>
  <c r="F222" i="1" s="1"/>
  <c r="D221" i="1"/>
  <c r="F221" i="1" s="1"/>
  <c r="D220" i="1"/>
  <c r="F220" i="1" s="1"/>
  <c r="D219" i="1"/>
  <c r="F219" i="1" s="1"/>
  <c r="D218" i="1"/>
  <c r="F218" i="1" s="1"/>
  <c r="D217" i="1"/>
  <c r="F217" i="1" s="1"/>
  <c r="D216" i="1"/>
  <c r="F216" i="1" s="1"/>
  <c r="D215" i="1"/>
  <c r="F215" i="1" s="1"/>
  <c r="D214" i="1"/>
  <c r="F214" i="1" s="1"/>
  <c r="D212" i="1"/>
  <c r="F212" i="1" s="1"/>
  <c r="D211" i="1"/>
  <c r="F211" i="1" s="1"/>
  <c r="D210" i="1"/>
  <c r="F210" i="1" s="1"/>
  <c r="D209" i="1"/>
  <c r="F209" i="1" s="1"/>
  <c r="D208" i="1"/>
  <c r="F208" i="1" s="1"/>
  <c r="D207" i="1"/>
  <c r="F207" i="1" s="1"/>
  <c r="D206" i="1"/>
  <c r="D205" i="1"/>
  <c r="D204" i="1"/>
  <c r="D203" i="1"/>
  <c r="D202" i="1"/>
  <c r="D201" i="1"/>
  <c r="D200" i="1"/>
  <c r="G214" i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B229" i="1"/>
  <c r="B230" i="1"/>
  <c r="D196" i="1"/>
  <c r="D195" i="1"/>
  <c r="D194" i="1"/>
  <c r="D193" i="1"/>
  <c r="C117" i="1" l="1"/>
  <c r="E117" i="1"/>
  <c r="F191" i="1"/>
  <c r="F190" i="1"/>
  <c r="F189" i="1"/>
  <c r="E181" i="1"/>
  <c r="E180" i="1"/>
  <c r="E179" i="1"/>
  <c r="F179" i="1" s="1"/>
  <c r="E178" i="1"/>
  <c r="E177" i="1"/>
  <c r="E176" i="1"/>
  <c r="E175" i="1"/>
  <c r="E174" i="1"/>
  <c r="E173" i="1"/>
  <c r="F181" i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F162" i="1" s="1"/>
  <c r="D161" i="1"/>
  <c r="F161" i="1" s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D150" i="1"/>
  <c r="F150" i="1" s="1"/>
  <c r="D149" i="1"/>
  <c r="D148" i="1"/>
  <c r="F148" i="1" s="1"/>
  <c r="D147" i="1"/>
  <c r="F147" i="1" s="1"/>
  <c r="D146" i="1"/>
  <c r="F146" i="1" s="1"/>
  <c r="D145" i="1"/>
  <c r="F145" i="1" s="1"/>
  <c r="D144" i="1"/>
  <c r="F144" i="1" s="1"/>
  <c r="D143" i="1"/>
  <c r="F143" i="1" s="1"/>
  <c r="D142" i="1"/>
  <c r="F149" i="1"/>
  <c r="G142" i="1"/>
  <c r="D140" i="1"/>
  <c r="F140" i="1" s="1"/>
  <c r="D139" i="1"/>
  <c r="F139" i="1" s="1"/>
  <c r="D138" i="1"/>
  <c r="F138" i="1" s="1"/>
  <c r="D137" i="1"/>
  <c r="F137" i="1" s="1"/>
  <c r="D136" i="1"/>
  <c r="F136" i="1" s="1"/>
  <c r="D135" i="1"/>
  <c r="F135" i="1" s="1"/>
  <c r="D134" i="1"/>
  <c r="F134" i="1" s="1"/>
  <c r="D133" i="1"/>
  <c r="F133" i="1" s="1"/>
  <c r="D132" i="1"/>
  <c r="F132" i="1" s="1"/>
  <c r="D131" i="1"/>
  <c r="D130" i="1"/>
  <c r="D129" i="1"/>
  <c r="D128" i="1"/>
  <c r="D127" i="1"/>
  <c r="D126" i="1"/>
  <c r="D125" i="1"/>
  <c r="F142" i="1" l="1"/>
  <c r="G113" i="1" s="1"/>
  <c r="E113" i="1"/>
  <c r="C113" i="1"/>
  <c r="E110" i="1"/>
  <c r="C110" i="1"/>
  <c r="E118" i="1"/>
  <c r="C118" i="1"/>
  <c r="F180" i="1"/>
  <c r="F206" i="1"/>
  <c r="C14" i="1" l="1"/>
  <c r="E28" i="1" l="1"/>
  <c r="F205" i="1" l="1"/>
  <c r="F204" i="1"/>
  <c r="F203" i="1"/>
  <c r="F202" i="1"/>
  <c r="F201" i="1"/>
  <c r="F200" i="1"/>
  <c r="F196" i="1"/>
  <c r="F195" i="1"/>
  <c r="F194" i="1"/>
  <c r="F193" i="1"/>
  <c r="F188" i="1"/>
  <c r="F187" i="1"/>
  <c r="I187" i="1" s="1"/>
  <c r="F186" i="1"/>
  <c r="F185" i="1"/>
  <c r="I185" i="1" s="1"/>
  <c r="F184" i="1"/>
  <c r="F183" i="1"/>
  <c r="F178" i="1"/>
  <c r="F177" i="1"/>
  <c r="F176" i="1"/>
  <c r="F174" i="1"/>
  <c r="F173" i="1"/>
  <c r="F175" i="1"/>
  <c r="I186" i="1" l="1"/>
  <c r="I184" i="1"/>
  <c r="G116" i="1"/>
  <c r="I183" i="1"/>
  <c r="K183" i="1"/>
  <c r="L183" i="1"/>
  <c r="J183" i="1"/>
  <c r="K187" i="1"/>
  <c r="J187" i="1"/>
  <c r="J188" i="1"/>
  <c r="K188" i="1"/>
  <c r="K185" i="1"/>
  <c r="L185" i="1"/>
  <c r="J185" i="1"/>
  <c r="K186" i="1"/>
  <c r="J186" i="1"/>
  <c r="G117" i="1"/>
  <c r="F126" i="1"/>
  <c r="F127" i="1"/>
  <c r="F128" i="1"/>
  <c r="F129" i="1"/>
  <c r="F130" i="1"/>
  <c r="F131" i="1"/>
  <c r="F125" i="1"/>
  <c r="J189" i="1" l="1"/>
  <c r="G118" i="1"/>
  <c r="K189" i="1"/>
  <c r="G110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3" i="1"/>
  <c r="G200" i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193" i="1"/>
  <c r="G194" i="1" s="1"/>
  <c r="G195" i="1" s="1"/>
  <c r="G196" i="1" s="1"/>
  <c r="G183" i="1"/>
  <c r="G173" i="1"/>
  <c r="A174" i="1"/>
  <c r="A175" i="1" s="1"/>
  <c r="A176" i="1" s="1"/>
  <c r="A177" i="1" s="1"/>
  <c r="A178" i="1" s="1"/>
  <c r="A179" i="1" s="1"/>
  <c r="A180" i="1" s="1"/>
  <c r="A181" i="1" s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G125" i="1"/>
  <c r="F107" i="1"/>
  <c r="J91" i="1"/>
  <c r="J90" i="1"/>
  <c r="J89" i="1"/>
  <c r="J88" i="1"/>
  <c r="J77" i="1"/>
  <c r="J76" i="1"/>
  <c r="J75" i="1"/>
  <c r="J74" i="1"/>
  <c r="D54" i="1"/>
  <c r="G48" i="1"/>
  <c r="E41" i="1"/>
  <c r="E42" i="1" s="1"/>
  <c r="E25" i="1"/>
  <c r="E23" i="1"/>
  <c r="E3" i="1"/>
  <c r="D60" i="1" s="1"/>
  <c r="H81" i="1"/>
  <c r="H67" i="1"/>
  <c r="D72" i="1" l="1"/>
  <c r="J70" i="1"/>
  <c r="D79" i="1"/>
  <c r="D77" i="1"/>
  <c r="D75" i="1"/>
  <c r="D73" i="1"/>
  <c r="J71" i="1"/>
  <c r="J69" i="1"/>
  <c r="J72" i="1"/>
  <c r="D78" i="1"/>
  <c r="D74" i="1"/>
  <c r="D76" i="1"/>
  <c r="J86" i="1"/>
  <c r="J87" i="1" s="1"/>
  <c r="J92" i="1" s="1"/>
  <c r="D92" i="1"/>
  <c r="D90" i="1"/>
  <c r="D88" i="1"/>
  <c r="D86" i="1"/>
  <c r="J84" i="1"/>
  <c r="D93" i="1"/>
  <c r="J85" i="1"/>
  <c r="C84" i="1" s="1"/>
  <c r="D84" i="1" s="1"/>
  <c r="D87" i="1"/>
  <c r="D89" i="1"/>
  <c r="D91" i="1"/>
  <c r="J83" i="1"/>
  <c r="J93" i="1" l="1"/>
  <c r="D85" i="1"/>
  <c r="D70" i="1"/>
  <c r="J73" i="1"/>
  <c r="J78" i="1" s="1"/>
  <c r="J79" i="1" s="1"/>
  <c r="E70" i="1"/>
  <c r="G70" i="1"/>
  <c r="D64" i="1" s="1"/>
  <c r="E84" i="1" l="1"/>
  <c r="I80" i="1" s="1"/>
  <c r="C82" i="1" s="1"/>
  <c r="G84" i="1"/>
  <c r="I66" i="1"/>
  <c r="C68" i="1" s="1"/>
  <c r="D71" i="1"/>
  <c r="F65" i="1"/>
  <c r="D65" i="1"/>
</calcChain>
</file>

<file path=xl/sharedStrings.xml><?xml version="1.0" encoding="utf-8"?>
<sst xmlns="http://schemas.openxmlformats.org/spreadsheetml/2006/main" count="419" uniqueCount="243">
  <si>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</si>
  <si>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</si>
  <si>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</si>
  <si>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</si>
  <si>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</si>
  <si>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</si>
  <si>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</si>
  <si>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</si>
  <si>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</si>
  <si>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</si>
  <si>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</si>
  <si>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</si>
  <si>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</si>
  <si>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</si>
  <si>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</si>
  <si>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</si>
  <si>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</si>
  <si>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</si>
  <si>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</si>
  <si>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</si>
  <si>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</si>
  <si>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</si>
  <si>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</si>
  <si>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</si>
  <si>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</si>
  <si>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</si>
  <si>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</si>
  <si>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</si>
  <si>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</si>
  <si>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</si>
  <si>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</si>
  <si>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</si>
  <si>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</si>
  <si>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</si>
  <si>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</si>
  <si>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</si>
  <si>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</si>
  <si>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</si>
  <si>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</si>
  <si>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</si>
  <si>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</si>
  <si>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</si>
  <si>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</si>
  <si>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</si>
  <si>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</si>
  <si>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</si>
  <si>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</si>
  <si>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</si>
  <si>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</si>
  <si>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</si>
  <si>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</si>
  <si>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</si>
  <si>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</si>
  <si>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</si>
  <si>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</si>
  <si>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</si>
  <si>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</si>
  <si>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</si>
  <si>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</si>
  <si>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</si>
  <si>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</si>
  <si>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</si>
  <si>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</si>
  <si>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</si>
  <si>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</si>
  <si>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</si>
  <si>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</si>
  <si>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</si>
  <si>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</si>
  <si>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</si>
  <si>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</si>
  <si>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</si>
  <si>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</si>
  <si>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</si>
  <si>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</si>
  <si>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</si>
  <si>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</si>
  <si>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</si>
  <si>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</si>
  <si>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</si>
  <si>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</si>
  <si>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</si>
  <si>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</si>
  <si>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</si>
  <si>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</si>
  <si>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</si>
  <si>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</si>
  <si>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</si>
  <si>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</si>
  <si>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</si>
  <si>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</si>
  <si>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</si>
  <si>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</si>
  <si>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</si>
  <si>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</si>
  <si>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</si>
  <si>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</si>
  <si>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</si>
  <si>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</si>
  <si>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</si>
  <si>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</si>
  <si>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</si>
  <si>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</si>
  <si>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</si>
  <si>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</si>
  <si>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</si>
  <si>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</si>
  <si>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</si>
  <si>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</si>
  <si>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</si>
  <si>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</si>
  <si>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</si>
  <si>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</si>
  <si>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</si>
  <si>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</si>
  <si>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</si>
  <si>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</si>
  <si>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</si>
  <si>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</si>
  <si>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</si>
  <si>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</si>
  <si>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</si>
  <si>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</si>
  <si>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</si>
  <si>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</si>
  <si>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</si>
  <si>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</si>
  <si>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</si>
  <si>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</si>
  <si>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</si>
  <si>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</si>
  <si>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</si>
  <si>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</si>
  <si>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</si>
  <si>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</si>
  <si>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</si>
  <si>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</si>
  <si>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</si>
  <si>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</si>
  <si>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</si>
  <si>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</si>
  <si>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</si>
  <si>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</si>
  <si>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</si>
  <si>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</si>
  <si>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</si>
  <si>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</si>
  <si>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</si>
  <si>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</si>
  <si>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</si>
  <si>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</si>
  <si>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</si>
  <si>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</si>
  <si>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</si>
  <si>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</si>
  <si>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</si>
  <si>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</si>
  <si>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</si>
  <si>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</si>
  <si>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</si>
  <si>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</si>
  <si>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</si>
  <si>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</si>
  <si>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Recommended rate of the Office Per Sq. Ft. (on Saleable area)</t>
  </si>
  <si>
    <t>Recommended rate should be considered as all inclusive rate if other charges are not mentioned. (Excluding GST &amp; other government Taxes)</t>
  </si>
  <si>
    <t>Axis Goregaon</t>
  </si>
  <si>
    <t>Armaan Lotus</t>
  </si>
  <si>
    <t>P99000027113</t>
  </si>
  <si>
    <t>Survey No</t>
  </si>
  <si>
    <t>148(Pt)</t>
  </si>
  <si>
    <t>Achole</t>
  </si>
  <si>
    <t>Palghar</t>
  </si>
  <si>
    <t>Vasai</t>
  </si>
  <si>
    <t>Arjun Apartment</t>
  </si>
  <si>
    <t>Achole Road</t>
  </si>
  <si>
    <t>Lucky Rahbat Apartment</t>
  </si>
  <si>
    <t>Reliable Prestige 1</t>
  </si>
  <si>
    <t>0.450 KM from Nalasopara Railway Station</t>
  </si>
  <si>
    <t>Vasai-Virar City Municipal Corporation</t>
  </si>
  <si>
    <t>VVCMC/AMEND/BP/VP4985/173/2020-21</t>
  </si>
  <si>
    <t>Building No.1 = (Wing C) = Gr/St + 1st to 11th Floor</t>
  </si>
  <si>
    <t>As per RERA -  30/06/2026</t>
  </si>
  <si>
    <t>Shop</t>
  </si>
  <si>
    <t>Ground Floor for Commercial &amp; Parking</t>
  </si>
  <si>
    <t>1st &amp; 2nd Floor</t>
  </si>
  <si>
    <t>Office</t>
  </si>
  <si>
    <t>3rd Floor for Residential</t>
  </si>
  <si>
    <t>1BHK</t>
  </si>
  <si>
    <t>2BHK</t>
  </si>
  <si>
    <t>7th Floor</t>
  </si>
  <si>
    <t>Commercial Area Details for Offices</t>
  </si>
  <si>
    <t>Commercial Area Details for Shops</t>
  </si>
  <si>
    <t>C Wing</t>
  </si>
  <si>
    <t>1st to 7th, 9th to 11th Floor</t>
  </si>
  <si>
    <t>Ground Floor for Parking</t>
  </si>
  <si>
    <t>MP Room</t>
  </si>
  <si>
    <t>1RK</t>
  </si>
  <si>
    <t>Refuge Area</t>
  </si>
  <si>
    <t>8th Floor (Part Refuge Area)</t>
  </si>
  <si>
    <t>We considered Gross carpet area = Net carpet + D.B Area + F.B Area.</t>
  </si>
  <si>
    <t>Navnath Bhatkar</t>
  </si>
  <si>
    <t xml:space="preserve"> Maintenance for 18th Months</t>
  </si>
  <si>
    <t>Society &amp; Development Charges</t>
  </si>
  <si>
    <t>Building No.1 (Wing A &amp; B)</t>
  </si>
  <si>
    <t>02 Wings</t>
  </si>
  <si>
    <t>Nalasopara (East)</t>
  </si>
  <si>
    <t xml:space="preserve">  </t>
  </si>
  <si>
    <t>Approved Plans, CC, Sale Plans, Cost Sheet</t>
  </si>
  <si>
    <t>Costsheet</t>
  </si>
  <si>
    <t>Housing</t>
  </si>
  <si>
    <t>dwello</t>
  </si>
  <si>
    <t>Name of the builder</t>
  </si>
  <si>
    <t>Mr. Mangal Arjun Varatha</t>
  </si>
  <si>
    <t>M/s. Varatha Properties</t>
  </si>
  <si>
    <t>On Site, All Incl.</t>
  </si>
  <si>
    <t>MIS</t>
  </si>
  <si>
    <t>5000-6500</t>
  </si>
  <si>
    <t>From 7th Floor Rs 30/- per Sft</t>
  </si>
  <si>
    <t>On RERA site, A, B, C Wings are registered but we have received only A &amp; B Wing's Builder details.</t>
  </si>
  <si>
    <t>Approved Floor plan No. (Gr. + 2nd Floor)</t>
  </si>
  <si>
    <t>VVCMC/AMEND/BP/VP4985/682/2021-22</t>
  </si>
  <si>
    <t xml:space="preserve">Valid Up to: Building No.1 (Wing A &amp; B) = Gr/St + 1st to 21st Floor
           </t>
  </si>
  <si>
    <t>Building No.1(Wing A &amp; B) = Gr/St + 1st to 21st Floor</t>
  </si>
  <si>
    <t>Building No.1(Wing B) = Gr/St + 1st to 21st Floor</t>
  </si>
  <si>
    <t xml:space="preserve">Building No.1(Wing A &amp; B) </t>
  </si>
  <si>
    <t>4th to 6th, 8th to 16th, 18th to 21st Floor</t>
  </si>
  <si>
    <t>Approved Floor plan No. (3rd + 4th to 6th, 8th to 16th, 18th to 21st Floor)</t>
  </si>
  <si>
    <t xml:space="preserve">Building No.1
(Wing A &amp; B) </t>
  </si>
  <si>
    <t>Flats - 153, Shops - 16, Offices -52</t>
  </si>
  <si>
    <t>We have updated approved floor plan of A &amp; B Wing (on 28/07/2022)</t>
  </si>
  <si>
    <t>Site Meet Contact Details ( Name &amp; Contact No.)</t>
  </si>
  <si>
    <t xml:space="preserve">1.Vitrified tiles flooring 2. Granite Kitchen Platform  3. Decorative Enternace  etc. 
</t>
  </si>
  <si>
    <t>On Site, we meet Mr. Sohail - 9820524525.</t>
  </si>
  <si>
    <t>Location Link</t>
  </si>
  <si>
    <t>Latitude, Longitude</t>
  </si>
  <si>
    <t>https://goo.gl/maps/PhKcJjVEPPUM2XLE8?coh=178572&amp;entry=tt</t>
  </si>
  <si>
    <t>Office No. 1031, Wing J, Akshar Business Park, Plot No. 03 Sector 25, Near APMC Market, 
Vashi, Navi Mumbai, Maharashtra 400703 TEL: 022-46090378/79/8
E mail : vsjcapf@gmail.com. Web site : www.vsjadon.com</t>
  </si>
  <si>
    <t>Please provide approved floor plan of 7th &amp; 17th Floor.</t>
  </si>
  <si>
    <t>Building No.1 (Wing A) = Gr/St + 1st to 21st Floor</t>
  </si>
  <si>
    <t>Mr. Arman : 9820524525</t>
  </si>
  <si>
    <t>19.4172891,72.8228493</t>
  </si>
  <si>
    <t>Construction work is in process at the time of Visit.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</si>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</sst>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90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3" xfId="0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17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23" fillId="0" borderId="0" xfId="1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10" fillId="0" borderId="0" xfId="1" applyNumberFormat="1" applyFont="1" applyAlignment="1">
      <alignment horizontal="center" vertical="center"/>
    </xf>
    <xf numFmtId="0" fontId="7" fillId="3" borderId="0" xfId="1" applyFont="1" applyFill="1"/>
    <xf numFmtId="14" fontId="7" fillId="3" borderId="0" xfId="1" applyNumberFormat="1" applyFont="1" applyFill="1"/>
    <xf numFmtId="0" fontId="7" fillId="4" borderId="0" xfId="1" applyFont="1" applyFill="1"/>
    <xf numFmtId="14" fontId="7" fillId="4" borderId="0" xfId="1" applyNumberFormat="1" applyFont="1" applyFill="1"/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top" wrapText="1"/>
      <protection locked="0"/>
    </xf>
    <xf numFmtId="0" fontId="6" fillId="2" borderId="10" xfId="1" applyFont="1" applyFill="1" applyBorder="1" applyAlignment="1" applyProtection="1">
      <alignment horizontal="left" vertical="top" wrapText="1"/>
      <protection locked="0"/>
    </xf>
    <xf numFmtId="0" fontId="13" fillId="2" borderId="9" xfId="1" applyFont="1" applyFill="1" applyBorder="1" applyAlignment="1" applyProtection="1">
      <alignment horizontal="left" vertical="top"/>
      <protection locked="0"/>
    </xf>
    <xf numFmtId="0" fontId="13" fillId="2" borderId="24" xfId="1" applyFont="1" applyFill="1" applyBorder="1" applyAlignment="1" applyProtection="1">
      <alignment horizontal="left" vertical="top"/>
      <protection locked="0"/>
    </xf>
    <xf numFmtId="0" fontId="13" fillId="2" borderId="10" xfId="1" applyFont="1" applyFill="1" applyBorder="1" applyAlignment="1" applyProtection="1">
      <alignment horizontal="left" vertical="top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8" fontId="12" fillId="2" borderId="1" xfId="9" applyNumberFormat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" fontId="7" fillId="0" borderId="9" xfId="0" applyNumberFormat="1" applyFont="1" applyBorder="1" applyAlignment="1" applyProtection="1">
      <alignment horizontal="center" vertical="center"/>
      <protection locked="0"/>
    </xf>
    <xf numFmtId="1" fontId="7" fillId="0" borderId="10" xfId="0" applyNumberFormat="1" applyFont="1" applyBorder="1" applyAlignment="1" applyProtection="1">
      <alignment horizontal="center" vertical="center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center" vertical="top"/>
      <protection locked="0"/>
    </xf>
    <xf numFmtId="0" fontId="24" fillId="2" borderId="1" xfId="10" applyFill="1" applyBorder="1" applyAlignment="1" applyProtection="1">
      <alignment horizontal="left"/>
      <protection locked="0"/>
    </xf>
    <xf numFmtId="0" fontId="12" fillId="2" borderId="1" xfId="1" applyFont="1" applyFill="1" applyBorder="1" applyAlignment="1" applyProtection="1">
      <alignment horizontal="left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68" fontId="12" fillId="2" borderId="1" xfId="9" applyNumberFormat="1" applyFont="1" applyFill="1" applyBorder="1" applyAlignment="1" applyProtection="1">
      <alignment horizontal="right" vertical="top"/>
      <protection locked="0"/>
    </xf>
    <xf numFmtId="0" fontId="12" fillId="2" borderId="1" xfId="1" applyFont="1" applyFill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center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12" fillId="2" borderId="1" xfId="1" applyNumberFormat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center" wrapText="1"/>
      <protection locked="0"/>
    </xf>
    <xf numFmtId="0" fontId="6" fillId="2" borderId="1" xfId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2" borderId="9" xfId="1" applyFont="1" applyFill="1" applyBorder="1" applyAlignment="1" applyProtection="1">
      <alignment horizontal="left" vertical="top"/>
      <protection locked="0"/>
    </xf>
    <xf numFmtId="0" fontId="12" fillId="2" borderId="24" xfId="1" applyFont="1" applyFill="1" applyBorder="1" applyAlignment="1" applyProtection="1">
      <alignment horizontal="left" vertical="top"/>
      <protection locked="0"/>
    </xf>
    <xf numFmtId="0" fontId="12" fillId="2" borderId="10" xfId="1" applyFont="1" applyFill="1" applyBorder="1" applyAlignment="1" applyProtection="1">
      <alignment horizontal="left" vertical="top"/>
      <protection locked="0"/>
    </xf>
    <xf numFmtId="0" fontId="12" fillId="2" borderId="20" xfId="1" applyFont="1" applyFill="1" applyBorder="1" applyAlignment="1" applyProtection="1">
      <alignment horizontal="left" vertical="top" wrapText="1"/>
      <protection locked="0"/>
    </xf>
    <xf numFmtId="0" fontId="12" fillId="2" borderId="27" xfId="1" applyFont="1" applyFill="1" applyBorder="1" applyAlignment="1" applyProtection="1">
      <alignment horizontal="left" vertical="top" wrapText="1"/>
      <protection locked="0"/>
    </xf>
    <xf numFmtId="0" fontId="12" fillId="2" borderId="21" xfId="1" applyFont="1" applyFill="1" applyBorder="1" applyAlignment="1" applyProtection="1">
      <alignment horizontal="left" vertical="top" wrapText="1"/>
      <protection locked="0"/>
    </xf>
    <xf numFmtId="167" fontId="12" fillId="2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19" xfId="1" applyFont="1" applyFill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1" fontId="8" fillId="0" borderId="9" xfId="0" applyNumberFormat="1" applyFont="1" applyBorder="1" applyAlignment="1" applyProtection="1">
      <alignment horizontal="left" vertical="top" wrapText="1"/>
      <protection locked="0"/>
    </xf>
    <xf numFmtId="1" fontId="8" fillId="0" borderId="24" xfId="0" applyNumberFormat="1" applyFont="1" applyBorder="1" applyAlignment="1" applyProtection="1">
      <alignment horizontal="left" vertical="top" wrapText="1"/>
      <protection locked="0"/>
    </xf>
    <xf numFmtId="1" fontId="8" fillId="0" borderId="10" xfId="0" applyNumberFormat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2" borderId="22" xfId="1" applyFont="1" applyFill="1" applyBorder="1" applyAlignment="1" applyProtection="1">
      <alignment horizontal="left" vertical="top"/>
      <protection locked="0"/>
    </xf>
    <xf numFmtId="0" fontId="12" fillId="2" borderId="2" xfId="1" applyFont="1" applyFill="1" applyBorder="1" applyAlignment="1" applyProtection="1">
      <alignment horizontal="left" vertical="top"/>
      <protection locked="0"/>
    </xf>
    <xf numFmtId="0" fontId="12" fillId="2" borderId="23" xfId="1" applyFont="1" applyFill="1" applyBorder="1" applyAlignment="1" applyProtection="1">
      <alignment horizontal="left" vertical="top"/>
      <protection locked="0"/>
    </xf>
    <xf numFmtId="0" fontId="6" fillId="0" borderId="9" xfId="1" applyFont="1" applyBorder="1" applyAlignment="1" applyProtection="1">
      <alignment vertical="top"/>
      <protection locked="0"/>
    </xf>
    <xf numFmtId="0" fontId="6" fillId="0" borderId="24" xfId="1" applyFont="1" applyBorder="1" applyAlignment="1" applyProtection="1">
      <alignment vertical="top"/>
      <protection locked="0"/>
    </xf>
    <xf numFmtId="0" fontId="6" fillId="0" borderId="10" xfId="1" applyFont="1" applyBorder="1" applyAlignment="1" applyProtection="1">
      <alignment vertical="top"/>
      <protection locked="0"/>
    </xf>
    <xf numFmtId="0" fontId="8" fillId="0" borderId="9" xfId="1" applyFont="1" applyBorder="1" applyAlignment="1" applyProtection="1">
      <alignment vertical="top"/>
      <protection locked="0"/>
    </xf>
    <xf numFmtId="0" fontId="8" fillId="0" borderId="24" xfId="1" applyFont="1" applyBorder="1" applyAlignment="1" applyProtection="1">
      <alignment vertical="top"/>
      <protection locked="0"/>
    </xf>
    <xf numFmtId="0" fontId="8" fillId="0" borderId="10" xfId="1" applyFont="1" applyBorder="1" applyAlignment="1" applyProtection="1">
      <alignment vertical="top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0" fontId="6" fillId="0" borderId="24" xfId="1" applyFont="1" applyBorder="1" applyAlignment="1" applyProtection="1">
      <alignment horizontal="left" vertical="top"/>
      <protection locked="0"/>
    </xf>
    <xf numFmtId="0" fontId="6" fillId="0" borderId="10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2" fillId="2" borderId="28" xfId="1" applyFont="1" applyFill="1" applyBorder="1" applyAlignment="1" applyProtection="1">
      <alignment horizontal="left" vertical="top" wrapText="1"/>
      <protection locked="0"/>
    </xf>
    <xf numFmtId="0" fontId="12" fillId="2" borderId="0" xfId="1" applyFont="1" applyFill="1" applyAlignment="1" applyProtection="1">
      <alignment horizontal="left" vertical="top" wrapText="1"/>
      <protection locked="0"/>
    </xf>
    <xf numFmtId="167" fontId="13" fillId="2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295</xdr:row>
      <xdr:rowOff>95250</xdr:rowOff>
    </xdr:from>
    <xdr:to>
      <xdr:col>7</xdr:col>
      <xdr:colOff>398768</xdr:colOff>
      <xdr:row>312</xdr:row>
      <xdr:rowOff>114824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3875" y="54873525"/>
          <a:ext cx="5570843" cy="34199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523875</xdr:colOff>
      <xdr:row>313</xdr:row>
      <xdr:rowOff>170191</xdr:rowOff>
    </xdr:from>
    <xdr:to>
      <xdr:col>7</xdr:col>
      <xdr:colOff>398768</xdr:colOff>
      <xdr:row>330</xdr:row>
      <xdr:rowOff>189767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3875" y="56129566"/>
          <a:ext cx="5989943" cy="34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11</xdr:col>
      <xdr:colOff>133350</xdr:colOff>
      <xdr:row>258</xdr:row>
      <xdr:rowOff>180975</xdr:rowOff>
    </xdr:from>
    <xdr:ext cx="714298" cy="311496"/>
    <xdr:sp macro="" textlink="">
      <xdr:nvSpPr>
        <xdr:cNvPr id="21" name="TextBox 20"/>
        <xdr:cNvSpPr txBox="1"/>
      </xdr:nvSpPr>
      <xdr:spPr>
        <a:xfrm>
          <a:off x="9286875" y="47558325"/>
          <a:ext cx="714298" cy="31149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 B</a:t>
          </a:r>
        </a:p>
      </xdr:txBody>
    </xdr:sp>
    <xdr:clientData/>
  </xdr:oneCellAnchor>
  <xdr:twoCellAnchor editAs="oneCell">
    <xdr:from>
      <xdr:col>13</xdr:col>
      <xdr:colOff>804481</xdr:colOff>
      <xdr:row>273</xdr:row>
      <xdr:rowOff>59152</xdr:rowOff>
    </xdr:from>
    <xdr:to>
      <xdr:col>15</xdr:col>
      <xdr:colOff>770253</xdr:colOff>
      <xdr:row>282</xdr:row>
      <xdr:rowOff>142652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39156" y="51217927"/>
          <a:ext cx="1461197" cy="20837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320675</xdr:colOff>
      <xdr:row>273</xdr:row>
      <xdr:rowOff>59152</xdr:rowOff>
    </xdr:from>
    <xdr:to>
      <xdr:col>9</xdr:col>
      <xdr:colOff>619822</xdr:colOff>
      <xdr:row>282</xdr:row>
      <xdr:rowOff>142652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45300" y="51217927"/>
          <a:ext cx="1461197" cy="20837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56018</xdr:colOff>
      <xdr:row>252</xdr:row>
      <xdr:rowOff>117475</xdr:rowOff>
    </xdr:from>
    <xdr:to>
      <xdr:col>15</xdr:col>
      <xdr:colOff>594050</xdr:colOff>
      <xdr:row>272</xdr:row>
      <xdr:rowOff>146825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0118" y="47085250"/>
          <a:ext cx="2824032" cy="40203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507153</xdr:colOff>
      <xdr:row>252</xdr:row>
      <xdr:rowOff>117475</xdr:rowOff>
    </xdr:from>
    <xdr:to>
      <xdr:col>11</xdr:col>
      <xdr:colOff>727685</xdr:colOff>
      <xdr:row>272</xdr:row>
      <xdr:rowOff>146825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31778" y="47085250"/>
          <a:ext cx="2849432" cy="40203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714777</xdr:colOff>
      <xdr:row>273</xdr:row>
      <xdr:rowOff>59152</xdr:rowOff>
    </xdr:from>
    <xdr:to>
      <xdr:col>11</xdr:col>
      <xdr:colOff>744049</xdr:colOff>
      <xdr:row>282</xdr:row>
      <xdr:rowOff>142652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01452" y="51217927"/>
          <a:ext cx="1496122" cy="20837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48429</xdr:colOff>
      <xdr:row>273</xdr:row>
      <xdr:rowOff>59152</xdr:rowOff>
    </xdr:from>
    <xdr:to>
      <xdr:col>13</xdr:col>
      <xdr:colOff>709526</xdr:colOff>
      <xdr:row>282</xdr:row>
      <xdr:rowOff>142652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92529" y="51217927"/>
          <a:ext cx="1451672" cy="20837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8</xdr:col>
      <xdr:colOff>507153</xdr:colOff>
      <xdr:row>252</xdr:row>
      <xdr:rowOff>117475</xdr:rowOff>
    </xdr:from>
    <xdr:ext cx="293478" cy="311496"/>
    <xdr:sp macro="" textlink="">
      <xdr:nvSpPr>
        <xdr:cNvPr id="31" name="TextBox 30"/>
        <xdr:cNvSpPr txBox="1"/>
      </xdr:nvSpPr>
      <xdr:spPr>
        <a:xfrm>
          <a:off x="7031778" y="47085250"/>
          <a:ext cx="293478" cy="31149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A</a:t>
          </a:r>
        </a:p>
      </xdr:txBody>
    </xdr:sp>
    <xdr:clientData/>
  </xdr:oneCellAnchor>
  <xdr:oneCellAnchor>
    <xdr:from>
      <xdr:col>14</xdr:col>
      <xdr:colOff>373518</xdr:colOff>
      <xdr:row>252</xdr:row>
      <xdr:rowOff>123825</xdr:rowOff>
    </xdr:from>
    <xdr:ext cx="293478" cy="311496"/>
    <xdr:sp macro="" textlink="">
      <xdr:nvSpPr>
        <xdr:cNvPr id="32" name="TextBox 31"/>
        <xdr:cNvSpPr txBox="1"/>
      </xdr:nvSpPr>
      <xdr:spPr>
        <a:xfrm>
          <a:off x="11946393" y="47091600"/>
          <a:ext cx="293478" cy="31149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B</a:t>
          </a:r>
        </a:p>
      </xdr:txBody>
    </xdr:sp>
    <xdr:clientData/>
  </xdr:oneCellAnchor>
  <xdr:oneCellAnchor>
    <xdr:from>
      <xdr:col>9</xdr:col>
      <xdr:colOff>450850</xdr:colOff>
      <xdr:row>249</xdr:row>
      <xdr:rowOff>152400</xdr:rowOff>
    </xdr:from>
    <xdr:ext cx="609600" cy="264560"/>
    <xdr:sp macro="" textlink="">
      <xdr:nvSpPr>
        <xdr:cNvPr id="4" name="TextBox 3"/>
        <xdr:cNvSpPr txBox="1"/>
      </xdr:nvSpPr>
      <xdr:spPr>
        <a:xfrm>
          <a:off x="8483600" y="45916850"/>
          <a:ext cx="6096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oneCellAnchor>
  <xdr:twoCellAnchor>
    <xdr:from>
      <xdr:col>0</xdr:col>
      <xdr:colOff>190500</xdr:colOff>
      <xdr:row>253</xdr:row>
      <xdr:rowOff>82550</xdr:rowOff>
    </xdr:from>
    <xdr:to>
      <xdr:col>7</xdr:col>
      <xdr:colOff>650500</xdr:colOff>
      <xdr:row>292</xdr:row>
      <xdr:rowOff>58060</xdr:rowOff>
    </xdr:to>
    <xdr:grpSp>
      <xdr:nvGrpSpPr>
        <xdr:cNvPr id="6" name="Group 5"/>
        <xdr:cNvGrpSpPr/>
      </xdr:nvGrpSpPr>
      <xdr:grpSpPr>
        <a:xfrm>
          <a:off x="190500" y="46634400"/>
          <a:ext cx="6403600" cy="7849510"/>
          <a:chOff x="190500" y="46634400"/>
          <a:chExt cx="6403600" cy="7849510"/>
        </a:xfrm>
      </xdr:grpSpPr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19763" y="5232391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44237" y="4947915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44237" y="46634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7369" y="46634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4445" y="5232391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7368" y="4947915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4947915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1" y="46634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0" name="TextBox 39"/>
          <xdr:cNvSpPr txBox="1"/>
        </xdr:nvSpPr>
        <xdr:spPr>
          <a:xfrm>
            <a:off x="927101" y="48088550"/>
            <a:ext cx="6096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52" name="TextBox 51"/>
          <xdr:cNvSpPr txBox="1"/>
        </xdr:nvSpPr>
        <xdr:spPr>
          <a:xfrm>
            <a:off x="3021419" y="48202850"/>
            <a:ext cx="6096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53" name="TextBox 52"/>
          <xdr:cNvSpPr txBox="1"/>
        </xdr:nvSpPr>
        <xdr:spPr>
          <a:xfrm>
            <a:off x="5007787" y="48590200"/>
            <a:ext cx="6096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1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hKcJjVEPPUM2XLE8?coh=178572&amp;entry=tt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95"/>
  <sheetViews>
    <sheetView tabSelected="1" view="pageBreakPreview" topLeftCell="A68" zoomScaleNormal="100" zoomScaleSheetLayoutView="100" zoomScalePageLayoutView="85" workbookViewId="0">
      <selection activeCell="L73" sqref="L73"/>
    </sheetView>
  </sheetViews>
  <sheetFormatPr defaultColWidth="9.08984375" defaultRowHeight="15.5" x14ac:dyDescent="0.35"/>
  <cols>
    <col min="1" max="1" width="11.453125" style="10" customWidth="1"/>
    <col min="2" max="2" width="12" style="10" customWidth="1"/>
    <col min="3" max="3" width="12.6328125" style="10" customWidth="1"/>
    <col min="4" max="4" width="14.08984375" style="10" customWidth="1"/>
    <col min="5" max="7" width="11.6328125" style="10" customWidth="1"/>
    <col min="8" max="8" width="12.453125" style="10" customWidth="1"/>
    <col min="9" max="9" width="17.453125" style="3" customWidth="1"/>
    <col min="10" max="10" width="11.453125" style="3" customWidth="1"/>
    <col min="11" max="11" width="10.54296875" style="3" bestFit="1" customWidth="1"/>
    <col min="12" max="12" width="11.90625" style="3" bestFit="1" customWidth="1"/>
    <col min="13" max="13" width="11.90625" style="3" customWidth="1"/>
    <col min="14" max="14" width="12.54296875" style="3" customWidth="1"/>
    <col min="15" max="15" width="9.90625" style="3" customWidth="1"/>
    <col min="16" max="16" width="11.6328125" style="3" customWidth="1"/>
    <col min="17" max="247" width="9.08984375" style="3"/>
    <col min="248" max="248" width="8.6328125" style="3" customWidth="1"/>
    <col min="249" max="249" width="9.90625" style="3" customWidth="1"/>
    <col min="250" max="250" width="14.453125" style="3" customWidth="1"/>
    <col min="251" max="251" width="7.36328125" style="3" customWidth="1"/>
    <col min="252" max="252" width="5.54296875" style="3" customWidth="1"/>
    <col min="253" max="253" width="9" style="3" customWidth="1"/>
    <col min="254" max="255" width="9.90625" style="3" customWidth="1"/>
    <col min="256" max="256" width="11.08984375" style="3" customWidth="1"/>
    <col min="257" max="257" width="2.90625" style="3" customWidth="1"/>
    <col min="258" max="258" width="3.54296875" style="3" customWidth="1"/>
    <col min="259" max="503" width="9.08984375" style="3"/>
    <col min="504" max="504" width="8.6328125" style="3" customWidth="1"/>
    <col min="505" max="505" width="9.90625" style="3" customWidth="1"/>
    <col min="506" max="506" width="14.453125" style="3" customWidth="1"/>
    <col min="507" max="507" width="7.36328125" style="3" customWidth="1"/>
    <col min="508" max="508" width="5.54296875" style="3" customWidth="1"/>
    <col min="509" max="509" width="9" style="3" customWidth="1"/>
    <col min="510" max="511" width="9.90625" style="3" customWidth="1"/>
    <col min="512" max="512" width="11.08984375" style="3" customWidth="1"/>
    <col min="513" max="513" width="2.90625" style="3" customWidth="1"/>
    <col min="514" max="514" width="3.54296875" style="3" customWidth="1"/>
    <col min="515" max="759" width="9.08984375" style="3"/>
    <col min="760" max="760" width="8.6328125" style="3" customWidth="1"/>
    <col min="761" max="761" width="9.90625" style="3" customWidth="1"/>
    <col min="762" max="762" width="14.453125" style="3" customWidth="1"/>
    <col min="763" max="763" width="7.36328125" style="3" customWidth="1"/>
    <col min="764" max="764" width="5.54296875" style="3" customWidth="1"/>
    <col min="765" max="765" width="9" style="3" customWidth="1"/>
    <col min="766" max="767" width="9.90625" style="3" customWidth="1"/>
    <col min="768" max="768" width="11.08984375" style="3" customWidth="1"/>
    <col min="769" max="769" width="2.90625" style="3" customWidth="1"/>
    <col min="770" max="770" width="3.54296875" style="3" customWidth="1"/>
    <col min="771" max="1015" width="9.08984375" style="3"/>
    <col min="1016" max="1016" width="8.6328125" style="3" customWidth="1"/>
    <col min="1017" max="1017" width="9.90625" style="3" customWidth="1"/>
    <col min="1018" max="1018" width="14.453125" style="3" customWidth="1"/>
    <col min="1019" max="1019" width="7.36328125" style="3" customWidth="1"/>
    <col min="1020" max="1020" width="5.54296875" style="3" customWidth="1"/>
    <col min="1021" max="1021" width="9" style="3" customWidth="1"/>
    <col min="1022" max="1023" width="9.90625" style="3" customWidth="1"/>
    <col min="1024" max="1024" width="11.08984375" style="3" customWidth="1"/>
    <col min="1025" max="1025" width="2.90625" style="3" customWidth="1"/>
    <col min="1026" max="1026" width="3.54296875" style="3" customWidth="1"/>
    <col min="1027" max="1271" width="9.08984375" style="3"/>
    <col min="1272" max="1272" width="8.6328125" style="3" customWidth="1"/>
    <col min="1273" max="1273" width="9.90625" style="3" customWidth="1"/>
    <col min="1274" max="1274" width="14.453125" style="3" customWidth="1"/>
    <col min="1275" max="1275" width="7.36328125" style="3" customWidth="1"/>
    <col min="1276" max="1276" width="5.54296875" style="3" customWidth="1"/>
    <col min="1277" max="1277" width="9" style="3" customWidth="1"/>
    <col min="1278" max="1279" width="9.90625" style="3" customWidth="1"/>
    <col min="1280" max="1280" width="11.08984375" style="3" customWidth="1"/>
    <col min="1281" max="1281" width="2.90625" style="3" customWidth="1"/>
    <col min="1282" max="1282" width="3.54296875" style="3" customWidth="1"/>
    <col min="1283" max="1527" width="9.08984375" style="3"/>
    <col min="1528" max="1528" width="8.6328125" style="3" customWidth="1"/>
    <col min="1529" max="1529" width="9.90625" style="3" customWidth="1"/>
    <col min="1530" max="1530" width="14.453125" style="3" customWidth="1"/>
    <col min="1531" max="1531" width="7.36328125" style="3" customWidth="1"/>
    <col min="1532" max="1532" width="5.54296875" style="3" customWidth="1"/>
    <col min="1533" max="1533" width="9" style="3" customWidth="1"/>
    <col min="1534" max="1535" width="9.90625" style="3" customWidth="1"/>
    <col min="1536" max="1536" width="11.08984375" style="3" customWidth="1"/>
    <col min="1537" max="1537" width="2.90625" style="3" customWidth="1"/>
    <col min="1538" max="1538" width="3.54296875" style="3" customWidth="1"/>
    <col min="1539" max="1783" width="9.08984375" style="3"/>
    <col min="1784" max="1784" width="8.6328125" style="3" customWidth="1"/>
    <col min="1785" max="1785" width="9.90625" style="3" customWidth="1"/>
    <col min="1786" max="1786" width="14.453125" style="3" customWidth="1"/>
    <col min="1787" max="1787" width="7.36328125" style="3" customWidth="1"/>
    <col min="1788" max="1788" width="5.54296875" style="3" customWidth="1"/>
    <col min="1789" max="1789" width="9" style="3" customWidth="1"/>
    <col min="1790" max="1791" width="9.90625" style="3" customWidth="1"/>
    <col min="1792" max="1792" width="11.08984375" style="3" customWidth="1"/>
    <col min="1793" max="1793" width="2.90625" style="3" customWidth="1"/>
    <col min="1794" max="1794" width="3.54296875" style="3" customWidth="1"/>
    <col min="1795" max="2039" width="9.08984375" style="3"/>
    <col min="2040" max="2040" width="8.6328125" style="3" customWidth="1"/>
    <col min="2041" max="2041" width="9.90625" style="3" customWidth="1"/>
    <col min="2042" max="2042" width="14.453125" style="3" customWidth="1"/>
    <col min="2043" max="2043" width="7.36328125" style="3" customWidth="1"/>
    <col min="2044" max="2044" width="5.54296875" style="3" customWidth="1"/>
    <col min="2045" max="2045" width="9" style="3" customWidth="1"/>
    <col min="2046" max="2047" width="9.90625" style="3" customWidth="1"/>
    <col min="2048" max="2048" width="11.08984375" style="3" customWidth="1"/>
    <col min="2049" max="2049" width="2.90625" style="3" customWidth="1"/>
    <col min="2050" max="2050" width="3.54296875" style="3" customWidth="1"/>
    <col min="2051" max="2295" width="9.08984375" style="3"/>
    <col min="2296" max="2296" width="8.6328125" style="3" customWidth="1"/>
    <col min="2297" max="2297" width="9.90625" style="3" customWidth="1"/>
    <col min="2298" max="2298" width="14.453125" style="3" customWidth="1"/>
    <col min="2299" max="2299" width="7.36328125" style="3" customWidth="1"/>
    <col min="2300" max="2300" width="5.54296875" style="3" customWidth="1"/>
    <col min="2301" max="2301" width="9" style="3" customWidth="1"/>
    <col min="2302" max="2303" width="9.90625" style="3" customWidth="1"/>
    <col min="2304" max="2304" width="11.08984375" style="3" customWidth="1"/>
    <col min="2305" max="2305" width="2.90625" style="3" customWidth="1"/>
    <col min="2306" max="2306" width="3.54296875" style="3" customWidth="1"/>
    <col min="2307" max="2551" width="9.08984375" style="3"/>
    <col min="2552" max="2552" width="8.6328125" style="3" customWidth="1"/>
    <col min="2553" max="2553" width="9.90625" style="3" customWidth="1"/>
    <col min="2554" max="2554" width="14.453125" style="3" customWidth="1"/>
    <col min="2555" max="2555" width="7.36328125" style="3" customWidth="1"/>
    <col min="2556" max="2556" width="5.54296875" style="3" customWidth="1"/>
    <col min="2557" max="2557" width="9" style="3" customWidth="1"/>
    <col min="2558" max="2559" width="9.90625" style="3" customWidth="1"/>
    <col min="2560" max="2560" width="11.08984375" style="3" customWidth="1"/>
    <col min="2561" max="2561" width="2.90625" style="3" customWidth="1"/>
    <col min="2562" max="2562" width="3.54296875" style="3" customWidth="1"/>
    <col min="2563" max="2807" width="9.08984375" style="3"/>
    <col min="2808" max="2808" width="8.6328125" style="3" customWidth="1"/>
    <col min="2809" max="2809" width="9.90625" style="3" customWidth="1"/>
    <col min="2810" max="2810" width="14.453125" style="3" customWidth="1"/>
    <col min="2811" max="2811" width="7.36328125" style="3" customWidth="1"/>
    <col min="2812" max="2812" width="5.54296875" style="3" customWidth="1"/>
    <col min="2813" max="2813" width="9" style="3" customWidth="1"/>
    <col min="2814" max="2815" width="9.90625" style="3" customWidth="1"/>
    <col min="2816" max="2816" width="11.08984375" style="3" customWidth="1"/>
    <col min="2817" max="2817" width="2.90625" style="3" customWidth="1"/>
    <col min="2818" max="2818" width="3.54296875" style="3" customWidth="1"/>
    <col min="2819" max="3063" width="9.08984375" style="3"/>
    <col min="3064" max="3064" width="8.6328125" style="3" customWidth="1"/>
    <col min="3065" max="3065" width="9.90625" style="3" customWidth="1"/>
    <col min="3066" max="3066" width="14.453125" style="3" customWidth="1"/>
    <col min="3067" max="3067" width="7.36328125" style="3" customWidth="1"/>
    <col min="3068" max="3068" width="5.54296875" style="3" customWidth="1"/>
    <col min="3069" max="3069" width="9" style="3" customWidth="1"/>
    <col min="3070" max="3071" width="9.90625" style="3" customWidth="1"/>
    <col min="3072" max="3072" width="11.08984375" style="3" customWidth="1"/>
    <col min="3073" max="3073" width="2.90625" style="3" customWidth="1"/>
    <col min="3074" max="3074" width="3.54296875" style="3" customWidth="1"/>
    <col min="3075" max="3319" width="9.08984375" style="3"/>
    <col min="3320" max="3320" width="8.6328125" style="3" customWidth="1"/>
    <col min="3321" max="3321" width="9.90625" style="3" customWidth="1"/>
    <col min="3322" max="3322" width="14.453125" style="3" customWidth="1"/>
    <col min="3323" max="3323" width="7.36328125" style="3" customWidth="1"/>
    <col min="3324" max="3324" width="5.54296875" style="3" customWidth="1"/>
    <col min="3325" max="3325" width="9" style="3" customWidth="1"/>
    <col min="3326" max="3327" width="9.90625" style="3" customWidth="1"/>
    <col min="3328" max="3328" width="11.08984375" style="3" customWidth="1"/>
    <col min="3329" max="3329" width="2.90625" style="3" customWidth="1"/>
    <col min="3330" max="3330" width="3.54296875" style="3" customWidth="1"/>
    <col min="3331" max="3575" width="9.08984375" style="3"/>
    <col min="3576" max="3576" width="8.6328125" style="3" customWidth="1"/>
    <col min="3577" max="3577" width="9.90625" style="3" customWidth="1"/>
    <col min="3578" max="3578" width="14.453125" style="3" customWidth="1"/>
    <col min="3579" max="3579" width="7.36328125" style="3" customWidth="1"/>
    <col min="3580" max="3580" width="5.54296875" style="3" customWidth="1"/>
    <col min="3581" max="3581" width="9" style="3" customWidth="1"/>
    <col min="3582" max="3583" width="9.90625" style="3" customWidth="1"/>
    <col min="3584" max="3584" width="11.08984375" style="3" customWidth="1"/>
    <col min="3585" max="3585" width="2.90625" style="3" customWidth="1"/>
    <col min="3586" max="3586" width="3.54296875" style="3" customWidth="1"/>
    <col min="3587" max="3831" width="9.08984375" style="3"/>
    <col min="3832" max="3832" width="8.6328125" style="3" customWidth="1"/>
    <col min="3833" max="3833" width="9.90625" style="3" customWidth="1"/>
    <col min="3834" max="3834" width="14.453125" style="3" customWidth="1"/>
    <col min="3835" max="3835" width="7.36328125" style="3" customWidth="1"/>
    <col min="3836" max="3836" width="5.54296875" style="3" customWidth="1"/>
    <col min="3837" max="3837" width="9" style="3" customWidth="1"/>
    <col min="3838" max="3839" width="9.90625" style="3" customWidth="1"/>
    <col min="3840" max="3840" width="11.08984375" style="3" customWidth="1"/>
    <col min="3841" max="3841" width="2.90625" style="3" customWidth="1"/>
    <col min="3842" max="3842" width="3.54296875" style="3" customWidth="1"/>
    <col min="3843" max="4087" width="9.08984375" style="3"/>
    <col min="4088" max="4088" width="8.6328125" style="3" customWidth="1"/>
    <col min="4089" max="4089" width="9.90625" style="3" customWidth="1"/>
    <col min="4090" max="4090" width="14.453125" style="3" customWidth="1"/>
    <col min="4091" max="4091" width="7.36328125" style="3" customWidth="1"/>
    <col min="4092" max="4092" width="5.54296875" style="3" customWidth="1"/>
    <col min="4093" max="4093" width="9" style="3" customWidth="1"/>
    <col min="4094" max="4095" width="9.90625" style="3" customWidth="1"/>
    <col min="4096" max="4096" width="11.08984375" style="3" customWidth="1"/>
    <col min="4097" max="4097" width="2.90625" style="3" customWidth="1"/>
    <col min="4098" max="4098" width="3.54296875" style="3" customWidth="1"/>
    <col min="4099" max="4343" width="9.08984375" style="3"/>
    <col min="4344" max="4344" width="8.6328125" style="3" customWidth="1"/>
    <col min="4345" max="4345" width="9.90625" style="3" customWidth="1"/>
    <col min="4346" max="4346" width="14.453125" style="3" customWidth="1"/>
    <col min="4347" max="4347" width="7.36328125" style="3" customWidth="1"/>
    <col min="4348" max="4348" width="5.54296875" style="3" customWidth="1"/>
    <col min="4349" max="4349" width="9" style="3" customWidth="1"/>
    <col min="4350" max="4351" width="9.90625" style="3" customWidth="1"/>
    <col min="4352" max="4352" width="11.08984375" style="3" customWidth="1"/>
    <col min="4353" max="4353" width="2.90625" style="3" customWidth="1"/>
    <col min="4354" max="4354" width="3.54296875" style="3" customWidth="1"/>
    <col min="4355" max="4599" width="9.08984375" style="3"/>
    <col min="4600" max="4600" width="8.6328125" style="3" customWidth="1"/>
    <col min="4601" max="4601" width="9.90625" style="3" customWidth="1"/>
    <col min="4602" max="4602" width="14.453125" style="3" customWidth="1"/>
    <col min="4603" max="4603" width="7.36328125" style="3" customWidth="1"/>
    <col min="4604" max="4604" width="5.54296875" style="3" customWidth="1"/>
    <col min="4605" max="4605" width="9" style="3" customWidth="1"/>
    <col min="4606" max="4607" width="9.90625" style="3" customWidth="1"/>
    <col min="4608" max="4608" width="11.08984375" style="3" customWidth="1"/>
    <col min="4609" max="4609" width="2.90625" style="3" customWidth="1"/>
    <col min="4610" max="4610" width="3.54296875" style="3" customWidth="1"/>
    <col min="4611" max="4855" width="9.08984375" style="3"/>
    <col min="4856" max="4856" width="8.6328125" style="3" customWidth="1"/>
    <col min="4857" max="4857" width="9.90625" style="3" customWidth="1"/>
    <col min="4858" max="4858" width="14.453125" style="3" customWidth="1"/>
    <col min="4859" max="4859" width="7.36328125" style="3" customWidth="1"/>
    <col min="4860" max="4860" width="5.54296875" style="3" customWidth="1"/>
    <col min="4861" max="4861" width="9" style="3" customWidth="1"/>
    <col min="4862" max="4863" width="9.90625" style="3" customWidth="1"/>
    <col min="4864" max="4864" width="11.08984375" style="3" customWidth="1"/>
    <col min="4865" max="4865" width="2.90625" style="3" customWidth="1"/>
    <col min="4866" max="4866" width="3.54296875" style="3" customWidth="1"/>
    <col min="4867" max="5111" width="9.08984375" style="3"/>
    <col min="5112" max="5112" width="8.6328125" style="3" customWidth="1"/>
    <col min="5113" max="5113" width="9.90625" style="3" customWidth="1"/>
    <col min="5114" max="5114" width="14.453125" style="3" customWidth="1"/>
    <col min="5115" max="5115" width="7.36328125" style="3" customWidth="1"/>
    <col min="5116" max="5116" width="5.54296875" style="3" customWidth="1"/>
    <col min="5117" max="5117" width="9" style="3" customWidth="1"/>
    <col min="5118" max="5119" width="9.90625" style="3" customWidth="1"/>
    <col min="5120" max="5120" width="11.08984375" style="3" customWidth="1"/>
    <col min="5121" max="5121" width="2.90625" style="3" customWidth="1"/>
    <col min="5122" max="5122" width="3.54296875" style="3" customWidth="1"/>
    <col min="5123" max="5367" width="9.08984375" style="3"/>
    <col min="5368" max="5368" width="8.6328125" style="3" customWidth="1"/>
    <col min="5369" max="5369" width="9.90625" style="3" customWidth="1"/>
    <col min="5370" max="5370" width="14.453125" style="3" customWidth="1"/>
    <col min="5371" max="5371" width="7.36328125" style="3" customWidth="1"/>
    <col min="5372" max="5372" width="5.54296875" style="3" customWidth="1"/>
    <col min="5373" max="5373" width="9" style="3" customWidth="1"/>
    <col min="5374" max="5375" width="9.90625" style="3" customWidth="1"/>
    <col min="5376" max="5376" width="11.08984375" style="3" customWidth="1"/>
    <col min="5377" max="5377" width="2.90625" style="3" customWidth="1"/>
    <col min="5378" max="5378" width="3.54296875" style="3" customWidth="1"/>
    <col min="5379" max="5623" width="9.08984375" style="3"/>
    <col min="5624" max="5624" width="8.6328125" style="3" customWidth="1"/>
    <col min="5625" max="5625" width="9.90625" style="3" customWidth="1"/>
    <col min="5626" max="5626" width="14.453125" style="3" customWidth="1"/>
    <col min="5627" max="5627" width="7.36328125" style="3" customWidth="1"/>
    <col min="5628" max="5628" width="5.54296875" style="3" customWidth="1"/>
    <col min="5629" max="5629" width="9" style="3" customWidth="1"/>
    <col min="5630" max="5631" width="9.90625" style="3" customWidth="1"/>
    <col min="5632" max="5632" width="11.08984375" style="3" customWidth="1"/>
    <col min="5633" max="5633" width="2.90625" style="3" customWidth="1"/>
    <col min="5634" max="5634" width="3.54296875" style="3" customWidth="1"/>
    <col min="5635" max="5879" width="9.08984375" style="3"/>
    <col min="5880" max="5880" width="8.6328125" style="3" customWidth="1"/>
    <col min="5881" max="5881" width="9.90625" style="3" customWidth="1"/>
    <col min="5882" max="5882" width="14.453125" style="3" customWidth="1"/>
    <col min="5883" max="5883" width="7.36328125" style="3" customWidth="1"/>
    <col min="5884" max="5884" width="5.54296875" style="3" customWidth="1"/>
    <col min="5885" max="5885" width="9" style="3" customWidth="1"/>
    <col min="5886" max="5887" width="9.90625" style="3" customWidth="1"/>
    <col min="5888" max="5888" width="11.08984375" style="3" customWidth="1"/>
    <col min="5889" max="5889" width="2.90625" style="3" customWidth="1"/>
    <col min="5890" max="5890" width="3.54296875" style="3" customWidth="1"/>
    <col min="5891" max="6135" width="9.08984375" style="3"/>
    <col min="6136" max="6136" width="8.6328125" style="3" customWidth="1"/>
    <col min="6137" max="6137" width="9.90625" style="3" customWidth="1"/>
    <col min="6138" max="6138" width="14.453125" style="3" customWidth="1"/>
    <col min="6139" max="6139" width="7.36328125" style="3" customWidth="1"/>
    <col min="6140" max="6140" width="5.54296875" style="3" customWidth="1"/>
    <col min="6141" max="6141" width="9" style="3" customWidth="1"/>
    <col min="6142" max="6143" width="9.90625" style="3" customWidth="1"/>
    <col min="6144" max="6144" width="11.08984375" style="3" customWidth="1"/>
    <col min="6145" max="6145" width="2.90625" style="3" customWidth="1"/>
    <col min="6146" max="6146" width="3.54296875" style="3" customWidth="1"/>
    <col min="6147" max="6391" width="9.08984375" style="3"/>
    <col min="6392" max="6392" width="8.6328125" style="3" customWidth="1"/>
    <col min="6393" max="6393" width="9.90625" style="3" customWidth="1"/>
    <col min="6394" max="6394" width="14.453125" style="3" customWidth="1"/>
    <col min="6395" max="6395" width="7.36328125" style="3" customWidth="1"/>
    <col min="6396" max="6396" width="5.54296875" style="3" customWidth="1"/>
    <col min="6397" max="6397" width="9" style="3" customWidth="1"/>
    <col min="6398" max="6399" width="9.90625" style="3" customWidth="1"/>
    <col min="6400" max="6400" width="11.08984375" style="3" customWidth="1"/>
    <col min="6401" max="6401" width="2.90625" style="3" customWidth="1"/>
    <col min="6402" max="6402" width="3.54296875" style="3" customWidth="1"/>
    <col min="6403" max="6647" width="9.08984375" style="3"/>
    <col min="6648" max="6648" width="8.6328125" style="3" customWidth="1"/>
    <col min="6649" max="6649" width="9.90625" style="3" customWidth="1"/>
    <col min="6650" max="6650" width="14.453125" style="3" customWidth="1"/>
    <col min="6651" max="6651" width="7.36328125" style="3" customWidth="1"/>
    <col min="6652" max="6652" width="5.54296875" style="3" customWidth="1"/>
    <col min="6653" max="6653" width="9" style="3" customWidth="1"/>
    <col min="6654" max="6655" width="9.90625" style="3" customWidth="1"/>
    <col min="6656" max="6656" width="11.08984375" style="3" customWidth="1"/>
    <col min="6657" max="6657" width="2.90625" style="3" customWidth="1"/>
    <col min="6658" max="6658" width="3.54296875" style="3" customWidth="1"/>
    <col min="6659" max="6903" width="9.08984375" style="3"/>
    <col min="6904" max="6904" width="8.6328125" style="3" customWidth="1"/>
    <col min="6905" max="6905" width="9.90625" style="3" customWidth="1"/>
    <col min="6906" max="6906" width="14.453125" style="3" customWidth="1"/>
    <col min="6907" max="6907" width="7.36328125" style="3" customWidth="1"/>
    <col min="6908" max="6908" width="5.54296875" style="3" customWidth="1"/>
    <col min="6909" max="6909" width="9" style="3" customWidth="1"/>
    <col min="6910" max="6911" width="9.90625" style="3" customWidth="1"/>
    <col min="6912" max="6912" width="11.08984375" style="3" customWidth="1"/>
    <col min="6913" max="6913" width="2.90625" style="3" customWidth="1"/>
    <col min="6914" max="6914" width="3.54296875" style="3" customWidth="1"/>
    <col min="6915" max="7159" width="9.08984375" style="3"/>
    <col min="7160" max="7160" width="8.6328125" style="3" customWidth="1"/>
    <col min="7161" max="7161" width="9.90625" style="3" customWidth="1"/>
    <col min="7162" max="7162" width="14.453125" style="3" customWidth="1"/>
    <col min="7163" max="7163" width="7.36328125" style="3" customWidth="1"/>
    <col min="7164" max="7164" width="5.54296875" style="3" customWidth="1"/>
    <col min="7165" max="7165" width="9" style="3" customWidth="1"/>
    <col min="7166" max="7167" width="9.90625" style="3" customWidth="1"/>
    <col min="7168" max="7168" width="11.08984375" style="3" customWidth="1"/>
    <col min="7169" max="7169" width="2.90625" style="3" customWidth="1"/>
    <col min="7170" max="7170" width="3.54296875" style="3" customWidth="1"/>
    <col min="7171" max="7415" width="9.08984375" style="3"/>
    <col min="7416" max="7416" width="8.6328125" style="3" customWidth="1"/>
    <col min="7417" max="7417" width="9.90625" style="3" customWidth="1"/>
    <col min="7418" max="7418" width="14.453125" style="3" customWidth="1"/>
    <col min="7419" max="7419" width="7.36328125" style="3" customWidth="1"/>
    <col min="7420" max="7420" width="5.54296875" style="3" customWidth="1"/>
    <col min="7421" max="7421" width="9" style="3" customWidth="1"/>
    <col min="7422" max="7423" width="9.90625" style="3" customWidth="1"/>
    <col min="7424" max="7424" width="11.08984375" style="3" customWidth="1"/>
    <col min="7425" max="7425" width="2.90625" style="3" customWidth="1"/>
    <col min="7426" max="7426" width="3.54296875" style="3" customWidth="1"/>
    <col min="7427" max="7671" width="9.08984375" style="3"/>
    <col min="7672" max="7672" width="8.6328125" style="3" customWidth="1"/>
    <col min="7673" max="7673" width="9.90625" style="3" customWidth="1"/>
    <col min="7674" max="7674" width="14.453125" style="3" customWidth="1"/>
    <col min="7675" max="7675" width="7.36328125" style="3" customWidth="1"/>
    <col min="7676" max="7676" width="5.54296875" style="3" customWidth="1"/>
    <col min="7677" max="7677" width="9" style="3" customWidth="1"/>
    <col min="7678" max="7679" width="9.90625" style="3" customWidth="1"/>
    <col min="7680" max="7680" width="11.08984375" style="3" customWidth="1"/>
    <col min="7681" max="7681" width="2.90625" style="3" customWidth="1"/>
    <col min="7682" max="7682" width="3.54296875" style="3" customWidth="1"/>
    <col min="7683" max="7927" width="9.08984375" style="3"/>
    <col min="7928" max="7928" width="8.6328125" style="3" customWidth="1"/>
    <col min="7929" max="7929" width="9.90625" style="3" customWidth="1"/>
    <col min="7930" max="7930" width="14.453125" style="3" customWidth="1"/>
    <col min="7931" max="7931" width="7.36328125" style="3" customWidth="1"/>
    <col min="7932" max="7932" width="5.54296875" style="3" customWidth="1"/>
    <col min="7933" max="7933" width="9" style="3" customWidth="1"/>
    <col min="7934" max="7935" width="9.90625" style="3" customWidth="1"/>
    <col min="7936" max="7936" width="11.08984375" style="3" customWidth="1"/>
    <col min="7937" max="7937" width="2.90625" style="3" customWidth="1"/>
    <col min="7938" max="7938" width="3.54296875" style="3" customWidth="1"/>
    <col min="7939" max="8183" width="9.08984375" style="3"/>
    <col min="8184" max="8184" width="8.6328125" style="3" customWidth="1"/>
    <col min="8185" max="8185" width="9.90625" style="3" customWidth="1"/>
    <col min="8186" max="8186" width="14.453125" style="3" customWidth="1"/>
    <col min="8187" max="8187" width="7.36328125" style="3" customWidth="1"/>
    <col min="8188" max="8188" width="5.54296875" style="3" customWidth="1"/>
    <col min="8189" max="8189" width="9" style="3" customWidth="1"/>
    <col min="8190" max="8191" width="9.90625" style="3" customWidth="1"/>
    <col min="8192" max="8192" width="11.08984375" style="3" customWidth="1"/>
    <col min="8193" max="8193" width="2.90625" style="3" customWidth="1"/>
    <col min="8194" max="8194" width="3.54296875" style="3" customWidth="1"/>
    <col min="8195" max="8439" width="9.08984375" style="3"/>
    <col min="8440" max="8440" width="8.6328125" style="3" customWidth="1"/>
    <col min="8441" max="8441" width="9.90625" style="3" customWidth="1"/>
    <col min="8442" max="8442" width="14.453125" style="3" customWidth="1"/>
    <col min="8443" max="8443" width="7.36328125" style="3" customWidth="1"/>
    <col min="8444" max="8444" width="5.54296875" style="3" customWidth="1"/>
    <col min="8445" max="8445" width="9" style="3" customWidth="1"/>
    <col min="8446" max="8447" width="9.90625" style="3" customWidth="1"/>
    <col min="8448" max="8448" width="11.08984375" style="3" customWidth="1"/>
    <col min="8449" max="8449" width="2.90625" style="3" customWidth="1"/>
    <col min="8450" max="8450" width="3.54296875" style="3" customWidth="1"/>
    <col min="8451" max="8695" width="9.08984375" style="3"/>
    <col min="8696" max="8696" width="8.6328125" style="3" customWidth="1"/>
    <col min="8697" max="8697" width="9.90625" style="3" customWidth="1"/>
    <col min="8698" max="8698" width="14.453125" style="3" customWidth="1"/>
    <col min="8699" max="8699" width="7.36328125" style="3" customWidth="1"/>
    <col min="8700" max="8700" width="5.54296875" style="3" customWidth="1"/>
    <col min="8701" max="8701" width="9" style="3" customWidth="1"/>
    <col min="8702" max="8703" width="9.90625" style="3" customWidth="1"/>
    <col min="8704" max="8704" width="11.08984375" style="3" customWidth="1"/>
    <col min="8705" max="8705" width="2.90625" style="3" customWidth="1"/>
    <col min="8706" max="8706" width="3.54296875" style="3" customWidth="1"/>
    <col min="8707" max="8951" width="9.08984375" style="3"/>
    <col min="8952" max="8952" width="8.6328125" style="3" customWidth="1"/>
    <col min="8953" max="8953" width="9.90625" style="3" customWidth="1"/>
    <col min="8954" max="8954" width="14.453125" style="3" customWidth="1"/>
    <col min="8955" max="8955" width="7.36328125" style="3" customWidth="1"/>
    <col min="8956" max="8956" width="5.54296875" style="3" customWidth="1"/>
    <col min="8957" max="8957" width="9" style="3" customWidth="1"/>
    <col min="8958" max="8959" width="9.90625" style="3" customWidth="1"/>
    <col min="8960" max="8960" width="11.08984375" style="3" customWidth="1"/>
    <col min="8961" max="8961" width="2.90625" style="3" customWidth="1"/>
    <col min="8962" max="8962" width="3.54296875" style="3" customWidth="1"/>
    <col min="8963" max="9207" width="9.08984375" style="3"/>
    <col min="9208" max="9208" width="8.6328125" style="3" customWidth="1"/>
    <col min="9209" max="9209" width="9.90625" style="3" customWidth="1"/>
    <col min="9210" max="9210" width="14.453125" style="3" customWidth="1"/>
    <col min="9211" max="9211" width="7.36328125" style="3" customWidth="1"/>
    <col min="9212" max="9212" width="5.54296875" style="3" customWidth="1"/>
    <col min="9213" max="9213" width="9" style="3" customWidth="1"/>
    <col min="9214" max="9215" width="9.90625" style="3" customWidth="1"/>
    <col min="9216" max="9216" width="11.08984375" style="3" customWidth="1"/>
    <col min="9217" max="9217" width="2.90625" style="3" customWidth="1"/>
    <col min="9218" max="9218" width="3.54296875" style="3" customWidth="1"/>
    <col min="9219" max="9463" width="9.08984375" style="3"/>
    <col min="9464" max="9464" width="8.6328125" style="3" customWidth="1"/>
    <col min="9465" max="9465" width="9.90625" style="3" customWidth="1"/>
    <col min="9466" max="9466" width="14.453125" style="3" customWidth="1"/>
    <col min="9467" max="9467" width="7.36328125" style="3" customWidth="1"/>
    <col min="9468" max="9468" width="5.54296875" style="3" customWidth="1"/>
    <col min="9469" max="9469" width="9" style="3" customWidth="1"/>
    <col min="9470" max="9471" width="9.90625" style="3" customWidth="1"/>
    <col min="9472" max="9472" width="11.08984375" style="3" customWidth="1"/>
    <col min="9473" max="9473" width="2.90625" style="3" customWidth="1"/>
    <col min="9474" max="9474" width="3.54296875" style="3" customWidth="1"/>
    <col min="9475" max="9719" width="9.08984375" style="3"/>
    <col min="9720" max="9720" width="8.6328125" style="3" customWidth="1"/>
    <col min="9721" max="9721" width="9.90625" style="3" customWidth="1"/>
    <col min="9722" max="9722" width="14.453125" style="3" customWidth="1"/>
    <col min="9723" max="9723" width="7.36328125" style="3" customWidth="1"/>
    <col min="9724" max="9724" width="5.54296875" style="3" customWidth="1"/>
    <col min="9725" max="9725" width="9" style="3" customWidth="1"/>
    <col min="9726" max="9727" width="9.90625" style="3" customWidth="1"/>
    <col min="9728" max="9728" width="11.08984375" style="3" customWidth="1"/>
    <col min="9729" max="9729" width="2.90625" style="3" customWidth="1"/>
    <col min="9730" max="9730" width="3.54296875" style="3" customWidth="1"/>
    <col min="9731" max="9975" width="9.08984375" style="3"/>
    <col min="9976" max="9976" width="8.6328125" style="3" customWidth="1"/>
    <col min="9977" max="9977" width="9.90625" style="3" customWidth="1"/>
    <col min="9978" max="9978" width="14.453125" style="3" customWidth="1"/>
    <col min="9979" max="9979" width="7.36328125" style="3" customWidth="1"/>
    <col min="9980" max="9980" width="5.54296875" style="3" customWidth="1"/>
    <col min="9981" max="9981" width="9" style="3" customWidth="1"/>
    <col min="9982" max="9983" width="9.90625" style="3" customWidth="1"/>
    <col min="9984" max="9984" width="11.08984375" style="3" customWidth="1"/>
    <col min="9985" max="9985" width="2.90625" style="3" customWidth="1"/>
    <col min="9986" max="9986" width="3.54296875" style="3" customWidth="1"/>
    <col min="9987" max="10231" width="9.08984375" style="3"/>
    <col min="10232" max="10232" width="8.6328125" style="3" customWidth="1"/>
    <col min="10233" max="10233" width="9.90625" style="3" customWidth="1"/>
    <col min="10234" max="10234" width="14.453125" style="3" customWidth="1"/>
    <col min="10235" max="10235" width="7.36328125" style="3" customWidth="1"/>
    <col min="10236" max="10236" width="5.54296875" style="3" customWidth="1"/>
    <col min="10237" max="10237" width="9" style="3" customWidth="1"/>
    <col min="10238" max="10239" width="9.90625" style="3" customWidth="1"/>
    <col min="10240" max="10240" width="11.08984375" style="3" customWidth="1"/>
    <col min="10241" max="10241" width="2.90625" style="3" customWidth="1"/>
    <col min="10242" max="10242" width="3.54296875" style="3" customWidth="1"/>
    <col min="10243" max="10487" width="9.08984375" style="3"/>
    <col min="10488" max="10488" width="8.6328125" style="3" customWidth="1"/>
    <col min="10489" max="10489" width="9.90625" style="3" customWidth="1"/>
    <col min="10490" max="10490" width="14.453125" style="3" customWidth="1"/>
    <col min="10491" max="10491" width="7.36328125" style="3" customWidth="1"/>
    <col min="10492" max="10492" width="5.54296875" style="3" customWidth="1"/>
    <col min="10493" max="10493" width="9" style="3" customWidth="1"/>
    <col min="10494" max="10495" width="9.90625" style="3" customWidth="1"/>
    <col min="10496" max="10496" width="11.08984375" style="3" customWidth="1"/>
    <col min="10497" max="10497" width="2.90625" style="3" customWidth="1"/>
    <col min="10498" max="10498" width="3.54296875" style="3" customWidth="1"/>
    <col min="10499" max="10743" width="9.08984375" style="3"/>
    <col min="10744" max="10744" width="8.6328125" style="3" customWidth="1"/>
    <col min="10745" max="10745" width="9.90625" style="3" customWidth="1"/>
    <col min="10746" max="10746" width="14.453125" style="3" customWidth="1"/>
    <col min="10747" max="10747" width="7.36328125" style="3" customWidth="1"/>
    <col min="10748" max="10748" width="5.54296875" style="3" customWidth="1"/>
    <col min="10749" max="10749" width="9" style="3" customWidth="1"/>
    <col min="10750" max="10751" width="9.90625" style="3" customWidth="1"/>
    <col min="10752" max="10752" width="11.08984375" style="3" customWidth="1"/>
    <col min="10753" max="10753" width="2.90625" style="3" customWidth="1"/>
    <col min="10754" max="10754" width="3.54296875" style="3" customWidth="1"/>
    <col min="10755" max="10999" width="9.08984375" style="3"/>
    <col min="11000" max="11000" width="8.6328125" style="3" customWidth="1"/>
    <col min="11001" max="11001" width="9.90625" style="3" customWidth="1"/>
    <col min="11002" max="11002" width="14.453125" style="3" customWidth="1"/>
    <col min="11003" max="11003" width="7.36328125" style="3" customWidth="1"/>
    <col min="11004" max="11004" width="5.54296875" style="3" customWidth="1"/>
    <col min="11005" max="11005" width="9" style="3" customWidth="1"/>
    <col min="11006" max="11007" width="9.90625" style="3" customWidth="1"/>
    <col min="11008" max="11008" width="11.08984375" style="3" customWidth="1"/>
    <col min="11009" max="11009" width="2.90625" style="3" customWidth="1"/>
    <col min="11010" max="11010" width="3.54296875" style="3" customWidth="1"/>
    <col min="11011" max="11255" width="9.08984375" style="3"/>
    <col min="11256" max="11256" width="8.6328125" style="3" customWidth="1"/>
    <col min="11257" max="11257" width="9.90625" style="3" customWidth="1"/>
    <col min="11258" max="11258" width="14.453125" style="3" customWidth="1"/>
    <col min="11259" max="11259" width="7.36328125" style="3" customWidth="1"/>
    <col min="11260" max="11260" width="5.54296875" style="3" customWidth="1"/>
    <col min="11261" max="11261" width="9" style="3" customWidth="1"/>
    <col min="11262" max="11263" width="9.90625" style="3" customWidth="1"/>
    <col min="11264" max="11264" width="11.08984375" style="3" customWidth="1"/>
    <col min="11265" max="11265" width="2.90625" style="3" customWidth="1"/>
    <col min="11266" max="11266" width="3.54296875" style="3" customWidth="1"/>
    <col min="11267" max="11511" width="9.08984375" style="3"/>
    <col min="11512" max="11512" width="8.6328125" style="3" customWidth="1"/>
    <col min="11513" max="11513" width="9.90625" style="3" customWidth="1"/>
    <col min="11514" max="11514" width="14.453125" style="3" customWidth="1"/>
    <col min="11515" max="11515" width="7.36328125" style="3" customWidth="1"/>
    <col min="11516" max="11516" width="5.54296875" style="3" customWidth="1"/>
    <col min="11517" max="11517" width="9" style="3" customWidth="1"/>
    <col min="11518" max="11519" width="9.90625" style="3" customWidth="1"/>
    <col min="11520" max="11520" width="11.08984375" style="3" customWidth="1"/>
    <col min="11521" max="11521" width="2.90625" style="3" customWidth="1"/>
    <col min="11522" max="11522" width="3.54296875" style="3" customWidth="1"/>
    <col min="11523" max="11767" width="9.08984375" style="3"/>
    <col min="11768" max="11768" width="8.6328125" style="3" customWidth="1"/>
    <col min="11769" max="11769" width="9.90625" style="3" customWidth="1"/>
    <col min="11770" max="11770" width="14.453125" style="3" customWidth="1"/>
    <col min="11771" max="11771" width="7.36328125" style="3" customWidth="1"/>
    <col min="11772" max="11772" width="5.54296875" style="3" customWidth="1"/>
    <col min="11773" max="11773" width="9" style="3" customWidth="1"/>
    <col min="11774" max="11775" width="9.90625" style="3" customWidth="1"/>
    <col min="11776" max="11776" width="11.08984375" style="3" customWidth="1"/>
    <col min="11777" max="11777" width="2.90625" style="3" customWidth="1"/>
    <col min="11778" max="11778" width="3.54296875" style="3" customWidth="1"/>
    <col min="11779" max="12023" width="9.08984375" style="3"/>
    <col min="12024" max="12024" width="8.6328125" style="3" customWidth="1"/>
    <col min="12025" max="12025" width="9.90625" style="3" customWidth="1"/>
    <col min="12026" max="12026" width="14.453125" style="3" customWidth="1"/>
    <col min="12027" max="12027" width="7.36328125" style="3" customWidth="1"/>
    <col min="12028" max="12028" width="5.54296875" style="3" customWidth="1"/>
    <col min="12029" max="12029" width="9" style="3" customWidth="1"/>
    <col min="12030" max="12031" width="9.90625" style="3" customWidth="1"/>
    <col min="12032" max="12032" width="11.08984375" style="3" customWidth="1"/>
    <col min="12033" max="12033" width="2.90625" style="3" customWidth="1"/>
    <col min="12034" max="12034" width="3.54296875" style="3" customWidth="1"/>
    <col min="12035" max="12279" width="9.08984375" style="3"/>
    <col min="12280" max="12280" width="8.6328125" style="3" customWidth="1"/>
    <col min="12281" max="12281" width="9.90625" style="3" customWidth="1"/>
    <col min="12282" max="12282" width="14.453125" style="3" customWidth="1"/>
    <col min="12283" max="12283" width="7.36328125" style="3" customWidth="1"/>
    <col min="12284" max="12284" width="5.54296875" style="3" customWidth="1"/>
    <col min="12285" max="12285" width="9" style="3" customWidth="1"/>
    <col min="12286" max="12287" width="9.90625" style="3" customWidth="1"/>
    <col min="12288" max="12288" width="11.08984375" style="3" customWidth="1"/>
    <col min="12289" max="12289" width="2.90625" style="3" customWidth="1"/>
    <col min="12290" max="12290" width="3.54296875" style="3" customWidth="1"/>
    <col min="12291" max="12535" width="9.08984375" style="3"/>
    <col min="12536" max="12536" width="8.6328125" style="3" customWidth="1"/>
    <col min="12537" max="12537" width="9.90625" style="3" customWidth="1"/>
    <col min="12538" max="12538" width="14.453125" style="3" customWidth="1"/>
    <col min="12539" max="12539" width="7.36328125" style="3" customWidth="1"/>
    <col min="12540" max="12540" width="5.54296875" style="3" customWidth="1"/>
    <col min="12541" max="12541" width="9" style="3" customWidth="1"/>
    <col min="12542" max="12543" width="9.90625" style="3" customWidth="1"/>
    <col min="12544" max="12544" width="11.08984375" style="3" customWidth="1"/>
    <col min="12545" max="12545" width="2.90625" style="3" customWidth="1"/>
    <col min="12546" max="12546" width="3.54296875" style="3" customWidth="1"/>
    <col min="12547" max="12791" width="9.08984375" style="3"/>
    <col min="12792" max="12792" width="8.6328125" style="3" customWidth="1"/>
    <col min="12793" max="12793" width="9.90625" style="3" customWidth="1"/>
    <col min="12794" max="12794" width="14.453125" style="3" customWidth="1"/>
    <col min="12795" max="12795" width="7.36328125" style="3" customWidth="1"/>
    <col min="12796" max="12796" width="5.54296875" style="3" customWidth="1"/>
    <col min="12797" max="12797" width="9" style="3" customWidth="1"/>
    <col min="12798" max="12799" width="9.90625" style="3" customWidth="1"/>
    <col min="12800" max="12800" width="11.08984375" style="3" customWidth="1"/>
    <col min="12801" max="12801" width="2.90625" style="3" customWidth="1"/>
    <col min="12802" max="12802" width="3.54296875" style="3" customWidth="1"/>
    <col min="12803" max="13047" width="9.08984375" style="3"/>
    <col min="13048" max="13048" width="8.6328125" style="3" customWidth="1"/>
    <col min="13049" max="13049" width="9.90625" style="3" customWidth="1"/>
    <col min="13050" max="13050" width="14.453125" style="3" customWidth="1"/>
    <col min="13051" max="13051" width="7.36328125" style="3" customWidth="1"/>
    <col min="13052" max="13052" width="5.54296875" style="3" customWidth="1"/>
    <col min="13053" max="13053" width="9" style="3" customWidth="1"/>
    <col min="13054" max="13055" width="9.90625" style="3" customWidth="1"/>
    <col min="13056" max="13056" width="11.08984375" style="3" customWidth="1"/>
    <col min="13057" max="13057" width="2.90625" style="3" customWidth="1"/>
    <col min="13058" max="13058" width="3.54296875" style="3" customWidth="1"/>
    <col min="13059" max="13303" width="9.08984375" style="3"/>
    <col min="13304" max="13304" width="8.6328125" style="3" customWidth="1"/>
    <col min="13305" max="13305" width="9.90625" style="3" customWidth="1"/>
    <col min="13306" max="13306" width="14.453125" style="3" customWidth="1"/>
    <col min="13307" max="13307" width="7.36328125" style="3" customWidth="1"/>
    <col min="13308" max="13308" width="5.54296875" style="3" customWidth="1"/>
    <col min="13309" max="13309" width="9" style="3" customWidth="1"/>
    <col min="13310" max="13311" width="9.90625" style="3" customWidth="1"/>
    <col min="13312" max="13312" width="11.08984375" style="3" customWidth="1"/>
    <col min="13313" max="13313" width="2.90625" style="3" customWidth="1"/>
    <col min="13314" max="13314" width="3.54296875" style="3" customWidth="1"/>
    <col min="13315" max="13559" width="9.08984375" style="3"/>
    <col min="13560" max="13560" width="8.6328125" style="3" customWidth="1"/>
    <col min="13561" max="13561" width="9.90625" style="3" customWidth="1"/>
    <col min="13562" max="13562" width="14.453125" style="3" customWidth="1"/>
    <col min="13563" max="13563" width="7.36328125" style="3" customWidth="1"/>
    <col min="13564" max="13564" width="5.54296875" style="3" customWidth="1"/>
    <col min="13565" max="13565" width="9" style="3" customWidth="1"/>
    <col min="13566" max="13567" width="9.90625" style="3" customWidth="1"/>
    <col min="13568" max="13568" width="11.08984375" style="3" customWidth="1"/>
    <col min="13569" max="13569" width="2.90625" style="3" customWidth="1"/>
    <col min="13570" max="13570" width="3.54296875" style="3" customWidth="1"/>
    <col min="13571" max="13815" width="9.08984375" style="3"/>
    <col min="13816" max="13816" width="8.6328125" style="3" customWidth="1"/>
    <col min="13817" max="13817" width="9.90625" style="3" customWidth="1"/>
    <col min="13818" max="13818" width="14.453125" style="3" customWidth="1"/>
    <col min="13819" max="13819" width="7.36328125" style="3" customWidth="1"/>
    <col min="13820" max="13820" width="5.54296875" style="3" customWidth="1"/>
    <col min="13821" max="13821" width="9" style="3" customWidth="1"/>
    <col min="13822" max="13823" width="9.90625" style="3" customWidth="1"/>
    <col min="13824" max="13824" width="11.08984375" style="3" customWidth="1"/>
    <col min="13825" max="13825" width="2.90625" style="3" customWidth="1"/>
    <col min="13826" max="13826" width="3.54296875" style="3" customWidth="1"/>
    <col min="13827" max="14071" width="9.08984375" style="3"/>
    <col min="14072" max="14072" width="8.6328125" style="3" customWidth="1"/>
    <col min="14073" max="14073" width="9.90625" style="3" customWidth="1"/>
    <col min="14074" max="14074" width="14.453125" style="3" customWidth="1"/>
    <col min="14075" max="14075" width="7.36328125" style="3" customWidth="1"/>
    <col min="14076" max="14076" width="5.54296875" style="3" customWidth="1"/>
    <col min="14077" max="14077" width="9" style="3" customWidth="1"/>
    <col min="14078" max="14079" width="9.90625" style="3" customWidth="1"/>
    <col min="14080" max="14080" width="11.08984375" style="3" customWidth="1"/>
    <col min="14081" max="14081" width="2.90625" style="3" customWidth="1"/>
    <col min="14082" max="14082" width="3.54296875" style="3" customWidth="1"/>
    <col min="14083" max="14327" width="9.08984375" style="3"/>
    <col min="14328" max="14328" width="8.6328125" style="3" customWidth="1"/>
    <col min="14329" max="14329" width="9.90625" style="3" customWidth="1"/>
    <col min="14330" max="14330" width="14.453125" style="3" customWidth="1"/>
    <col min="14331" max="14331" width="7.36328125" style="3" customWidth="1"/>
    <col min="14332" max="14332" width="5.54296875" style="3" customWidth="1"/>
    <col min="14333" max="14333" width="9" style="3" customWidth="1"/>
    <col min="14334" max="14335" width="9.90625" style="3" customWidth="1"/>
    <col min="14336" max="14336" width="11.08984375" style="3" customWidth="1"/>
    <col min="14337" max="14337" width="2.90625" style="3" customWidth="1"/>
    <col min="14338" max="14338" width="3.54296875" style="3" customWidth="1"/>
    <col min="14339" max="14583" width="9.08984375" style="3"/>
    <col min="14584" max="14584" width="8.6328125" style="3" customWidth="1"/>
    <col min="14585" max="14585" width="9.90625" style="3" customWidth="1"/>
    <col min="14586" max="14586" width="14.453125" style="3" customWidth="1"/>
    <col min="14587" max="14587" width="7.36328125" style="3" customWidth="1"/>
    <col min="14588" max="14588" width="5.54296875" style="3" customWidth="1"/>
    <col min="14589" max="14589" width="9" style="3" customWidth="1"/>
    <col min="14590" max="14591" width="9.90625" style="3" customWidth="1"/>
    <col min="14592" max="14592" width="11.08984375" style="3" customWidth="1"/>
    <col min="14593" max="14593" width="2.90625" style="3" customWidth="1"/>
    <col min="14594" max="14594" width="3.54296875" style="3" customWidth="1"/>
    <col min="14595" max="14839" width="9.08984375" style="3"/>
    <col min="14840" max="14840" width="8.6328125" style="3" customWidth="1"/>
    <col min="14841" max="14841" width="9.90625" style="3" customWidth="1"/>
    <col min="14842" max="14842" width="14.453125" style="3" customWidth="1"/>
    <col min="14843" max="14843" width="7.36328125" style="3" customWidth="1"/>
    <col min="14844" max="14844" width="5.54296875" style="3" customWidth="1"/>
    <col min="14845" max="14845" width="9" style="3" customWidth="1"/>
    <col min="14846" max="14847" width="9.90625" style="3" customWidth="1"/>
    <col min="14848" max="14848" width="11.08984375" style="3" customWidth="1"/>
    <col min="14849" max="14849" width="2.90625" style="3" customWidth="1"/>
    <col min="14850" max="14850" width="3.54296875" style="3" customWidth="1"/>
    <col min="14851" max="15095" width="9.08984375" style="3"/>
    <col min="15096" max="15096" width="8.6328125" style="3" customWidth="1"/>
    <col min="15097" max="15097" width="9.90625" style="3" customWidth="1"/>
    <col min="15098" max="15098" width="14.453125" style="3" customWidth="1"/>
    <col min="15099" max="15099" width="7.36328125" style="3" customWidth="1"/>
    <col min="15100" max="15100" width="5.54296875" style="3" customWidth="1"/>
    <col min="15101" max="15101" width="9" style="3" customWidth="1"/>
    <col min="15102" max="15103" width="9.90625" style="3" customWidth="1"/>
    <col min="15104" max="15104" width="11.08984375" style="3" customWidth="1"/>
    <col min="15105" max="15105" width="2.90625" style="3" customWidth="1"/>
    <col min="15106" max="15106" width="3.54296875" style="3" customWidth="1"/>
    <col min="15107" max="15351" width="9.08984375" style="3"/>
    <col min="15352" max="15352" width="8.6328125" style="3" customWidth="1"/>
    <col min="15353" max="15353" width="9.90625" style="3" customWidth="1"/>
    <col min="15354" max="15354" width="14.453125" style="3" customWidth="1"/>
    <col min="15355" max="15355" width="7.36328125" style="3" customWidth="1"/>
    <col min="15356" max="15356" width="5.54296875" style="3" customWidth="1"/>
    <col min="15357" max="15357" width="9" style="3" customWidth="1"/>
    <col min="15358" max="15359" width="9.90625" style="3" customWidth="1"/>
    <col min="15360" max="15360" width="11.08984375" style="3" customWidth="1"/>
    <col min="15361" max="15361" width="2.90625" style="3" customWidth="1"/>
    <col min="15362" max="15362" width="3.54296875" style="3" customWidth="1"/>
    <col min="15363" max="15607" width="9.08984375" style="3"/>
    <col min="15608" max="15608" width="8.6328125" style="3" customWidth="1"/>
    <col min="15609" max="15609" width="9.90625" style="3" customWidth="1"/>
    <col min="15610" max="15610" width="14.453125" style="3" customWidth="1"/>
    <col min="15611" max="15611" width="7.36328125" style="3" customWidth="1"/>
    <col min="15612" max="15612" width="5.54296875" style="3" customWidth="1"/>
    <col min="15613" max="15613" width="9" style="3" customWidth="1"/>
    <col min="15614" max="15615" width="9.90625" style="3" customWidth="1"/>
    <col min="15616" max="15616" width="11.08984375" style="3" customWidth="1"/>
    <col min="15617" max="15617" width="2.90625" style="3" customWidth="1"/>
    <col min="15618" max="15618" width="3.54296875" style="3" customWidth="1"/>
    <col min="15619" max="15863" width="9.08984375" style="3"/>
    <col min="15864" max="15864" width="8.6328125" style="3" customWidth="1"/>
    <col min="15865" max="15865" width="9.90625" style="3" customWidth="1"/>
    <col min="15866" max="15866" width="14.453125" style="3" customWidth="1"/>
    <col min="15867" max="15867" width="7.36328125" style="3" customWidth="1"/>
    <col min="15868" max="15868" width="5.54296875" style="3" customWidth="1"/>
    <col min="15869" max="15869" width="9" style="3" customWidth="1"/>
    <col min="15870" max="15871" width="9.90625" style="3" customWidth="1"/>
    <col min="15872" max="15872" width="11.08984375" style="3" customWidth="1"/>
    <col min="15873" max="15873" width="2.90625" style="3" customWidth="1"/>
    <col min="15874" max="15874" width="3.54296875" style="3" customWidth="1"/>
    <col min="15875" max="16119" width="9.08984375" style="3"/>
    <col min="16120" max="16120" width="8.6328125" style="3" customWidth="1"/>
    <col min="16121" max="16121" width="9.90625" style="3" customWidth="1"/>
    <col min="16122" max="16122" width="14.453125" style="3" customWidth="1"/>
    <col min="16123" max="16123" width="7.36328125" style="3" customWidth="1"/>
    <col min="16124" max="16124" width="5.54296875" style="3" customWidth="1"/>
    <col min="16125" max="16125" width="9" style="3" customWidth="1"/>
    <col min="16126" max="16127" width="9.90625" style="3" customWidth="1"/>
    <col min="16128" max="16128" width="11.08984375" style="3" customWidth="1"/>
    <col min="16129" max="16129" width="2.90625" style="3" customWidth="1"/>
    <col min="16130" max="16130" width="3.54296875" style="3" customWidth="1"/>
    <col min="16131" max="16384" width="9.08984375" style="3"/>
  </cols>
  <sheetData>
    <row r="1" spans="1:8" ht="46.5" customHeight="1" x14ac:dyDescent="0.35">
      <c r="A1" s="131" t="s">
        <v>236</v>
      </c>
      <c r="B1" s="131"/>
      <c r="C1" s="131"/>
      <c r="D1" s="131"/>
      <c r="E1" s="131"/>
      <c r="F1" s="131"/>
      <c r="G1" s="131"/>
      <c r="H1" s="131"/>
    </row>
    <row r="2" spans="1:8" ht="16.5" customHeight="1" x14ac:dyDescent="0.35">
      <c r="A2" s="85" t="s">
        <v>0</v>
      </c>
      <c r="B2" s="85"/>
      <c r="C2" s="85"/>
      <c r="D2" s="85"/>
      <c r="E2" s="85"/>
      <c r="F2" s="85"/>
      <c r="G2" s="85"/>
      <c r="H2" s="85"/>
    </row>
    <row r="3" spans="1:8" x14ac:dyDescent="0.35">
      <c r="A3" s="125" t="s">
        <v>1</v>
      </c>
      <c r="B3" s="125"/>
      <c r="C3" s="125"/>
      <c r="D3" s="125"/>
      <c r="E3" s="132" t="str">
        <f ca="1">TEXT(TODAY(),"DD/MM/YYYY")</f>
        <v>21/07/2025</v>
      </c>
      <c r="F3" s="132"/>
      <c r="G3" s="132"/>
      <c r="H3" s="132"/>
    </row>
    <row r="4" spans="1:8" ht="15" customHeight="1" x14ac:dyDescent="0.35">
      <c r="A4" s="125" t="s">
        <v>2</v>
      </c>
      <c r="B4" s="125"/>
      <c r="C4" s="125"/>
      <c r="D4" s="125"/>
      <c r="E4" s="134" t="s">
        <v>165</v>
      </c>
      <c r="F4" s="134"/>
      <c r="G4" s="134"/>
      <c r="H4" s="134"/>
    </row>
    <row r="5" spans="1:8" x14ac:dyDescent="0.35">
      <c r="A5" s="125" t="s">
        <v>3</v>
      </c>
      <c r="B5" s="125"/>
      <c r="C5" s="125"/>
      <c r="D5" s="125"/>
      <c r="E5" s="132">
        <v>45859</v>
      </c>
      <c r="F5" s="132"/>
      <c r="G5" s="132"/>
      <c r="H5" s="132"/>
    </row>
    <row r="6" spans="1:8" ht="16.5" customHeight="1" x14ac:dyDescent="0.35">
      <c r="A6" s="125" t="s">
        <v>211</v>
      </c>
      <c r="B6" s="125"/>
      <c r="C6" s="125"/>
      <c r="D6" s="125"/>
      <c r="E6" s="130" t="s">
        <v>212</v>
      </c>
      <c r="F6" s="130"/>
      <c r="G6" s="130"/>
      <c r="H6" s="130"/>
    </row>
    <row r="7" spans="1:8" ht="15" customHeight="1" x14ac:dyDescent="0.35">
      <c r="A7" s="125" t="s">
        <v>4</v>
      </c>
      <c r="B7" s="125"/>
      <c r="C7" s="125"/>
      <c r="D7" s="125"/>
      <c r="E7" s="130" t="s">
        <v>213</v>
      </c>
      <c r="F7" s="130"/>
      <c r="G7" s="130"/>
      <c r="H7" s="130"/>
    </row>
    <row r="8" spans="1:8" x14ac:dyDescent="0.35">
      <c r="A8" s="125" t="s">
        <v>5</v>
      </c>
      <c r="B8" s="125"/>
      <c r="C8" s="125"/>
      <c r="D8" s="125"/>
      <c r="E8" s="133" t="s">
        <v>166</v>
      </c>
      <c r="F8" s="133"/>
      <c r="G8" s="133"/>
      <c r="H8" s="133"/>
    </row>
    <row r="9" spans="1:8" x14ac:dyDescent="0.35">
      <c r="A9" s="125" t="s">
        <v>128</v>
      </c>
      <c r="B9" s="125"/>
      <c r="C9" s="125"/>
      <c r="D9" s="125"/>
      <c r="E9" s="129">
        <v>9820524525</v>
      </c>
      <c r="F9" s="129"/>
      <c r="G9" s="129"/>
      <c r="H9" s="129"/>
    </row>
    <row r="10" spans="1:8" x14ac:dyDescent="0.35">
      <c r="A10" s="125" t="s">
        <v>230</v>
      </c>
      <c r="B10" s="125"/>
      <c r="C10" s="125"/>
      <c r="D10" s="125"/>
      <c r="E10" s="129" t="s">
        <v>239</v>
      </c>
      <c r="F10" s="129"/>
      <c r="G10" s="129"/>
      <c r="H10" s="129"/>
    </row>
    <row r="11" spans="1:8" x14ac:dyDescent="0.35">
      <c r="A11" s="64" t="s">
        <v>6</v>
      </c>
      <c r="B11" s="64"/>
      <c r="C11" s="64"/>
      <c r="D11" s="64"/>
      <c r="E11" s="129" t="s">
        <v>203</v>
      </c>
      <c r="F11" s="129"/>
      <c r="G11" s="129"/>
      <c r="H11" s="129"/>
    </row>
    <row r="12" spans="1:8" ht="15.75" customHeight="1" x14ac:dyDescent="0.35">
      <c r="A12" s="125" t="s">
        <v>7</v>
      </c>
      <c r="B12" s="125"/>
      <c r="C12" s="125"/>
      <c r="D12" s="125"/>
      <c r="E12" s="126" t="s">
        <v>207</v>
      </c>
      <c r="F12" s="126"/>
      <c r="G12" s="126"/>
      <c r="H12" s="126"/>
    </row>
    <row r="13" spans="1:8" x14ac:dyDescent="0.35">
      <c r="A13" s="135" t="s">
        <v>8</v>
      </c>
      <c r="B13" s="135"/>
      <c r="C13" s="135"/>
      <c r="D13" s="135"/>
      <c r="E13" s="130" t="s">
        <v>167</v>
      </c>
      <c r="F13" s="129"/>
      <c r="G13" s="129"/>
      <c r="H13" s="129"/>
    </row>
    <row r="14" spans="1:8" ht="33" customHeight="1" x14ac:dyDescent="0.35">
      <c r="A14" s="130" t="s">
        <v>9</v>
      </c>
      <c r="B14" s="130"/>
      <c r="C14" s="130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Armaan Lotus, Survey No.148(Pt), near Arjun Apartment, Achole Road, Achole, Nalasopara (East), Vasai, Palghar - 401209.</v>
      </c>
      <c r="D14" s="130"/>
      <c r="E14" s="130"/>
      <c r="F14" s="130"/>
      <c r="G14" s="130"/>
      <c r="H14" s="130"/>
    </row>
    <row r="15" spans="1:8" x14ac:dyDescent="0.35">
      <c r="A15" s="130" t="s">
        <v>168</v>
      </c>
      <c r="B15" s="130"/>
      <c r="C15" s="130" t="s">
        <v>169</v>
      </c>
      <c r="D15" s="130"/>
      <c r="E15" s="130"/>
      <c r="F15" s="130"/>
      <c r="G15" s="130"/>
      <c r="H15" s="130"/>
    </row>
    <row r="16" spans="1:8" ht="15.75" customHeight="1" x14ac:dyDescent="0.35">
      <c r="A16" s="130" t="s">
        <v>10</v>
      </c>
      <c r="B16" s="130"/>
      <c r="C16" s="129" t="s">
        <v>174</v>
      </c>
      <c r="D16" s="129"/>
      <c r="E16" s="130" t="s">
        <v>76</v>
      </c>
      <c r="F16" s="130"/>
      <c r="G16" s="130" t="s">
        <v>170</v>
      </c>
      <c r="H16" s="130"/>
    </row>
    <row r="17" spans="1:8" x14ac:dyDescent="0.35">
      <c r="A17" s="129" t="s">
        <v>12</v>
      </c>
      <c r="B17" s="129"/>
      <c r="C17" s="130" t="s">
        <v>205</v>
      </c>
      <c r="D17" s="130"/>
      <c r="E17" s="130" t="s">
        <v>11</v>
      </c>
      <c r="F17" s="130"/>
      <c r="G17" s="109" t="s">
        <v>171</v>
      </c>
      <c r="H17" s="109"/>
    </row>
    <row r="18" spans="1:8" x14ac:dyDescent="0.35">
      <c r="A18" s="129" t="s">
        <v>77</v>
      </c>
      <c r="B18" s="129"/>
      <c r="C18" s="130" t="s">
        <v>172</v>
      </c>
      <c r="D18" s="130"/>
      <c r="E18" s="130" t="s">
        <v>13</v>
      </c>
      <c r="F18" s="130"/>
      <c r="G18" s="130">
        <v>401209</v>
      </c>
      <c r="H18" s="130"/>
    </row>
    <row r="19" spans="1:8" ht="32.25" customHeight="1" x14ac:dyDescent="0.35">
      <c r="A19" s="129" t="s">
        <v>129</v>
      </c>
      <c r="B19" s="129"/>
      <c r="C19" s="130" t="s">
        <v>173</v>
      </c>
      <c r="D19" s="130"/>
      <c r="E19" s="130" t="s">
        <v>14</v>
      </c>
      <c r="F19" s="130"/>
      <c r="G19" s="130" t="s">
        <v>177</v>
      </c>
      <c r="H19" s="130"/>
    </row>
    <row r="20" spans="1:8" ht="15" customHeight="1" x14ac:dyDescent="0.35">
      <c r="A20" s="123" t="s">
        <v>79</v>
      </c>
      <c r="B20" s="123"/>
      <c r="C20" s="123"/>
      <c r="D20" s="123"/>
      <c r="E20" s="64" t="s">
        <v>15</v>
      </c>
      <c r="F20" s="64"/>
      <c r="G20" s="64"/>
      <c r="H20" s="64"/>
    </row>
    <row r="21" spans="1:8" ht="18.75" customHeight="1" x14ac:dyDescent="0.35">
      <c r="A21" s="123"/>
      <c r="B21" s="123"/>
      <c r="C21" s="123"/>
      <c r="D21" s="123"/>
      <c r="E21" s="64"/>
      <c r="F21" s="64"/>
      <c r="G21" s="64"/>
      <c r="H21" s="64"/>
    </row>
    <row r="22" spans="1:8" ht="15" customHeight="1" x14ac:dyDescent="0.35">
      <c r="A22" s="123" t="s">
        <v>16</v>
      </c>
      <c r="B22" s="123"/>
      <c r="C22" s="123"/>
      <c r="D22" s="123"/>
      <c r="E22" s="126" t="s">
        <v>17</v>
      </c>
      <c r="F22" s="126"/>
      <c r="G22" s="126"/>
      <c r="H22" s="126"/>
    </row>
    <row r="23" spans="1:8" ht="15" customHeight="1" x14ac:dyDescent="0.35">
      <c r="A23" s="125" t="s">
        <v>18</v>
      </c>
      <c r="B23" s="125"/>
      <c r="C23" s="125"/>
      <c r="D23" s="125"/>
      <c r="E23" s="126" t="str">
        <f>IF(AND(G17="Mumbai"),"Upper Class","Middle Class")</f>
        <v>Middle Class</v>
      </c>
      <c r="F23" s="126"/>
      <c r="G23" s="126"/>
      <c r="H23" s="126"/>
    </row>
    <row r="24" spans="1:8" x14ac:dyDescent="0.35">
      <c r="A24" s="125" t="s">
        <v>19</v>
      </c>
      <c r="B24" s="125"/>
      <c r="C24" s="125"/>
      <c r="D24" s="125"/>
      <c r="E24" s="126" t="s">
        <v>20</v>
      </c>
      <c r="F24" s="126"/>
      <c r="G24" s="126"/>
      <c r="H24" s="126"/>
    </row>
    <row r="25" spans="1:8" ht="15.75" customHeight="1" x14ac:dyDescent="0.35">
      <c r="A25" s="125" t="s">
        <v>21</v>
      </c>
      <c r="B25" s="125"/>
      <c r="C25" s="125"/>
      <c r="D25" s="125"/>
      <c r="E25" s="126" t="str">
        <f>IF(AND(G17="Mumbai"),"Developed","Developing")</f>
        <v>Developing</v>
      </c>
      <c r="F25" s="126"/>
      <c r="G25" s="126"/>
      <c r="H25" s="126"/>
    </row>
    <row r="26" spans="1:8" x14ac:dyDescent="0.35">
      <c r="A26" s="125" t="s">
        <v>22</v>
      </c>
      <c r="B26" s="125"/>
      <c r="C26" s="125"/>
      <c r="D26" s="125"/>
      <c r="E26" s="126" t="s">
        <v>23</v>
      </c>
      <c r="F26" s="126"/>
      <c r="G26" s="126"/>
      <c r="H26" s="126"/>
    </row>
    <row r="27" spans="1:8" x14ac:dyDescent="0.35">
      <c r="A27" s="125" t="s">
        <v>84</v>
      </c>
      <c r="B27" s="125"/>
      <c r="C27" s="125"/>
      <c r="D27" s="125"/>
      <c r="E27" s="126" t="s">
        <v>85</v>
      </c>
      <c r="F27" s="126"/>
      <c r="G27" s="126"/>
      <c r="H27" s="126"/>
    </row>
    <row r="28" spans="1:8" ht="15" customHeight="1" x14ac:dyDescent="0.35">
      <c r="A28" s="123" t="s">
        <v>32</v>
      </c>
      <c r="B28" s="123"/>
      <c r="C28" s="123"/>
      <c r="D28" s="123"/>
      <c r="E28" s="124" t="str">
        <f>IF(ISNUMBER(SEARCH("Shop",D55)),"Residential + Commercial",IF(ISNUMBER(SEARCH("Office",D55)),"Residential + Commercial",IF(SEARCH("Flats",D55),"Residential","")))</f>
        <v>Residential + Commercial</v>
      </c>
      <c r="F28" s="124"/>
      <c r="G28" s="124"/>
      <c r="H28" s="124"/>
    </row>
    <row r="29" spans="1:8" x14ac:dyDescent="0.35">
      <c r="A29" s="123" t="s">
        <v>96</v>
      </c>
      <c r="B29" s="123"/>
      <c r="C29" s="123"/>
      <c r="D29" s="123"/>
      <c r="E29" s="123" t="s">
        <v>33</v>
      </c>
      <c r="F29" s="123"/>
      <c r="G29" s="123"/>
      <c r="H29" s="123"/>
    </row>
    <row r="30" spans="1:8" s="6" customFormat="1" x14ac:dyDescent="0.35">
      <c r="A30" s="128" t="s">
        <v>97</v>
      </c>
      <c r="B30" s="128"/>
      <c r="C30" s="107" t="s">
        <v>28</v>
      </c>
      <c r="D30" s="107"/>
      <c r="E30" s="107"/>
      <c r="F30" s="107" t="s">
        <v>30</v>
      </c>
      <c r="G30" s="107"/>
      <c r="H30" s="107"/>
    </row>
    <row r="31" spans="1:8" s="6" customFormat="1" x14ac:dyDescent="0.35">
      <c r="A31" s="122" t="s">
        <v>24</v>
      </c>
      <c r="B31" s="122" t="s">
        <v>29</v>
      </c>
      <c r="C31" s="106" t="s">
        <v>29</v>
      </c>
      <c r="D31" s="106"/>
      <c r="E31" s="106"/>
      <c r="F31" s="106" t="s">
        <v>176</v>
      </c>
      <c r="G31" s="106"/>
      <c r="H31" s="106"/>
    </row>
    <row r="32" spans="1:8" x14ac:dyDescent="0.35">
      <c r="A32" s="122" t="s">
        <v>25</v>
      </c>
      <c r="B32" s="122" t="s">
        <v>29</v>
      </c>
      <c r="C32" s="106" t="s">
        <v>29</v>
      </c>
      <c r="D32" s="106"/>
      <c r="E32" s="106"/>
      <c r="F32" s="106" t="s">
        <v>175</v>
      </c>
      <c r="G32" s="106"/>
      <c r="H32" s="106"/>
    </row>
    <row r="33" spans="1:8" s="6" customFormat="1" x14ac:dyDescent="0.35">
      <c r="A33" s="122" t="s">
        <v>27</v>
      </c>
      <c r="B33" s="122" t="s">
        <v>29</v>
      </c>
      <c r="C33" s="106" t="s">
        <v>29</v>
      </c>
      <c r="D33" s="106"/>
      <c r="E33" s="106"/>
      <c r="F33" s="106" t="s">
        <v>173</v>
      </c>
      <c r="G33" s="106"/>
      <c r="H33" s="106"/>
    </row>
    <row r="34" spans="1:8" x14ac:dyDescent="0.35">
      <c r="A34" s="122" t="s">
        <v>26</v>
      </c>
      <c r="B34" s="122" t="s">
        <v>29</v>
      </c>
      <c r="C34" s="106" t="s">
        <v>29</v>
      </c>
      <c r="D34" s="106"/>
      <c r="E34" s="106"/>
      <c r="F34" s="106" t="s">
        <v>174</v>
      </c>
      <c r="G34" s="106"/>
      <c r="H34" s="106"/>
    </row>
    <row r="35" spans="1:8" x14ac:dyDescent="0.35">
      <c r="A35" s="129" t="s">
        <v>31</v>
      </c>
      <c r="B35" s="129"/>
      <c r="C35" s="129"/>
      <c r="D35" s="129"/>
      <c r="E35" s="129"/>
      <c r="F35" s="129"/>
      <c r="G35" s="129"/>
      <c r="H35" s="129"/>
    </row>
    <row r="36" spans="1:8" ht="15.75" customHeight="1" x14ac:dyDescent="0.35">
      <c r="A36" s="107" t="s">
        <v>234</v>
      </c>
      <c r="B36" s="107"/>
      <c r="C36" s="109" t="s">
        <v>240</v>
      </c>
      <c r="D36" s="109"/>
      <c r="E36" s="109"/>
      <c r="F36" s="109"/>
      <c r="G36" s="109"/>
      <c r="H36" s="109"/>
    </row>
    <row r="37" spans="1:8" ht="15.75" customHeight="1" x14ac:dyDescent="0.35">
      <c r="A37" s="107" t="s">
        <v>233</v>
      </c>
      <c r="B37" s="107"/>
      <c r="C37" s="108" t="s">
        <v>235</v>
      </c>
      <c r="D37" s="109"/>
      <c r="E37" s="109"/>
      <c r="F37" s="109"/>
      <c r="G37" s="109"/>
      <c r="H37" s="109"/>
    </row>
    <row r="38" spans="1:8" x14ac:dyDescent="0.35">
      <c r="A38" s="105" t="s">
        <v>34</v>
      </c>
      <c r="B38" s="105"/>
      <c r="C38" s="105"/>
      <c r="D38" s="105"/>
      <c r="E38" s="105"/>
      <c r="F38" s="105"/>
      <c r="G38" s="105"/>
      <c r="H38" s="105"/>
    </row>
    <row r="39" spans="1:8" x14ac:dyDescent="0.35">
      <c r="A39" s="125" t="s">
        <v>35</v>
      </c>
      <c r="B39" s="125"/>
      <c r="C39" s="125"/>
      <c r="D39" s="125"/>
      <c r="E39" s="127">
        <v>3398.37</v>
      </c>
      <c r="F39" s="127"/>
      <c r="G39" s="127"/>
      <c r="H39" s="127"/>
    </row>
    <row r="40" spans="1:8" x14ac:dyDescent="0.35">
      <c r="A40" s="64" t="s">
        <v>36</v>
      </c>
      <c r="B40" s="64"/>
      <c r="C40" s="64"/>
      <c r="D40" s="64"/>
      <c r="E40" s="137">
        <v>1</v>
      </c>
      <c r="F40" s="137"/>
      <c r="G40" s="137"/>
      <c r="H40" s="137"/>
    </row>
    <row r="41" spans="1:8" x14ac:dyDescent="0.35">
      <c r="A41" s="64" t="s">
        <v>37</v>
      </c>
      <c r="B41" s="64"/>
      <c r="C41" s="64"/>
      <c r="D41" s="64"/>
      <c r="E41" s="137">
        <f>E43/E39-E40</f>
        <v>0</v>
      </c>
      <c r="F41" s="137"/>
      <c r="G41" s="137"/>
      <c r="H41" s="137"/>
    </row>
    <row r="42" spans="1:8" x14ac:dyDescent="0.35">
      <c r="A42" s="64" t="s">
        <v>38</v>
      </c>
      <c r="B42" s="64"/>
      <c r="C42" s="64"/>
      <c r="D42" s="64"/>
      <c r="E42" s="137">
        <f>E40+E41</f>
        <v>1</v>
      </c>
      <c r="F42" s="137"/>
      <c r="G42" s="137"/>
      <c r="H42" s="137"/>
    </row>
    <row r="43" spans="1:8" x14ac:dyDescent="0.35">
      <c r="A43" s="64" t="s">
        <v>95</v>
      </c>
      <c r="B43" s="64"/>
      <c r="C43" s="64"/>
      <c r="D43" s="64"/>
      <c r="E43" s="138">
        <v>3398.37</v>
      </c>
      <c r="F43" s="138"/>
      <c r="G43" s="138"/>
      <c r="H43" s="138"/>
    </row>
    <row r="44" spans="1:8" x14ac:dyDescent="0.35">
      <c r="A44" s="64" t="s">
        <v>39</v>
      </c>
      <c r="B44" s="64"/>
      <c r="C44" s="64"/>
      <c r="D44" s="64"/>
      <c r="E44" s="64" t="s">
        <v>204</v>
      </c>
      <c r="F44" s="64"/>
      <c r="G44" s="64"/>
      <c r="H44" s="64"/>
    </row>
    <row r="45" spans="1:8" x14ac:dyDescent="0.35">
      <c r="A45" s="105" t="s">
        <v>40</v>
      </c>
      <c r="B45" s="105"/>
      <c r="C45" s="105"/>
      <c r="D45" s="105"/>
      <c r="E45" s="105"/>
      <c r="F45" s="105"/>
      <c r="G45" s="105"/>
      <c r="H45" s="105"/>
    </row>
    <row r="46" spans="1:8" ht="33.75" customHeight="1" x14ac:dyDescent="0.35">
      <c r="A46" s="70" t="s">
        <v>158</v>
      </c>
      <c r="B46" s="71"/>
      <c r="C46" s="72" t="s">
        <v>178</v>
      </c>
      <c r="D46" s="73"/>
      <c r="E46" s="73"/>
      <c r="F46" s="73"/>
      <c r="G46" s="73"/>
      <c r="H46" s="74"/>
    </row>
    <row r="47" spans="1:8" ht="30" customHeight="1" x14ac:dyDescent="0.35">
      <c r="A47" s="149" t="s">
        <v>41</v>
      </c>
      <c r="B47" s="149"/>
      <c r="C47" s="130" t="s">
        <v>179</v>
      </c>
      <c r="D47" s="130"/>
      <c r="E47" s="130"/>
      <c r="F47" s="54" t="s">
        <v>42</v>
      </c>
      <c r="G47" s="145">
        <v>44210</v>
      </c>
      <c r="H47" s="145"/>
    </row>
    <row r="48" spans="1:8" ht="35.25" customHeight="1" x14ac:dyDescent="0.35">
      <c r="A48" s="149" t="s">
        <v>219</v>
      </c>
      <c r="B48" s="149"/>
      <c r="C48" s="130" t="s">
        <v>179</v>
      </c>
      <c r="D48" s="130"/>
      <c r="E48" s="130"/>
      <c r="F48" s="54" t="s">
        <v>42</v>
      </c>
      <c r="G48" s="145">
        <f>G47</f>
        <v>44210</v>
      </c>
      <c r="H48" s="145"/>
    </row>
    <row r="49" spans="1:14" ht="50.25" customHeight="1" x14ac:dyDescent="0.35">
      <c r="A49" s="149" t="s">
        <v>226</v>
      </c>
      <c r="B49" s="149"/>
      <c r="C49" s="130" t="s">
        <v>220</v>
      </c>
      <c r="D49" s="130"/>
      <c r="E49" s="130"/>
      <c r="F49" s="54" t="s">
        <v>42</v>
      </c>
      <c r="G49" s="145">
        <v>44558</v>
      </c>
      <c r="H49" s="145"/>
    </row>
    <row r="50" spans="1:14" s="5" customFormat="1" ht="32.25" customHeight="1" x14ac:dyDescent="0.35">
      <c r="A50" s="130" t="s">
        <v>43</v>
      </c>
      <c r="B50" s="130"/>
      <c r="C50" s="130" t="s">
        <v>220</v>
      </c>
      <c r="D50" s="129"/>
      <c r="E50" s="129"/>
      <c r="F50" s="55" t="s">
        <v>42</v>
      </c>
      <c r="G50" s="145">
        <v>44558</v>
      </c>
      <c r="H50" s="145"/>
    </row>
    <row r="51" spans="1:14" s="5" customFormat="1" ht="17.25" customHeight="1" x14ac:dyDescent="0.35">
      <c r="A51" s="130"/>
      <c r="B51" s="130"/>
      <c r="C51" s="183" t="s">
        <v>221</v>
      </c>
      <c r="D51" s="184"/>
      <c r="E51" s="184"/>
      <c r="F51" s="184"/>
      <c r="G51" s="184"/>
      <c r="H51" s="185"/>
    </row>
    <row r="52" spans="1:14" x14ac:dyDescent="0.35">
      <c r="A52" s="147" t="s">
        <v>44</v>
      </c>
      <c r="B52" s="147"/>
      <c r="C52" s="148" t="s">
        <v>110</v>
      </c>
      <c r="D52" s="133"/>
      <c r="E52" s="133" t="s">
        <v>45</v>
      </c>
      <c r="F52" s="56" t="s">
        <v>42</v>
      </c>
      <c r="G52" s="182" t="s">
        <v>29</v>
      </c>
      <c r="H52" s="182"/>
    </row>
    <row r="53" spans="1:14" x14ac:dyDescent="0.35">
      <c r="A53" s="150" t="s">
        <v>47</v>
      </c>
      <c r="B53" s="150"/>
      <c r="C53" s="150"/>
      <c r="D53" s="150"/>
      <c r="E53" s="150"/>
      <c r="F53" s="150"/>
      <c r="G53" s="150"/>
      <c r="H53" s="150"/>
    </row>
    <row r="54" spans="1:14" x14ac:dyDescent="0.35">
      <c r="A54" s="123" t="s">
        <v>94</v>
      </c>
      <c r="B54" s="123"/>
      <c r="C54" s="123"/>
      <c r="D54" s="125">
        <f>E43</f>
        <v>3398.37</v>
      </c>
      <c r="E54" s="125"/>
      <c r="F54" s="125"/>
      <c r="G54" s="125"/>
      <c r="H54" s="125"/>
    </row>
    <row r="55" spans="1:14" x14ac:dyDescent="0.35">
      <c r="A55" s="130" t="s">
        <v>48</v>
      </c>
      <c r="B55" s="129"/>
      <c r="C55" s="129"/>
      <c r="D55" s="129" t="s">
        <v>228</v>
      </c>
      <c r="E55" s="129"/>
      <c r="F55" s="129"/>
      <c r="G55" s="129"/>
      <c r="H55" s="129"/>
      <c r="I55" s="34"/>
    </row>
    <row r="56" spans="1:14" ht="16.5" customHeight="1" x14ac:dyDescent="0.35">
      <c r="A56" s="142" t="s">
        <v>49</v>
      </c>
      <c r="B56" s="143"/>
      <c r="C56" s="144"/>
      <c r="D56" s="139" t="s">
        <v>222</v>
      </c>
      <c r="E56" s="140"/>
      <c r="F56" s="140"/>
      <c r="G56" s="140"/>
      <c r="H56" s="141"/>
    </row>
    <row r="57" spans="1:14" ht="15.75" customHeight="1" x14ac:dyDescent="0.35">
      <c r="A57" s="142" t="s">
        <v>92</v>
      </c>
      <c r="B57" s="143"/>
      <c r="C57" s="143"/>
      <c r="D57" s="139" t="s">
        <v>222</v>
      </c>
      <c r="E57" s="140"/>
      <c r="F57" s="140"/>
      <c r="G57" s="140"/>
      <c r="H57" s="141"/>
    </row>
    <row r="58" spans="1:14" ht="15.75" hidden="1" customHeight="1" x14ac:dyDescent="0.35">
      <c r="A58" s="180"/>
      <c r="B58" s="181"/>
      <c r="C58" s="181"/>
      <c r="D58" s="162" t="s">
        <v>180</v>
      </c>
      <c r="E58" s="163"/>
      <c r="F58" s="163"/>
      <c r="G58" s="163"/>
      <c r="H58" s="164"/>
    </row>
    <row r="59" spans="1:14" ht="15.75" customHeight="1" x14ac:dyDescent="0.35">
      <c r="A59" s="135" t="s">
        <v>46</v>
      </c>
      <c r="B59" s="135"/>
      <c r="C59" s="135"/>
      <c r="D59" s="146" t="s">
        <v>181</v>
      </c>
      <c r="E59" s="146"/>
      <c r="F59" s="146"/>
      <c r="G59" s="146"/>
      <c r="H59" s="146"/>
      <c r="J59" s="33"/>
      <c r="K59" s="34"/>
      <c r="N59" s="34"/>
    </row>
    <row r="60" spans="1:14" ht="15.75" customHeight="1" x14ac:dyDescent="0.35">
      <c r="A60" s="125" t="s">
        <v>90</v>
      </c>
      <c r="B60" s="125"/>
      <c r="C60" s="125"/>
      <c r="D60" s="136" t="str">
        <f>(IF(G52="NA","60 Years After Completion",IF(G52&lt;&gt;"NA",""&amp;60-ROUNDDOWN((E3-G52)/360,0)&amp;" Years"," ")))</f>
        <v>60 Years After Completion</v>
      </c>
      <c r="E60" s="136"/>
      <c r="F60" s="136"/>
      <c r="G60" s="136"/>
      <c r="H60" s="136"/>
      <c r="N60" s="34"/>
    </row>
    <row r="61" spans="1:14" ht="15.75" customHeight="1" x14ac:dyDescent="0.35">
      <c r="A61" s="125" t="s">
        <v>91</v>
      </c>
      <c r="B61" s="125"/>
      <c r="C61" s="125"/>
      <c r="D61" s="123" t="s">
        <v>23</v>
      </c>
      <c r="E61" s="123"/>
      <c r="F61" s="123"/>
      <c r="G61" s="123"/>
      <c r="H61" s="123"/>
      <c r="J61" s="12"/>
      <c r="K61" s="12"/>
    </row>
    <row r="62" spans="1:14" ht="30.75" customHeight="1" x14ac:dyDescent="0.35">
      <c r="A62" s="125" t="s">
        <v>78</v>
      </c>
      <c r="B62" s="125"/>
      <c r="C62" s="125"/>
      <c r="D62" s="126" t="s">
        <v>231</v>
      </c>
      <c r="E62" s="123"/>
      <c r="F62" s="123"/>
      <c r="G62" s="123"/>
      <c r="H62" s="123"/>
    </row>
    <row r="63" spans="1:14" x14ac:dyDescent="0.35">
      <c r="A63" s="123" t="s">
        <v>155</v>
      </c>
      <c r="B63" s="123"/>
      <c r="C63" s="123"/>
      <c r="D63" s="123" t="s">
        <v>29</v>
      </c>
      <c r="E63" s="123"/>
      <c r="F63" s="123"/>
      <c r="G63" s="123"/>
      <c r="H63" s="123"/>
      <c r="I63" s="43"/>
      <c r="J63" s="43"/>
      <c r="K63" s="43"/>
      <c r="L63" s="43"/>
      <c r="M63" s="43"/>
      <c r="N63" s="43"/>
    </row>
    <row r="64" spans="1:14" ht="15.75" customHeight="1" x14ac:dyDescent="0.35">
      <c r="A64" s="125" t="s">
        <v>89</v>
      </c>
      <c r="B64" s="125"/>
      <c r="C64" s="125"/>
      <c r="D64" s="126" t="str">
        <f ca="1">(IF(G70&gt;95%,"Nothing",IF(G70&gt;0%,"Cement, Aggregate, Steel, etc",IF(G70=0%,"Work not yet Started"))))</f>
        <v>Cement, Aggregate, Steel, etc</v>
      </c>
      <c r="E64" s="126"/>
      <c r="F64" s="126"/>
      <c r="G64" s="126"/>
      <c r="H64" s="126"/>
      <c r="J64" s="12"/>
    </row>
    <row r="65" spans="1:10" ht="33.75" customHeight="1" thickBot="1" x14ac:dyDescent="0.4">
      <c r="A65" s="123" t="s">
        <v>123</v>
      </c>
      <c r="B65" s="123"/>
      <c r="C65" s="123"/>
      <c r="D65" s="126" t="str">
        <f ca="1">(IF(D64="Nothing","Yes",IF(D64="Cement, Aggregate, Steel, etc","Under Construction",IF(D64="Work not yet Started","Work not yet Started"))))</f>
        <v>Under Construction</v>
      </c>
      <c r="E65" s="126"/>
      <c r="F65" s="126" t="str">
        <f ca="1">(IF(D64="Nothing","Yes",IF(D64="Cement, Aggregate, Steel, etc","Under Construction",IF(D64="Work not yet Started","Work not yet Started"))))</f>
        <v>Under Construction</v>
      </c>
      <c r="G65" s="126"/>
      <c r="H65" s="126"/>
    </row>
    <row r="66" spans="1:10" x14ac:dyDescent="0.35">
      <c r="A66" s="160" t="s">
        <v>147</v>
      </c>
      <c r="B66" s="160"/>
      <c r="C66" s="160" t="s">
        <v>238</v>
      </c>
      <c r="D66" s="160"/>
      <c r="E66" s="160"/>
      <c r="F66" s="160"/>
      <c r="G66" s="160"/>
      <c r="H66" s="160"/>
      <c r="I66" s="36" t="str">
        <f ca="1">(IF(E70&gt;99%,"All work completed. Please provide OC.",IF(E70&gt;89.8%,"Plinth, RCC, Brick, Plaster, Flooring, Painting work Completed. Finishing work is in process.",IF(E70&lt;94%,(IF(C70=0,"Work not yet Started.",IF(D70=25%,"Piling work in process",IF(D70=50%,"Excavation work in process",IF(D70=100%,"Excavation work Completed. ","0")))&amp;(IF(C71=0%,"",IF(C71=J72,"Footing work is process",IF(C71=J73,"Footing work Completed",IF(C71=J74,"1st Basement Completed",IF(C71=J75,"1st &amp; 2nd Basement Completed",IF(C71=J76,"1st to 3rd Basement Completed",IF(C71=J77,"1st to 4th Basement Completed",IF(C71=J78,"Plinth work is process",IF(C71=J79,"Plinth work completed","0")))))))))))&amp;(IF(C72=(D67+F67+H67),", RCC Slab Completed",IF(C72&gt;0,", RCC upto "&amp;C72&amp;" Slab Completed",""))&amp;(IF(C73=H67,", Brickwork Completed",IF(C73&gt;0,", Brickwork upto "&amp;C73&amp;" Floor Completed",""))&amp;(IF(C74=H67,", Internal Plaster Completed",IF(C74&gt;0,", Internal Plaster upto "&amp;C74&amp;" Floor Completed",""))&amp;(IF(C75=H67,", External Plaster Completed",IF(C75&gt;0,", External Plaster upto "&amp;C75&amp;" Floor Completed",""))&amp;(IF(C76=H67,", Flooring Completed",IF(C76&gt;0,", Flooring upto "&amp;C76&amp;" Floor Completed",""))&amp;(IF(C77=H67,", Painting Completed",IF(C77&gt;0,", Painting upto "&amp;C77&amp;" Floor Completed",""))&amp;(IF(C78&gt;0,", Finishing upto "&amp;C78&amp;" Floor Completed","")&amp;(IF(C72&gt;0.5,".",""))))))))))))))</f>
        <v>Excavation work Completed. Plinth work completed, RCC upto 21 Slab Completed, Brickwork upto 16 Floor Completed, Internal Plaster upto 10 Floor Completed, External Plaster upto 3 Floor Completed.</v>
      </c>
      <c r="J66" s="14"/>
    </row>
    <row r="67" spans="1:10" x14ac:dyDescent="0.35">
      <c r="A67" s="45" t="s">
        <v>149</v>
      </c>
      <c r="B67" s="45">
        <v>0</v>
      </c>
      <c r="C67" s="45" t="s">
        <v>75</v>
      </c>
      <c r="D67" s="45">
        <v>1</v>
      </c>
      <c r="E67" s="45" t="s">
        <v>74</v>
      </c>
      <c r="F67" s="45">
        <v>0</v>
      </c>
      <c r="G67" s="45" t="s">
        <v>83</v>
      </c>
      <c r="H67" s="45">
        <f ca="1">--TRIM(RIGHT(SUBSTITUTE(LEFT(C66,_xlfn.AGGREGATE(16,6,FIND({0,1,2,3,4,5,6,7,8,9},C66,ROW(INDIRECT("1:"&amp;LEN(C66)))),1))," ",REPT(" ",LEN(C66))),LEN(C66)))</f>
        <v>21</v>
      </c>
      <c r="I67" s="12"/>
      <c r="J67" s="15"/>
    </row>
    <row r="68" spans="1:10" ht="47.4" customHeight="1" x14ac:dyDescent="0.35">
      <c r="A68" s="159" t="s">
        <v>93</v>
      </c>
      <c r="B68" s="159"/>
      <c r="C68" s="160" t="str">
        <f ca="1">(IF($G$52="NA",I66,"All work Completed. OC Received."))</f>
        <v>Excavation work Completed. Plinth work completed, RCC upto 21 Slab Completed, Brickwork upto 16 Floor Completed, Internal Plaster upto 10 Floor Completed, External Plaster upto 3 Floor Completed.</v>
      </c>
      <c r="D68" s="160"/>
      <c r="E68" s="160"/>
      <c r="F68" s="160"/>
      <c r="G68" s="160"/>
      <c r="H68" s="160"/>
      <c r="I68" s="12" t="s">
        <v>109</v>
      </c>
      <c r="J68" s="15"/>
    </row>
    <row r="69" spans="1:10" ht="15.75" customHeight="1" x14ac:dyDescent="0.35">
      <c r="A69" s="80" t="s">
        <v>50</v>
      </c>
      <c r="B69" s="80"/>
      <c r="C69" s="62" t="s">
        <v>146</v>
      </c>
      <c r="D69" s="62" t="s">
        <v>86</v>
      </c>
      <c r="E69" s="80" t="s">
        <v>88</v>
      </c>
      <c r="F69" s="80"/>
      <c r="G69" s="80" t="s">
        <v>87</v>
      </c>
      <c r="H69" s="80"/>
      <c r="I69" s="32" t="s">
        <v>148</v>
      </c>
      <c r="J69" s="16">
        <f ca="1">H67*25%</f>
        <v>5.25</v>
      </c>
    </row>
    <row r="70" spans="1:10" x14ac:dyDescent="0.35">
      <c r="A70" s="79" t="s">
        <v>135</v>
      </c>
      <c r="B70" s="80"/>
      <c r="C70" s="48">
        <v>21</v>
      </c>
      <c r="D70" s="49">
        <f ca="1">((100/H67)*C70)/100</f>
        <v>1</v>
      </c>
      <c r="E70" s="75">
        <f ca="1">(((C71/H67*10)+(40/(D67+F67+H67)*C72)+(7.5/(H67)*C73)+(7.5/(H67)*C74)+(10/H67*C75)+(10/H67*C76)+(5/H67*C77)+(5/H67*C78)+(5/H67*C79))/100)</f>
        <v>0.58896103896103891</v>
      </c>
      <c r="F70" s="75"/>
      <c r="G70" s="75">
        <f ca="1">((((C70/H67)*20)+((C71/H67)*25)+(30/(H67+F67+D67)*C72)+(5/H67*C73)+(5/H67*C74)+(5/H67*C75)+(5/H67*C76)+(0/H67*C77)+(0/H67*C78)+(5/H67*C79))/100)</f>
        <v>0.80541125541125524</v>
      </c>
      <c r="H70" s="76"/>
      <c r="I70" s="32" t="s">
        <v>104</v>
      </c>
      <c r="J70" s="35">
        <f ca="1">H67*50%</f>
        <v>10.5</v>
      </c>
    </row>
    <row r="71" spans="1:10" x14ac:dyDescent="0.35">
      <c r="A71" s="79" t="s">
        <v>51</v>
      </c>
      <c r="B71" s="80"/>
      <c r="C71" s="50">
        <v>21</v>
      </c>
      <c r="D71" s="49">
        <f ca="1">((100/H67)*C71)/100</f>
        <v>1</v>
      </c>
      <c r="E71" s="75"/>
      <c r="F71" s="75"/>
      <c r="G71" s="75"/>
      <c r="H71" s="76"/>
      <c r="I71" s="32" t="s">
        <v>105</v>
      </c>
      <c r="J71" s="35">
        <f ca="1">H67</f>
        <v>21</v>
      </c>
    </row>
    <row r="72" spans="1:10" ht="15.75" customHeight="1" x14ac:dyDescent="0.35">
      <c r="A72" s="79" t="s">
        <v>136</v>
      </c>
      <c r="B72" s="80"/>
      <c r="C72" s="50">
        <v>21</v>
      </c>
      <c r="D72" s="49">
        <f ca="1">((100/(D67+F67+H67))*C72)/100</f>
        <v>0.9545454545454547</v>
      </c>
      <c r="E72" s="75"/>
      <c r="F72" s="75"/>
      <c r="G72" s="75"/>
      <c r="H72" s="76"/>
      <c r="I72" s="32" t="s">
        <v>106</v>
      </c>
      <c r="J72" s="38">
        <f ca="1">(IF(B67&gt;1,(H67/(B67+2)),H67/4))</f>
        <v>5.25</v>
      </c>
    </row>
    <row r="73" spans="1:10" ht="15.75" customHeight="1" x14ac:dyDescent="0.35">
      <c r="A73" s="79" t="s">
        <v>143</v>
      </c>
      <c r="B73" s="80" t="s">
        <v>137</v>
      </c>
      <c r="C73" s="48">
        <v>16</v>
      </c>
      <c r="D73" s="49">
        <f ca="1">((100/H67)*C73)/100</f>
        <v>0.76190476190476186</v>
      </c>
      <c r="E73" s="75"/>
      <c r="F73" s="75"/>
      <c r="G73" s="75"/>
      <c r="H73" s="76"/>
      <c r="I73" s="32" t="s">
        <v>107</v>
      </c>
      <c r="J73" s="38">
        <f ca="1">(IF(B67&gt;1,(H67/(B67+2)+J72),H67/4+J72))</f>
        <v>10.5</v>
      </c>
    </row>
    <row r="74" spans="1:10" ht="15.75" customHeight="1" x14ac:dyDescent="0.35">
      <c r="A74" s="79" t="s">
        <v>144</v>
      </c>
      <c r="B74" s="80" t="s">
        <v>137</v>
      </c>
      <c r="C74" s="48">
        <v>10</v>
      </c>
      <c r="D74" s="49">
        <f ca="1">((100/H67)*C74)/100</f>
        <v>0.47619047619047622</v>
      </c>
      <c r="E74" s="75"/>
      <c r="F74" s="75"/>
      <c r="G74" s="75"/>
      <c r="H74" s="76"/>
      <c r="I74" s="32" t="s">
        <v>153</v>
      </c>
      <c r="J74" s="38">
        <f>(IF(B67&gt;1,(H67/(B67+2)+J73),0))</f>
        <v>0</v>
      </c>
    </row>
    <row r="75" spans="1:10" ht="15" customHeight="1" x14ac:dyDescent="0.35">
      <c r="A75" s="79" t="s">
        <v>142</v>
      </c>
      <c r="B75" s="80" t="s">
        <v>139</v>
      </c>
      <c r="C75" s="48">
        <v>3</v>
      </c>
      <c r="D75" s="49">
        <f ca="1">((100/(H67))*C75)/100</f>
        <v>0.14285714285714285</v>
      </c>
      <c r="E75" s="75"/>
      <c r="F75" s="75"/>
      <c r="G75" s="75"/>
      <c r="H75" s="76"/>
      <c r="I75" s="32" t="s">
        <v>150</v>
      </c>
      <c r="J75" s="38">
        <f>(IF(B67&gt;2,(H67/(B67+2)+J74),0))</f>
        <v>0</v>
      </c>
    </row>
    <row r="76" spans="1:10" ht="15.75" customHeight="1" x14ac:dyDescent="0.35">
      <c r="A76" s="79" t="s">
        <v>138</v>
      </c>
      <c r="B76" s="80" t="s">
        <v>138</v>
      </c>
      <c r="C76" s="48">
        <v>0</v>
      </c>
      <c r="D76" s="49">
        <f ca="1">((100/H67)*C76)/100</f>
        <v>0</v>
      </c>
      <c r="E76" s="75"/>
      <c r="F76" s="75"/>
      <c r="G76" s="75"/>
      <c r="H76" s="76"/>
      <c r="I76" s="32" t="s">
        <v>151</v>
      </c>
      <c r="J76" s="39">
        <f>(IF(B67&gt;3,(H67/(B67+2)+J75),0))</f>
        <v>0</v>
      </c>
    </row>
    <row r="77" spans="1:10" ht="15.75" customHeight="1" x14ac:dyDescent="0.35">
      <c r="A77" s="79" t="s">
        <v>145</v>
      </c>
      <c r="B77" s="80"/>
      <c r="C77" s="48">
        <v>0</v>
      </c>
      <c r="D77" s="49">
        <f ca="1">((100/H67)*C77)/100</f>
        <v>0</v>
      </c>
      <c r="E77" s="75"/>
      <c r="F77" s="75"/>
      <c r="G77" s="75"/>
      <c r="H77" s="76"/>
      <c r="I77" s="32" t="s">
        <v>152</v>
      </c>
      <c r="J77" s="38">
        <f>(IF(B67&gt;4,(H67/(B67+2)+J76),0))</f>
        <v>0</v>
      </c>
    </row>
    <row r="78" spans="1:10" ht="15.75" customHeight="1" x14ac:dyDescent="0.35">
      <c r="A78" s="79" t="s">
        <v>140</v>
      </c>
      <c r="B78" s="80" t="s">
        <v>140</v>
      </c>
      <c r="C78" s="48">
        <v>0</v>
      </c>
      <c r="D78" s="49">
        <f ca="1">((100/(H67))*C78)/100</f>
        <v>0</v>
      </c>
      <c r="E78" s="75"/>
      <c r="F78" s="75"/>
      <c r="G78" s="75"/>
      <c r="H78" s="76"/>
      <c r="I78" s="32" t="s">
        <v>154</v>
      </c>
      <c r="J78" s="38">
        <f ca="1">(IF(B67=1,(H67/(B67+3)+J73),IF(B67=0,(H67/4+J73),IF(B67&gt;1,0))))</f>
        <v>15.75</v>
      </c>
    </row>
    <row r="79" spans="1:10" ht="16" thickBot="1" x14ac:dyDescent="0.4">
      <c r="A79" s="119" t="s">
        <v>141</v>
      </c>
      <c r="B79" s="120"/>
      <c r="C79" s="51">
        <v>0</v>
      </c>
      <c r="D79" s="52">
        <f ca="1">((100/(H67))*C79)/100</f>
        <v>0</v>
      </c>
      <c r="E79" s="77"/>
      <c r="F79" s="77"/>
      <c r="G79" s="77"/>
      <c r="H79" s="78"/>
      <c r="I79" s="37" t="s">
        <v>108</v>
      </c>
      <c r="J79" s="40">
        <f ca="1">(IF(B67&gt;1.5,(H67/(B67+2)+J73+MAX(0,J74-J73)+MAX(0,J75-J74)+MAX(0,J76-J75)+MAX(0,J77-J76)+MAX(0,J78-J77)),IF(B67=1,(H67/(B67+3)+J78),IF(B67=0,H67/4+J78))))</f>
        <v>21</v>
      </c>
    </row>
    <row r="80" spans="1:10" ht="15.75" customHeight="1" x14ac:dyDescent="0.35">
      <c r="A80" s="175" t="s">
        <v>147</v>
      </c>
      <c r="B80" s="176"/>
      <c r="C80" s="177" t="s">
        <v>223</v>
      </c>
      <c r="D80" s="178"/>
      <c r="E80" s="178"/>
      <c r="F80" s="178"/>
      <c r="G80" s="178"/>
      <c r="H80" s="179"/>
      <c r="I80" s="36" t="str">
        <f ca="1">(IF(E84&gt;99%,"All work completed. Please provide OC.",IF(E84&gt;89.8%,"Plinth, RCC, Brick, Plaster, Flooring, Painting work Completed. Finishing work is in process.",IF(E84&lt;94%,(IF(C84=0,"Work not yet Started.",IF(D84=25%,"Piling work in process",IF(D84=50%,"Excavation work in process",IF(D84=100%,"Excavation work Completed. ","0")))&amp;(IF(C85=0%,"",IF(C85=J86,"Footing work is process",IF(C85=J87,"Footing work Completed",IF(C85=J88,"1st Basement Completed",IF(C85=J89,"1st &amp; 2nd Basement Completed",IF(C85=J90,"1st to 3rd Basement Completed",IF(C85=J91,"1st to 4th Basement Completed",IF(C85=J92,"Plinth work is process",IF(C85=J93,"Plinth work completed","0")))))))))))&amp;(IF(C86=(D81+F81+H81),", RCC Slab Completed",IF(C86&gt;0,", RCC upto "&amp;C86&amp;" Slab Completed",""))&amp;(IF(C87=H81,", Brickwork Completed",IF(C87&gt;0,", Brickwork upto "&amp;C87&amp;" Floor Completed",""))&amp;(IF(C88=H81,", Internal Plaster Completed",IF(C88&gt;0,", Internal Plaster upto "&amp;C88&amp;" Floor Completed",""))&amp;(IF(C89=H81,", External Plaster Completed",IF(C89&gt;0,", External Plaster upto "&amp;C89&amp;" Floor Completed",""))&amp;(IF(C90=H81,", Flooring Completed",IF(C90&gt;0,", Flooring upto "&amp;C90&amp;" Floor Completed",""))&amp;(IF(C91=H81,", Painting Completed",IF(C91&gt;0,", Painting upto "&amp;C91&amp;" Floor Completed",""))&amp;(IF(C92&gt;0,", Finishing upto "&amp;C92&amp;" Floor Completed","")&amp;(IF(C86&gt;0.5,".",""))))))))))))))</f>
        <v>Excavation work Completed. Plinth work completed, RCC upto 21 Slab Completed, Brickwork upto 18 Floor Completed, Internal Plaster upto 14 Floor Completed, External Plaster upto 5 Floor Completed.</v>
      </c>
      <c r="J80" s="14"/>
    </row>
    <row r="81" spans="1:13" x14ac:dyDescent="0.35">
      <c r="A81" s="41" t="s">
        <v>149</v>
      </c>
      <c r="B81" s="45">
        <v>0</v>
      </c>
      <c r="C81" s="45" t="s">
        <v>75</v>
      </c>
      <c r="D81" s="45">
        <v>1</v>
      </c>
      <c r="E81" s="45" t="s">
        <v>74</v>
      </c>
      <c r="F81" s="45">
        <v>0</v>
      </c>
      <c r="G81" s="45" t="s">
        <v>83</v>
      </c>
      <c r="H81" s="42">
        <f ca="1">--TRIM(RIGHT(SUBSTITUTE(LEFT(C80,_xlfn.AGGREGATE(16,6,FIND({0,1,2,3,4,5,6,7,8,9},C80,ROW(INDIRECT("1:"&amp;LEN(C80)))),1))," ",REPT(" ",LEN(C80))),LEN(C80)))</f>
        <v>21</v>
      </c>
      <c r="I81" s="12"/>
      <c r="J81" s="15"/>
    </row>
    <row r="82" spans="1:13" ht="48" customHeight="1" x14ac:dyDescent="0.35">
      <c r="A82" s="158" t="s">
        <v>93</v>
      </c>
      <c r="B82" s="159"/>
      <c r="C82" s="160" t="str">
        <f ca="1">(IF($G$52="NA",I80,"All work Completed. OC Received."))</f>
        <v>Excavation work Completed. Plinth work completed, RCC upto 21 Slab Completed, Brickwork upto 18 Floor Completed, Internal Plaster upto 14 Floor Completed, External Plaster upto 5 Floor Completed.</v>
      </c>
      <c r="D82" s="160"/>
      <c r="E82" s="160"/>
      <c r="F82" s="160"/>
      <c r="G82" s="160"/>
      <c r="H82" s="161"/>
      <c r="I82" s="12" t="s">
        <v>109</v>
      </c>
      <c r="J82" s="15"/>
    </row>
    <row r="83" spans="1:13" ht="15.75" customHeight="1" x14ac:dyDescent="0.35">
      <c r="A83" s="79" t="s">
        <v>50</v>
      </c>
      <c r="B83" s="80"/>
      <c r="C83" s="47" t="s">
        <v>146</v>
      </c>
      <c r="D83" s="47" t="s">
        <v>86</v>
      </c>
      <c r="E83" s="80" t="s">
        <v>88</v>
      </c>
      <c r="F83" s="80"/>
      <c r="G83" s="80" t="s">
        <v>87</v>
      </c>
      <c r="H83" s="154"/>
      <c r="I83" s="32" t="s">
        <v>148</v>
      </c>
      <c r="J83" s="16">
        <f ca="1">H81*25%</f>
        <v>5.25</v>
      </c>
    </row>
    <row r="84" spans="1:13" x14ac:dyDescent="0.35">
      <c r="A84" s="79" t="s">
        <v>135</v>
      </c>
      <c r="B84" s="80"/>
      <c r="C84" s="48">
        <f ca="1">J85</f>
        <v>21</v>
      </c>
      <c r="D84" s="49">
        <f ca="1">((100/H81)*C84)/100</f>
        <v>1</v>
      </c>
      <c r="E84" s="75">
        <f ca="1">(((C85/H81*10)+(40/(D81+F81+H81)*C86)+(7.5/(H81)*C87)+(7.5/(H81)*C88)+(10/H81*C89)+(10/H81*C90)+(5/H81*C91)+(5/H81*C92)+(5/H81*C93))/100)</f>
        <v>0.61991341991341986</v>
      </c>
      <c r="F84" s="75"/>
      <c r="G84" s="75">
        <f ca="1">((((C84/H81)*20)+((C85/H81)*25)+(30/(H81+F81+D81)*C86)+(5/H81*C87)+(5/H81*C88)+(5/H81*C89)+(5/H81*C90)+(0/H81*C91)+(0/H81*C92)+(5/H81*C93))/100)</f>
        <v>0.82445887445887434</v>
      </c>
      <c r="H84" s="76"/>
      <c r="I84" s="32" t="s">
        <v>104</v>
      </c>
      <c r="J84" s="35">
        <f ca="1">H81*50%</f>
        <v>10.5</v>
      </c>
    </row>
    <row r="85" spans="1:13" x14ac:dyDescent="0.35">
      <c r="A85" s="79" t="s">
        <v>51</v>
      </c>
      <c r="B85" s="80"/>
      <c r="C85" s="50">
        <v>21</v>
      </c>
      <c r="D85" s="49">
        <f ca="1">((100/H81)*C85)/100</f>
        <v>1</v>
      </c>
      <c r="E85" s="75"/>
      <c r="F85" s="75"/>
      <c r="G85" s="75"/>
      <c r="H85" s="76"/>
      <c r="I85" s="32" t="s">
        <v>105</v>
      </c>
      <c r="J85" s="35">
        <f ca="1">H81</f>
        <v>21</v>
      </c>
    </row>
    <row r="86" spans="1:13" ht="15.75" customHeight="1" x14ac:dyDescent="0.35">
      <c r="A86" s="79" t="s">
        <v>136</v>
      </c>
      <c r="B86" s="80"/>
      <c r="C86" s="50">
        <v>21</v>
      </c>
      <c r="D86" s="49">
        <f ca="1">((100/(D81+F81+H81))*C86)/100</f>
        <v>0.9545454545454547</v>
      </c>
      <c r="E86" s="75"/>
      <c r="F86" s="75"/>
      <c r="G86" s="75"/>
      <c r="H86" s="76"/>
      <c r="I86" s="32" t="s">
        <v>106</v>
      </c>
      <c r="J86" s="38">
        <f ca="1">(IF(B81&gt;1,(H81/(B81+2)),H81/4))</f>
        <v>5.25</v>
      </c>
    </row>
    <row r="87" spans="1:13" ht="15.75" customHeight="1" x14ac:dyDescent="0.35">
      <c r="A87" s="79" t="s">
        <v>143</v>
      </c>
      <c r="B87" s="80" t="s">
        <v>137</v>
      </c>
      <c r="C87" s="48">
        <v>18</v>
      </c>
      <c r="D87" s="49">
        <f ca="1">((100/H81)*C87)/100</f>
        <v>0.8571428571428571</v>
      </c>
      <c r="E87" s="75"/>
      <c r="F87" s="75"/>
      <c r="G87" s="75"/>
      <c r="H87" s="76"/>
      <c r="I87" s="32" t="s">
        <v>107</v>
      </c>
      <c r="J87" s="38">
        <f ca="1">(IF(B81&gt;1,(H81/(B81+2)+J86),H81/4+J86))</f>
        <v>10.5</v>
      </c>
    </row>
    <row r="88" spans="1:13" ht="15.75" customHeight="1" x14ac:dyDescent="0.35">
      <c r="A88" s="79" t="s">
        <v>144</v>
      </c>
      <c r="B88" s="80" t="s">
        <v>137</v>
      </c>
      <c r="C88" s="48">
        <v>14</v>
      </c>
      <c r="D88" s="49">
        <f ca="1">((100/H81)*C88)/100</f>
        <v>0.66666666666666674</v>
      </c>
      <c r="E88" s="75"/>
      <c r="F88" s="75"/>
      <c r="G88" s="75"/>
      <c r="H88" s="76"/>
      <c r="I88" s="32" t="s">
        <v>153</v>
      </c>
      <c r="J88" s="38">
        <f>(IF(B81&gt;1,(H81/(B81+2)+J87),0))</f>
        <v>0</v>
      </c>
    </row>
    <row r="89" spans="1:13" ht="15" customHeight="1" x14ac:dyDescent="0.35">
      <c r="A89" s="79" t="s">
        <v>142</v>
      </c>
      <c r="B89" s="80" t="s">
        <v>139</v>
      </c>
      <c r="C89" s="48">
        <v>5</v>
      </c>
      <c r="D89" s="49">
        <f ca="1">((100/(H81))*C89)/100</f>
        <v>0.23809523809523811</v>
      </c>
      <c r="E89" s="75"/>
      <c r="F89" s="75"/>
      <c r="G89" s="75"/>
      <c r="H89" s="76"/>
      <c r="I89" s="32" t="s">
        <v>150</v>
      </c>
      <c r="J89" s="38">
        <f>(IF(B81&gt;2,(H81/(B81+2)+J88),0))</f>
        <v>0</v>
      </c>
    </row>
    <row r="90" spans="1:13" ht="15.75" customHeight="1" x14ac:dyDescent="0.35">
      <c r="A90" s="79" t="s">
        <v>138</v>
      </c>
      <c r="B90" s="80" t="s">
        <v>138</v>
      </c>
      <c r="C90" s="48">
        <v>0</v>
      </c>
      <c r="D90" s="49">
        <f ca="1">((100/H81)*C90)/100</f>
        <v>0</v>
      </c>
      <c r="E90" s="75"/>
      <c r="F90" s="75"/>
      <c r="G90" s="75"/>
      <c r="H90" s="76"/>
      <c r="I90" s="32" t="s">
        <v>151</v>
      </c>
      <c r="J90" s="39">
        <f>(IF(B81&gt;3,(H81/(B81+2)+J89),0))</f>
        <v>0</v>
      </c>
    </row>
    <row r="91" spans="1:13" ht="15.75" customHeight="1" x14ac:dyDescent="0.35">
      <c r="A91" s="79" t="s">
        <v>145</v>
      </c>
      <c r="B91" s="80"/>
      <c r="C91" s="48">
        <v>0</v>
      </c>
      <c r="D91" s="49">
        <f ca="1">((100/H81)*C91)/100</f>
        <v>0</v>
      </c>
      <c r="E91" s="75"/>
      <c r="F91" s="75"/>
      <c r="G91" s="75"/>
      <c r="H91" s="76"/>
      <c r="I91" s="32" t="s">
        <v>152</v>
      </c>
      <c r="J91" s="38">
        <f>(IF(B81&gt;4,(H81/(B81+2)+J90),0))</f>
        <v>0</v>
      </c>
    </row>
    <row r="92" spans="1:13" ht="15.75" customHeight="1" x14ac:dyDescent="0.35">
      <c r="A92" s="79" t="s">
        <v>140</v>
      </c>
      <c r="B92" s="80" t="s">
        <v>140</v>
      </c>
      <c r="C92" s="48">
        <v>0</v>
      </c>
      <c r="D92" s="49">
        <f ca="1">((100/(H81))*C92)/100</f>
        <v>0</v>
      </c>
      <c r="E92" s="75"/>
      <c r="F92" s="75"/>
      <c r="G92" s="75"/>
      <c r="H92" s="76"/>
      <c r="I92" s="32" t="s">
        <v>154</v>
      </c>
      <c r="J92" s="38">
        <f ca="1">(IF(B81=1,(H81/(B81+3)+J87),IF(B81=0,(H81/4+J87),IF(B81&gt;1,0))))</f>
        <v>15.75</v>
      </c>
    </row>
    <row r="93" spans="1:13" ht="16" thickBot="1" x14ac:dyDescent="0.4">
      <c r="A93" s="119" t="s">
        <v>141</v>
      </c>
      <c r="B93" s="120"/>
      <c r="C93" s="51">
        <v>0</v>
      </c>
      <c r="D93" s="52">
        <f ca="1">((100/(H81))*C93)/100</f>
        <v>0</v>
      </c>
      <c r="E93" s="77"/>
      <c r="F93" s="77"/>
      <c r="G93" s="77"/>
      <c r="H93" s="78"/>
      <c r="I93" s="37" t="s">
        <v>108</v>
      </c>
      <c r="J93" s="40">
        <f ca="1">(IF(B81&gt;1.5,(H81/(B81+2)+J87+MAX(0,J88-J87)+MAX(0,J89-J88)+MAX(0,J90-J89)+MAX(0,J91-J90)+MAX(0,J92-J91)),IF(B81=1,(H81/(B81+3)+J92),IF(B81=0,H81/4+J92))))</f>
        <v>21</v>
      </c>
    </row>
    <row r="94" spans="1:13" x14ac:dyDescent="0.35">
      <c r="A94" s="105" t="s">
        <v>52</v>
      </c>
      <c r="B94" s="105"/>
      <c r="C94" s="105"/>
      <c r="D94" s="105"/>
      <c r="E94" s="105"/>
      <c r="F94" s="105"/>
      <c r="G94" s="105"/>
      <c r="H94" s="105"/>
    </row>
    <row r="95" spans="1:13" x14ac:dyDescent="0.35">
      <c r="A95" s="64" t="s">
        <v>161</v>
      </c>
      <c r="B95" s="64"/>
      <c r="C95" s="64"/>
      <c r="D95" s="64"/>
      <c r="E95" s="64"/>
      <c r="F95" s="81">
        <v>7300</v>
      </c>
      <c r="G95" s="81"/>
      <c r="H95" s="81"/>
      <c r="I95" s="58"/>
      <c r="J95" s="58"/>
      <c r="K95" s="58"/>
      <c r="L95" s="59"/>
      <c r="M95" s="58"/>
    </row>
    <row r="96" spans="1:13" x14ac:dyDescent="0.35">
      <c r="A96" s="64" t="s">
        <v>162</v>
      </c>
      <c r="B96" s="64"/>
      <c r="C96" s="64"/>
      <c r="D96" s="64"/>
      <c r="E96" s="64"/>
      <c r="F96" s="81">
        <v>14000</v>
      </c>
      <c r="G96" s="81"/>
      <c r="H96" s="81"/>
      <c r="I96" s="60"/>
      <c r="J96" s="60"/>
      <c r="K96" s="60"/>
      <c r="L96" s="61"/>
    </row>
    <row r="97" spans="1:8" x14ac:dyDescent="0.35">
      <c r="A97" s="64" t="s">
        <v>163</v>
      </c>
      <c r="B97" s="64"/>
      <c r="C97" s="64"/>
      <c r="D97" s="64"/>
      <c r="E97" s="64"/>
      <c r="F97" s="81">
        <v>10000</v>
      </c>
      <c r="G97" s="81"/>
      <c r="H97" s="81"/>
    </row>
    <row r="98" spans="1:8" s="7" customFormat="1" hidden="1" x14ac:dyDescent="0.3">
      <c r="A98" s="64" t="s">
        <v>98</v>
      </c>
      <c r="B98" s="64"/>
      <c r="C98" s="64"/>
      <c r="D98" s="64"/>
      <c r="E98" s="64"/>
      <c r="F98" s="121" t="s">
        <v>217</v>
      </c>
      <c r="G98" s="121"/>
      <c r="H98" s="121"/>
    </row>
    <row r="99" spans="1:8" s="7" customFormat="1" hidden="1" x14ac:dyDescent="0.3">
      <c r="A99" s="64" t="s">
        <v>99</v>
      </c>
      <c r="B99" s="64"/>
      <c r="C99" s="64"/>
      <c r="D99" s="64"/>
      <c r="E99" s="64"/>
      <c r="F99" s="81"/>
      <c r="G99" s="81"/>
      <c r="H99" s="81"/>
    </row>
    <row r="100" spans="1:8" s="7" customFormat="1" hidden="1" x14ac:dyDescent="0.3">
      <c r="A100" s="64" t="s">
        <v>100</v>
      </c>
      <c r="B100" s="64"/>
      <c r="C100" s="64"/>
      <c r="D100" s="64"/>
      <c r="E100" s="64"/>
      <c r="F100" s="81"/>
      <c r="G100" s="81"/>
      <c r="H100" s="81"/>
    </row>
    <row r="101" spans="1:8" s="7" customFormat="1" hidden="1" x14ac:dyDescent="0.3">
      <c r="A101" s="64" t="s">
        <v>101</v>
      </c>
      <c r="B101" s="64"/>
      <c r="C101" s="64"/>
      <c r="D101" s="64"/>
      <c r="E101" s="64"/>
      <c r="F101" s="81"/>
      <c r="G101" s="81"/>
      <c r="H101" s="81"/>
    </row>
    <row r="102" spans="1:8" s="7" customFormat="1" hidden="1" x14ac:dyDescent="0.3">
      <c r="A102" s="64" t="s">
        <v>102</v>
      </c>
      <c r="B102" s="64"/>
      <c r="C102" s="64"/>
      <c r="D102" s="64"/>
      <c r="E102" s="64"/>
      <c r="F102" s="81"/>
      <c r="G102" s="81"/>
      <c r="H102" s="81"/>
    </row>
    <row r="103" spans="1:8" s="7" customFormat="1" hidden="1" x14ac:dyDescent="0.3">
      <c r="A103" s="64" t="s">
        <v>103</v>
      </c>
      <c r="B103" s="64"/>
      <c r="C103" s="64"/>
      <c r="D103" s="64"/>
      <c r="E103" s="64"/>
      <c r="F103" s="81"/>
      <c r="G103" s="81"/>
      <c r="H103" s="81"/>
    </row>
    <row r="104" spans="1:8" s="7" customFormat="1" x14ac:dyDescent="0.3">
      <c r="A104" s="64" t="s">
        <v>202</v>
      </c>
      <c r="B104" s="64"/>
      <c r="C104" s="64"/>
      <c r="D104" s="64"/>
      <c r="E104" s="64"/>
      <c r="F104" s="81">
        <v>190000</v>
      </c>
      <c r="G104" s="81"/>
      <c r="H104" s="81"/>
    </row>
    <row r="105" spans="1:8" s="7" customFormat="1" x14ac:dyDescent="0.3">
      <c r="A105" s="64" t="s">
        <v>201</v>
      </c>
      <c r="B105" s="64"/>
      <c r="C105" s="64"/>
      <c r="D105" s="64"/>
      <c r="E105" s="64"/>
      <c r="F105" s="81">
        <v>120000</v>
      </c>
      <c r="G105" s="81"/>
      <c r="H105" s="81"/>
    </row>
    <row r="106" spans="1:8" x14ac:dyDescent="0.35">
      <c r="A106" s="64" t="s">
        <v>53</v>
      </c>
      <c r="B106" s="64"/>
      <c r="C106" s="64"/>
      <c r="D106" s="64"/>
      <c r="E106" s="64"/>
      <c r="F106" s="81">
        <v>300000</v>
      </c>
      <c r="G106" s="81"/>
      <c r="H106" s="81"/>
    </row>
    <row r="107" spans="1:8" s="4" customFormat="1" x14ac:dyDescent="0.35">
      <c r="A107" s="105" t="s">
        <v>54</v>
      </c>
      <c r="B107" s="105"/>
      <c r="C107" s="105"/>
      <c r="D107" s="105"/>
      <c r="E107" s="105"/>
      <c r="F107" s="81">
        <f>F95*0.8</f>
        <v>5840</v>
      </c>
      <c r="G107" s="81"/>
      <c r="H107" s="81"/>
    </row>
    <row r="108" spans="1:8" s="1" customFormat="1" ht="15.75" customHeight="1" x14ac:dyDescent="0.35">
      <c r="A108" s="103" t="s">
        <v>191</v>
      </c>
      <c r="B108" s="103"/>
      <c r="C108" s="103"/>
      <c r="D108" s="103"/>
      <c r="E108" s="103"/>
      <c r="F108" s="103"/>
      <c r="G108" s="103"/>
      <c r="H108" s="103"/>
    </row>
    <row r="109" spans="1:8" s="1" customFormat="1" ht="15.75" customHeight="1" x14ac:dyDescent="0.35">
      <c r="A109" s="88" t="s">
        <v>55</v>
      </c>
      <c r="B109" s="88"/>
      <c r="C109" s="104" t="s">
        <v>81</v>
      </c>
      <c r="D109" s="104"/>
      <c r="E109" s="87" t="s">
        <v>56</v>
      </c>
      <c r="F109" s="87"/>
      <c r="G109" s="88" t="s">
        <v>57</v>
      </c>
      <c r="H109" s="88"/>
    </row>
    <row r="110" spans="1:8" s="1" customFormat="1" ht="33.75" customHeight="1" x14ac:dyDescent="0.35">
      <c r="A110" s="89" t="s">
        <v>227</v>
      </c>
      <c r="B110" s="89"/>
      <c r="C110" s="90">
        <f>COUNT(D125:D140)</f>
        <v>16</v>
      </c>
      <c r="D110" s="90"/>
      <c r="E110" s="102">
        <f>SUM(D125:D140)</f>
        <v>4287.301199999999</v>
      </c>
      <c r="F110" s="102"/>
      <c r="G110" s="102">
        <f>SUM(F125:F140)</f>
        <v>6645.3168599999999</v>
      </c>
      <c r="H110" s="102"/>
    </row>
    <row r="111" spans="1:8" s="1" customFormat="1" ht="15.75" customHeight="1" x14ac:dyDescent="0.35">
      <c r="A111" s="103" t="s">
        <v>190</v>
      </c>
      <c r="B111" s="103"/>
      <c r="C111" s="103"/>
      <c r="D111" s="103"/>
      <c r="E111" s="103"/>
      <c r="F111" s="103"/>
      <c r="G111" s="103"/>
      <c r="H111" s="103"/>
    </row>
    <row r="112" spans="1:8" s="1" customFormat="1" ht="15.75" customHeight="1" x14ac:dyDescent="0.35">
      <c r="A112" s="88" t="s">
        <v>55</v>
      </c>
      <c r="B112" s="88"/>
      <c r="C112" s="104" t="s">
        <v>81</v>
      </c>
      <c r="D112" s="104"/>
      <c r="E112" s="87" t="s">
        <v>56</v>
      </c>
      <c r="F112" s="87"/>
      <c r="G112" s="88" t="s">
        <v>57</v>
      </c>
      <c r="H112" s="88"/>
    </row>
    <row r="113" spans="1:14" s="1" customFormat="1" ht="32.25" customHeight="1" x14ac:dyDescent="0.35">
      <c r="A113" s="89" t="s">
        <v>227</v>
      </c>
      <c r="B113" s="89"/>
      <c r="C113" s="90">
        <f>COUNT(D142:D167)*2</f>
        <v>52</v>
      </c>
      <c r="D113" s="90"/>
      <c r="E113" s="102">
        <f>SUM(D142:D167)*2</f>
        <v>9819.1360800000002</v>
      </c>
      <c r="F113" s="102"/>
      <c r="G113" s="102">
        <f>SUM(F142:F167)*2</f>
        <v>15219.660924000002</v>
      </c>
      <c r="H113" s="102"/>
    </row>
    <row r="114" spans="1:14" s="1" customFormat="1" x14ac:dyDescent="0.35">
      <c r="A114" s="103" t="s">
        <v>73</v>
      </c>
      <c r="B114" s="103"/>
      <c r="C114" s="103"/>
      <c r="D114" s="103"/>
      <c r="E114" s="103"/>
      <c r="F114" s="103"/>
      <c r="G114" s="103"/>
      <c r="H114" s="103"/>
    </row>
    <row r="115" spans="1:14" s="1" customFormat="1" ht="15.75" customHeight="1" x14ac:dyDescent="0.35">
      <c r="A115" s="88" t="s">
        <v>55</v>
      </c>
      <c r="B115" s="88"/>
      <c r="C115" s="104" t="s">
        <v>81</v>
      </c>
      <c r="D115" s="104"/>
      <c r="E115" s="87" t="s">
        <v>56</v>
      </c>
      <c r="F115" s="87"/>
      <c r="G115" s="88" t="s">
        <v>57</v>
      </c>
      <c r="H115" s="88"/>
    </row>
    <row r="116" spans="1:14" s="1" customFormat="1" ht="33.75" customHeight="1" x14ac:dyDescent="0.35">
      <c r="A116" s="89" t="s">
        <v>227</v>
      </c>
      <c r="B116" s="89"/>
      <c r="C116" s="92">
        <f>COUNT(D173:D181)+COUNT(D183:D191)*16</f>
        <v>153</v>
      </c>
      <c r="D116" s="93"/>
      <c r="E116" s="94">
        <f>SUM(D173:D181)+SUM(D183:D191)*16</f>
        <v>74290.62536999998</v>
      </c>
      <c r="F116" s="95"/>
      <c r="G116" s="94">
        <f>SUM(F173:F181)+SUM(F183:F191)*16</f>
        <v>111949.86523499996</v>
      </c>
      <c r="H116" s="95"/>
    </row>
    <row r="117" spans="1:14" s="1" customFormat="1" hidden="1" x14ac:dyDescent="0.35">
      <c r="A117" s="89" t="s">
        <v>192</v>
      </c>
      <c r="B117" s="89"/>
      <c r="C117" s="90">
        <f>COUNT(D200:D212)*10+COUNT(D214:D223,D226)</f>
        <v>141</v>
      </c>
      <c r="D117" s="90"/>
      <c r="E117" s="91">
        <f>SUM(D200:D212)*10+SUM(D214:D223,D226)</f>
        <v>31049.726759999998</v>
      </c>
      <c r="F117" s="91"/>
      <c r="G117" s="91">
        <f>SUM(F200:F212)*10+SUM(F214:F223,F226)</f>
        <v>46574.59014</v>
      </c>
      <c r="H117" s="91"/>
    </row>
    <row r="118" spans="1:14" s="1" customFormat="1" hidden="1" x14ac:dyDescent="0.35">
      <c r="A118" s="103" t="s">
        <v>157</v>
      </c>
      <c r="B118" s="103"/>
      <c r="C118" s="104">
        <f>SUM(C116:D117)</f>
        <v>294</v>
      </c>
      <c r="D118" s="104"/>
      <c r="E118" s="86">
        <f>SUM(E116:F117)</f>
        <v>105340.35212999998</v>
      </c>
      <c r="F118" s="87"/>
      <c r="G118" s="88">
        <f>SUM(G116:H117)</f>
        <v>158524.45537499996</v>
      </c>
      <c r="H118" s="88"/>
    </row>
    <row r="119" spans="1:14" s="4" customFormat="1" x14ac:dyDescent="0.35">
      <c r="A119" s="85" t="s">
        <v>58</v>
      </c>
      <c r="B119" s="85"/>
      <c r="C119" s="85"/>
      <c r="D119" s="85"/>
      <c r="E119" s="85"/>
      <c r="F119" s="85"/>
      <c r="G119" s="85"/>
      <c r="H119" s="85"/>
    </row>
    <row r="120" spans="1:14" x14ac:dyDescent="0.35">
      <c r="A120" s="85" t="s">
        <v>59</v>
      </c>
      <c r="B120" s="85"/>
      <c r="C120" s="85"/>
      <c r="D120" s="85"/>
      <c r="E120" s="85"/>
      <c r="F120" s="85"/>
      <c r="G120" s="85"/>
      <c r="H120" s="85"/>
    </row>
    <row r="121" spans="1:14" ht="47.25" customHeight="1" x14ac:dyDescent="0.35">
      <c r="A121" s="82" t="s">
        <v>125</v>
      </c>
      <c r="B121" s="82" t="s">
        <v>124</v>
      </c>
      <c r="C121" s="82" t="s">
        <v>60</v>
      </c>
      <c r="D121" s="82" t="s">
        <v>61</v>
      </c>
      <c r="E121" s="113" t="s">
        <v>62</v>
      </c>
      <c r="F121" s="29" t="s">
        <v>156</v>
      </c>
      <c r="G121" s="115" t="s">
        <v>63</v>
      </c>
      <c r="H121" s="116"/>
    </row>
    <row r="122" spans="1:14" s="2" customFormat="1" x14ac:dyDescent="0.35">
      <c r="A122" s="83"/>
      <c r="B122" s="83"/>
      <c r="C122" s="83"/>
      <c r="D122" s="83"/>
      <c r="E122" s="114"/>
      <c r="F122" s="30">
        <v>0.55000000000000004</v>
      </c>
      <c r="G122" s="117"/>
      <c r="H122" s="118"/>
    </row>
    <row r="123" spans="1:14" s="4" customFormat="1" x14ac:dyDescent="0.35">
      <c r="A123" s="85" t="s">
        <v>224</v>
      </c>
      <c r="B123" s="85"/>
      <c r="C123" s="85"/>
      <c r="D123" s="85"/>
      <c r="E123" s="85"/>
      <c r="F123" s="85"/>
      <c r="G123" s="85"/>
      <c r="H123" s="85"/>
    </row>
    <row r="124" spans="1:14" s="2" customFormat="1" x14ac:dyDescent="0.35">
      <c r="A124" s="110" t="s">
        <v>183</v>
      </c>
      <c r="B124" s="111"/>
      <c r="C124" s="111"/>
      <c r="D124" s="111"/>
      <c r="E124" s="111"/>
      <c r="F124" s="111"/>
      <c r="G124" s="111"/>
      <c r="H124" s="112"/>
      <c r="J124" s="31"/>
    </row>
    <row r="125" spans="1:14" s="2" customFormat="1" ht="15.75" customHeight="1" x14ac:dyDescent="0.35">
      <c r="A125" s="65">
        <v>1</v>
      </c>
      <c r="B125" s="66"/>
      <c r="C125" s="13" t="s">
        <v>182</v>
      </c>
      <c r="D125" s="13">
        <f>28.47*10.764</f>
        <v>306.45107999999999</v>
      </c>
      <c r="E125" s="13">
        <v>0</v>
      </c>
      <c r="F125" s="13">
        <f>D125*(($F$122)+1)+(IF(E125&lt;101,E125,IF(E125&lt;201,E125/2,IF(E125&lt;=301,E125/3,E125/4))))</f>
        <v>474.99917399999998</v>
      </c>
      <c r="G125" s="96" t="str">
        <f>A124</f>
        <v>Ground Floor for Commercial &amp; Parking</v>
      </c>
      <c r="H125" s="97"/>
      <c r="I125" s="31"/>
      <c r="L125" s="174"/>
      <c r="M125" s="174"/>
      <c r="N125" s="31"/>
    </row>
    <row r="126" spans="1:14" s="2" customFormat="1" ht="15.75" customHeight="1" x14ac:dyDescent="0.35">
      <c r="A126" s="65">
        <f t="shared" ref="A126:A140" si="0">A125+1</f>
        <v>2</v>
      </c>
      <c r="B126" s="66"/>
      <c r="C126" s="13" t="s">
        <v>182</v>
      </c>
      <c r="D126" s="13">
        <f>17.08*10.764</f>
        <v>183.84911999999997</v>
      </c>
      <c r="E126" s="13">
        <v>0</v>
      </c>
      <c r="F126" s="13">
        <f t="shared" ref="F126:F131" si="1">D126*(($F$122)+1)+(IF(E126&lt;101,E126,IF(E126&lt;201,E126/2,IF(E126&lt;=301,E126/3,E126/4))))</f>
        <v>284.96613599999995</v>
      </c>
      <c r="G126" s="98"/>
      <c r="H126" s="99"/>
      <c r="I126" s="31"/>
      <c r="L126" s="174"/>
      <c r="M126" s="174"/>
      <c r="N126" s="31"/>
    </row>
    <row r="127" spans="1:14" s="2" customFormat="1" ht="15.75" customHeight="1" x14ac:dyDescent="0.35">
      <c r="A127" s="65">
        <f t="shared" si="0"/>
        <v>3</v>
      </c>
      <c r="B127" s="66"/>
      <c r="C127" s="13" t="s">
        <v>182</v>
      </c>
      <c r="D127" s="13">
        <f>23.92*10.764</f>
        <v>257.47487999999998</v>
      </c>
      <c r="E127" s="13">
        <v>0</v>
      </c>
      <c r="F127" s="13">
        <f t="shared" si="1"/>
        <v>399.08606399999996</v>
      </c>
      <c r="G127" s="98"/>
      <c r="H127" s="99"/>
      <c r="I127" s="31"/>
      <c r="L127" s="174"/>
      <c r="M127" s="174"/>
      <c r="N127" s="31"/>
    </row>
    <row r="128" spans="1:14" s="2" customFormat="1" ht="15.75" customHeight="1" x14ac:dyDescent="0.35">
      <c r="A128" s="65">
        <f t="shared" si="0"/>
        <v>4</v>
      </c>
      <c r="B128" s="66"/>
      <c r="C128" s="13" t="s">
        <v>182</v>
      </c>
      <c r="D128" s="13">
        <f>29.73*10.764</f>
        <v>320.01371999999998</v>
      </c>
      <c r="E128" s="13">
        <v>0</v>
      </c>
      <c r="F128" s="13">
        <f t="shared" si="1"/>
        <v>496.02126599999997</v>
      </c>
      <c r="G128" s="98"/>
      <c r="H128" s="99"/>
      <c r="I128" s="31"/>
      <c r="L128" s="174"/>
      <c r="M128" s="174"/>
      <c r="N128" s="31"/>
    </row>
    <row r="129" spans="1:14" s="2" customFormat="1" ht="15.75" customHeight="1" x14ac:dyDescent="0.35">
      <c r="A129" s="65">
        <f t="shared" si="0"/>
        <v>5</v>
      </c>
      <c r="B129" s="66"/>
      <c r="C129" s="13" t="s">
        <v>182</v>
      </c>
      <c r="D129" s="13">
        <f>31.2*10.764</f>
        <v>335.83679999999998</v>
      </c>
      <c r="E129" s="13">
        <v>0</v>
      </c>
      <c r="F129" s="13">
        <f t="shared" si="1"/>
        <v>520.54704000000004</v>
      </c>
      <c r="G129" s="98"/>
      <c r="H129" s="99"/>
      <c r="I129" s="31"/>
      <c r="L129" s="174"/>
      <c r="M129" s="174"/>
      <c r="N129" s="31"/>
    </row>
    <row r="130" spans="1:14" s="2" customFormat="1" ht="15.75" customHeight="1" x14ac:dyDescent="0.35">
      <c r="A130" s="65">
        <f t="shared" si="0"/>
        <v>6</v>
      </c>
      <c r="B130" s="66"/>
      <c r="C130" s="13" t="s">
        <v>182</v>
      </c>
      <c r="D130" s="13">
        <f>44.85*10.764</f>
        <v>482.7654</v>
      </c>
      <c r="E130" s="13">
        <v>0</v>
      </c>
      <c r="F130" s="13">
        <f t="shared" si="1"/>
        <v>748.28637000000003</v>
      </c>
      <c r="G130" s="98"/>
      <c r="H130" s="99"/>
      <c r="I130" s="31"/>
      <c r="L130" s="174"/>
      <c r="M130" s="174"/>
      <c r="N130" s="31"/>
    </row>
    <row r="131" spans="1:14" s="2" customFormat="1" ht="15.75" customHeight="1" x14ac:dyDescent="0.35">
      <c r="A131" s="65">
        <f t="shared" si="0"/>
        <v>7</v>
      </c>
      <c r="B131" s="66"/>
      <c r="C131" s="13" t="s">
        <v>182</v>
      </c>
      <c r="D131" s="13">
        <f>31.5*10.764</f>
        <v>339.06599999999997</v>
      </c>
      <c r="E131" s="13">
        <v>0</v>
      </c>
      <c r="F131" s="13">
        <f t="shared" si="1"/>
        <v>525.55229999999995</v>
      </c>
      <c r="G131" s="98"/>
      <c r="H131" s="99"/>
      <c r="I131" s="31"/>
      <c r="L131" s="174"/>
      <c r="M131" s="174"/>
      <c r="N131" s="31"/>
    </row>
    <row r="132" spans="1:14" s="2" customFormat="1" ht="15.75" customHeight="1" x14ac:dyDescent="0.35">
      <c r="A132" s="65">
        <f t="shared" si="0"/>
        <v>8</v>
      </c>
      <c r="B132" s="66"/>
      <c r="C132" s="13" t="s">
        <v>182</v>
      </c>
      <c r="D132" s="13">
        <f>18.91*10.764</f>
        <v>203.54723999999999</v>
      </c>
      <c r="E132" s="13">
        <v>0</v>
      </c>
      <c r="F132" s="13">
        <f t="shared" ref="F132:F137" si="2">D132*(($F$122)+1)+(IF(E132&lt;101,E132,IF(E132&lt;201,E132/2,IF(E132&lt;=301,E132/3,E132/4))))</f>
        <v>315.498222</v>
      </c>
      <c r="G132" s="98"/>
      <c r="H132" s="99"/>
      <c r="I132" s="31"/>
      <c r="L132" s="174"/>
      <c r="M132" s="174"/>
      <c r="N132" s="31"/>
    </row>
    <row r="133" spans="1:14" s="2" customFormat="1" ht="15.75" customHeight="1" x14ac:dyDescent="0.35">
      <c r="A133" s="65">
        <f t="shared" si="0"/>
        <v>9</v>
      </c>
      <c r="B133" s="66"/>
      <c r="C133" s="13" t="s">
        <v>182</v>
      </c>
      <c r="D133" s="13">
        <f>18.91*10.764</f>
        <v>203.54723999999999</v>
      </c>
      <c r="E133" s="13">
        <v>0</v>
      </c>
      <c r="F133" s="13">
        <f t="shared" si="2"/>
        <v>315.498222</v>
      </c>
      <c r="G133" s="98"/>
      <c r="H133" s="99"/>
      <c r="I133" s="31"/>
      <c r="L133" s="174"/>
      <c r="M133" s="174"/>
      <c r="N133" s="31"/>
    </row>
    <row r="134" spans="1:14" s="2" customFormat="1" ht="15.75" customHeight="1" x14ac:dyDescent="0.35">
      <c r="A134" s="65">
        <f t="shared" si="0"/>
        <v>10</v>
      </c>
      <c r="B134" s="66"/>
      <c r="C134" s="13" t="s">
        <v>182</v>
      </c>
      <c r="D134" s="13">
        <f>18.91*10.764</f>
        <v>203.54723999999999</v>
      </c>
      <c r="E134" s="13">
        <v>0</v>
      </c>
      <c r="F134" s="13">
        <f t="shared" si="2"/>
        <v>315.498222</v>
      </c>
      <c r="G134" s="98"/>
      <c r="H134" s="99"/>
      <c r="I134" s="31"/>
      <c r="L134" s="174"/>
      <c r="M134" s="174"/>
      <c r="N134" s="31"/>
    </row>
    <row r="135" spans="1:14" s="2" customFormat="1" ht="15.75" customHeight="1" x14ac:dyDescent="0.35">
      <c r="A135" s="65">
        <f t="shared" si="0"/>
        <v>11</v>
      </c>
      <c r="B135" s="66"/>
      <c r="C135" s="13" t="s">
        <v>182</v>
      </c>
      <c r="D135" s="13">
        <f>24.73*10.764</f>
        <v>266.19371999999998</v>
      </c>
      <c r="E135" s="13">
        <v>0</v>
      </c>
      <c r="F135" s="13">
        <f t="shared" si="2"/>
        <v>412.60026599999998</v>
      </c>
      <c r="G135" s="98"/>
      <c r="H135" s="99"/>
      <c r="I135" s="31"/>
      <c r="L135" s="174"/>
      <c r="M135" s="174"/>
      <c r="N135" s="31"/>
    </row>
    <row r="136" spans="1:14" s="2" customFormat="1" ht="15.75" customHeight="1" x14ac:dyDescent="0.35">
      <c r="A136" s="65">
        <f t="shared" si="0"/>
        <v>12</v>
      </c>
      <c r="B136" s="66"/>
      <c r="C136" s="13" t="s">
        <v>182</v>
      </c>
      <c r="D136" s="13">
        <f>30.59*10.764</f>
        <v>329.27076</v>
      </c>
      <c r="E136" s="13">
        <v>0</v>
      </c>
      <c r="F136" s="13">
        <f t="shared" si="2"/>
        <v>510.36967800000002</v>
      </c>
      <c r="G136" s="98"/>
      <c r="H136" s="99"/>
      <c r="I136" s="31"/>
      <c r="L136" s="174"/>
      <c r="M136" s="174"/>
      <c r="N136" s="31"/>
    </row>
    <row r="137" spans="1:14" s="2" customFormat="1" ht="15.75" customHeight="1" x14ac:dyDescent="0.35">
      <c r="A137" s="65">
        <f t="shared" si="0"/>
        <v>13</v>
      </c>
      <c r="B137" s="66"/>
      <c r="C137" s="13" t="s">
        <v>182</v>
      </c>
      <c r="D137" s="13">
        <f>23.05*10.764</f>
        <v>248.11019999999999</v>
      </c>
      <c r="E137" s="13">
        <v>0</v>
      </c>
      <c r="F137" s="13">
        <f t="shared" si="2"/>
        <v>384.57080999999999</v>
      </c>
      <c r="G137" s="98"/>
      <c r="H137" s="99"/>
      <c r="I137" s="31"/>
      <c r="L137" s="174"/>
      <c r="M137" s="174"/>
      <c r="N137" s="31"/>
    </row>
    <row r="138" spans="1:14" s="2" customFormat="1" ht="15.75" customHeight="1" x14ac:dyDescent="0.35">
      <c r="A138" s="65">
        <f t="shared" si="0"/>
        <v>14</v>
      </c>
      <c r="B138" s="66"/>
      <c r="C138" s="13" t="s">
        <v>182</v>
      </c>
      <c r="D138" s="13">
        <f>21.17*10.764</f>
        <v>227.87388000000001</v>
      </c>
      <c r="E138" s="13">
        <v>0</v>
      </c>
      <c r="F138" s="13">
        <f t="shared" ref="F138:F140" si="3">D138*(($F$122)+1)+(IF(E138&lt;101,E138,IF(E138&lt;201,E138/2,IF(E138&lt;=301,E138/3,E138/4))))</f>
        <v>353.20451400000002</v>
      </c>
      <c r="G138" s="98"/>
      <c r="H138" s="99"/>
      <c r="I138" s="31"/>
      <c r="L138" s="174"/>
      <c r="M138" s="174"/>
      <c r="N138" s="31"/>
    </row>
    <row r="139" spans="1:14" s="2" customFormat="1" ht="15.75" customHeight="1" x14ac:dyDescent="0.35">
      <c r="A139" s="65">
        <f t="shared" si="0"/>
        <v>15</v>
      </c>
      <c r="B139" s="66"/>
      <c r="C139" s="13" t="s">
        <v>182</v>
      </c>
      <c r="D139" s="13">
        <f>16.25*10.764</f>
        <v>174.91499999999999</v>
      </c>
      <c r="E139" s="13">
        <v>0</v>
      </c>
      <c r="F139" s="13">
        <f t="shared" si="3"/>
        <v>271.11824999999999</v>
      </c>
      <c r="G139" s="98"/>
      <c r="H139" s="99"/>
      <c r="I139" s="31"/>
      <c r="L139" s="174"/>
      <c r="M139" s="174"/>
      <c r="N139" s="31"/>
    </row>
    <row r="140" spans="1:14" s="2" customFormat="1" ht="15.75" customHeight="1" x14ac:dyDescent="0.35">
      <c r="A140" s="65">
        <f t="shared" si="0"/>
        <v>16</v>
      </c>
      <c r="B140" s="66"/>
      <c r="C140" s="13" t="s">
        <v>182</v>
      </c>
      <c r="D140" s="13">
        <f>19.03*10.764</f>
        <v>204.83892</v>
      </c>
      <c r="E140" s="13">
        <v>0</v>
      </c>
      <c r="F140" s="13">
        <f t="shared" si="3"/>
        <v>317.50032600000003</v>
      </c>
      <c r="G140" s="100"/>
      <c r="H140" s="101"/>
      <c r="I140" s="31"/>
      <c r="L140" s="174"/>
      <c r="M140" s="174"/>
      <c r="N140" s="31"/>
    </row>
    <row r="141" spans="1:14" s="2" customFormat="1" x14ac:dyDescent="0.35">
      <c r="A141" s="153" t="s">
        <v>184</v>
      </c>
      <c r="B141" s="153"/>
      <c r="C141" s="153"/>
      <c r="D141" s="153"/>
      <c r="E141" s="153"/>
      <c r="F141" s="153"/>
      <c r="G141" s="153"/>
      <c r="H141" s="153"/>
      <c r="J141" s="31"/>
    </row>
    <row r="142" spans="1:14" s="2" customFormat="1" ht="15.75" customHeight="1" x14ac:dyDescent="0.35">
      <c r="A142" s="84">
        <v>1</v>
      </c>
      <c r="B142" s="84"/>
      <c r="C142" s="63" t="s">
        <v>185</v>
      </c>
      <c r="D142" s="63">
        <f>14.87*10.764</f>
        <v>160.06067999999999</v>
      </c>
      <c r="E142" s="63">
        <v>0</v>
      </c>
      <c r="F142" s="63">
        <f>D142*(($F$122)+1)+(IF(E142&lt;101,E142,IF(E142&lt;201,E142/2,IF(E142&lt;=301,E142/3,E142/4))))</f>
        <v>248.094054</v>
      </c>
      <c r="G142" s="84" t="str">
        <f>A141</f>
        <v>1st &amp; 2nd Floor</v>
      </c>
      <c r="H142" s="84"/>
      <c r="I142" s="31"/>
      <c r="L142" s="174"/>
      <c r="M142" s="174"/>
      <c r="N142" s="31"/>
    </row>
    <row r="143" spans="1:14" s="2" customFormat="1" ht="15.75" customHeight="1" x14ac:dyDescent="0.35">
      <c r="A143" s="84">
        <v>2</v>
      </c>
      <c r="B143" s="84"/>
      <c r="C143" s="63" t="s">
        <v>185</v>
      </c>
      <c r="D143" s="63">
        <f>11.61*10.764</f>
        <v>124.97003999999998</v>
      </c>
      <c r="E143" s="63">
        <v>0</v>
      </c>
      <c r="F143" s="63">
        <f t="shared" ref="F143:F157" si="4">D143*(($F$122)+1)+(IF(E143&lt;101,E143,IF(E143&lt;201,E143/2,IF(E143&lt;=301,E143/3,E143/4))))</f>
        <v>193.70356199999998</v>
      </c>
      <c r="G143" s="84"/>
      <c r="H143" s="84"/>
      <c r="I143" s="31"/>
      <c r="L143" s="174"/>
      <c r="M143" s="174"/>
      <c r="N143" s="31"/>
    </row>
    <row r="144" spans="1:14" s="2" customFormat="1" ht="15.75" customHeight="1" x14ac:dyDescent="0.35">
      <c r="A144" s="84">
        <v>3</v>
      </c>
      <c r="B144" s="84"/>
      <c r="C144" s="63" t="s">
        <v>185</v>
      </c>
      <c r="D144" s="63">
        <f>14.87*10.764</f>
        <v>160.06067999999999</v>
      </c>
      <c r="E144" s="63">
        <v>0</v>
      </c>
      <c r="F144" s="63">
        <f t="shared" si="4"/>
        <v>248.094054</v>
      </c>
      <c r="G144" s="84"/>
      <c r="H144" s="84"/>
      <c r="I144" s="31"/>
      <c r="L144" s="174"/>
      <c r="M144" s="174"/>
      <c r="N144" s="31"/>
    </row>
    <row r="145" spans="1:14" s="2" customFormat="1" ht="15.75" customHeight="1" x14ac:dyDescent="0.35">
      <c r="A145" s="84">
        <v>4</v>
      </c>
      <c r="B145" s="84"/>
      <c r="C145" s="63" t="s">
        <v>185</v>
      </c>
      <c r="D145" s="63">
        <f>14.87*10.764</f>
        <v>160.06067999999999</v>
      </c>
      <c r="E145" s="63">
        <v>0</v>
      </c>
      <c r="F145" s="63">
        <f t="shared" si="4"/>
        <v>248.094054</v>
      </c>
      <c r="G145" s="84"/>
      <c r="H145" s="84"/>
      <c r="I145" s="31"/>
      <c r="L145" s="174"/>
      <c r="M145" s="174"/>
      <c r="N145" s="31"/>
    </row>
    <row r="146" spans="1:14" s="2" customFormat="1" ht="15.75" customHeight="1" x14ac:dyDescent="0.35">
      <c r="A146" s="84">
        <v>5</v>
      </c>
      <c r="B146" s="84"/>
      <c r="C146" s="63" t="s">
        <v>185</v>
      </c>
      <c r="D146" s="63">
        <f>11.61*10.764</f>
        <v>124.97003999999998</v>
      </c>
      <c r="E146" s="63">
        <v>0</v>
      </c>
      <c r="F146" s="63">
        <f t="shared" si="4"/>
        <v>193.70356199999998</v>
      </c>
      <c r="G146" s="84"/>
      <c r="H146" s="84"/>
      <c r="I146" s="31"/>
      <c r="L146" s="174"/>
      <c r="M146" s="174"/>
      <c r="N146" s="31"/>
    </row>
    <row r="147" spans="1:14" s="2" customFormat="1" ht="15.75" customHeight="1" x14ac:dyDescent="0.35">
      <c r="A147" s="84">
        <v>6</v>
      </c>
      <c r="B147" s="84"/>
      <c r="C147" s="63" t="s">
        <v>185</v>
      </c>
      <c r="D147" s="63">
        <f>14.87*10.764</f>
        <v>160.06067999999999</v>
      </c>
      <c r="E147" s="63">
        <v>0</v>
      </c>
      <c r="F147" s="63">
        <f t="shared" si="4"/>
        <v>248.094054</v>
      </c>
      <c r="G147" s="84"/>
      <c r="H147" s="84"/>
      <c r="I147" s="31"/>
      <c r="L147" s="174"/>
      <c r="M147" s="174"/>
      <c r="N147" s="31"/>
    </row>
    <row r="148" spans="1:14" s="2" customFormat="1" ht="15.75" customHeight="1" x14ac:dyDescent="0.35">
      <c r="A148" s="84">
        <v>7</v>
      </c>
      <c r="B148" s="84"/>
      <c r="C148" s="63" t="s">
        <v>185</v>
      </c>
      <c r="D148" s="63">
        <f>14.87*10.764</f>
        <v>160.06067999999999</v>
      </c>
      <c r="E148" s="63">
        <v>0</v>
      </c>
      <c r="F148" s="63">
        <f t="shared" si="4"/>
        <v>248.094054</v>
      </c>
      <c r="G148" s="84"/>
      <c r="H148" s="84"/>
      <c r="I148" s="31"/>
      <c r="L148" s="174"/>
      <c r="M148" s="174"/>
      <c r="N148" s="31"/>
    </row>
    <row r="149" spans="1:14" s="2" customFormat="1" ht="15.75" customHeight="1" x14ac:dyDescent="0.35">
      <c r="A149" s="84">
        <v>8</v>
      </c>
      <c r="B149" s="84"/>
      <c r="C149" s="63" t="s">
        <v>185</v>
      </c>
      <c r="D149" s="63">
        <f>11.61*10.764</f>
        <v>124.97003999999998</v>
      </c>
      <c r="E149" s="63">
        <v>0</v>
      </c>
      <c r="F149" s="63">
        <f t="shared" si="4"/>
        <v>193.70356199999998</v>
      </c>
      <c r="G149" s="84"/>
      <c r="H149" s="84"/>
      <c r="I149" s="31"/>
      <c r="L149" s="174"/>
      <c r="M149" s="174"/>
      <c r="N149" s="31"/>
    </row>
    <row r="150" spans="1:14" s="2" customFormat="1" ht="15.75" customHeight="1" x14ac:dyDescent="0.35">
      <c r="A150" s="84">
        <v>9</v>
      </c>
      <c r="B150" s="84"/>
      <c r="C150" s="63" t="s">
        <v>185</v>
      </c>
      <c r="D150" s="63">
        <f>14.87*10.764</f>
        <v>160.06067999999999</v>
      </c>
      <c r="E150" s="63">
        <v>0</v>
      </c>
      <c r="F150" s="63">
        <f t="shared" si="4"/>
        <v>248.094054</v>
      </c>
      <c r="G150" s="84"/>
      <c r="H150" s="84"/>
      <c r="I150" s="31"/>
      <c r="L150" s="174"/>
      <c r="M150" s="174"/>
      <c r="N150" s="31"/>
    </row>
    <row r="151" spans="1:14" s="2" customFormat="1" ht="15.75" customHeight="1" x14ac:dyDescent="0.35">
      <c r="A151" s="84">
        <v>10</v>
      </c>
      <c r="B151" s="84"/>
      <c r="C151" s="63" t="s">
        <v>185</v>
      </c>
      <c r="D151" s="63">
        <f>14.87*10.764</f>
        <v>160.06067999999999</v>
      </c>
      <c r="E151" s="63">
        <v>0</v>
      </c>
      <c r="F151" s="63">
        <f t="shared" si="4"/>
        <v>248.094054</v>
      </c>
      <c r="G151" s="84"/>
      <c r="H151" s="84"/>
      <c r="I151" s="31"/>
      <c r="L151" s="174"/>
      <c r="M151" s="174"/>
      <c r="N151" s="31"/>
    </row>
    <row r="152" spans="1:14" s="2" customFormat="1" ht="15.75" customHeight="1" x14ac:dyDescent="0.35">
      <c r="A152" s="84">
        <v>11</v>
      </c>
      <c r="B152" s="84"/>
      <c r="C152" s="63" t="s">
        <v>185</v>
      </c>
      <c r="D152" s="63">
        <f>16.72*10.764</f>
        <v>179.97407999999999</v>
      </c>
      <c r="E152" s="63">
        <v>0</v>
      </c>
      <c r="F152" s="63">
        <f t="shared" si="4"/>
        <v>278.95982399999997</v>
      </c>
      <c r="G152" s="84"/>
      <c r="H152" s="84"/>
      <c r="I152" s="31"/>
      <c r="L152" s="174"/>
      <c r="M152" s="174"/>
      <c r="N152" s="31"/>
    </row>
    <row r="153" spans="1:14" s="2" customFormat="1" ht="15.75" customHeight="1" x14ac:dyDescent="0.35">
      <c r="A153" s="84">
        <v>12</v>
      </c>
      <c r="B153" s="84"/>
      <c r="C153" s="63" t="s">
        <v>185</v>
      </c>
      <c r="D153" s="63">
        <f>20.87*10.764</f>
        <v>224.64467999999999</v>
      </c>
      <c r="E153" s="63">
        <v>0</v>
      </c>
      <c r="F153" s="63">
        <f t="shared" si="4"/>
        <v>348.199254</v>
      </c>
      <c r="G153" s="84"/>
      <c r="H153" s="84"/>
      <c r="I153" s="31"/>
      <c r="L153" s="174"/>
      <c r="M153" s="174"/>
      <c r="N153" s="31"/>
    </row>
    <row r="154" spans="1:14" s="2" customFormat="1" ht="15.75" customHeight="1" x14ac:dyDescent="0.35">
      <c r="A154" s="84">
        <v>13</v>
      </c>
      <c r="B154" s="84"/>
      <c r="C154" s="63" t="s">
        <v>185</v>
      </c>
      <c r="D154" s="63">
        <f>11.98*10.764</f>
        <v>128.95272</v>
      </c>
      <c r="E154" s="63">
        <v>0</v>
      </c>
      <c r="F154" s="63">
        <f t="shared" si="4"/>
        <v>199.87671600000002</v>
      </c>
      <c r="G154" s="84"/>
      <c r="H154" s="84"/>
      <c r="I154" s="31"/>
      <c r="L154" s="174"/>
      <c r="M154" s="174"/>
      <c r="N154" s="31"/>
    </row>
    <row r="155" spans="1:14" s="2" customFormat="1" ht="15.75" customHeight="1" x14ac:dyDescent="0.35">
      <c r="A155" s="84">
        <v>14</v>
      </c>
      <c r="B155" s="84"/>
      <c r="C155" s="63" t="s">
        <v>185</v>
      </c>
      <c r="D155" s="63">
        <f>16.42*10.764</f>
        <v>176.74487999999999</v>
      </c>
      <c r="E155" s="63">
        <v>0</v>
      </c>
      <c r="F155" s="63">
        <f t="shared" si="4"/>
        <v>273.954564</v>
      </c>
      <c r="G155" s="84"/>
      <c r="H155" s="84"/>
      <c r="I155" s="31"/>
      <c r="L155" s="174"/>
      <c r="M155" s="174"/>
      <c r="N155" s="31"/>
    </row>
    <row r="156" spans="1:14" s="2" customFormat="1" ht="15.75" customHeight="1" x14ac:dyDescent="0.35">
      <c r="A156" s="84">
        <v>15</v>
      </c>
      <c r="B156" s="84"/>
      <c r="C156" s="63" t="s">
        <v>185</v>
      </c>
      <c r="D156" s="63">
        <f>19.21*10.764</f>
        <v>206.77644000000001</v>
      </c>
      <c r="E156" s="63">
        <v>0</v>
      </c>
      <c r="F156" s="63">
        <f t="shared" si="4"/>
        <v>320.50348200000002</v>
      </c>
      <c r="G156" s="84"/>
      <c r="H156" s="84"/>
      <c r="I156" s="31"/>
      <c r="L156" s="174"/>
      <c r="M156" s="174"/>
      <c r="N156" s="31"/>
    </row>
    <row r="157" spans="1:14" s="2" customFormat="1" ht="15.75" customHeight="1" x14ac:dyDescent="0.35">
      <c r="A157" s="84">
        <v>16</v>
      </c>
      <c r="B157" s="84"/>
      <c r="C157" s="63" t="s">
        <v>185</v>
      </c>
      <c r="D157" s="63">
        <f>20.14*10.764</f>
        <v>216.78695999999999</v>
      </c>
      <c r="E157" s="63">
        <v>0</v>
      </c>
      <c r="F157" s="63">
        <f t="shared" si="4"/>
        <v>336.01978800000001</v>
      </c>
      <c r="G157" s="84"/>
      <c r="H157" s="84"/>
      <c r="I157" s="31"/>
      <c r="L157" s="174"/>
      <c r="M157" s="174"/>
      <c r="N157" s="31"/>
    </row>
    <row r="158" spans="1:14" s="2" customFormat="1" ht="15.75" customHeight="1" x14ac:dyDescent="0.35">
      <c r="A158" s="84">
        <v>17</v>
      </c>
      <c r="B158" s="84"/>
      <c r="C158" s="63" t="s">
        <v>185</v>
      </c>
      <c r="D158" s="63">
        <f>28.9*10.764</f>
        <v>311.07959999999997</v>
      </c>
      <c r="E158" s="63">
        <v>0</v>
      </c>
      <c r="F158" s="63">
        <f t="shared" ref="F158:F166" si="5">D158*(($F$122)+1)+(IF(E158&lt;101,E158,IF(E158&lt;201,E158/2,IF(E158&lt;=301,E158/3,E158/4))))</f>
        <v>482.17337999999995</v>
      </c>
      <c r="G158" s="84"/>
      <c r="H158" s="84"/>
      <c r="I158" s="31"/>
      <c r="L158" s="174"/>
      <c r="M158" s="174"/>
      <c r="N158" s="31"/>
    </row>
    <row r="159" spans="1:14" s="2" customFormat="1" ht="15.75" customHeight="1" x14ac:dyDescent="0.35">
      <c r="A159" s="84">
        <v>18</v>
      </c>
      <c r="B159" s="84"/>
      <c r="C159" s="63" t="s">
        <v>185</v>
      </c>
      <c r="D159" s="63">
        <f>20.14*10.764</f>
        <v>216.78695999999999</v>
      </c>
      <c r="E159" s="63">
        <v>0</v>
      </c>
      <c r="F159" s="63">
        <f t="shared" si="5"/>
        <v>336.01978800000001</v>
      </c>
      <c r="G159" s="84"/>
      <c r="H159" s="84"/>
      <c r="I159" s="31"/>
      <c r="L159" s="174"/>
      <c r="M159" s="174"/>
      <c r="N159" s="31"/>
    </row>
    <row r="160" spans="1:14" s="2" customFormat="1" ht="15.75" customHeight="1" x14ac:dyDescent="0.35">
      <c r="A160" s="84">
        <v>19</v>
      </c>
      <c r="B160" s="84"/>
      <c r="C160" s="63" t="s">
        <v>185</v>
      </c>
      <c r="D160" s="63">
        <f>19.21*10.764</f>
        <v>206.77644000000001</v>
      </c>
      <c r="E160" s="63">
        <v>0</v>
      </c>
      <c r="F160" s="63">
        <f t="shared" si="5"/>
        <v>320.50348200000002</v>
      </c>
      <c r="G160" s="84"/>
      <c r="H160" s="84"/>
      <c r="I160" s="31"/>
      <c r="L160" s="174"/>
      <c r="M160" s="174"/>
      <c r="N160" s="31"/>
    </row>
    <row r="161" spans="1:14" s="2" customFormat="1" ht="15.75" customHeight="1" x14ac:dyDescent="0.35">
      <c r="A161" s="84">
        <v>20</v>
      </c>
      <c r="B161" s="84"/>
      <c r="C161" s="63" t="s">
        <v>185</v>
      </c>
      <c r="D161" s="63">
        <f>19.21*10.764</f>
        <v>206.77644000000001</v>
      </c>
      <c r="E161" s="63">
        <v>0</v>
      </c>
      <c r="F161" s="63">
        <f t="shared" si="5"/>
        <v>320.50348200000002</v>
      </c>
      <c r="G161" s="84"/>
      <c r="H161" s="84"/>
      <c r="I161" s="31"/>
      <c r="L161" s="174"/>
      <c r="M161" s="174"/>
      <c r="N161" s="31"/>
    </row>
    <row r="162" spans="1:14" s="2" customFormat="1" ht="15.75" customHeight="1" x14ac:dyDescent="0.35">
      <c r="A162" s="84">
        <v>21</v>
      </c>
      <c r="B162" s="84"/>
      <c r="C162" s="63" t="s">
        <v>185</v>
      </c>
      <c r="D162" s="63">
        <f>19.21*10.764</f>
        <v>206.77644000000001</v>
      </c>
      <c r="E162" s="63">
        <v>0</v>
      </c>
      <c r="F162" s="63">
        <f t="shared" si="5"/>
        <v>320.50348200000002</v>
      </c>
      <c r="G162" s="84"/>
      <c r="H162" s="84"/>
      <c r="I162" s="31"/>
      <c r="L162" s="174"/>
      <c r="M162" s="174"/>
      <c r="N162" s="31"/>
    </row>
    <row r="163" spans="1:14" s="2" customFormat="1" ht="15.75" customHeight="1" x14ac:dyDescent="0.35">
      <c r="A163" s="84">
        <v>22</v>
      </c>
      <c r="B163" s="84"/>
      <c r="C163" s="63" t="s">
        <v>185</v>
      </c>
      <c r="D163" s="63">
        <f>36.94*10.764</f>
        <v>397.62215999999995</v>
      </c>
      <c r="E163" s="63">
        <v>0</v>
      </c>
      <c r="F163" s="63">
        <f t="shared" si="5"/>
        <v>616.314348</v>
      </c>
      <c r="G163" s="84"/>
      <c r="H163" s="84"/>
      <c r="I163" s="31"/>
      <c r="L163" s="174"/>
      <c r="M163" s="174"/>
      <c r="N163" s="31"/>
    </row>
    <row r="164" spans="1:14" s="2" customFormat="1" ht="15.75" customHeight="1" x14ac:dyDescent="0.35">
      <c r="A164" s="84">
        <v>23</v>
      </c>
      <c r="B164" s="84"/>
      <c r="C164" s="63" t="s">
        <v>185</v>
      </c>
      <c r="D164" s="63">
        <f>19.08*10.764</f>
        <v>205.37711999999996</v>
      </c>
      <c r="E164" s="63">
        <v>0</v>
      </c>
      <c r="F164" s="63">
        <f t="shared" si="5"/>
        <v>318.33453599999996</v>
      </c>
      <c r="G164" s="84"/>
      <c r="H164" s="84"/>
      <c r="I164" s="31"/>
      <c r="L164" s="174"/>
      <c r="M164" s="174"/>
      <c r="N164" s="31"/>
    </row>
    <row r="165" spans="1:14" s="2" customFormat="1" ht="15.75" customHeight="1" x14ac:dyDescent="0.35">
      <c r="A165" s="84">
        <v>24</v>
      </c>
      <c r="B165" s="84"/>
      <c r="C165" s="63" t="s">
        <v>185</v>
      </c>
      <c r="D165" s="63">
        <f>17.23*10.764</f>
        <v>185.46372</v>
      </c>
      <c r="E165" s="63">
        <v>0</v>
      </c>
      <c r="F165" s="63">
        <f t="shared" si="5"/>
        <v>287.46876600000002</v>
      </c>
      <c r="G165" s="84"/>
      <c r="H165" s="84"/>
      <c r="I165" s="31"/>
      <c r="L165" s="174"/>
      <c r="M165" s="174"/>
      <c r="N165" s="31"/>
    </row>
    <row r="166" spans="1:14" s="2" customFormat="1" ht="15.75" customHeight="1" x14ac:dyDescent="0.35">
      <c r="A166" s="84">
        <v>25</v>
      </c>
      <c r="B166" s="84"/>
      <c r="C166" s="63" t="s">
        <v>185</v>
      </c>
      <c r="D166" s="63">
        <f>13.01*10.764</f>
        <v>140.03963999999999</v>
      </c>
      <c r="E166" s="63">
        <v>0</v>
      </c>
      <c r="F166" s="63">
        <f t="shared" si="5"/>
        <v>217.061442</v>
      </c>
      <c r="G166" s="84"/>
      <c r="H166" s="84"/>
      <c r="I166" s="31"/>
      <c r="L166" s="174"/>
      <c r="M166" s="174"/>
      <c r="N166" s="31"/>
    </row>
    <row r="167" spans="1:14" s="2" customFormat="1" ht="15.75" customHeight="1" x14ac:dyDescent="0.35">
      <c r="A167" s="84">
        <v>26</v>
      </c>
      <c r="B167" s="84"/>
      <c r="C167" s="63" t="s">
        <v>185</v>
      </c>
      <c r="D167" s="63">
        <f>18.92*10.764</f>
        <v>203.65488000000002</v>
      </c>
      <c r="E167" s="63">
        <v>0</v>
      </c>
      <c r="F167" s="63">
        <f t="shared" ref="F167" si="6">D167*(($F$122)+1)+(IF(E167&lt;101,E167,IF(E167&lt;201,E167/2,IF(E167&lt;=301,E167/3,E167/4))))</f>
        <v>315.66506400000003</v>
      </c>
      <c r="G167" s="84"/>
      <c r="H167" s="84"/>
      <c r="I167" s="31"/>
      <c r="L167" s="174"/>
      <c r="M167" s="174"/>
      <c r="N167" s="31"/>
    </row>
    <row r="168" spans="1:14" s="2" customFormat="1" x14ac:dyDescent="0.35">
      <c r="A168" s="65"/>
      <c r="B168" s="186"/>
      <c r="C168" s="186"/>
      <c r="D168" s="186"/>
      <c r="E168" s="186"/>
      <c r="F168" s="186"/>
      <c r="G168" s="186"/>
      <c r="H168" s="66"/>
      <c r="I168" s="31"/>
      <c r="N168" s="31"/>
    </row>
    <row r="169" spans="1:14" ht="47.25" customHeight="1" x14ac:dyDescent="0.35">
      <c r="A169" s="115" t="s">
        <v>126</v>
      </c>
      <c r="B169" s="115" t="s">
        <v>127</v>
      </c>
      <c r="C169" s="82" t="s">
        <v>60</v>
      </c>
      <c r="D169" s="82" t="s">
        <v>61</v>
      </c>
      <c r="E169" s="113" t="s">
        <v>62</v>
      </c>
      <c r="F169" s="29" t="s">
        <v>156</v>
      </c>
      <c r="G169" s="115" t="s">
        <v>63</v>
      </c>
      <c r="H169" s="116"/>
      <c r="I169" s="31"/>
    </row>
    <row r="170" spans="1:14" s="2" customFormat="1" x14ac:dyDescent="0.35">
      <c r="A170" s="117"/>
      <c r="B170" s="117"/>
      <c r="C170" s="83"/>
      <c r="D170" s="83"/>
      <c r="E170" s="114"/>
      <c r="F170" s="30">
        <v>0.5</v>
      </c>
      <c r="G170" s="117"/>
      <c r="H170" s="118"/>
      <c r="I170" s="31"/>
    </row>
    <row r="171" spans="1:14" s="4" customFormat="1" x14ac:dyDescent="0.35">
      <c r="A171" s="85" t="s">
        <v>224</v>
      </c>
      <c r="B171" s="85"/>
      <c r="C171" s="85"/>
      <c r="D171" s="85"/>
      <c r="E171" s="85"/>
      <c r="F171" s="85"/>
      <c r="G171" s="85"/>
      <c r="H171" s="85"/>
    </row>
    <row r="172" spans="1:14" s="2" customFormat="1" x14ac:dyDescent="0.35">
      <c r="A172" s="153" t="s">
        <v>186</v>
      </c>
      <c r="B172" s="153"/>
      <c r="C172" s="153"/>
      <c r="D172" s="153"/>
      <c r="E172" s="153"/>
      <c r="F172" s="153"/>
      <c r="G172" s="153"/>
      <c r="H172" s="153"/>
      <c r="I172" s="31"/>
      <c r="L172" s="174"/>
      <c r="M172" s="174"/>
    </row>
    <row r="173" spans="1:14" s="2" customFormat="1" ht="15.75" customHeight="1" x14ac:dyDescent="0.35">
      <c r="A173" s="84">
        <v>1</v>
      </c>
      <c r="B173" s="84"/>
      <c r="C173" s="13" t="s">
        <v>187</v>
      </c>
      <c r="D173" s="53">
        <f>(26.46+2.75+1.45*2.75)*10.764</f>
        <v>357.33788999999996</v>
      </c>
      <c r="E173" s="53">
        <f>(0.75*(2.75+2.15)+1.2*2.75)*10.764</f>
        <v>75.07889999999999</v>
      </c>
      <c r="F173" s="13">
        <f t="shared" ref="F173:F174" si="7">D173*(($F$170)+1)+(IF(E173&lt;101,E173,IF(E173&lt;201,E173/2,IF(E173&lt;=301,E173/3,E173/4))))</f>
        <v>611.08573499999989</v>
      </c>
      <c r="G173" s="96" t="str">
        <f>A172</f>
        <v>3rd Floor for Residential</v>
      </c>
      <c r="H173" s="97"/>
      <c r="I173" s="31"/>
      <c r="J173" s="2">
        <f>2.75*3+2.15*2+2.75*2.05+1.7*0.65+1.85*1.2+1.2*1.85+0.9*2.35</f>
        <v>25.847499999999997</v>
      </c>
      <c r="N173" s="31"/>
    </row>
    <row r="174" spans="1:14" s="2" customFormat="1" ht="15.75" customHeight="1" x14ac:dyDescent="0.35">
      <c r="A174" s="84">
        <f t="shared" ref="A174:A181" si="8">A173+1</f>
        <v>2</v>
      </c>
      <c r="B174" s="84"/>
      <c r="C174" s="13" t="s">
        <v>187</v>
      </c>
      <c r="D174" s="53">
        <f>(26.46+2.75+1.45*2.75)*10.764</f>
        <v>357.33788999999996</v>
      </c>
      <c r="E174" s="53">
        <f>(0.75*3.5+1.2*2.75)*10.764</f>
        <v>63.776699999999991</v>
      </c>
      <c r="F174" s="13">
        <f t="shared" si="7"/>
        <v>599.78353499999992</v>
      </c>
      <c r="G174" s="98"/>
      <c r="H174" s="99"/>
      <c r="I174" s="31"/>
      <c r="N174" s="31"/>
    </row>
    <row r="175" spans="1:14" s="2" customFormat="1" ht="15.75" customHeight="1" x14ac:dyDescent="0.35">
      <c r="A175" s="84">
        <f t="shared" si="8"/>
        <v>3</v>
      </c>
      <c r="B175" s="84"/>
      <c r="C175" s="13" t="s">
        <v>188</v>
      </c>
      <c r="D175" s="53">
        <f>(39.68+2.7*1.2+1.75*1.1+1.5*3.05)*10.764</f>
        <v>531.95687999999996</v>
      </c>
      <c r="E175" s="53">
        <f>(1.2*3.3+1.3*3.5+1*2.5+(0.5*1.4*2.5)+2.3*1.4+(0.5*1.5*2.75)+(0.5*2*3.2))*10.764</f>
        <v>228.65427</v>
      </c>
      <c r="F175" s="13">
        <f>D175*(($F$170)+1)+(IF(E175&lt;101,E175,IF(E175&lt;201,E175/2,IF(E175&lt;=301,E175/3,E175/4))))</f>
        <v>874.15340999999989</v>
      </c>
      <c r="G175" s="98"/>
      <c r="H175" s="99"/>
      <c r="I175" s="31"/>
      <c r="N175" s="31"/>
    </row>
    <row r="176" spans="1:14" s="2" customFormat="1" ht="15.75" customHeight="1" x14ac:dyDescent="0.35">
      <c r="A176" s="84">
        <f t="shared" si="8"/>
        <v>4</v>
      </c>
      <c r="B176" s="84"/>
      <c r="C176" s="13" t="s">
        <v>188</v>
      </c>
      <c r="D176" s="53">
        <f>(39.93+1.2*3.05+1.05*2.75+2.75*1.35)*10.764</f>
        <v>540.24515999999994</v>
      </c>
      <c r="E176" s="53">
        <f>((0.5*1.9*3.5)+0.75*3.2+1.65*3.2)*10.764</f>
        <v>118.45781999999998</v>
      </c>
      <c r="F176" s="13">
        <f t="shared" ref="F176:F178" si="9">D176*(($F$170)+1)+(IF(E176&lt;101,E176,IF(E176&lt;201,E176/2,IF(E176&lt;=301,E176/3,E176/4))))</f>
        <v>869.59664999999995</v>
      </c>
      <c r="G176" s="98"/>
      <c r="H176" s="99"/>
      <c r="I176" s="31"/>
      <c r="N176" s="31"/>
    </row>
    <row r="177" spans="1:14" s="2" customFormat="1" ht="15.75" customHeight="1" x14ac:dyDescent="0.35">
      <c r="A177" s="84">
        <f t="shared" si="8"/>
        <v>5</v>
      </c>
      <c r="B177" s="84"/>
      <c r="C177" s="13" t="s">
        <v>188</v>
      </c>
      <c r="D177" s="53">
        <f>(39.93+1.2*3.05+1.05*2.75+2.75*1.35)*10.764</f>
        <v>540.24515999999994</v>
      </c>
      <c r="E177" s="53">
        <f>(1.65*3.2+0.75*3.2+2*2.9)*10.764</f>
        <v>145.09871999999999</v>
      </c>
      <c r="F177" s="13">
        <f t="shared" si="9"/>
        <v>882.91709999999989</v>
      </c>
      <c r="G177" s="98"/>
      <c r="H177" s="99"/>
      <c r="I177" s="31"/>
      <c r="N177" s="31"/>
    </row>
    <row r="178" spans="1:14" s="2" customFormat="1" ht="15.75" customHeight="1" x14ac:dyDescent="0.35">
      <c r="A178" s="84">
        <f t="shared" si="8"/>
        <v>6</v>
      </c>
      <c r="B178" s="84"/>
      <c r="C178" s="13" t="s">
        <v>188</v>
      </c>
      <c r="D178" s="53">
        <f>(39.93+1.2*3.05+1.05*2.75+2.75*1.35)*10.764</f>
        <v>540.24515999999994</v>
      </c>
      <c r="E178" s="53">
        <f>(2*2.9+0.75*2.75+(0.5*1.3*3.35))*10.764</f>
        <v>108.07055999999999</v>
      </c>
      <c r="F178" s="13">
        <f t="shared" si="9"/>
        <v>864.40301999999986</v>
      </c>
      <c r="G178" s="98"/>
      <c r="H178" s="99"/>
      <c r="I178" s="31"/>
      <c r="N178" s="31"/>
    </row>
    <row r="179" spans="1:14" s="2" customFormat="1" ht="15.75" customHeight="1" x14ac:dyDescent="0.35">
      <c r="A179" s="84">
        <f t="shared" si="8"/>
        <v>7</v>
      </c>
      <c r="B179" s="84"/>
      <c r="C179" s="13" t="s">
        <v>188</v>
      </c>
      <c r="D179" s="53">
        <f>(40.1+2.9*1.45+2.75*1.25)*10.764</f>
        <v>513.90026999999998</v>
      </c>
      <c r="E179" s="53">
        <f>(1.4*3.05+1.1*2.45+1.65*5.8+(0.5*1.2*1.7)+(0.5*1*3.15))*10.764</f>
        <v>205.91531999999995</v>
      </c>
      <c r="F179" s="13">
        <f t="shared" ref="F179:F181" si="10">D179*(($F$170)+1)+(IF(E179&lt;101,E179,IF(E179&lt;201,E179/2,IF(E179&lt;=301,E179/3,E179/4))))</f>
        <v>839.48884499999986</v>
      </c>
      <c r="G179" s="98"/>
      <c r="H179" s="99"/>
      <c r="I179" s="31"/>
      <c r="N179" s="31"/>
    </row>
    <row r="180" spans="1:14" s="2" customFormat="1" ht="15.75" customHeight="1" x14ac:dyDescent="0.35">
      <c r="A180" s="84">
        <f t="shared" si="8"/>
        <v>8</v>
      </c>
      <c r="B180" s="84"/>
      <c r="C180" s="13" t="s">
        <v>187</v>
      </c>
      <c r="D180" s="53">
        <f>(26.37+1.48*2.75+2.75+0.6*2.15)*10.764</f>
        <v>371.14271999999994</v>
      </c>
      <c r="E180" s="53">
        <f>(0.75*2.75)*10.764</f>
        <v>22.200749999999999</v>
      </c>
      <c r="F180" s="13">
        <f t="shared" si="10"/>
        <v>578.91482999999994</v>
      </c>
      <c r="G180" s="98"/>
      <c r="H180" s="99"/>
      <c r="I180" s="31"/>
      <c r="N180" s="31"/>
    </row>
    <row r="181" spans="1:14" s="2" customFormat="1" ht="15.75" customHeight="1" x14ac:dyDescent="0.35">
      <c r="A181" s="84">
        <f t="shared" si="8"/>
        <v>9</v>
      </c>
      <c r="B181" s="84"/>
      <c r="C181" s="13" t="s">
        <v>187</v>
      </c>
      <c r="D181" s="53">
        <f>(26.37+1.48*2.75+2.75+0.6*2.15)*10.764</f>
        <v>371.14271999999994</v>
      </c>
      <c r="E181" s="53">
        <f>(0.75*2.75)*10.764</f>
        <v>22.200749999999999</v>
      </c>
      <c r="F181" s="13">
        <f t="shared" si="10"/>
        <v>578.91482999999994</v>
      </c>
      <c r="G181" s="100"/>
      <c r="H181" s="101"/>
      <c r="I181" s="31"/>
      <c r="N181" s="31"/>
    </row>
    <row r="182" spans="1:14" s="2" customFormat="1" ht="15.75" customHeight="1" x14ac:dyDescent="0.35">
      <c r="A182" s="153" t="s">
        <v>225</v>
      </c>
      <c r="B182" s="153"/>
      <c r="C182" s="153"/>
      <c r="D182" s="153"/>
      <c r="E182" s="153"/>
      <c r="F182" s="153"/>
      <c r="G182" s="153"/>
      <c r="H182" s="153"/>
      <c r="I182" s="31" t="s">
        <v>214</v>
      </c>
      <c r="J182" s="2" t="s">
        <v>208</v>
      </c>
      <c r="K182" s="2" t="s">
        <v>209</v>
      </c>
      <c r="L182" s="2" t="s">
        <v>210</v>
      </c>
      <c r="M182" s="2" t="s">
        <v>215</v>
      </c>
    </row>
    <row r="183" spans="1:14" s="2" customFormat="1" ht="15.75" customHeight="1" x14ac:dyDescent="0.35">
      <c r="A183" s="84">
        <v>1</v>
      </c>
      <c r="B183" s="84"/>
      <c r="C183" s="46" t="s">
        <v>187</v>
      </c>
      <c r="D183" s="53">
        <f>(26.46+2.75+1.45*2.75+0.6*(2.75+2.15))*10.764</f>
        <v>388.98404999999991</v>
      </c>
      <c r="E183" s="63">
        <v>0</v>
      </c>
      <c r="F183" s="63">
        <f t="shared" ref="F183:F188" si="11">D183*(($F$170)+1)+(IF(E183&lt;101,E183,IF(E183&lt;201,E183/2,IF(E183&lt;=301,E183/3,E183/4))))</f>
        <v>583.47607499999981</v>
      </c>
      <c r="G183" s="84" t="str">
        <f>A182</f>
        <v>4th to 6th, 8th to 16th, 18th to 21st Floor</v>
      </c>
      <c r="H183" s="84"/>
      <c r="I183" s="31">
        <f>5900000/F183</f>
        <v>10111.811354047382</v>
      </c>
      <c r="J183" s="31">
        <f>5319000/F183</f>
        <v>9116.0550156233949</v>
      </c>
      <c r="K183" s="31">
        <f>3790000/F183</f>
        <v>6495.5533952270471</v>
      </c>
      <c r="L183" s="31">
        <f>4100000/F183</f>
        <v>7026.8519578973337</v>
      </c>
      <c r="M183" s="2" t="s">
        <v>216</v>
      </c>
    </row>
    <row r="184" spans="1:14" s="2" customFormat="1" ht="15.75" customHeight="1" x14ac:dyDescent="0.35">
      <c r="A184" s="84">
        <v>2</v>
      </c>
      <c r="B184" s="84"/>
      <c r="C184" s="46" t="s">
        <v>187</v>
      </c>
      <c r="D184" s="53">
        <f>(26.46+2.75+1.45*2.75+0.6*(2.75+2.15))*10.764</f>
        <v>388.98404999999991</v>
      </c>
      <c r="E184" s="63">
        <v>0</v>
      </c>
      <c r="F184" s="63">
        <f t="shared" si="11"/>
        <v>583.47607499999981</v>
      </c>
      <c r="G184" s="84"/>
      <c r="H184" s="84"/>
      <c r="I184" s="31">
        <f>4807000/F184</f>
        <v>8238.5554540518242</v>
      </c>
      <c r="L184" s="31"/>
    </row>
    <row r="185" spans="1:14" s="2" customFormat="1" ht="15.75" customHeight="1" x14ac:dyDescent="0.35">
      <c r="A185" s="84">
        <v>3</v>
      </c>
      <c r="B185" s="84"/>
      <c r="C185" s="46" t="s">
        <v>188</v>
      </c>
      <c r="D185" s="53">
        <f>(39.68+2.7*1.2+1.75*1.1+1.5*3.05+0.6*(2.6+3.05))*10.764</f>
        <v>568.44683999999995</v>
      </c>
      <c r="E185" s="63">
        <v>0</v>
      </c>
      <c r="F185" s="63">
        <f t="shared" si="11"/>
        <v>852.67025999999987</v>
      </c>
      <c r="G185" s="84"/>
      <c r="H185" s="84"/>
      <c r="I185" s="31">
        <f>5399000/F185</f>
        <v>6331.8732378446048</v>
      </c>
      <c r="J185" s="31">
        <f>7816500/F185</f>
        <v>9167.0841199504266</v>
      </c>
      <c r="K185" s="31">
        <f>5390000/F185</f>
        <v>6321.3181611376958</v>
      </c>
      <c r="L185" s="31">
        <f>6000000/F185</f>
        <v>7036.7178046059689</v>
      </c>
    </row>
    <row r="186" spans="1:14" s="2" customFormat="1" ht="15.75" customHeight="1" x14ac:dyDescent="0.35">
      <c r="A186" s="84">
        <v>4</v>
      </c>
      <c r="B186" s="84"/>
      <c r="C186" s="46" t="s">
        <v>188</v>
      </c>
      <c r="D186" s="53">
        <f>(39.93+1.2*3.05+1.05*2.75+2.75*1.35+0.6*(2.3+2.9))*10.764</f>
        <v>573.8288399999999</v>
      </c>
      <c r="E186" s="63">
        <v>0</v>
      </c>
      <c r="F186" s="63">
        <f t="shared" si="11"/>
        <v>860.74325999999985</v>
      </c>
      <c r="G186" s="84"/>
      <c r="H186" s="84"/>
      <c r="I186" s="31">
        <f>7700*F184+F104+F105</f>
        <v>4802765.7774999989</v>
      </c>
      <c r="J186" s="31">
        <f>8127000/F186</f>
        <v>9441.8398350281605</v>
      </c>
      <c r="K186" s="31">
        <f>5555000/F186</f>
        <v>6453.724656525339</v>
      </c>
      <c r="L186" s="31"/>
    </row>
    <row r="187" spans="1:14" s="2" customFormat="1" ht="15.75" customHeight="1" x14ac:dyDescent="0.35">
      <c r="A187" s="84">
        <v>5</v>
      </c>
      <c r="B187" s="84"/>
      <c r="C187" s="46" t="s">
        <v>188</v>
      </c>
      <c r="D187" s="53">
        <f t="shared" ref="D187:D188" si="12">(39.93+1.2*3.05+1.05*2.75+2.75*1.35+0.6*(2.3+2.9))*10.764</f>
        <v>573.8288399999999</v>
      </c>
      <c r="E187" s="63">
        <v>0</v>
      </c>
      <c r="F187" s="63">
        <f t="shared" si="11"/>
        <v>860.74325999999985</v>
      </c>
      <c r="G187" s="84"/>
      <c r="H187" s="84"/>
      <c r="I187" s="31">
        <f>5399000/F187</f>
        <v>6272.4859442988854</v>
      </c>
      <c r="J187" s="31">
        <f>8127000/F187</f>
        <v>9441.8398350281605</v>
      </c>
      <c r="K187" s="31">
        <f>5555000/F187</f>
        <v>6453.724656525339</v>
      </c>
      <c r="L187" s="31"/>
    </row>
    <row r="188" spans="1:14" s="2" customFormat="1" ht="15.75" customHeight="1" x14ac:dyDescent="0.35">
      <c r="A188" s="84">
        <v>6</v>
      </c>
      <c r="B188" s="84"/>
      <c r="C188" s="46" t="s">
        <v>188</v>
      </c>
      <c r="D188" s="53">
        <f t="shared" si="12"/>
        <v>573.8288399999999</v>
      </c>
      <c r="E188" s="63">
        <v>0</v>
      </c>
      <c r="F188" s="63">
        <f t="shared" si="11"/>
        <v>860.74325999999985</v>
      </c>
      <c r="G188" s="84"/>
      <c r="H188" s="84"/>
      <c r="I188" s="31"/>
      <c r="J188" s="31">
        <f>7870500/F188</f>
        <v>9143.8415678096644</v>
      </c>
      <c r="K188" s="31">
        <f>5445000/F188</f>
        <v>6325.9281286733521</v>
      </c>
      <c r="L188" s="31"/>
    </row>
    <row r="189" spans="1:14" s="2" customFormat="1" ht="15.75" customHeight="1" x14ac:dyDescent="0.35">
      <c r="A189" s="84">
        <v>7</v>
      </c>
      <c r="B189" s="84"/>
      <c r="C189" s="46" t="s">
        <v>188</v>
      </c>
      <c r="D189" s="53">
        <f>(40.1+2.9*1.45+2.75*1.25+0.6*(2.9+2.3))*10.764</f>
        <v>547.48394999999994</v>
      </c>
      <c r="E189" s="63">
        <v>0</v>
      </c>
      <c r="F189" s="63">
        <f t="shared" ref="F189:F191" si="13">D189*(($F$170)+1)+(IF(E189&lt;101,E189,IF(E189&lt;201,E189/2,IF(E189&lt;=301,E189/3,E189/4))))</f>
        <v>821.22592499999996</v>
      </c>
      <c r="G189" s="84"/>
      <c r="H189" s="84"/>
      <c r="I189" s="31"/>
      <c r="J189" s="57">
        <f>AVERAGE(J183,J185:J188)</f>
        <v>9262.132074687961</v>
      </c>
      <c r="K189" s="57">
        <f>AVERAGE(K183,K185:K188)</f>
        <v>6410.0497996177537</v>
      </c>
    </row>
    <row r="190" spans="1:14" s="2" customFormat="1" ht="15.75" customHeight="1" x14ac:dyDescent="0.35">
      <c r="A190" s="84">
        <v>8</v>
      </c>
      <c r="B190" s="84"/>
      <c r="C190" s="46" t="s">
        <v>187</v>
      </c>
      <c r="D190" s="53">
        <f>(26.37+1.48*2.75+2.75+0.6*(2.15+2.15))*10.764</f>
        <v>385.02827999999994</v>
      </c>
      <c r="E190" s="63">
        <v>0</v>
      </c>
      <c r="F190" s="63">
        <f t="shared" si="13"/>
        <v>577.54241999999988</v>
      </c>
      <c r="G190" s="84"/>
      <c r="H190" s="84"/>
      <c r="I190" s="31"/>
    </row>
    <row r="191" spans="1:14" s="2" customFormat="1" ht="15.75" customHeight="1" x14ac:dyDescent="0.35">
      <c r="A191" s="84">
        <v>9</v>
      </c>
      <c r="B191" s="84"/>
      <c r="C191" s="46" t="s">
        <v>187</v>
      </c>
      <c r="D191" s="53">
        <f>(26.37+1.48*2.75+2.75+0.6*(2.15+2.15))*10.764</f>
        <v>385.02827999999994</v>
      </c>
      <c r="E191" s="63">
        <v>0</v>
      </c>
      <c r="F191" s="63">
        <f t="shared" si="13"/>
        <v>577.54241999999988</v>
      </c>
      <c r="G191" s="84"/>
      <c r="H191" s="84"/>
      <c r="I191" s="31"/>
    </row>
    <row r="192" spans="1:14" s="2" customFormat="1" hidden="1" x14ac:dyDescent="0.35">
      <c r="A192" s="110" t="s">
        <v>189</v>
      </c>
      <c r="B192" s="111"/>
      <c r="C192" s="111"/>
      <c r="D192" s="111"/>
      <c r="E192" s="111"/>
      <c r="F192" s="111"/>
      <c r="G192" s="111"/>
      <c r="H192" s="112"/>
      <c r="I192" s="31"/>
    </row>
    <row r="193" spans="1:9" s="2" customFormat="1" hidden="1" x14ac:dyDescent="0.35">
      <c r="A193" s="65">
        <v>3</v>
      </c>
      <c r="B193" s="66"/>
      <c r="C193" s="13" t="s">
        <v>188</v>
      </c>
      <c r="D193" s="13">
        <f>(44.61+0.75*(1.5+2.6+3.05+2.7))*10.764</f>
        <v>559.70109000000002</v>
      </c>
      <c r="E193" s="13">
        <v>0</v>
      </c>
      <c r="F193" s="13">
        <f>D193*(($F$170)+1)+(IF(E193&lt;101,E193,IF(E193&lt;201,E193/2,IF(E193&lt;=301,E193/3,E193/4))))</f>
        <v>839.55163500000003</v>
      </c>
      <c r="G193" s="65" t="str">
        <f>A192</f>
        <v>7th Floor</v>
      </c>
      <c r="H193" s="66"/>
      <c r="I193" s="31"/>
    </row>
    <row r="194" spans="1:9" s="2" customFormat="1" hidden="1" x14ac:dyDescent="0.35">
      <c r="A194" s="65">
        <v>4</v>
      </c>
      <c r="B194" s="66"/>
      <c r="C194" s="13" t="s">
        <v>188</v>
      </c>
      <c r="D194" s="13">
        <f>(49.93+0.75*(2.9+3.2+3.2+1.5))*10.764</f>
        <v>624.63491999999997</v>
      </c>
      <c r="E194" s="13">
        <v>0</v>
      </c>
      <c r="F194" s="13">
        <f>D194*(($F$170)+1)+(IF(E194&lt;101,E194,IF(E194&lt;201,E194/2,IF(E194&lt;=301,E194/3,E194/4))))</f>
        <v>936.95237999999995</v>
      </c>
      <c r="G194" s="65" t="str">
        <f>G193</f>
        <v>7th Floor</v>
      </c>
      <c r="H194" s="66"/>
      <c r="I194" s="31"/>
    </row>
    <row r="195" spans="1:9" s="2" customFormat="1" hidden="1" x14ac:dyDescent="0.35">
      <c r="A195" s="65">
        <v>5</v>
      </c>
      <c r="B195" s="66"/>
      <c r="C195" s="13" t="s">
        <v>188</v>
      </c>
      <c r="D195" s="13">
        <f>(49.93+0.75*(2.9+3.2+3.2+1.5))*10.764</f>
        <v>624.63491999999997</v>
      </c>
      <c r="E195" s="13">
        <v>0</v>
      </c>
      <c r="F195" s="13">
        <f>D195*(($F$170)+1)+(IF(E195&lt;101,E195,IF(E195&lt;201,E195/2,IF(E195&lt;=301,E195/3,E195/4))))</f>
        <v>936.95237999999995</v>
      </c>
      <c r="G195" s="65" t="str">
        <f>G194</f>
        <v>7th Floor</v>
      </c>
      <c r="H195" s="66"/>
      <c r="I195" s="31"/>
    </row>
    <row r="196" spans="1:9" s="2" customFormat="1" hidden="1" x14ac:dyDescent="0.35">
      <c r="A196" s="65">
        <v>6</v>
      </c>
      <c r="B196" s="66"/>
      <c r="C196" s="13" t="s">
        <v>188</v>
      </c>
      <c r="D196" s="13">
        <f>(47.54+0.75*(2.9+3.05+2.75))*10.764</f>
        <v>581.95565999999997</v>
      </c>
      <c r="E196" s="13">
        <v>0</v>
      </c>
      <c r="F196" s="13">
        <f>D196*(($F$170)+1)+(IF(E196&lt;101,E196,IF(E196&lt;201,E196/2,IF(E196&lt;=301,E196/3,E196/4))))</f>
        <v>872.93348999999989</v>
      </c>
      <c r="G196" s="65" t="str">
        <f>G195</f>
        <v>7th Floor</v>
      </c>
      <c r="H196" s="66"/>
      <c r="I196" s="31"/>
    </row>
    <row r="197" spans="1:9" s="4" customFormat="1" hidden="1" x14ac:dyDescent="0.35">
      <c r="A197" s="85" t="s">
        <v>192</v>
      </c>
      <c r="B197" s="85"/>
      <c r="C197" s="85"/>
      <c r="D197" s="85"/>
      <c r="E197" s="85"/>
      <c r="F197" s="85"/>
      <c r="G197" s="85"/>
      <c r="H197" s="85"/>
    </row>
    <row r="198" spans="1:9" s="4" customFormat="1" hidden="1" x14ac:dyDescent="0.35">
      <c r="A198" s="85" t="s">
        <v>194</v>
      </c>
      <c r="B198" s="85"/>
      <c r="C198" s="85"/>
      <c r="D198" s="85"/>
      <c r="E198" s="85"/>
      <c r="F198" s="85"/>
      <c r="G198" s="85"/>
      <c r="H198" s="85"/>
    </row>
    <row r="199" spans="1:9" s="2" customFormat="1" hidden="1" x14ac:dyDescent="0.35">
      <c r="A199" s="110" t="s">
        <v>193</v>
      </c>
      <c r="B199" s="111"/>
      <c r="C199" s="111"/>
      <c r="D199" s="111"/>
      <c r="E199" s="111"/>
      <c r="F199" s="111"/>
      <c r="G199" s="111"/>
      <c r="H199" s="112"/>
      <c r="I199" s="31"/>
    </row>
    <row r="200" spans="1:9" s="2" customFormat="1" hidden="1" x14ac:dyDescent="0.35">
      <c r="A200" s="65">
        <v>1</v>
      </c>
      <c r="B200" s="66"/>
      <c r="C200" s="13" t="s">
        <v>195</v>
      </c>
      <c r="D200" s="13">
        <f>(19.22)*10.764</f>
        <v>206.88407999999998</v>
      </c>
      <c r="E200" s="13">
        <v>0</v>
      </c>
      <c r="F200" s="13">
        <f t="shared" ref="F200:F205" si="14">D200*(($F$170)+1)+(IF(E200&lt;101,E200,IF(E200&lt;201,E200/2,IF(E200&lt;=301,E200/3,E200/4))))</f>
        <v>310.32611999999995</v>
      </c>
      <c r="G200" s="65" t="str">
        <f>A199</f>
        <v>1st to 7th, 9th to 11th Floor</v>
      </c>
      <c r="H200" s="66"/>
      <c r="I200" s="31"/>
    </row>
    <row r="201" spans="1:9" s="2" customFormat="1" hidden="1" x14ac:dyDescent="0.35">
      <c r="A201" s="65">
        <v>2</v>
      </c>
      <c r="B201" s="66"/>
      <c r="C201" s="13" t="s">
        <v>196</v>
      </c>
      <c r="D201" s="13">
        <f>(40.34)*10.764</f>
        <v>434.21976000000001</v>
      </c>
      <c r="E201" s="13">
        <v>0</v>
      </c>
      <c r="F201" s="13">
        <f t="shared" si="14"/>
        <v>651.32964000000004</v>
      </c>
      <c r="G201" s="65" t="str">
        <f t="shared" ref="G201:G212" si="15">G200</f>
        <v>1st to 7th, 9th to 11th Floor</v>
      </c>
      <c r="H201" s="66"/>
      <c r="I201" s="31"/>
    </row>
    <row r="202" spans="1:9" s="2" customFormat="1" hidden="1" x14ac:dyDescent="0.35">
      <c r="A202" s="65">
        <v>3</v>
      </c>
      <c r="B202" s="66"/>
      <c r="C202" s="13" t="s">
        <v>195</v>
      </c>
      <c r="D202" s="13">
        <f>(18.35)*10.764</f>
        <v>197.51939999999999</v>
      </c>
      <c r="E202" s="13">
        <v>0</v>
      </c>
      <c r="F202" s="13">
        <f t="shared" si="14"/>
        <v>296.27909999999997</v>
      </c>
      <c r="G202" s="65" t="str">
        <f t="shared" si="15"/>
        <v>1st to 7th, 9th to 11th Floor</v>
      </c>
      <c r="H202" s="66"/>
      <c r="I202" s="31"/>
    </row>
    <row r="203" spans="1:9" s="2" customFormat="1" hidden="1" x14ac:dyDescent="0.35">
      <c r="A203" s="65">
        <v>4</v>
      </c>
      <c r="B203" s="66"/>
      <c r="C203" s="13" t="s">
        <v>195</v>
      </c>
      <c r="D203" s="13">
        <f>(16.57)*10.764</f>
        <v>178.35947999999999</v>
      </c>
      <c r="E203" s="13">
        <v>0</v>
      </c>
      <c r="F203" s="13">
        <f t="shared" si="14"/>
        <v>267.53922</v>
      </c>
      <c r="G203" s="65" t="str">
        <f t="shared" si="15"/>
        <v>1st to 7th, 9th to 11th Floor</v>
      </c>
      <c r="H203" s="66"/>
      <c r="I203" s="31"/>
    </row>
    <row r="204" spans="1:9" s="2" customFormat="1" hidden="1" x14ac:dyDescent="0.35">
      <c r="A204" s="65">
        <v>5</v>
      </c>
      <c r="B204" s="66"/>
      <c r="C204" s="13" t="s">
        <v>195</v>
      </c>
      <c r="D204" s="13">
        <f>(19.22)*10.764</f>
        <v>206.88407999999998</v>
      </c>
      <c r="E204" s="13">
        <v>0</v>
      </c>
      <c r="F204" s="13">
        <f t="shared" si="14"/>
        <v>310.32611999999995</v>
      </c>
      <c r="G204" s="65" t="str">
        <f t="shared" si="15"/>
        <v>1st to 7th, 9th to 11th Floor</v>
      </c>
      <c r="H204" s="66"/>
      <c r="I204" s="31"/>
    </row>
    <row r="205" spans="1:9" s="2" customFormat="1" hidden="1" x14ac:dyDescent="0.35">
      <c r="A205" s="65">
        <v>6</v>
      </c>
      <c r="B205" s="66"/>
      <c r="C205" s="13" t="s">
        <v>187</v>
      </c>
      <c r="D205" s="13">
        <f>(28.3)*10.764</f>
        <v>304.62119999999999</v>
      </c>
      <c r="E205" s="13">
        <v>0</v>
      </c>
      <c r="F205" s="13">
        <f t="shared" si="14"/>
        <v>456.93179999999995</v>
      </c>
      <c r="G205" s="65" t="str">
        <f t="shared" si="15"/>
        <v>1st to 7th, 9th to 11th Floor</v>
      </c>
      <c r="H205" s="66"/>
      <c r="I205" s="31"/>
    </row>
    <row r="206" spans="1:9" s="2" customFormat="1" hidden="1" x14ac:dyDescent="0.35">
      <c r="A206" s="65">
        <v>7</v>
      </c>
      <c r="B206" s="66"/>
      <c r="C206" s="13" t="s">
        <v>195</v>
      </c>
      <c r="D206" s="13">
        <f>(16.57)*10.764</f>
        <v>178.35947999999999</v>
      </c>
      <c r="E206" s="13">
        <v>0</v>
      </c>
      <c r="F206" s="13">
        <f t="shared" ref="F206:F210" si="16">D206*(($F$170)+1)+(IF(E206&lt;101,E206,IF(E206&lt;201,E206/2,IF(E206&lt;=301,E206/3,E206/4))))</f>
        <v>267.53922</v>
      </c>
      <c r="G206" s="65" t="str">
        <f t="shared" si="15"/>
        <v>1st to 7th, 9th to 11th Floor</v>
      </c>
      <c r="H206" s="66"/>
      <c r="I206" s="31"/>
    </row>
    <row r="207" spans="1:9" s="2" customFormat="1" hidden="1" x14ac:dyDescent="0.35">
      <c r="A207" s="65">
        <v>8</v>
      </c>
      <c r="B207" s="66"/>
      <c r="C207" s="13" t="s">
        <v>195</v>
      </c>
      <c r="D207" s="13">
        <f>(18.68)*10.764</f>
        <v>201.07151999999999</v>
      </c>
      <c r="E207" s="13">
        <v>0</v>
      </c>
      <c r="F207" s="13">
        <f t="shared" si="16"/>
        <v>301.60728</v>
      </c>
      <c r="G207" s="65" t="str">
        <f t="shared" si="15"/>
        <v>1st to 7th, 9th to 11th Floor</v>
      </c>
      <c r="H207" s="66"/>
      <c r="I207" s="31"/>
    </row>
    <row r="208" spans="1:9" s="2" customFormat="1" hidden="1" x14ac:dyDescent="0.35">
      <c r="A208" s="65">
        <v>9</v>
      </c>
      <c r="B208" s="66"/>
      <c r="C208" s="13" t="s">
        <v>195</v>
      </c>
      <c r="D208" s="13">
        <f>(16.21)*10.764</f>
        <v>174.48444000000001</v>
      </c>
      <c r="E208" s="13">
        <v>0</v>
      </c>
      <c r="F208" s="13">
        <f t="shared" si="16"/>
        <v>261.72666000000004</v>
      </c>
      <c r="G208" s="65" t="str">
        <f t="shared" si="15"/>
        <v>1st to 7th, 9th to 11th Floor</v>
      </c>
      <c r="H208" s="66"/>
      <c r="I208" s="31"/>
    </row>
    <row r="209" spans="1:9" s="2" customFormat="1" hidden="1" x14ac:dyDescent="0.35">
      <c r="A209" s="65">
        <v>10</v>
      </c>
      <c r="B209" s="66"/>
      <c r="C209" s="13" t="s">
        <v>195</v>
      </c>
      <c r="D209" s="13">
        <f>(16.61)*10.764</f>
        <v>178.79003999999998</v>
      </c>
      <c r="E209" s="13">
        <v>0</v>
      </c>
      <c r="F209" s="13">
        <f t="shared" si="16"/>
        <v>268.18505999999996</v>
      </c>
      <c r="G209" s="65" t="str">
        <f t="shared" si="15"/>
        <v>1st to 7th, 9th to 11th Floor</v>
      </c>
      <c r="H209" s="66"/>
      <c r="I209" s="31"/>
    </row>
    <row r="210" spans="1:9" s="2" customFormat="1" hidden="1" x14ac:dyDescent="0.35">
      <c r="A210" s="65">
        <v>11</v>
      </c>
      <c r="B210" s="66"/>
      <c r="C210" s="13" t="s">
        <v>195</v>
      </c>
      <c r="D210" s="13">
        <f>(18.68)*10.764</f>
        <v>201.07151999999999</v>
      </c>
      <c r="E210" s="13">
        <v>0</v>
      </c>
      <c r="F210" s="13">
        <f t="shared" si="16"/>
        <v>301.60728</v>
      </c>
      <c r="G210" s="65" t="str">
        <f t="shared" si="15"/>
        <v>1st to 7th, 9th to 11th Floor</v>
      </c>
      <c r="H210" s="66"/>
      <c r="I210" s="31"/>
    </row>
    <row r="211" spans="1:9" s="2" customFormat="1" hidden="1" x14ac:dyDescent="0.35">
      <c r="A211" s="65">
        <v>12</v>
      </c>
      <c r="B211" s="66"/>
      <c r="C211" s="13" t="s">
        <v>195</v>
      </c>
      <c r="D211" s="13">
        <f>(17.56)*10.764</f>
        <v>189.01583999999997</v>
      </c>
      <c r="E211" s="13">
        <v>0</v>
      </c>
      <c r="F211" s="13">
        <f t="shared" ref="F211" si="17">D211*(($F$170)+1)+(IF(E211&lt;101,E211,IF(E211&lt;201,E211/2,IF(E211&lt;=301,E211/3,E211/4))))</f>
        <v>283.52375999999992</v>
      </c>
      <c r="G211" s="65" t="str">
        <f t="shared" si="15"/>
        <v>1st to 7th, 9th to 11th Floor</v>
      </c>
      <c r="H211" s="66"/>
      <c r="I211" s="31"/>
    </row>
    <row r="212" spans="1:9" s="2" customFormat="1" hidden="1" x14ac:dyDescent="0.35">
      <c r="A212" s="65">
        <v>13</v>
      </c>
      <c r="B212" s="66"/>
      <c r="C212" s="13" t="s">
        <v>195</v>
      </c>
      <c r="D212" s="13">
        <f>(19.22)*10.764</f>
        <v>206.88407999999998</v>
      </c>
      <c r="E212" s="13">
        <v>0</v>
      </c>
      <c r="F212" s="13">
        <f t="shared" ref="F212" si="18">D212*(($F$170)+1)+(IF(E212&lt;101,E212,IF(E212&lt;201,E212/2,IF(E212&lt;=301,E212/3,E212/4))))</f>
        <v>310.32611999999995</v>
      </c>
      <c r="G212" s="65" t="str">
        <f t="shared" si="15"/>
        <v>1st to 7th, 9th to 11th Floor</v>
      </c>
      <c r="H212" s="66"/>
      <c r="I212" s="31"/>
    </row>
    <row r="213" spans="1:9" s="2" customFormat="1" hidden="1" x14ac:dyDescent="0.35">
      <c r="A213" s="110" t="s">
        <v>198</v>
      </c>
      <c r="B213" s="111"/>
      <c r="C213" s="111"/>
      <c r="D213" s="111"/>
      <c r="E213" s="111"/>
      <c r="F213" s="111"/>
      <c r="G213" s="111"/>
      <c r="H213" s="112"/>
      <c r="I213" s="31"/>
    </row>
    <row r="214" spans="1:9" s="2" customFormat="1" hidden="1" x14ac:dyDescent="0.35">
      <c r="A214" s="65">
        <v>1</v>
      </c>
      <c r="B214" s="66"/>
      <c r="C214" s="13" t="s">
        <v>195</v>
      </c>
      <c r="D214" s="13">
        <f>(19.22)*10.764</f>
        <v>206.88407999999998</v>
      </c>
      <c r="E214" s="13">
        <v>0</v>
      </c>
      <c r="F214" s="13">
        <f t="shared" ref="F214:F223" si="19">D214*(($F$170)+1)+(IF(E214&lt;101,E214,IF(E214&lt;201,E214/2,IF(E214&lt;=301,E214/3,E214/4))))</f>
        <v>310.32611999999995</v>
      </c>
      <c r="G214" s="65" t="str">
        <f>A213</f>
        <v>8th Floor (Part Refuge Area)</v>
      </c>
      <c r="H214" s="66"/>
      <c r="I214" s="31"/>
    </row>
    <row r="215" spans="1:9" s="2" customFormat="1" hidden="1" x14ac:dyDescent="0.35">
      <c r="A215" s="65">
        <v>2</v>
      </c>
      <c r="B215" s="66"/>
      <c r="C215" s="13" t="s">
        <v>196</v>
      </c>
      <c r="D215" s="13">
        <f>(40.34)*10.764</f>
        <v>434.21976000000001</v>
      </c>
      <c r="E215" s="13">
        <v>0</v>
      </c>
      <c r="F215" s="13">
        <f t="shared" si="19"/>
        <v>651.32964000000004</v>
      </c>
      <c r="G215" s="65" t="str">
        <f t="shared" ref="G215:G226" si="20">G214</f>
        <v>8th Floor (Part Refuge Area)</v>
      </c>
      <c r="H215" s="66"/>
      <c r="I215" s="31"/>
    </row>
    <row r="216" spans="1:9" s="2" customFormat="1" hidden="1" x14ac:dyDescent="0.35">
      <c r="A216" s="65">
        <v>3</v>
      </c>
      <c r="B216" s="66"/>
      <c r="C216" s="13" t="s">
        <v>195</v>
      </c>
      <c r="D216" s="13">
        <f>(18.35)*10.764</f>
        <v>197.51939999999999</v>
      </c>
      <c r="E216" s="13">
        <v>0</v>
      </c>
      <c r="F216" s="13">
        <f t="shared" si="19"/>
        <v>296.27909999999997</v>
      </c>
      <c r="G216" s="65" t="str">
        <f t="shared" si="20"/>
        <v>8th Floor (Part Refuge Area)</v>
      </c>
      <c r="H216" s="66"/>
      <c r="I216" s="31"/>
    </row>
    <row r="217" spans="1:9" s="2" customFormat="1" hidden="1" x14ac:dyDescent="0.35">
      <c r="A217" s="65">
        <v>4</v>
      </c>
      <c r="B217" s="66"/>
      <c r="C217" s="13" t="s">
        <v>195</v>
      </c>
      <c r="D217" s="13">
        <f>(16.57)*10.764</f>
        <v>178.35947999999999</v>
      </c>
      <c r="E217" s="13">
        <v>0</v>
      </c>
      <c r="F217" s="13">
        <f t="shared" si="19"/>
        <v>267.53922</v>
      </c>
      <c r="G217" s="65" t="str">
        <f t="shared" si="20"/>
        <v>8th Floor (Part Refuge Area)</v>
      </c>
      <c r="H217" s="66"/>
      <c r="I217" s="31"/>
    </row>
    <row r="218" spans="1:9" s="2" customFormat="1" hidden="1" x14ac:dyDescent="0.35">
      <c r="A218" s="65">
        <v>5</v>
      </c>
      <c r="B218" s="66"/>
      <c r="C218" s="13" t="s">
        <v>195</v>
      </c>
      <c r="D218" s="13">
        <f>(19.22)*10.764</f>
        <v>206.88407999999998</v>
      </c>
      <c r="E218" s="13">
        <v>0</v>
      </c>
      <c r="F218" s="13">
        <f t="shared" si="19"/>
        <v>310.32611999999995</v>
      </c>
      <c r="G218" s="65" t="str">
        <f t="shared" si="20"/>
        <v>8th Floor (Part Refuge Area)</v>
      </c>
      <c r="H218" s="66"/>
      <c r="I218" s="31"/>
    </row>
    <row r="219" spans="1:9" s="2" customFormat="1" hidden="1" x14ac:dyDescent="0.35">
      <c r="A219" s="65">
        <v>6</v>
      </c>
      <c r="B219" s="66"/>
      <c r="C219" s="13" t="s">
        <v>196</v>
      </c>
      <c r="D219" s="13">
        <f>(28.3)*10.764</f>
        <v>304.62119999999999</v>
      </c>
      <c r="E219" s="13">
        <v>0</v>
      </c>
      <c r="F219" s="13">
        <f t="shared" si="19"/>
        <v>456.93179999999995</v>
      </c>
      <c r="G219" s="65" t="str">
        <f t="shared" si="20"/>
        <v>8th Floor (Part Refuge Area)</v>
      </c>
      <c r="H219" s="66"/>
      <c r="I219" s="31"/>
    </row>
    <row r="220" spans="1:9" s="2" customFormat="1" hidden="1" x14ac:dyDescent="0.35">
      <c r="A220" s="65">
        <v>7</v>
      </c>
      <c r="B220" s="66"/>
      <c r="C220" s="13" t="s">
        <v>195</v>
      </c>
      <c r="D220" s="13">
        <f>(16.57)*10.764</f>
        <v>178.35947999999999</v>
      </c>
      <c r="E220" s="13">
        <v>0</v>
      </c>
      <c r="F220" s="13">
        <f t="shared" si="19"/>
        <v>267.53922</v>
      </c>
      <c r="G220" s="65" t="str">
        <f t="shared" si="20"/>
        <v>8th Floor (Part Refuge Area)</v>
      </c>
      <c r="H220" s="66"/>
      <c r="I220" s="31"/>
    </row>
    <row r="221" spans="1:9" s="2" customFormat="1" hidden="1" x14ac:dyDescent="0.35">
      <c r="A221" s="65">
        <v>8</v>
      </c>
      <c r="B221" s="66"/>
      <c r="C221" s="13" t="s">
        <v>195</v>
      </c>
      <c r="D221" s="13">
        <f>(18.68)*10.764</f>
        <v>201.07151999999999</v>
      </c>
      <c r="E221" s="13">
        <v>0</v>
      </c>
      <c r="F221" s="13">
        <f t="shared" si="19"/>
        <v>301.60728</v>
      </c>
      <c r="G221" s="65" t="str">
        <f t="shared" si="20"/>
        <v>8th Floor (Part Refuge Area)</v>
      </c>
      <c r="H221" s="66"/>
      <c r="I221" s="31"/>
    </row>
    <row r="222" spans="1:9" s="2" customFormat="1" hidden="1" x14ac:dyDescent="0.35">
      <c r="A222" s="65">
        <v>9</v>
      </c>
      <c r="B222" s="66"/>
      <c r="C222" s="13" t="s">
        <v>195</v>
      </c>
      <c r="D222" s="13">
        <f>(16.21)*10.764</f>
        <v>174.48444000000001</v>
      </c>
      <c r="E222" s="13">
        <v>0</v>
      </c>
      <c r="F222" s="13">
        <f t="shared" si="19"/>
        <v>261.72666000000004</v>
      </c>
      <c r="G222" s="65" t="str">
        <f t="shared" si="20"/>
        <v>8th Floor (Part Refuge Area)</v>
      </c>
      <c r="H222" s="66"/>
      <c r="I222" s="31"/>
    </row>
    <row r="223" spans="1:9" s="2" customFormat="1" hidden="1" x14ac:dyDescent="0.35">
      <c r="A223" s="65">
        <v>10</v>
      </c>
      <c r="B223" s="66"/>
      <c r="C223" s="13" t="s">
        <v>195</v>
      </c>
      <c r="D223" s="13">
        <f>(16.61)*10.764</f>
        <v>178.79003999999998</v>
      </c>
      <c r="E223" s="13">
        <v>0</v>
      </c>
      <c r="F223" s="13">
        <f t="shared" si="19"/>
        <v>268.18505999999996</v>
      </c>
      <c r="G223" s="65" t="str">
        <f t="shared" si="20"/>
        <v>8th Floor (Part Refuge Area)</v>
      </c>
      <c r="H223" s="66"/>
      <c r="I223" s="31"/>
    </row>
    <row r="224" spans="1:9" s="2" customFormat="1" hidden="1" x14ac:dyDescent="0.35">
      <c r="A224" s="65">
        <v>11</v>
      </c>
      <c r="B224" s="66"/>
      <c r="C224" s="96" t="s">
        <v>197</v>
      </c>
      <c r="D224" s="187"/>
      <c r="E224" s="187"/>
      <c r="F224" s="97"/>
      <c r="G224" s="65" t="str">
        <f t="shared" si="20"/>
        <v>8th Floor (Part Refuge Area)</v>
      </c>
      <c r="H224" s="66"/>
      <c r="I224" s="31"/>
    </row>
    <row r="225" spans="1:9" s="2" customFormat="1" hidden="1" x14ac:dyDescent="0.35">
      <c r="A225" s="65">
        <v>12</v>
      </c>
      <c r="B225" s="66"/>
      <c r="C225" s="100"/>
      <c r="D225" s="188"/>
      <c r="E225" s="188"/>
      <c r="F225" s="101"/>
      <c r="G225" s="65" t="str">
        <f t="shared" si="20"/>
        <v>8th Floor (Part Refuge Area)</v>
      </c>
      <c r="H225" s="66"/>
      <c r="I225" s="31"/>
    </row>
    <row r="226" spans="1:9" s="2" customFormat="1" hidden="1" x14ac:dyDescent="0.35">
      <c r="A226" s="65">
        <v>13</v>
      </c>
      <c r="B226" s="66"/>
      <c r="C226" s="13" t="s">
        <v>195</v>
      </c>
      <c r="D226" s="13">
        <f>(19.22)*10.764</f>
        <v>206.88407999999998</v>
      </c>
      <c r="E226" s="13">
        <v>0</v>
      </c>
      <c r="F226" s="13">
        <f>D226*(($F$170)+1)+(IF(E226&lt;101,E226,IF(E226&lt;201,E226/2,IF(E226&lt;=301,E226/3,E226/4))))</f>
        <v>310.32611999999995</v>
      </c>
      <c r="G226" s="65" t="str">
        <f t="shared" si="20"/>
        <v>8th Floor (Part Refuge Area)</v>
      </c>
      <c r="H226" s="66"/>
      <c r="I226" s="31"/>
    </row>
    <row r="227" spans="1:9" s="1" customFormat="1" x14ac:dyDescent="0.35">
      <c r="A227" s="155" t="s">
        <v>71</v>
      </c>
      <c r="B227" s="156"/>
      <c r="C227" s="156"/>
      <c r="D227" s="156"/>
      <c r="E227" s="156"/>
      <c r="F227" s="156"/>
      <c r="G227" s="156"/>
      <c r="H227" s="157"/>
    </row>
    <row r="228" spans="1:9" s="1" customFormat="1" ht="17.25" customHeight="1" x14ac:dyDescent="0.35">
      <c r="A228" s="44" t="s">
        <v>160</v>
      </c>
      <c r="B228" s="67" t="s">
        <v>241</v>
      </c>
      <c r="C228" s="68"/>
      <c r="D228" s="68"/>
      <c r="E228" s="68"/>
      <c r="F228" s="68"/>
      <c r="G228" s="68"/>
      <c r="H228" s="69"/>
    </row>
    <row r="229" spans="1:9" s="1" customFormat="1" ht="15.75" customHeight="1" x14ac:dyDescent="0.35">
      <c r="A229" s="44" t="s">
        <v>160</v>
      </c>
      <c r="B229" s="67" t="str">
        <f>(IF(F169="Saleable area Loading :","We have considered Saleable area of Flats as per our Calculation.","We considered Saleable area of Flat as per Builder area Sheet."))</f>
        <v>We have considered Saleable area of Flats as per our Calculation.</v>
      </c>
      <c r="C229" s="68"/>
      <c r="D229" s="68"/>
      <c r="E229" s="68"/>
      <c r="F229" s="68"/>
      <c r="G229" s="68"/>
      <c r="H229" s="69"/>
    </row>
    <row r="230" spans="1:9" s="1" customFormat="1" ht="15.75" customHeight="1" x14ac:dyDescent="0.35">
      <c r="A230" s="44" t="s">
        <v>160</v>
      </c>
      <c r="B230" s="67" t="str">
        <f>(IF(F121="Saleable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30" s="68"/>
      <c r="D230" s="68"/>
      <c r="E230" s="68"/>
      <c r="F230" s="68"/>
      <c r="G230" s="68"/>
      <c r="H230" s="69"/>
    </row>
    <row r="231" spans="1:9" s="1" customFormat="1" ht="15.75" customHeight="1" x14ac:dyDescent="0.35">
      <c r="A231" s="44" t="s">
        <v>160</v>
      </c>
      <c r="B231" s="67" t="s">
        <v>130</v>
      </c>
      <c r="C231" s="68"/>
      <c r="D231" s="68"/>
      <c r="E231" s="68"/>
      <c r="F231" s="68"/>
      <c r="G231" s="68"/>
      <c r="H231" s="69"/>
    </row>
    <row r="232" spans="1:9" s="1" customFormat="1" ht="15.75" customHeight="1" x14ac:dyDescent="0.35">
      <c r="A232" s="44" t="s">
        <v>160</v>
      </c>
      <c r="B232" s="67" t="s">
        <v>199</v>
      </c>
      <c r="C232" s="68"/>
      <c r="D232" s="68"/>
      <c r="E232" s="68"/>
      <c r="F232" s="68"/>
      <c r="G232" s="68"/>
      <c r="H232" s="69"/>
    </row>
    <row r="233" spans="1:9" s="1" customFormat="1" ht="15.75" customHeight="1" x14ac:dyDescent="0.35">
      <c r="A233" s="44" t="s">
        <v>160</v>
      </c>
      <c r="B233" s="67" t="s">
        <v>159</v>
      </c>
      <c r="C233" s="68"/>
      <c r="D233" s="68"/>
      <c r="E233" s="68"/>
      <c r="F233" s="68"/>
      <c r="G233" s="68"/>
      <c r="H233" s="69"/>
    </row>
    <row r="234" spans="1:9" s="1" customFormat="1" ht="15.75" customHeight="1" x14ac:dyDescent="0.35">
      <c r="A234" s="44" t="s">
        <v>160</v>
      </c>
      <c r="B234" s="67" t="s">
        <v>131</v>
      </c>
      <c r="C234" s="68"/>
      <c r="D234" s="68"/>
      <c r="E234" s="68"/>
      <c r="F234" s="68"/>
      <c r="G234" s="68"/>
      <c r="H234" s="69"/>
    </row>
    <row r="235" spans="1:9" s="1" customFormat="1" ht="34.5" customHeight="1" x14ac:dyDescent="0.35">
      <c r="A235" s="44" t="s">
        <v>160</v>
      </c>
      <c r="B235" s="67" t="s">
        <v>164</v>
      </c>
      <c r="C235" s="68"/>
      <c r="D235" s="68"/>
      <c r="E235" s="68"/>
      <c r="F235" s="68"/>
      <c r="G235" s="68"/>
      <c r="H235" s="69"/>
    </row>
    <row r="236" spans="1:9" s="1" customFormat="1" ht="15.75" customHeight="1" x14ac:dyDescent="0.35">
      <c r="A236" s="44" t="s">
        <v>160</v>
      </c>
      <c r="B236" s="67" t="s">
        <v>132</v>
      </c>
      <c r="C236" s="68"/>
      <c r="D236" s="68"/>
      <c r="E236" s="68"/>
      <c r="F236" s="68"/>
      <c r="G236" s="68"/>
      <c r="H236" s="69"/>
    </row>
    <row r="237" spans="1:9" s="1" customFormat="1" ht="15.75" hidden="1" customHeight="1" x14ac:dyDescent="0.35">
      <c r="A237" s="44" t="s">
        <v>160</v>
      </c>
      <c r="B237" s="67" t="s">
        <v>232</v>
      </c>
      <c r="C237" s="68"/>
      <c r="D237" s="68"/>
      <c r="E237" s="68"/>
      <c r="F237" s="68"/>
      <c r="G237" s="68"/>
      <c r="H237" s="69"/>
    </row>
    <row r="238" spans="1:9" s="1" customFormat="1" ht="32.25" customHeight="1" x14ac:dyDescent="0.35">
      <c r="A238" s="44" t="s">
        <v>160</v>
      </c>
      <c r="B238" s="67" t="s">
        <v>218</v>
      </c>
      <c r="C238" s="68"/>
      <c r="D238" s="68"/>
      <c r="E238" s="68"/>
      <c r="F238" s="68"/>
      <c r="G238" s="68"/>
      <c r="H238" s="69"/>
    </row>
    <row r="239" spans="1:9" s="1" customFormat="1" x14ac:dyDescent="0.35">
      <c r="A239" s="44" t="s">
        <v>160</v>
      </c>
      <c r="B239" s="67" t="s">
        <v>229</v>
      </c>
      <c r="C239" s="68"/>
      <c r="D239" s="68"/>
      <c r="E239" s="68"/>
      <c r="F239" s="68"/>
      <c r="G239" s="68"/>
      <c r="H239" s="69"/>
    </row>
    <row r="240" spans="1:9" s="1" customFormat="1" x14ac:dyDescent="0.35">
      <c r="A240" s="44" t="s">
        <v>160</v>
      </c>
      <c r="B240" s="67" t="s">
        <v>237</v>
      </c>
      <c r="C240" s="68"/>
      <c r="D240" s="68"/>
      <c r="E240" s="68"/>
      <c r="F240" s="68"/>
      <c r="G240" s="68"/>
      <c r="H240" s="69"/>
    </row>
    <row r="241" spans="1:8" x14ac:dyDescent="0.35">
      <c r="A241" s="168" t="s">
        <v>64</v>
      </c>
      <c r="B241" s="169"/>
      <c r="C241" s="169"/>
      <c r="D241" s="169"/>
      <c r="E241" s="169"/>
      <c r="F241" s="169"/>
      <c r="G241" s="169"/>
      <c r="H241" s="170"/>
    </row>
    <row r="242" spans="1:8" x14ac:dyDescent="0.35">
      <c r="A242" s="171" t="s">
        <v>65</v>
      </c>
      <c r="B242" s="172"/>
      <c r="C242" s="172"/>
      <c r="D242" s="172"/>
      <c r="E242" s="172"/>
      <c r="F242" s="172"/>
      <c r="G242" s="172"/>
      <c r="H242" s="173"/>
    </row>
    <row r="243" spans="1:8" ht="15.75" customHeight="1" x14ac:dyDescent="0.35">
      <c r="A243" s="165" t="s">
        <v>66</v>
      </c>
      <c r="B243" s="166"/>
      <c r="C243" s="166"/>
      <c r="D243" s="166"/>
      <c r="E243" s="166"/>
      <c r="F243" s="166"/>
      <c r="G243" s="166"/>
      <c r="H243" s="167"/>
    </row>
    <row r="244" spans="1:8" x14ac:dyDescent="0.35">
      <c r="A244" s="125" t="s">
        <v>67</v>
      </c>
      <c r="B244" s="125"/>
      <c r="C244" s="125"/>
      <c r="D244" s="125"/>
      <c r="E244" s="125"/>
      <c r="F244" s="125"/>
      <c r="G244" s="125"/>
      <c r="H244" s="125"/>
    </row>
    <row r="245" spans="1:8" x14ac:dyDescent="0.35">
      <c r="A245" s="125" t="s">
        <v>68</v>
      </c>
      <c r="B245" s="125"/>
      <c r="C245" s="125"/>
      <c r="D245" s="125"/>
      <c r="E245" s="125"/>
      <c r="F245" s="125"/>
      <c r="G245" s="125"/>
      <c r="H245" s="125"/>
    </row>
    <row r="246" spans="1:8" x14ac:dyDescent="0.35">
      <c r="A246" s="125" t="s">
        <v>133</v>
      </c>
      <c r="B246" s="125"/>
      <c r="C246" s="125"/>
      <c r="D246" s="125"/>
      <c r="E246" s="125"/>
      <c r="F246" s="125"/>
      <c r="G246" s="125"/>
      <c r="H246" s="125"/>
    </row>
    <row r="247" spans="1:8" ht="35.25" customHeight="1" x14ac:dyDescent="0.35">
      <c r="A247" s="123" t="s">
        <v>134</v>
      </c>
      <c r="B247" s="123"/>
      <c r="C247" s="123"/>
      <c r="D247" s="123"/>
      <c r="E247" s="123"/>
      <c r="F247" s="123"/>
      <c r="G247" s="123"/>
      <c r="H247" s="123"/>
    </row>
    <row r="248" spans="1:8" x14ac:dyDescent="0.35">
      <c r="A248" s="152" t="s">
        <v>80</v>
      </c>
      <c r="B248" s="152"/>
      <c r="C248" s="152" t="s">
        <v>200</v>
      </c>
      <c r="D248" s="152"/>
      <c r="E248" s="152" t="s">
        <v>111</v>
      </c>
      <c r="F248" s="152"/>
      <c r="G248" s="152" t="s">
        <v>242</v>
      </c>
      <c r="H248" s="152"/>
    </row>
    <row r="249" spans="1:8" x14ac:dyDescent="0.35">
      <c r="A249" s="151" t="s">
        <v>82</v>
      </c>
      <c r="B249" s="151"/>
      <c r="C249" s="151"/>
      <c r="D249" s="151"/>
      <c r="E249" s="151"/>
      <c r="F249" s="151"/>
      <c r="G249" s="151"/>
      <c r="H249" s="151"/>
    </row>
    <row r="250" spans="1:8" x14ac:dyDescent="0.35">
      <c r="A250" s="151"/>
      <c r="B250" s="151"/>
      <c r="C250" s="151"/>
      <c r="D250" s="151"/>
      <c r="E250" s="151"/>
      <c r="F250" s="151"/>
      <c r="G250" s="151"/>
      <c r="H250" s="151"/>
    </row>
    <row r="251" spans="1:8" x14ac:dyDescent="0.35">
      <c r="A251" s="151"/>
      <c r="B251" s="151"/>
      <c r="C251" s="151"/>
      <c r="D251" s="151"/>
      <c r="E251" s="151"/>
      <c r="F251" s="151"/>
      <c r="G251" s="151"/>
      <c r="H251" s="151"/>
    </row>
    <row r="252" spans="1:8" x14ac:dyDescent="0.35">
      <c r="A252" s="151"/>
      <c r="B252" s="151"/>
      <c r="C252" s="151"/>
      <c r="D252" s="151"/>
      <c r="E252" s="151"/>
      <c r="F252" s="151"/>
      <c r="G252" s="151"/>
      <c r="H252" s="151"/>
    </row>
    <row r="253" spans="1:8" x14ac:dyDescent="0.35">
      <c r="A253" s="8" t="s">
        <v>69</v>
      </c>
      <c r="B253" s="9"/>
      <c r="C253" s="9"/>
      <c r="D253" s="8" t="str">
        <f>E8</f>
        <v>Armaan Lotus</v>
      </c>
      <c r="F253" s="9"/>
      <c r="G253" s="9"/>
      <c r="H253" s="9"/>
    </row>
    <row r="254" spans="1:8" x14ac:dyDescent="0.35">
      <c r="A254" s="9"/>
      <c r="B254" s="9"/>
      <c r="C254" s="9"/>
      <c r="D254" s="9"/>
      <c r="E254" s="9"/>
      <c r="F254" s="9"/>
      <c r="G254" s="9"/>
      <c r="H254" s="9"/>
    </row>
    <row r="255" spans="1:8" x14ac:dyDescent="0.35">
      <c r="A255" s="9"/>
      <c r="B255" s="9"/>
      <c r="C255" s="9"/>
      <c r="D255" s="9"/>
      <c r="E255" s="9"/>
      <c r="F255" s="9"/>
      <c r="G255" s="9"/>
      <c r="H255" s="9"/>
    </row>
    <row r="256" spans="1:8" ht="15" customHeight="1" x14ac:dyDescent="0.35"/>
    <row r="271" spans="1:1" x14ac:dyDescent="0.35">
      <c r="A271" s="10" t="s">
        <v>206</v>
      </c>
    </row>
    <row r="279" ht="21.75" customHeight="1" x14ac:dyDescent="0.35"/>
    <row r="282" ht="25.5" customHeight="1" x14ac:dyDescent="0.35"/>
    <row r="295" spans="1:1" x14ac:dyDescent="0.35">
      <c r="A295" s="11" t="s">
        <v>70</v>
      </c>
    </row>
  </sheetData>
  <mergeCells count="458">
    <mergeCell ref="A208:B208"/>
    <mergeCell ref="G208:H208"/>
    <mergeCell ref="B240:H240"/>
    <mergeCell ref="A171:H171"/>
    <mergeCell ref="A167:B167"/>
    <mergeCell ref="B238:H238"/>
    <mergeCell ref="A213:H213"/>
    <mergeCell ref="A214:B214"/>
    <mergeCell ref="G214:H214"/>
    <mergeCell ref="A215:B215"/>
    <mergeCell ref="G215:H215"/>
    <mergeCell ref="A216:B216"/>
    <mergeCell ref="G216:H216"/>
    <mergeCell ref="A198:H198"/>
    <mergeCell ref="C224:F225"/>
    <mergeCell ref="A222:B222"/>
    <mergeCell ref="G222:H222"/>
    <mergeCell ref="A223:B223"/>
    <mergeCell ref="G223:H223"/>
    <mergeCell ref="A224:B224"/>
    <mergeCell ref="G224:H224"/>
    <mergeCell ref="A211:B211"/>
    <mergeCell ref="G211:H211"/>
    <mergeCell ref="A197:H197"/>
    <mergeCell ref="A176:B176"/>
    <mergeCell ref="A188:B188"/>
    <mergeCell ref="G207:H207"/>
    <mergeCell ref="A190:B190"/>
    <mergeCell ref="A180:B180"/>
    <mergeCell ref="A161:B161"/>
    <mergeCell ref="L167:M167"/>
    <mergeCell ref="A164:B164"/>
    <mergeCell ref="L164:M164"/>
    <mergeCell ref="A165:B165"/>
    <mergeCell ref="L165:M165"/>
    <mergeCell ref="A166:B166"/>
    <mergeCell ref="L163:M163"/>
    <mergeCell ref="L172:M172"/>
    <mergeCell ref="A168:H168"/>
    <mergeCell ref="A169:A170"/>
    <mergeCell ref="C169:C170"/>
    <mergeCell ref="L166:M166"/>
    <mergeCell ref="L161:M161"/>
    <mergeCell ref="A162:B162"/>
    <mergeCell ref="L162:M162"/>
    <mergeCell ref="A163:B163"/>
    <mergeCell ref="L158:M158"/>
    <mergeCell ref="A159:B159"/>
    <mergeCell ref="L159:M159"/>
    <mergeCell ref="A160:B160"/>
    <mergeCell ref="L160:M160"/>
    <mergeCell ref="L155:M155"/>
    <mergeCell ref="A156:B156"/>
    <mergeCell ref="L156:M156"/>
    <mergeCell ref="A157:B157"/>
    <mergeCell ref="L157:M157"/>
    <mergeCell ref="G142:H167"/>
    <mergeCell ref="L152:M152"/>
    <mergeCell ref="A153:B153"/>
    <mergeCell ref="L153:M153"/>
    <mergeCell ref="A154:B154"/>
    <mergeCell ref="L154:M154"/>
    <mergeCell ref="L149:M149"/>
    <mergeCell ref="A150:B150"/>
    <mergeCell ref="L150:M150"/>
    <mergeCell ref="A151:B151"/>
    <mergeCell ref="L151:M151"/>
    <mergeCell ref="L146:M146"/>
    <mergeCell ref="A147:B147"/>
    <mergeCell ref="L147:M147"/>
    <mergeCell ref="L148:M148"/>
    <mergeCell ref="L143:M143"/>
    <mergeCell ref="A144:B144"/>
    <mergeCell ref="L144:M144"/>
    <mergeCell ref="L145:M145"/>
    <mergeCell ref="A143:B143"/>
    <mergeCell ref="A139:B139"/>
    <mergeCell ref="L139:M139"/>
    <mergeCell ref="A140:B140"/>
    <mergeCell ref="L140:M140"/>
    <mergeCell ref="A141:H141"/>
    <mergeCell ref="A142:B142"/>
    <mergeCell ref="L142:M142"/>
    <mergeCell ref="G125:H140"/>
    <mergeCell ref="L135:M135"/>
    <mergeCell ref="A136:B136"/>
    <mergeCell ref="L136:M136"/>
    <mergeCell ref="A137:B137"/>
    <mergeCell ref="L137:M137"/>
    <mergeCell ref="A138:B138"/>
    <mergeCell ref="L138:M138"/>
    <mergeCell ref="A135:B135"/>
    <mergeCell ref="L131:M131"/>
    <mergeCell ref="L129:M129"/>
    <mergeCell ref="L128:M128"/>
    <mergeCell ref="L127:M127"/>
    <mergeCell ref="L126:M126"/>
    <mergeCell ref="L125:M125"/>
    <mergeCell ref="L132:M132"/>
    <mergeCell ref="A133:B133"/>
    <mergeCell ref="L133:M133"/>
    <mergeCell ref="A127:B127"/>
    <mergeCell ref="A128:B128"/>
    <mergeCell ref="A129:B129"/>
    <mergeCell ref="L134:M134"/>
    <mergeCell ref="E40:H40"/>
    <mergeCell ref="A40:D40"/>
    <mergeCell ref="A88:B88"/>
    <mergeCell ref="A89:B89"/>
    <mergeCell ref="A90:B90"/>
    <mergeCell ref="A80:B80"/>
    <mergeCell ref="C80:H80"/>
    <mergeCell ref="A75:B75"/>
    <mergeCell ref="F95:H95"/>
    <mergeCell ref="A94:H94"/>
    <mergeCell ref="G110:H110"/>
    <mergeCell ref="A47:B47"/>
    <mergeCell ref="C47:E47"/>
    <mergeCell ref="G47:H47"/>
    <mergeCell ref="G50:H50"/>
    <mergeCell ref="D54:H54"/>
    <mergeCell ref="C50:E50"/>
    <mergeCell ref="A57:C58"/>
    <mergeCell ref="D55:H55"/>
    <mergeCell ref="G52:H52"/>
    <mergeCell ref="C51:H51"/>
    <mergeCell ref="A49:B49"/>
    <mergeCell ref="L130:M130"/>
    <mergeCell ref="A246:H246"/>
    <mergeCell ref="A178:B178"/>
    <mergeCell ref="A243:H243"/>
    <mergeCell ref="G196:H196"/>
    <mergeCell ref="A173:B173"/>
    <mergeCell ref="A115:B115"/>
    <mergeCell ref="D169:D170"/>
    <mergeCell ref="E169:E170"/>
    <mergeCell ref="G169:H170"/>
    <mergeCell ref="A241:H241"/>
    <mergeCell ref="A242:H242"/>
    <mergeCell ref="E115:F115"/>
    <mergeCell ref="B236:H236"/>
    <mergeCell ref="B237:H237"/>
    <mergeCell ref="B234:H234"/>
    <mergeCell ref="G205:H205"/>
    <mergeCell ref="B230:H230"/>
    <mergeCell ref="A202:B202"/>
    <mergeCell ref="G202:H202"/>
    <mergeCell ref="G201:H201"/>
    <mergeCell ref="A199:H199"/>
    <mergeCell ref="A200:B200"/>
    <mergeCell ref="A201:B201"/>
    <mergeCell ref="A204:B204"/>
    <mergeCell ref="C49:E49"/>
    <mergeCell ref="G49:H49"/>
    <mergeCell ref="D57:H57"/>
    <mergeCell ref="D58:H58"/>
    <mergeCell ref="A64:C64"/>
    <mergeCell ref="D64:H64"/>
    <mergeCell ref="G200:H200"/>
    <mergeCell ref="A206:B206"/>
    <mergeCell ref="G206:H206"/>
    <mergeCell ref="G204:H204"/>
    <mergeCell ref="A74:B74"/>
    <mergeCell ref="A61:C61"/>
    <mergeCell ref="D61:H61"/>
    <mergeCell ref="C68:H68"/>
    <mergeCell ref="A71:B71"/>
    <mergeCell ref="A73:B73"/>
    <mergeCell ref="E69:F69"/>
    <mergeCell ref="G194:H194"/>
    <mergeCell ref="A65:C65"/>
    <mergeCell ref="D65:H65"/>
    <mergeCell ref="A63:C63"/>
    <mergeCell ref="D63:H63"/>
    <mergeCell ref="A76:B76"/>
    <mergeCell ref="A69:B69"/>
    <mergeCell ref="A72:B72"/>
    <mergeCell ref="A77:B77"/>
    <mergeCell ref="A82:B82"/>
    <mergeCell ref="C82:H82"/>
    <mergeCell ref="A70:B70"/>
    <mergeCell ref="G69:H69"/>
    <mergeCell ref="A68:B68"/>
    <mergeCell ref="A66:B66"/>
    <mergeCell ref="C66:H66"/>
    <mergeCell ref="E70:F79"/>
    <mergeCell ref="G70:H79"/>
    <mergeCell ref="A78:B78"/>
    <mergeCell ref="A79:B79"/>
    <mergeCell ref="B239:H239"/>
    <mergeCell ref="A225:B225"/>
    <mergeCell ref="A83:B83"/>
    <mergeCell ref="E83:F83"/>
    <mergeCell ref="G83:H83"/>
    <mergeCell ref="A100:E100"/>
    <mergeCell ref="A205:B205"/>
    <mergeCell ref="A203:B203"/>
    <mergeCell ref="G203:H203"/>
    <mergeCell ref="A101:E101"/>
    <mergeCell ref="A103:E103"/>
    <mergeCell ref="A227:H227"/>
    <mergeCell ref="G195:H195"/>
    <mergeCell ref="C121:C122"/>
    <mergeCell ref="B169:B170"/>
    <mergeCell ref="A192:H192"/>
    <mergeCell ref="A182:H182"/>
    <mergeCell ref="A97:E97"/>
    <mergeCell ref="G117:H117"/>
    <mergeCell ref="C115:D115"/>
    <mergeCell ref="G115:H115"/>
    <mergeCell ref="A134:B134"/>
    <mergeCell ref="A148:B148"/>
    <mergeCell ref="A184:B184"/>
    <mergeCell ref="A249:H252"/>
    <mergeCell ref="A248:B248"/>
    <mergeCell ref="E248:F248"/>
    <mergeCell ref="C248:D248"/>
    <mergeCell ref="G248:H248"/>
    <mergeCell ref="A108:H108"/>
    <mergeCell ref="A106:E106"/>
    <mergeCell ref="F106:H106"/>
    <mergeCell ref="A107:E107"/>
    <mergeCell ref="F107:H107"/>
    <mergeCell ref="A172:H172"/>
    <mergeCell ref="A116:B116"/>
    <mergeCell ref="A185:B185"/>
    <mergeCell ref="A110:B110"/>
    <mergeCell ref="A244:H244"/>
    <mergeCell ref="A114:H114"/>
    <mergeCell ref="A247:H247"/>
    <mergeCell ref="A245:H245"/>
    <mergeCell ref="A179:B179"/>
    <mergeCell ref="A119:H119"/>
    <mergeCell ref="A146:B146"/>
    <mergeCell ref="A145:B145"/>
    <mergeCell ref="A132:B132"/>
    <mergeCell ref="A158:B158"/>
    <mergeCell ref="D60:H60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6:H56"/>
    <mergeCell ref="A56:C56"/>
    <mergeCell ref="G48:H48"/>
    <mergeCell ref="A50:B51"/>
    <mergeCell ref="A59:C59"/>
    <mergeCell ref="A60:C60"/>
    <mergeCell ref="D59:H59"/>
    <mergeCell ref="C48:E48"/>
    <mergeCell ref="A52:B52"/>
    <mergeCell ref="C52:E52"/>
    <mergeCell ref="A48:B48"/>
    <mergeCell ref="A53:H53"/>
    <mergeCell ref="A54:C54"/>
    <mergeCell ref="A55:C55"/>
    <mergeCell ref="A62:C62"/>
    <mergeCell ref="D62:H6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F101:H101"/>
    <mergeCell ref="A95:E95"/>
    <mergeCell ref="A124:H124"/>
    <mergeCell ref="E121:E122"/>
    <mergeCell ref="G121:H122"/>
    <mergeCell ref="A84:B84"/>
    <mergeCell ref="E84:F93"/>
    <mergeCell ref="A91:B91"/>
    <mergeCell ref="A92:B92"/>
    <mergeCell ref="A93:B93"/>
    <mergeCell ref="F99:H99"/>
    <mergeCell ref="F98:H98"/>
    <mergeCell ref="F104:H104"/>
    <mergeCell ref="A105:E105"/>
    <mergeCell ref="A109:B109"/>
    <mergeCell ref="F102:H102"/>
    <mergeCell ref="E112:F112"/>
    <mergeCell ref="G112:H112"/>
    <mergeCell ref="G113:H113"/>
    <mergeCell ref="F105:H105"/>
    <mergeCell ref="F103:H103"/>
    <mergeCell ref="A120:H120"/>
    <mergeCell ref="G109:H109"/>
    <mergeCell ref="A104:E104"/>
    <mergeCell ref="C110:D110"/>
    <mergeCell ref="E110:F110"/>
    <mergeCell ref="B121:B122"/>
    <mergeCell ref="A121:A122"/>
    <mergeCell ref="A118:B118"/>
    <mergeCell ref="C118:D118"/>
    <mergeCell ref="A111:H111"/>
    <mergeCell ref="A112:B112"/>
    <mergeCell ref="C112:D112"/>
    <mergeCell ref="E109:F109"/>
    <mergeCell ref="A113:B113"/>
    <mergeCell ref="C113:D113"/>
    <mergeCell ref="E113:F113"/>
    <mergeCell ref="C109:D109"/>
    <mergeCell ref="B231:H231"/>
    <mergeCell ref="A123:H123"/>
    <mergeCell ref="E118:F118"/>
    <mergeCell ref="G118:H118"/>
    <mergeCell ref="A117:B117"/>
    <mergeCell ref="C117:D117"/>
    <mergeCell ref="E117:F117"/>
    <mergeCell ref="C116:D116"/>
    <mergeCell ref="E116:F116"/>
    <mergeCell ref="G116:H116"/>
    <mergeCell ref="A152:B152"/>
    <mergeCell ref="G173:H181"/>
    <mergeCell ref="G183:H191"/>
    <mergeCell ref="G193:H193"/>
    <mergeCell ref="A191:B191"/>
    <mergeCell ref="A181:B181"/>
    <mergeCell ref="A189:B189"/>
    <mergeCell ref="A207:B207"/>
    <mergeCell ref="A177:B177"/>
    <mergeCell ref="A174:B174"/>
    <mergeCell ref="A175:B175"/>
    <mergeCell ref="A193:B193"/>
    <mergeCell ref="A194:B194"/>
    <mergeCell ref="A195:B195"/>
    <mergeCell ref="F97:H97"/>
    <mergeCell ref="A155:B155"/>
    <mergeCell ref="A149:B149"/>
    <mergeCell ref="B232:H232"/>
    <mergeCell ref="A209:B209"/>
    <mergeCell ref="G209:H209"/>
    <mergeCell ref="A210:B210"/>
    <mergeCell ref="G210:H210"/>
    <mergeCell ref="A226:B226"/>
    <mergeCell ref="G226:H226"/>
    <mergeCell ref="A218:B218"/>
    <mergeCell ref="G218:H218"/>
    <mergeCell ref="A219:B219"/>
    <mergeCell ref="G219:H219"/>
    <mergeCell ref="A220:B220"/>
    <mergeCell ref="G220:H220"/>
    <mergeCell ref="A221:B221"/>
    <mergeCell ref="G221:H221"/>
    <mergeCell ref="A217:B217"/>
    <mergeCell ref="G217:H217"/>
    <mergeCell ref="A212:B212"/>
    <mergeCell ref="G212:H212"/>
    <mergeCell ref="B228:H228"/>
    <mergeCell ref="B229:H229"/>
    <mergeCell ref="A102:E102"/>
    <mergeCell ref="G225:H225"/>
    <mergeCell ref="B235:H235"/>
    <mergeCell ref="A46:B46"/>
    <mergeCell ref="C46:H46"/>
    <mergeCell ref="B233:H233"/>
    <mergeCell ref="G84:H93"/>
    <mergeCell ref="A85:B85"/>
    <mergeCell ref="A86:B86"/>
    <mergeCell ref="A87:B87"/>
    <mergeCell ref="F96:H96"/>
    <mergeCell ref="A96:E96"/>
    <mergeCell ref="D121:D122"/>
    <mergeCell ref="A98:E98"/>
    <mergeCell ref="A131:B131"/>
    <mergeCell ref="A125:B125"/>
    <mergeCell ref="A126:B126"/>
    <mergeCell ref="A196:B196"/>
    <mergeCell ref="A187:B187"/>
    <mergeCell ref="A186:B186"/>
    <mergeCell ref="A183:B183"/>
    <mergeCell ref="A130:B130"/>
    <mergeCell ref="A99:E99"/>
    <mergeCell ref="F100:H100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5" max="16383" man="1"/>
    <brk id="252" max="16383" man="1"/>
    <brk id="29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6328125" defaultRowHeight="14.5" x14ac:dyDescent="0.35"/>
  <cols>
    <col min="1" max="1" width="8.6328125" style="17"/>
    <col min="2" max="2" width="22.08984375" style="17" customWidth="1"/>
    <col min="3" max="3" width="37" style="17" customWidth="1"/>
    <col min="4" max="5" width="11.453125" style="17" customWidth="1"/>
    <col min="6" max="6" width="14" style="17" customWidth="1"/>
    <col min="7" max="7" width="20" style="17" customWidth="1"/>
    <col min="8" max="8" width="16.453125" style="17" customWidth="1"/>
    <col min="9" max="16384" width="8.6328125" style="17"/>
  </cols>
  <sheetData>
    <row r="1" spans="1:9" ht="15" customHeight="1" x14ac:dyDescent="0.35"/>
    <row r="2" spans="1:9" ht="15" customHeight="1" x14ac:dyDescent="0.35">
      <c r="A2" s="18"/>
      <c r="B2" s="18"/>
      <c r="C2" s="18"/>
      <c r="D2" s="18"/>
      <c r="E2" s="18"/>
      <c r="F2" s="18"/>
      <c r="G2" s="18"/>
      <c r="H2" s="18"/>
    </row>
    <row r="3" spans="1:9" ht="15.75" customHeight="1" x14ac:dyDescent="0.35">
      <c r="A3" s="18"/>
      <c r="B3" s="189" t="s">
        <v>112</v>
      </c>
      <c r="C3" s="189"/>
      <c r="D3" s="189"/>
      <c r="E3" s="189"/>
      <c r="F3" s="189"/>
      <c r="G3" s="189"/>
      <c r="H3" s="189"/>
    </row>
    <row r="4" spans="1:9" x14ac:dyDescent="0.35">
      <c r="A4" s="18"/>
      <c r="B4" s="19" t="s">
        <v>113</v>
      </c>
      <c r="C4" s="19" t="s">
        <v>114</v>
      </c>
      <c r="D4" s="19" t="s">
        <v>72</v>
      </c>
      <c r="E4" s="19" t="s">
        <v>115</v>
      </c>
      <c r="F4" s="19" t="s">
        <v>121</v>
      </c>
      <c r="G4" s="19" t="s">
        <v>122</v>
      </c>
      <c r="H4" s="19" t="s">
        <v>116</v>
      </c>
    </row>
    <row r="5" spans="1:9" ht="15" customHeight="1" x14ac:dyDescent="0.35">
      <c r="A5" s="18"/>
      <c r="B5" s="21" t="s">
        <v>117</v>
      </c>
      <c r="C5" s="22"/>
      <c r="D5" s="21"/>
      <c r="E5" s="21"/>
      <c r="F5" s="23">
        <f>E5*1.6</f>
        <v>0</v>
      </c>
      <c r="G5" s="23" t="e">
        <f>H5/F5</f>
        <v>#DIV/0!</v>
      </c>
      <c r="H5" s="24"/>
    </row>
    <row r="6" spans="1:9" x14ac:dyDescent="0.35">
      <c r="A6" s="18"/>
      <c r="B6" s="21" t="s">
        <v>117</v>
      </c>
      <c r="C6" s="25"/>
      <c r="D6" s="21"/>
      <c r="E6" s="21"/>
      <c r="F6" s="23">
        <f t="shared" ref="F6:F11" si="0">E6*1.6</f>
        <v>0</v>
      </c>
      <c r="G6" s="23" t="e">
        <f t="shared" ref="G6:G11" si="1">H6/F6</f>
        <v>#DIV/0!</v>
      </c>
      <c r="H6" s="24"/>
    </row>
    <row r="7" spans="1:9" ht="15" customHeight="1" x14ac:dyDescent="0.35">
      <c r="A7" s="18"/>
      <c r="B7" s="21" t="s">
        <v>117</v>
      </c>
      <c r="C7" s="22"/>
      <c r="D7" s="21"/>
      <c r="E7" s="21"/>
      <c r="F7" s="23">
        <f t="shared" si="0"/>
        <v>0</v>
      </c>
      <c r="G7" s="23" t="e">
        <f t="shared" si="1"/>
        <v>#DIV/0!</v>
      </c>
      <c r="H7" s="24"/>
    </row>
    <row r="8" spans="1:9" x14ac:dyDescent="0.35">
      <c r="A8" s="18"/>
      <c r="B8" s="21" t="s">
        <v>117</v>
      </c>
      <c r="C8" s="25"/>
      <c r="D8" s="21"/>
      <c r="E8" s="21"/>
      <c r="F8" s="23">
        <f t="shared" si="0"/>
        <v>0</v>
      </c>
      <c r="G8" s="23" t="e">
        <f t="shared" si="1"/>
        <v>#DIV/0!</v>
      </c>
      <c r="H8" s="24"/>
    </row>
    <row r="9" spans="1:9" ht="15" customHeight="1" x14ac:dyDescent="0.35">
      <c r="A9" s="18"/>
      <c r="B9" s="21" t="s">
        <v>117</v>
      </c>
      <c r="C9" s="25"/>
      <c r="D9" s="21"/>
      <c r="E9" s="21"/>
      <c r="F9" s="23">
        <f t="shared" si="0"/>
        <v>0</v>
      </c>
      <c r="G9" s="23" t="e">
        <f t="shared" si="1"/>
        <v>#DIV/0!</v>
      </c>
      <c r="H9" s="24"/>
    </row>
    <row r="10" spans="1:9" ht="15" customHeight="1" x14ac:dyDescent="0.35">
      <c r="A10" s="18"/>
      <c r="B10" s="21" t="s">
        <v>118</v>
      </c>
      <c r="C10" s="22"/>
      <c r="D10" s="21"/>
      <c r="E10" s="21"/>
      <c r="F10" s="23">
        <f t="shared" si="0"/>
        <v>0</v>
      </c>
      <c r="G10" s="23" t="e">
        <f t="shared" si="1"/>
        <v>#DIV/0!</v>
      </c>
      <c r="H10" s="24"/>
    </row>
    <row r="11" spans="1:9" ht="15" customHeight="1" x14ac:dyDescent="0.35">
      <c r="A11" s="18"/>
      <c r="B11" s="21" t="s">
        <v>118</v>
      </c>
      <c r="C11" s="22"/>
      <c r="D11" s="21"/>
      <c r="E11" s="21"/>
      <c r="F11" s="23">
        <f t="shared" si="0"/>
        <v>0</v>
      </c>
      <c r="G11" s="23" t="e">
        <f t="shared" si="1"/>
        <v>#DIV/0!</v>
      </c>
      <c r="H11" s="24"/>
    </row>
    <row r="12" spans="1:9" ht="15" customHeight="1" x14ac:dyDescent="0.35">
      <c r="A12" s="18"/>
      <c r="B12" s="26" t="s">
        <v>119</v>
      </c>
      <c r="C12" s="21"/>
      <c r="D12" s="21"/>
      <c r="E12" s="21"/>
      <c r="F12" s="21"/>
      <c r="G12" s="27" t="e">
        <f>AVERAGE(G5:G11)</f>
        <v>#DIV/0!</v>
      </c>
      <c r="H12" s="21"/>
    </row>
    <row r="13" spans="1:9" ht="15" customHeight="1" x14ac:dyDescent="0.35">
      <c r="B13" s="26" t="s">
        <v>120</v>
      </c>
      <c r="C13" s="21"/>
      <c r="D13" s="21"/>
      <c r="E13" s="21"/>
      <c r="F13" s="28"/>
      <c r="G13" s="26"/>
      <c r="H13" s="26"/>
      <c r="I13" s="20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Note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2025-07-21T11:37:58Z</cp:lastPrinted>
  <dcterms:created xsi:type="dcterms:W3CDTF">2019-07-16T09:29:46Z</dcterms:created>
  <dcterms:modified xsi:type="dcterms:W3CDTF">2025-07-21T11:39:03Z</dcterms:modified>
</cp:coreProperties>
</file>