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sjadon\common drive\APF\25-26\July 2025\SBI\NEW\Pooja\VSJCV - SBI - APF New - Jul 25 - 15086 - Neelkanth Complex\"/>
    </mc:Choice>
  </mc:AlternateContent>
  <bookViews>
    <workbookView xWindow="0" yWindow="0" windowWidth="9450" windowHeight="3330" tabRatio="850"/>
  </bookViews>
  <sheets>
    <sheet name="Report" sheetId="11" r:id="rId1"/>
    <sheet name="Const. %" sheetId="12" r:id="rId2"/>
    <sheet name="unsold" sheetId="14" r:id="rId3"/>
    <sheet name="valuation" sheetId="2" r:id="rId4"/>
    <sheet name="Sheet1" sheetId="15" r:id="rId5"/>
    <sheet name="Sheet2" sheetId="16" r:id="rId6"/>
  </sheets>
  <definedNames>
    <definedName name="_xlnm.Print_Area" localSheetId="0">Report!$A$1:$L$846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2" i="11" l="1"/>
  <c r="G377" i="11"/>
  <c r="K378" i="11"/>
  <c r="H378" i="11"/>
  <c r="H287" i="11"/>
  <c r="K284" i="11"/>
  <c r="I283" i="11"/>
  <c r="H284" i="11"/>
  <c r="H377" i="11"/>
  <c r="F402" i="11" l="1"/>
  <c r="F409" i="11"/>
  <c r="H409" i="11"/>
  <c r="G417" i="11" s="1"/>
  <c r="C367" i="11" l="1"/>
  <c r="C368" i="11" s="1"/>
  <c r="C365" i="11"/>
  <c r="C366" i="11" s="1"/>
  <c r="I364" i="11"/>
  <c r="C364" i="11"/>
  <c r="C363" i="11"/>
  <c r="G70" i="11"/>
  <c r="I368" i="11" l="1"/>
  <c r="I367" i="11"/>
  <c r="I365" i="11"/>
  <c r="I366" i="11"/>
  <c r="I363" i="11"/>
  <c r="M395" i="11"/>
  <c r="M234" i="11"/>
  <c r="M233" i="11"/>
  <c r="E317" i="11"/>
  <c r="E328" i="11"/>
  <c r="E327" i="11"/>
  <c r="M328" i="11"/>
  <c r="M327" i="11"/>
  <c r="M326" i="11"/>
  <c r="M325" i="11"/>
  <c r="M324" i="11"/>
  <c r="M323" i="11"/>
  <c r="E326" i="11"/>
  <c r="E325" i="11"/>
  <c r="E324" i="11"/>
  <c r="E323" i="11"/>
  <c r="M288" i="11"/>
  <c r="M287" i="11"/>
  <c r="M286" i="11"/>
  <c r="M285" i="11"/>
  <c r="M284" i="11"/>
  <c r="M283" i="11"/>
  <c r="E288" i="11"/>
  <c r="E287" i="11"/>
  <c r="E286" i="11"/>
  <c r="E285" i="11"/>
  <c r="E284" i="11"/>
  <c r="E283" i="11"/>
  <c r="E267" i="11" l="1"/>
  <c r="M192" i="11"/>
  <c r="E391" i="11"/>
  <c r="E390" i="11"/>
  <c r="E389" i="11"/>
  <c r="E388" i="11"/>
  <c r="E387" i="11"/>
  <c r="E386" i="11"/>
  <c r="E385" i="11"/>
  <c r="E384" i="11"/>
  <c r="E381" i="11"/>
  <c r="E380" i="11"/>
  <c r="E379" i="11"/>
  <c r="E378" i="11"/>
  <c r="E377" i="11"/>
  <c r="E376" i="11"/>
  <c r="A377" i="11"/>
  <c r="A378" i="11" s="1"/>
  <c r="A379" i="11" s="1"/>
  <c r="A380" i="11" s="1"/>
  <c r="A381" i="11" s="1"/>
  <c r="C376" i="11"/>
  <c r="C377" i="11" s="1"/>
  <c r="C378" i="11" s="1"/>
  <c r="C379" i="11" s="1"/>
  <c r="C380" i="11" s="1"/>
  <c r="C381" i="11" s="1"/>
  <c r="A385" i="11"/>
  <c r="A386" i="11" s="1"/>
  <c r="A387" i="11" s="1"/>
  <c r="A388" i="11" s="1"/>
  <c r="A389" i="11" s="1"/>
  <c r="A390" i="11" s="1"/>
  <c r="A391" i="11" s="1"/>
  <c r="C384" i="11"/>
  <c r="C385" i="11" s="1"/>
  <c r="C386" i="11" s="1"/>
  <c r="C387" i="11" s="1"/>
  <c r="C388" i="11" s="1"/>
  <c r="C389" i="11" s="1"/>
  <c r="C390" i="11" s="1"/>
  <c r="C391" i="11" s="1"/>
  <c r="N223" i="11"/>
  <c r="N222" i="11"/>
  <c r="N221" i="11"/>
  <c r="N220" i="11"/>
  <c r="L213" i="11"/>
  <c r="F405" i="11" l="1"/>
  <c r="E405" i="11"/>
  <c r="G387" i="11"/>
  <c r="H387" i="11"/>
  <c r="K387" i="11" s="1"/>
  <c r="H386" i="11"/>
  <c r="G386" i="11"/>
  <c r="E406" i="11"/>
  <c r="F406" i="11"/>
  <c r="G378" i="11"/>
  <c r="H379" i="11"/>
  <c r="K379" i="11" s="1"/>
  <c r="G379" i="11"/>
  <c r="G389" i="11"/>
  <c r="H389" i="11"/>
  <c r="G380" i="11"/>
  <c r="H380" i="11"/>
  <c r="G390" i="11"/>
  <c r="H390" i="11"/>
  <c r="H376" i="11"/>
  <c r="K376" i="11" s="1"/>
  <c r="G376" i="11"/>
  <c r="G238" i="11"/>
  <c r="E404" i="11"/>
  <c r="F404" i="11"/>
  <c r="D238" i="11"/>
  <c r="H384" i="11"/>
  <c r="G384" i="11"/>
  <c r="F407" i="11"/>
  <c r="E407" i="11"/>
  <c r="D239" i="11"/>
  <c r="G239" i="11"/>
  <c r="H388" i="11"/>
  <c r="G388" i="11"/>
  <c r="F408" i="11"/>
  <c r="K408" i="11" s="1"/>
  <c r="E408" i="11"/>
  <c r="G381" i="11"/>
  <c r="H381" i="11"/>
  <c r="H391" i="11"/>
  <c r="K391" i="11" s="1"/>
  <c r="G391" i="11"/>
  <c r="G385" i="11"/>
  <c r="H385" i="11"/>
  <c r="K377" i="11"/>
  <c r="K405" i="11"/>
  <c r="F376" i="11"/>
  <c r="K381" i="11"/>
  <c r="F381" i="11"/>
  <c r="I381" i="11" s="1"/>
  <c r="K380" i="11"/>
  <c r="F380" i="11"/>
  <c r="I380" i="11" s="1"/>
  <c r="F378" i="11"/>
  <c r="I378" i="11" s="1"/>
  <c r="F379" i="11"/>
  <c r="I379" i="11" s="1"/>
  <c r="K407" i="11"/>
  <c r="K384" i="11"/>
  <c r="F377" i="11"/>
  <c r="F384" i="11"/>
  <c r="F385" i="11"/>
  <c r="I385" i="11" s="1"/>
  <c r="F386" i="11"/>
  <c r="F387" i="11"/>
  <c r="I387" i="11" s="1"/>
  <c r="F388" i="11"/>
  <c r="F389" i="11"/>
  <c r="I389" i="11" s="1"/>
  <c r="F390" i="11"/>
  <c r="I390" i="11" s="1"/>
  <c r="F391" i="11"/>
  <c r="I391" i="11" s="1"/>
  <c r="N217" i="11"/>
  <c r="D216" i="11" s="1"/>
  <c r="F221" i="11"/>
  <c r="F225" i="11"/>
  <c r="F224" i="11"/>
  <c r="F220" i="11"/>
  <c r="F219" i="11"/>
  <c r="F218" i="11"/>
  <c r="N215" i="11"/>
  <c r="N216" i="11"/>
  <c r="F223" i="11"/>
  <c r="N218" i="11"/>
  <c r="N219" i="11" s="1"/>
  <c r="F222" i="11"/>
  <c r="E362" i="11"/>
  <c r="H362" i="11" s="1"/>
  <c r="E361" i="11"/>
  <c r="F361" i="11" s="1"/>
  <c r="I361" i="11" s="1"/>
  <c r="E360" i="11"/>
  <c r="G360" i="11" s="1"/>
  <c r="E359" i="11"/>
  <c r="H359" i="11" s="1"/>
  <c r="E358" i="11"/>
  <c r="F358" i="11" s="1"/>
  <c r="I358" i="11" s="1"/>
  <c r="E357" i="11"/>
  <c r="H357" i="11" s="1"/>
  <c r="E356" i="11"/>
  <c r="H356" i="11" s="1"/>
  <c r="E355" i="11"/>
  <c r="G355" i="11" s="1"/>
  <c r="E354" i="11"/>
  <c r="H354" i="11" s="1"/>
  <c r="E353" i="11"/>
  <c r="G353" i="11" s="1"/>
  <c r="E352" i="11"/>
  <c r="H352" i="11" s="1"/>
  <c r="E351" i="11"/>
  <c r="H351" i="11" s="1"/>
  <c r="E350" i="11"/>
  <c r="G350" i="11" s="1"/>
  <c r="E349" i="11"/>
  <c r="F349" i="11" s="1"/>
  <c r="I349" i="11" s="1"/>
  <c r="E348" i="11"/>
  <c r="F348" i="11" s="1"/>
  <c r="I348" i="11" s="1"/>
  <c r="E347" i="11"/>
  <c r="G347" i="11" s="1"/>
  <c r="E346" i="11"/>
  <c r="G346" i="11" s="1"/>
  <c r="E345" i="11"/>
  <c r="H345" i="11" s="1"/>
  <c r="E344" i="11"/>
  <c r="G344" i="11" s="1"/>
  <c r="E343" i="11"/>
  <c r="H343" i="11" s="1"/>
  <c r="E342" i="11"/>
  <c r="G342" i="11" s="1"/>
  <c r="E341" i="11"/>
  <c r="H341" i="11" s="1"/>
  <c r="E340" i="11"/>
  <c r="H340" i="11" s="1"/>
  <c r="E339" i="11"/>
  <c r="G339" i="11" s="1"/>
  <c r="E338" i="11"/>
  <c r="G338" i="11" s="1"/>
  <c r="E337" i="11"/>
  <c r="G337" i="11" s="1"/>
  <c r="E336" i="11"/>
  <c r="G336" i="11" s="1"/>
  <c r="E335" i="11"/>
  <c r="H335" i="11" s="1"/>
  <c r="E334" i="11"/>
  <c r="F334" i="11" s="1"/>
  <c r="I334" i="11" s="1"/>
  <c r="E333" i="11"/>
  <c r="H333" i="11" s="1"/>
  <c r="E332" i="11"/>
  <c r="G332" i="11" s="1"/>
  <c r="E331" i="11"/>
  <c r="H331" i="11" s="1"/>
  <c r="E330" i="11"/>
  <c r="H330" i="11" s="1"/>
  <c r="E329" i="11"/>
  <c r="G329" i="11" s="1"/>
  <c r="E322" i="11"/>
  <c r="E321" i="11"/>
  <c r="E318" i="11"/>
  <c r="H318" i="11" s="1"/>
  <c r="G317" i="11"/>
  <c r="E316" i="11"/>
  <c r="H316" i="11" s="1"/>
  <c r="E315" i="11"/>
  <c r="G315" i="11" s="1"/>
  <c r="E314" i="11"/>
  <c r="H314" i="11" s="1"/>
  <c r="E313" i="11"/>
  <c r="F313" i="11" s="1"/>
  <c r="I313" i="11" s="1"/>
  <c r="E312" i="11"/>
  <c r="H312" i="11" s="1"/>
  <c r="E311" i="11"/>
  <c r="H311" i="11" s="1"/>
  <c r="E310" i="11"/>
  <c r="F310" i="11" s="1"/>
  <c r="I310" i="11" s="1"/>
  <c r="E309" i="11"/>
  <c r="F309" i="11" s="1"/>
  <c r="I309" i="11" s="1"/>
  <c r="E308" i="11"/>
  <c r="F308" i="11" s="1"/>
  <c r="I308" i="11" s="1"/>
  <c r="E307" i="11"/>
  <c r="F307" i="11" s="1"/>
  <c r="I307" i="11" s="1"/>
  <c r="E306" i="11"/>
  <c r="F306" i="11" s="1"/>
  <c r="I306" i="11" s="1"/>
  <c r="E305" i="11"/>
  <c r="H305" i="11" s="1"/>
  <c r="E304" i="11"/>
  <c r="H304" i="11" s="1"/>
  <c r="E303" i="11"/>
  <c r="H303" i="11" s="1"/>
  <c r="E302" i="11"/>
  <c r="H302" i="11" s="1"/>
  <c r="E301" i="11"/>
  <c r="F301" i="11" s="1"/>
  <c r="I301" i="11" s="1"/>
  <c r="E300" i="11"/>
  <c r="F300" i="11" s="1"/>
  <c r="I300" i="11" s="1"/>
  <c r="E299" i="11"/>
  <c r="H299" i="11" s="1"/>
  <c r="E298" i="11"/>
  <c r="H298" i="11" s="1"/>
  <c r="E297" i="11"/>
  <c r="H297" i="11" s="1"/>
  <c r="E296" i="11"/>
  <c r="H296" i="11" s="1"/>
  <c r="E295" i="11"/>
  <c r="G295" i="11" s="1"/>
  <c r="E294" i="11"/>
  <c r="H294" i="11" s="1"/>
  <c r="E293" i="11"/>
  <c r="F293" i="11" s="1"/>
  <c r="I293" i="11" s="1"/>
  <c r="E292" i="11"/>
  <c r="F292" i="11" s="1"/>
  <c r="I292" i="11" s="1"/>
  <c r="E291" i="11"/>
  <c r="H291" i="11" s="1"/>
  <c r="E290" i="11"/>
  <c r="G290" i="11" s="1"/>
  <c r="E289" i="11"/>
  <c r="E275" i="11"/>
  <c r="E274" i="11"/>
  <c r="E273" i="11"/>
  <c r="E272" i="11"/>
  <c r="E271" i="11"/>
  <c r="E270" i="11"/>
  <c r="E269" i="11"/>
  <c r="E268" i="11"/>
  <c r="G229" i="11" s="1"/>
  <c r="E263" i="11"/>
  <c r="E262" i="11"/>
  <c r="E261" i="11"/>
  <c r="E260" i="11"/>
  <c r="E259" i="11"/>
  <c r="E258" i="11"/>
  <c r="E257" i="11"/>
  <c r="E256" i="11"/>
  <c r="E255" i="11"/>
  <c r="E254" i="11"/>
  <c r="E253" i="11"/>
  <c r="E252" i="11"/>
  <c r="E251" i="11"/>
  <c r="C362" i="11"/>
  <c r="C313" i="11"/>
  <c r="C314" i="11" s="1"/>
  <c r="C315" i="11" s="1"/>
  <c r="C316" i="11" s="1"/>
  <c r="C317" i="11" s="1"/>
  <c r="C318" i="11" s="1"/>
  <c r="H355" i="11"/>
  <c r="C354" i="11"/>
  <c r="C355" i="11" s="1"/>
  <c r="C356" i="11" s="1"/>
  <c r="C357" i="11" s="1"/>
  <c r="C358" i="11" s="1"/>
  <c r="C359" i="11" s="1"/>
  <c r="C360" i="11" s="1"/>
  <c r="C346" i="11"/>
  <c r="C347" i="11" s="1"/>
  <c r="C348" i="11" s="1"/>
  <c r="C349" i="11" s="1"/>
  <c r="C350" i="11" s="1"/>
  <c r="C351" i="11" s="1"/>
  <c r="C352" i="11" s="1"/>
  <c r="C338" i="11"/>
  <c r="C339" i="11" s="1"/>
  <c r="C340" i="11" s="1"/>
  <c r="C341" i="11" s="1"/>
  <c r="C342" i="11" s="1"/>
  <c r="C343" i="11" s="1"/>
  <c r="C344" i="11" s="1"/>
  <c r="C330" i="11"/>
  <c r="C331" i="11" s="1"/>
  <c r="C332" i="11" s="1"/>
  <c r="C333" i="11" s="1"/>
  <c r="C334" i="11" s="1"/>
  <c r="C335" i="11" s="1"/>
  <c r="C336" i="11" s="1"/>
  <c r="C307" i="11"/>
  <c r="C308" i="11" s="1"/>
  <c r="C309" i="11" s="1"/>
  <c r="C310" i="11" s="1"/>
  <c r="C311" i="11" s="1"/>
  <c r="C312" i="11" s="1"/>
  <c r="C301" i="11"/>
  <c r="C302" i="11" s="1"/>
  <c r="C303" i="11" s="1"/>
  <c r="C304" i="11" s="1"/>
  <c r="C305" i="11" s="1"/>
  <c r="C306" i="11" s="1"/>
  <c r="C295" i="11"/>
  <c r="C296" i="11" s="1"/>
  <c r="C297" i="11" s="1"/>
  <c r="C298" i="11" s="1"/>
  <c r="C299" i="11" s="1"/>
  <c r="C300" i="11" s="1"/>
  <c r="C289" i="11"/>
  <c r="C290" i="11" s="1"/>
  <c r="C291" i="11" s="1"/>
  <c r="C292" i="11" s="1"/>
  <c r="C293" i="11" s="1"/>
  <c r="C294" i="11" s="1"/>
  <c r="C322" i="11"/>
  <c r="M251" i="11"/>
  <c r="M256" i="11"/>
  <c r="K186" i="11"/>
  <c r="K185" i="11"/>
  <c r="K389" i="11" l="1"/>
  <c r="K386" i="11"/>
  <c r="K390" i="11"/>
  <c r="K385" i="11"/>
  <c r="K388" i="11"/>
  <c r="I388" i="11"/>
  <c r="H408" i="11"/>
  <c r="G289" i="11"/>
  <c r="G233" i="11"/>
  <c r="G235" i="11" s="1"/>
  <c r="G228" i="11"/>
  <c r="I386" i="11"/>
  <c r="H406" i="11"/>
  <c r="I384" i="11"/>
  <c r="H407" i="11"/>
  <c r="J239" i="11"/>
  <c r="G234" i="11"/>
  <c r="I377" i="11"/>
  <c r="H405" i="11"/>
  <c r="I376" i="11"/>
  <c r="H404" i="11"/>
  <c r="J238" i="11"/>
  <c r="F356" i="11"/>
  <c r="I356" i="11" s="1"/>
  <c r="H337" i="11"/>
  <c r="K337" i="11" s="1"/>
  <c r="H353" i="11"/>
  <c r="K353" i="11" s="1"/>
  <c r="F304" i="11"/>
  <c r="I304" i="11" s="1"/>
  <c r="F338" i="11"/>
  <c r="I338" i="11" s="1"/>
  <c r="F340" i="11"/>
  <c r="I340" i="11" s="1"/>
  <c r="G304" i="11"/>
  <c r="F354" i="11"/>
  <c r="I354" i="11" s="1"/>
  <c r="G306" i="11"/>
  <c r="G354" i="11"/>
  <c r="K354" i="11" s="1"/>
  <c r="H309" i="11"/>
  <c r="H295" i="11"/>
  <c r="K295" i="11" s="1"/>
  <c r="F343" i="11"/>
  <c r="I343" i="11" s="1"/>
  <c r="F295" i="11"/>
  <c r="I295" i="11" s="1"/>
  <c r="G309" i="11"/>
  <c r="G293" i="11"/>
  <c r="G301" i="11"/>
  <c r="G343" i="11"/>
  <c r="K343" i="11" s="1"/>
  <c r="G303" i="11"/>
  <c r="K303" i="11" s="1"/>
  <c r="H301" i="11"/>
  <c r="E397" i="11"/>
  <c r="F397" i="11"/>
  <c r="F398" i="11"/>
  <c r="E398" i="11"/>
  <c r="F353" i="11"/>
  <c r="I353" i="11" s="1"/>
  <c r="F399" i="11"/>
  <c r="E399" i="11"/>
  <c r="H348" i="11"/>
  <c r="F401" i="11"/>
  <c r="E401" i="11"/>
  <c r="G296" i="11"/>
  <c r="K296" i="11" s="1"/>
  <c r="G312" i="11"/>
  <c r="K312" i="11" s="1"/>
  <c r="H346" i="11"/>
  <c r="K346" i="11" s="1"/>
  <c r="F296" i="11"/>
  <c r="I296" i="11" s="1"/>
  <c r="F346" i="11"/>
  <c r="I346" i="11" s="1"/>
  <c r="F312" i="11"/>
  <c r="I312" i="11" s="1"/>
  <c r="F298" i="11"/>
  <c r="I298" i="11" s="1"/>
  <c r="F350" i="11"/>
  <c r="I350" i="11" s="1"/>
  <c r="G351" i="11"/>
  <c r="K351" i="11" s="1"/>
  <c r="H290" i="11"/>
  <c r="K290" i="11" s="1"/>
  <c r="E400" i="11"/>
  <c r="F400" i="11"/>
  <c r="K400" i="11" s="1"/>
  <c r="G316" i="11"/>
  <c r="K316" i="11" s="1"/>
  <c r="F332" i="11"/>
  <c r="I332" i="11" s="1"/>
  <c r="E409" i="11"/>
  <c r="H350" i="11"/>
  <c r="K350" i="11" s="1"/>
  <c r="G345" i="11"/>
  <c r="K345" i="11" s="1"/>
  <c r="G298" i="11"/>
  <c r="K298" i="11" s="1"/>
  <c r="G340" i="11"/>
  <c r="K340" i="11" s="1"/>
  <c r="G356" i="11"/>
  <c r="K356" i="11" s="1"/>
  <c r="F395" i="11"/>
  <c r="H332" i="11"/>
  <c r="K332" i="11" s="1"/>
  <c r="H310" i="11"/>
  <c r="G334" i="11"/>
  <c r="G300" i="11"/>
  <c r="H334" i="11"/>
  <c r="F342" i="11"/>
  <c r="I342" i="11" s="1"/>
  <c r="H342" i="11"/>
  <c r="K342" i="11" s="1"/>
  <c r="H306" i="11"/>
  <c r="G314" i="11"/>
  <c r="K314" i="11" s="1"/>
  <c r="H292" i="11"/>
  <c r="G310" i="11"/>
  <c r="F352" i="11"/>
  <c r="I352" i="11" s="1"/>
  <c r="H315" i="11"/>
  <c r="K315" i="11" s="1"/>
  <c r="F344" i="11"/>
  <c r="I344" i="11" s="1"/>
  <c r="F318" i="11"/>
  <c r="I318" i="11" s="1"/>
  <c r="G308" i="11"/>
  <c r="F337" i="11"/>
  <c r="I337" i="11" s="1"/>
  <c r="H344" i="11"/>
  <c r="K344" i="11" s="1"/>
  <c r="F360" i="11"/>
  <c r="I360" i="11" s="1"/>
  <c r="G318" i="11"/>
  <c r="K318" i="11" s="1"/>
  <c r="H308" i="11"/>
  <c r="F341" i="11"/>
  <c r="I341" i="11" s="1"/>
  <c r="F345" i="11"/>
  <c r="I345" i="11" s="1"/>
  <c r="G349" i="11"/>
  <c r="H360" i="11"/>
  <c r="K360" i="11" s="1"/>
  <c r="D234" i="11"/>
  <c r="F396" i="11"/>
  <c r="D233" i="11"/>
  <c r="H358" i="11"/>
  <c r="D228" i="11"/>
  <c r="E395" i="11" s="1"/>
  <c r="D229" i="11"/>
  <c r="E396" i="11" s="1"/>
  <c r="F316" i="11"/>
  <c r="I316" i="11" s="1"/>
  <c r="H289" i="11"/>
  <c r="N224" i="11"/>
  <c r="N225" i="11" s="1"/>
  <c r="D217" i="11"/>
  <c r="J216" i="11" s="1"/>
  <c r="F216" i="11"/>
  <c r="H349" i="11"/>
  <c r="H313" i="11"/>
  <c r="F291" i="11"/>
  <c r="I291" i="11" s="1"/>
  <c r="G307" i="11"/>
  <c r="F331" i="11"/>
  <c r="I331" i="11" s="1"/>
  <c r="G341" i="11"/>
  <c r="K341" i="11" s="1"/>
  <c r="G313" i="11"/>
  <c r="G291" i="11"/>
  <c r="K291" i="11" s="1"/>
  <c r="H307" i="11"/>
  <c r="F289" i="11"/>
  <c r="I289" i="11" s="1"/>
  <c r="H339" i="11"/>
  <c r="K339" i="11" s="1"/>
  <c r="H347" i="11"/>
  <c r="K347" i="11" s="1"/>
  <c r="F297" i="11"/>
  <c r="I297" i="11" s="1"/>
  <c r="F305" i="11"/>
  <c r="I305" i="11" s="1"/>
  <c r="G297" i="11"/>
  <c r="K297" i="11" s="1"/>
  <c r="G305" i="11"/>
  <c r="K305" i="11" s="1"/>
  <c r="F355" i="11"/>
  <c r="I355" i="11" s="1"/>
  <c r="F315" i="11"/>
  <c r="I315" i="11" s="1"/>
  <c r="H317" i="11"/>
  <c r="K317" i="11" s="1"/>
  <c r="F314" i="11"/>
  <c r="I314" i="11" s="1"/>
  <c r="F317" i="11"/>
  <c r="I317" i="11" s="1"/>
  <c r="G358" i="11"/>
  <c r="F359" i="11"/>
  <c r="I359" i="11" s="1"/>
  <c r="F357" i="11"/>
  <c r="I357" i="11" s="1"/>
  <c r="G359" i="11"/>
  <c r="K359" i="11" s="1"/>
  <c r="G357" i="11"/>
  <c r="K357" i="11" s="1"/>
  <c r="F347" i="11"/>
  <c r="I347" i="11" s="1"/>
  <c r="G352" i="11"/>
  <c r="K352" i="11" s="1"/>
  <c r="F351" i="11"/>
  <c r="I351" i="11" s="1"/>
  <c r="G348" i="11"/>
  <c r="H338" i="11"/>
  <c r="K338" i="11" s="1"/>
  <c r="F339" i="11"/>
  <c r="I339" i="11" s="1"/>
  <c r="H336" i="11"/>
  <c r="K336" i="11" s="1"/>
  <c r="F336" i="11"/>
  <c r="I336" i="11" s="1"/>
  <c r="G335" i="11"/>
  <c r="K335" i="11" s="1"/>
  <c r="G333" i="11"/>
  <c r="K333" i="11" s="1"/>
  <c r="F333" i="11"/>
  <c r="I333" i="11" s="1"/>
  <c r="G331" i="11"/>
  <c r="K331" i="11" s="1"/>
  <c r="F329" i="11"/>
  <c r="I329" i="11" s="1"/>
  <c r="H329" i="11"/>
  <c r="K329" i="11" s="1"/>
  <c r="F311" i="11"/>
  <c r="I311" i="11" s="1"/>
  <c r="G311" i="11"/>
  <c r="K311" i="11" s="1"/>
  <c r="F303" i="11"/>
  <c r="I303" i="11" s="1"/>
  <c r="F299" i="11"/>
  <c r="I299" i="11" s="1"/>
  <c r="G299" i="11"/>
  <c r="K299" i="11" s="1"/>
  <c r="G294" i="11"/>
  <c r="K294" i="11" s="1"/>
  <c r="F294" i="11"/>
  <c r="I294" i="11" s="1"/>
  <c r="H293" i="11"/>
  <c r="G292" i="11"/>
  <c r="F290" i="11"/>
  <c r="I290" i="11" s="1"/>
  <c r="F362" i="11"/>
  <c r="I362" i="11" s="1"/>
  <c r="G362" i="11"/>
  <c r="K362" i="11" s="1"/>
  <c r="H361" i="11"/>
  <c r="G361" i="11"/>
  <c r="F330" i="11"/>
  <c r="I330" i="11" s="1"/>
  <c r="F335" i="11"/>
  <c r="I335" i="11" s="1"/>
  <c r="G330" i="11"/>
  <c r="K330" i="11" s="1"/>
  <c r="F302" i="11"/>
  <c r="I302" i="11" s="1"/>
  <c r="G302" i="11"/>
  <c r="K302" i="11" s="1"/>
  <c r="H300" i="11"/>
  <c r="K289" i="11"/>
  <c r="K355" i="11"/>
  <c r="K304" i="11"/>
  <c r="D235" i="11" l="1"/>
  <c r="K309" i="11"/>
  <c r="K293" i="11"/>
  <c r="K301" i="11"/>
  <c r="K348" i="11"/>
  <c r="K306" i="11"/>
  <c r="K307" i="11"/>
  <c r="E402" i="11"/>
  <c r="K334" i="11"/>
  <c r="K292" i="11"/>
  <c r="K349" i="11"/>
  <c r="K308" i="11"/>
  <c r="K300" i="11"/>
  <c r="K310" i="11"/>
  <c r="K358" i="11"/>
  <c r="K313" i="11"/>
  <c r="F217" i="11"/>
  <c r="H216" i="11"/>
  <c r="M212" i="11" s="1"/>
  <c r="D214" i="11" s="1"/>
  <c r="K361" i="11"/>
  <c r="K399" i="11" l="1"/>
  <c r="K398" i="11"/>
  <c r="H328" i="11"/>
  <c r="H327" i="11"/>
  <c r="H326" i="11"/>
  <c r="H325" i="11"/>
  <c r="H324" i="11"/>
  <c r="H323" i="11"/>
  <c r="H322" i="11"/>
  <c r="H321" i="11"/>
  <c r="H288" i="11"/>
  <c r="H286" i="11"/>
  <c r="H285" i="11"/>
  <c r="H283" i="11"/>
  <c r="G323" i="11"/>
  <c r="G328" i="11"/>
  <c r="G327" i="11"/>
  <c r="G326" i="11"/>
  <c r="G325" i="11"/>
  <c r="G324" i="11"/>
  <c r="G322" i="11"/>
  <c r="G321" i="11"/>
  <c r="G288" i="11"/>
  <c r="G287" i="11"/>
  <c r="G286" i="11"/>
  <c r="G285" i="11"/>
  <c r="G284" i="11"/>
  <c r="G283" i="11"/>
  <c r="F328" i="11"/>
  <c r="I328" i="11" s="1"/>
  <c r="F327" i="11"/>
  <c r="I327" i="11" s="1"/>
  <c r="F326" i="11"/>
  <c r="I326" i="11" s="1"/>
  <c r="F325" i="11"/>
  <c r="F324" i="11"/>
  <c r="I324" i="11" s="1"/>
  <c r="F323" i="11"/>
  <c r="F322" i="11"/>
  <c r="I322" i="11" s="1"/>
  <c r="F321" i="11"/>
  <c r="F284" i="11"/>
  <c r="F285" i="11"/>
  <c r="I285" i="11" s="1"/>
  <c r="F286" i="11"/>
  <c r="I286" i="11" s="1"/>
  <c r="F287" i="11"/>
  <c r="I287" i="11" s="1"/>
  <c r="F288" i="11"/>
  <c r="I288" i="11" s="1"/>
  <c r="F283" i="11"/>
  <c r="H397" i="11" s="1"/>
  <c r="G275" i="11"/>
  <c r="H275" i="11" s="1"/>
  <c r="I275" i="11" s="1"/>
  <c r="G274" i="11"/>
  <c r="H274" i="11" s="1"/>
  <c r="I274" i="11" s="1"/>
  <c r="G273" i="11"/>
  <c r="H273" i="11" s="1"/>
  <c r="I273" i="11" s="1"/>
  <c r="G272" i="11"/>
  <c r="H272" i="11" s="1"/>
  <c r="I272" i="11" s="1"/>
  <c r="G271" i="11"/>
  <c r="H271" i="11" s="1"/>
  <c r="I271" i="11" s="1"/>
  <c r="G270" i="11"/>
  <c r="H270" i="11" s="1"/>
  <c r="I270" i="11" s="1"/>
  <c r="G269" i="11"/>
  <c r="H269" i="11" s="1"/>
  <c r="I269" i="11" s="1"/>
  <c r="G268" i="11"/>
  <c r="H268" i="11" s="1"/>
  <c r="I268" i="11" s="1"/>
  <c r="G267" i="11"/>
  <c r="H267" i="11" s="1"/>
  <c r="G252" i="11"/>
  <c r="H252" i="11" s="1"/>
  <c r="G253" i="11"/>
  <c r="H253" i="11" s="1"/>
  <c r="I253" i="11" s="1"/>
  <c r="G254" i="11"/>
  <c r="H254" i="11" s="1"/>
  <c r="I254" i="11" s="1"/>
  <c r="G255" i="11"/>
  <c r="H255" i="11" s="1"/>
  <c r="I255" i="11" s="1"/>
  <c r="G256" i="11"/>
  <c r="H256" i="11" s="1"/>
  <c r="I256" i="11" s="1"/>
  <c r="G257" i="11"/>
  <c r="H257" i="11" s="1"/>
  <c r="I257" i="11" s="1"/>
  <c r="G258" i="11"/>
  <c r="H258" i="11" s="1"/>
  <c r="I258" i="11" s="1"/>
  <c r="G259" i="11"/>
  <c r="H259" i="11" s="1"/>
  <c r="I259" i="11" s="1"/>
  <c r="G260" i="11"/>
  <c r="H260" i="11" s="1"/>
  <c r="I260" i="11" s="1"/>
  <c r="G261" i="11"/>
  <c r="H261" i="11" s="1"/>
  <c r="I261" i="11" s="1"/>
  <c r="G262" i="11"/>
  <c r="H262" i="11" s="1"/>
  <c r="I262" i="11" s="1"/>
  <c r="G263" i="11"/>
  <c r="H263" i="11" s="1"/>
  <c r="I263" i="11" s="1"/>
  <c r="G251" i="11"/>
  <c r="H251" i="11" s="1"/>
  <c r="I251" i="11" s="1"/>
  <c r="H400" i="11" l="1"/>
  <c r="I284" i="11"/>
  <c r="H398" i="11"/>
  <c r="I325" i="11"/>
  <c r="H401" i="11"/>
  <c r="I323" i="11"/>
  <c r="H399" i="11"/>
  <c r="I321" i="11"/>
  <c r="J234" i="11"/>
  <c r="I267" i="11"/>
  <c r="J229" i="11"/>
  <c r="H396" i="11" s="1"/>
  <c r="J233" i="11"/>
  <c r="I252" i="11"/>
  <c r="J228" i="11"/>
  <c r="H395" i="11" s="1"/>
  <c r="H402" i="11" s="1"/>
  <c r="K287" i="11"/>
  <c r="K322" i="11"/>
  <c r="K328" i="11"/>
  <c r="K288" i="11"/>
  <c r="K321" i="11"/>
  <c r="K325" i="11"/>
  <c r="K326" i="11"/>
  <c r="K286" i="11"/>
  <c r="K324" i="11"/>
  <c r="K323" i="11"/>
  <c r="K285" i="11"/>
  <c r="K327" i="11"/>
  <c r="K283" i="11"/>
  <c r="G138" i="11"/>
  <c r="G135" i="11"/>
  <c r="J235" i="11" l="1"/>
  <c r="K397" i="11"/>
  <c r="K395" i="11" l="1"/>
  <c r="I138" i="11" l="1"/>
  <c r="I135" i="11"/>
  <c r="K406" i="11" l="1"/>
  <c r="K404" i="11"/>
  <c r="K409" i="11" l="1"/>
  <c r="G416" i="11" s="1"/>
  <c r="J240" i="11"/>
  <c r="G240" i="11"/>
  <c r="D240" i="11"/>
  <c r="D230" i="11"/>
  <c r="D241" i="11" s="1"/>
  <c r="G230" i="11"/>
  <c r="G241" i="11" s="1"/>
  <c r="J230" i="11"/>
  <c r="J241" i="11" s="1"/>
  <c r="L199" i="11"/>
  <c r="H202" i="11" l="1"/>
  <c r="F210" i="11"/>
  <c r="F209" i="11"/>
  <c r="F208" i="11"/>
  <c r="F203" i="11"/>
  <c r="F207" i="11"/>
  <c r="F206" i="11"/>
  <c r="F205" i="11"/>
  <c r="F204" i="11"/>
  <c r="E185" i="11"/>
  <c r="D185" i="11"/>
  <c r="E183" i="11"/>
  <c r="G108" i="11"/>
  <c r="G76" i="11"/>
  <c r="G99" i="11" s="1"/>
  <c r="I846" i="11" l="1"/>
  <c r="K45" i="11"/>
  <c r="F211" i="11"/>
  <c r="N209" i="11"/>
  <c r="N208" i="11"/>
  <c r="N207" i="11"/>
  <c r="N206" i="11"/>
  <c r="N204" i="11"/>
  <c r="N205" i="11" s="1"/>
  <c r="N210" i="11" s="1"/>
  <c r="N211" i="11" s="1"/>
  <c r="N203" i="11"/>
  <c r="N202" i="11"/>
  <c r="D202" i="11" s="1"/>
  <c r="N201" i="11"/>
  <c r="F202" i="11" l="1"/>
  <c r="M198" i="11" s="1"/>
  <c r="D200" i="11" s="1"/>
  <c r="J202" i="11"/>
  <c r="G109" i="11"/>
  <c r="G54" i="11" l="1"/>
  <c r="H16" i="16" l="1"/>
  <c r="H15" i="16"/>
  <c r="H14" i="16"/>
  <c r="H13" i="16"/>
  <c r="F6" i="16"/>
  <c r="D18" i="16" l="1"/>
  <c r="D12" i="16"/>
  <c r="H11" i="16"/>
  <c r="H12" i="16" s="1"/>
  <c r="H17" i="16" s="1"/>
  <c r="H18" i="16" s="1"/>
  <c r="E9" i="16"/>
  <c r="G5" i="16" s="1"/>
  <c r="B7" i="16" s="1"/>
  <c r="H8" i="16"/>
  <c r="D13" i="16"/>
  <c r="D17" i="16"/>
  <c r="D11" i="16"/>
  <c r="H10" i="16"/>
  <c r="D16" i="16"/>
  <c r="D10" i="16"/>
  <c r="D15" i="16"/>
  <c r="D9" i="16"/>
  <c r="D14" i="16"/>
  <c r="H9" i="16"/>
  <c r="C283" i="11" l="1"/>
  <c r="C323" i="11" l="1"/>
  <c r="C324" i="11" s="1"/>
  <c r="C325" i="11" s="1"/>
  <c r="C326" i="11" s="1"/>
  <c r="C327" i="11" s="1"/>
  <c r="C328" i="11" s="1"/>
  <c r="C284" i="11"/>
  <c r="C285" i="11" s="1"/>
  <c r="C286" i="11" s="1"/>
  <c r="C287" i="11" s="1"/>
  <c r="C288" i="11" s="1"/>
  <c r="K401" i="11" l="1"/>
  <c r="K402" i="11" s="1"/>
  <c r="K138" i="11"/>
  <c r="K135" i="11"/>
  <c r="A464" i="11"/>
  <c r="A465" i="11" s="1"/>
  <c r="A466" i="11" s="1"/>
  <c r="A467" i="11" s="1"/>
  <c r="A468" i="11" s="1"/>
  <c r="M402" i="11" l="1"/>
  <c r="A469" i="11"/>
  <c r="N251" i="11"/>
  <c r="A322" i="1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470" i="11" l="1"/>
  <c r="A471" i="11" s="1"/>
  <c r="A472" i="11" s="1"/>
  <c r="K396" i="11"/>
  <c r="M412" i="11" l="1"/>
  <c r="G457" i="11"/>
  <c r="A284" i="11"/>
  <c r="A285" i="11" s="1"/>
  <c r="A286" i="11" s="1"/>
  <c r="A287" i="11" s="1"/>
  <c r="A288" i="11" l="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252" i="11" l="1"/>
  <c r="A253" i="11" s="1"/>
  <c r="A254" i="11" s="1"/>
  <c r="A255" i="11" s="1"/>
  <c r="A256" i="11" s="1"/>
  <c r="A257" i="11" s="1"/>
  <c r="A258" i="11" s="1"/>
  <c r="A259" i="11" s="1"/>
  <c r="A260" i="11" s="1"/>
  <c r="A261" i="11" s="1"/>
  <c r="A262" i="11" s="1"/>
  <c r="A263" i="11" s="1"/>
  <c r="A267" i="11" l="1"/>
  <c r="A268" i="11" s="1"/>
  <c r="A269" i="11" s="1"/>
  <c r="A270" i="11" s="1"/>
  <c r="A271" i="11" s="1"/>
  <c r="A272" i="11" s="1"/>
  <c r="A273" i="11" s="1"/>
  <c r="A274" i="11" s="1"/>
  <c r="A275" i="11" s="1"/>
  <c r="G413" i="11" l="1"/>
  <c r="A796" i="11"/>
  <c r="A797" i="11" s="1"/>
  <c r="A798" i="11" s="1"/>
  <c r="A799" i="11" s="1"/>
  <c r="A800" i="11" s="1"/>
  <c r="F473" i="11" l="1"/>
  <c r="G149" i="11" l="1"/>
  <c r="G141" i="11"/>
  <c r="J161" i="14" l="1"/>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4" i="14"/>
  <c r="J23" i="14"/>
  <c r="J22" i="14"/>
  <c r="J21" i="14"/>
  <c r="J20" i="14"/>
  <c r="J19" i="14"/>
  <c r="J18" i="14"/>
  <c r="J17" i="14"/>
  <c r="J16" i="14"/>
  <c r="J15" i="14"/>
  <c r="J14" i="14"/>
  <c r="J13" i="14"/>
  <c r="J12" i="14"/>
  <c r="J11" i="14"/>
  <c r="J10" i="14"/>
  <c r="J9" i="14"/>
  <c r="J8" i="14"/>
  <c r="J7" i="14"/>
  <c r="J6" i="14"/>
  <c r="J5" i="14"/>
  <c r="J4" i="14"/>
  <c r="H5" i="2" l="1"/>
  <c r="I5" i="2" s="1"/>
  <c r="G8" i="2"/>
  <c r="G11" i="2"/>
  <c r="I7" i="2"/>
  <c r="I8" i="2"/>
  <c r="I9" i="2"/>
  <c r="I10" i="2"/>
  <c r="I11" i="2"/>
  <c r="I6" i="2"/>
  <c r="G161" i="14" l="1"/>
  <c r="G160" i="14"/>
  <c r="G159" i="14"/>
  <c r="G158" i="14"/>
  <c r="G157" i="14"/>
  <c r="G156" i="14"/>
  <c r="G155" i="14"/>
  <c r="G154" i="14"/>
  <c r="G152" i="14"/>
  <c r="G151" i="14"/>
  <c r="G150" i="14"/>
  <c r="G149" i="14"/>
  <c r="G141" i="14"/>
  <c r="G140" i="14"/>
  <c r="G139" i="14"/>
  <c r="G138" i="14"/>
  <c r="G137" i="14"/>
  <c r="G136" i="14"/>
  <c r="G135" i="14"/>
  <c r="G134" i="14"/>
  <c r="G132" i="14"/>
  <c r="G131" i="14"/>
  <c r="G130" i="14"/>
  <c r="G129" i="14"/>
  <c r="G121" i="14"/>
  <c r="G120" i="14"/>
  <c r="G119" i="14"/>
  <c r="G118" i="14"/>
  <c r="G117" i="14"/>
  <c r="G116" i="14"/>
  <c r="G115" i="14"/>
  <c r="G114" i="14"/>
  <c r="G112" i="14"/>
  <c r="G111" i="14"/>
  <c r="G110" i="14"/>
  <c r="G109"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D111" i="14"/>
  <c r="D121" i="14" s="1"/>
  <c r="D131" i="14" s="1"/>
  <c r="D141" i="14" s="1"/>
  <c r="D151" i="14" s="1"/>
  <c r="D161" i="14" s="1"/>
  <c r="G101" i="14"/>
  <c r="G100" i="14"/>
  <c r="G99" i="14"/>
  <c r="G98" i="14"/>
  <c r="G97" i="14"/>
  <c r="G96" i="14"/>
  <c r="G95" i="14"/>
  <c r="G94" i="14"/>
  <c r="G92" i="14"/>
  <c r="F101" i="14"/>
  <c r="F100" i="14"/>
  <c r="F99" i="14"/>
  <c r="F98" i="14"/>
  <c r="F97" i="14"/>
  <c r="F96" i="14"/>
  <c r="F95" i="14"/>
  <c r="F94" i="14"/>
  <c r="F93" i="14"/>
  <c r="F92" i="14"/>
  <c r="D110" i="14"/>
  <c r="D120" i="14" s="1"/>
  <c r="D130" i="14" s="1"/>
  <c r="D140" i="14" s="1"/>
  <c r="D150" i="14" s="1"/>
  <c r="D160" i="14" s="1"/>
  <c r="D109" i="14"/>
  <c r="D119" i="14" s="1"/>
  <c r="D129" i="14" s="1"/>
  <c r="D139" i="14" s="1"/>
  <c r="D149" i="14" s="1"/>
  <c r="D159" i="14" s="1"/>
  <c r="D108" i="14"/>
  <c r="D118" i="14" s="1"/>
  <c r="D128" i="14" s="1"/>
  <c r="D138" i="14" s="1"/>
  <c r="D148" i="14" s="1"/>
  <c r="D158" i="14" s="1"/>
  <c r="D107" i="14"/>
  <c r="D117" i="14" s="1"/>
  <c r="D127" i="14" s="1"/>
  <c r="D137" i="14" s="1"/>
  <c r="D147" i="14" s="1"/>
  <c r="D157" i="14" s="1"/>
  <c r="D106" i="14"/>
  <c r="D116" i="14" s="1"/>
  <c r="D126" i="14" s="1"/>
  <c r="D136" i="14" s="1"/>
  <c r="D146" i="14" s="1"/>
  <c r="D156" i="14" s="1"/>
  <c r="D105" i="14"/>
  <c r="D115" i="14" s="1"/>
  <c r="D125" i="14" s="1"/>
  <c r="D135" i="14" s="1"/>
  <c r="D145" i="14" s="1"/>
  <c r="D155" i="14" s="1"/>
  <c r="D104" i="14"/>
  <c r="D114" i="14" s="1"/>
  <c r="D124" i="14" s="1"/>
  <c r="D134" i="14" s="1"/>
  <c r="D144" i="14" s="1"/>
  <c r="D154" i="14" s="1"/>
  <c r="D103" i="14"/>
  <c r="D113" i="14" s="1"/>
  <c r="D123" i="14" s="1"/>
  <c r="D133" i="14" s="1"/>
  <c r="D143" i="14" s="1"/>
  <c r="D153" i="14" s="1"/>
  <c r="D102" i="14"/>
  <c r="D112" i="14" s="1"/>
  <c r="D122" i="14" s="1"/>
  <c r="D132" i="14" s="1"/>
  <c r="D142" i="14" s="1"/>
  <c r="D152" i="14" s="1"/>
  <c r="G89" i="14"/>
  <c r="F89" i="14"/>
  <c r="G88" i="14"/>
  <c r="F88" i="14"/>
  <c r="G87" i="14"/>
  <c r="F87" i="14"/>
  <c r="G86" i="14"/>
  <c r="F86" i="14"/>
  <c r="G85" i="14"/>
  <c r="F85" i="14"/>
  <c r="G84" i="14"/>
  <c r="F84" i="14"/>
  <c r="F83" i="14"/>
  <c r="G82" i="14"/>
  <c r="F82" i="14"/>
  <c r="G81" i="14"/>
  <c r="F81" i="14"/>
  <c r="G80" i="14"/>
  <c r="F80" i="14"/>
  <c r="F79" i="14"/>
  <c r="F78" i="14"/>
  <c r="F77" i="14"/>
  <c r="F76" i="14"/>
  <c r="F75" i="14"/>
  <c r="F74" i="14"/>
  <c r="F73" i="14"/>
  <c r="F72" i="14"/>
  <c r="G71" i="14"/>
  <c r="F71" i="14"/>
  <c r="G70" i="14"/>
  <c r="F70" i="14"/>
  <c r="G69" i="14"/>
  <c r="F69" i="14"/>
  <c r="G68" i="14"/>
  <c r="F68" i="14"/>
  <c r="G67" i="14"/>
  <c r="F67" i="14"/>
  <c r="G66" i="14"/>
  <c r="F66" i="14"/>
  <c r="F65" i="14"/>
  <c r="G64" i="14"/>
  <c r="F64" i="14"/>
  <c r="G63" i="14"/>
  <c r="F63" i="14"/>
  <c r="G62" i="14"/>
  <c r="F62" i="14"/>
  <c r="F61" i="14"/>
  <c r="F60" i="14"/>
  <c r="F59" i="14"/>
  <c r="F58" i="14"/>
  <c r="F57" i="14"/>
  <c r="F56" i="14"/>
  <c r="F55" i="14"/>
  <c r="F54" i="14"/>
  <c r="G53" i="14"/>
  <c r="F53" i="14"/>
  <c r="G52" i="14"/>
  <c r="F52" i="14"/>
  <c r="G51" i="14"/>
  <c r="F51" i="14"/>
  <c r="G50" i="14"/>
  <c r="F50" i="14"/>
  <c r="G49" i="14"/>
  <c r="F49" i="14"/>
  <c r="G48" i="14"/>
  <c r="F48" i="14"/>
  <c r="F47" i="14"/>
  <c r="G46" i="14"/>
  <c r="F46" i="14"/>
  <c r="G45" i="14"/>
  <c r="F45" i="14"/>
  <c r="G44" i="14"/>
  <c r="D38" i="14"/>
  <c r="D47" i="14" s="1"/>
  <c r="D56" i="14" s="1"/>
  <c r="D65" i="14" s="1"/>
  <c r="D74" i="14" s="1"/>
  <c r="D83" i="14" s="1"/>
  <c r="D39" i="14"/>
  <c r="D48" i="14" s="1"/>
  <c r="D57" i="14" s="1"/>
  <c r="D66" i="14" s="1"/>
  <c r="D75" i="14" s="1"/>
  <c r="D84" i="14" s="1"/>
  <c r="D40" i="14"/>
  <c r="D49" i="14" s="1"/>
  <c r="D58" i="14" s="1"/>
  <c r="D67" i="14" s="1"/>
  <c r="D76" i="14" s="1"/>
  <c r="D85" i="14" s="1"/>
  <c r="D41" i="14"/>
  <c r="D50" i="14" s="1"/>
  <c r="D59" i="14" s="1"/>
  <c r="D68" i="14" s="1"/>
  <c r="D77" i="14" s="1"/>
  <c r="D86" i="14" s="1"/>
  <c r="D42" i="14"/>
  <c r="D51" i="14" s="1"/>
  <c r="D60" i="14" s="1"/>
  <c r="D69" i="14" s="1"/>
  <c r="D78" i="14" s="1"/>
  <c r="D87" i="14" s="1"/>
  <c r="D43" i="14"/>
  <c r="D52" i="14" s="1"/>
  <c r="D61" i="14" s="1"/>
  <c r="D70" i="14" s="1"/>
  <c r="D79" i="14" s="1"/>
  <c r="D88" i="14" s="1"/>
  <c r="D44" i="14"/>
  <c r="D53" i="14" s="1"/>
  <c r="D62" i="14" s="1"/>
  <c r="D71" i="14" s="1"/>
  <c r="D80" i="14" s="1"/>
  <c r="D89" i="14" s="1"/>
  <c r="D37" i="14"/>
  <c r="D46" i="14" s="1"/>
  <c r="D55" i="14" s="1"/>
  <c r="D64" i="14" s="1"/>
  <c r="D73" i="14" s="1"/>
  <c r="D82" i="14" s="1"/>
  <c r="D36" i="14"/>
  <c r="D45" i="14" s="1"/>
  <c r="D54" i="14" s="1"/>
  <c r="D63" i="14" s="1"/>
  <c r="D72" i="14" s="1"/>
  <c r="D81" i="14" s="1"/>
  <c r="F44" i="14"/>
  <c r="F43" i="14"/>
  <c r="F42" i="14"/>
  <c r="F41" i="14"/>
  <c r="F40" i="14"/>
  <c r="F39" i="14"/>
  <c r="F38" i="14"/>
  <c r="F37" i="14"/>
  <c r="F36" i="14"/>
  <c r="G35" i="14"/>
  <c r="G34" i="14"/>
  <c r="G33" i="14"/>
  <c r="G32" i="14"/>
  <c r="G31" i="14"/>
  <c r="G30" i="14"/>
  <c r="G28" i="14"/>
  <c r="G27" i="14"/>
  <c r="F35" i="14"/>
  <c r="F34" i="14"/>
  <c r="F33" i="14"/>
  <c r="F32" i="14"/>
  <c r="F31" i="14"/>
  <c r="F30" i="14"/>
  <c r="F29" i="14"/>
  <c r="F28" i="14"/>
  <c r="F27" i="14"/>
  <c r="G24" i="14"/>
  <c r="F24" i="14"/>
  <c r="G23" i="14"/>
  <c r="F23" i="14"/>
  <c r="F22" i="14"/>
  <c r="F21" i="14"/>
  <c r="F20" i="14"/>
  <c r="F19" i="14"/>
  <c r="G18" i="14"/>
  <c r="F18" i="14"/>
  <c r="G17" i="14"/>
  <c r="F17" i="14"/>
  <c r="F16" i="14"/>
  <c r="F15" i="14"/>
  <c r="F14" i="14"/>
  <c r="F13" i="14"/>
  <c r="G12" i="14"/>
  <c r="F12" i="14"/>
  <c r="G11" i="14"/>
  <c r="F11" i="14"/>
  <c r="F10" i="14"/>
  <c r="D9" i="14"/>
  <c r="D12" i="14" s="1"/>
  <c r="D15" i="14" s="1"/>
  <c r="D18" i="14" s="1"/>
  <c r="D21" i="14" s="1"/>
  <c r="D24" i="14" s="1"/>
  <c r="D8" i="14"/>
  <c r="D11" i="14" s="1"/>
  <c r="D14" i="14" s="1"/>
  <c r="D17" i="14" s="1"/>
  <c r="D20" i="14" s="1"/>
  <c r="D23" i="14" s="1"/>
  <c r="D7" i="14"/>
  <c r="D10" i="14" s="1"/>
  <c r="D13" i="14" s="1"/>
  <c r="D16" i="14" s="1"/>
  <c r="D19" i="14" s="1"/>
  <c r="D22" i="14" s="1"/>
  <c r="G6" i="14"/>
  <c r="F6" i="14"/>
  <c r="F5" i="14"/>
  <c r="G5" i="14"/>
  <c r="F7" i="14"/>
  <c r="F8" i="14"/>
  <c r="F9" i="14"/>
  <c r="F4" i="14"/>
  <c r="H6" i="12" l="1"/>
  <c r="H7" i="12" s="1"/>
  <c r="J13" i="12" s="1"/>
  <c r="I6" i="12"/>
  <c r="I7" i="12"/>
  <c r="J14" i="12" s="1"/>
  <c r="B8" i="12"/>
  <c r="J6" i="12" s="1"/>
  <c r="I15" i="12" s="1"/>
  <c r="B10" i="12"/>
  <c r="K7" i="12" s="1"/>
  <c r="J16" i="12" s="1"/>
  <c r="B12" i="12"/>
  <c r="L7" i="12" s="1"/>
  <c r="J17" i="12" s="1"/>
  <c r="B14" i="12"/>
  <c r="M6" i="12" s="1"/>
  <c r="I18" i="12" s="1"/>
  <c r="I14" i="12"/>
  <c r="B16" i="12"/>
  <c r="N6" i="12" s="1"/>
  <c r="I19" i="12" s="1"/>
  <c r="N7" i="12" l="1"/>
  <c r="J19" i="12" s="1"/>
  <c r="M7" i="12"/>
  <c r="J18" i="12" s="1"/>
  <c r="J7" i="12"/>
  <c r="J15" i="12" s="1"/>
  <c r="I13" i="12"/>
  <c r="L6" i="12"/>
  <c r="I17" i="12" s="1"/>
  <c r="I12" i="2"/>
  <c r="K6" i="12"/>
  <c r="I16" i="12" s="1"/>
  <c r="I20" i="12"/>
  <c r="J20" i="12" l="1"/>
</calcChain>
</file>

<file path=xl/comments1.xml><?xml version="1.0" encoding="utf-8"?>
<comments xmlns="http://schemas.openxmlformats.org/spreadsheetml/2006/main">
  <authors>
    <author>SACHIN</author>
  </authors>
  <commentList>
    <comment ref="A8" authorId="0" shapeId="0">
      <text>
        <r>
          <rPr>
            <b/>
            <sz val="9"/>
            <color indexed="81"/>
            <rFont val="Tahoma"/>
            <family val="2"/>
          </rPr>
          <t>SACHIN:</t>
        </r>
        <r>
          <rPr>
            <sz val="9"/>
            <color indexed="81"/>
            <rFont val="Tahoma"/>
            <family val="2"/>
          </rPr>
          <t xml:space="preserve">
</t>
        </r>
        <r>
          <rPr>
            <sz val="16"/>
            <color indexed="81"/>
            <rFont val="Tahoma"/>
            <family val="2"/>
          </rPr>
          <t>Project Name</t>
        </r>
      </text>
    </comment>
    <comment ref="A9" authorId="0" shapeId="0">
      <text>
        <r>
          <rPr>
            <b/>
            <sz val="9"/>
            <color indexed="81"/>
            <rFont val="Tahoma"/>
            <family val="2"/>
          </rPr>
          <t>SACHIN:</t>
        </r>
        <r>
          <rPr>
            <sz val="9"/>
            <color indexed="81"/>
            <rFont val="Tahoma"/>
            <family val="2"/>
          </rPr>
          <t xml:space="preserve">
</t>
        </r>
        <r>
          <rPr>
            <sz val="16"/>
            <color indexed="81"/>
            <rFont val="Tahoma"/>
            <family val="2"/>
          </rPr>
          <t>Project Legal Address</t>
        </r>
      </text>
    </comment>
    <comment ref="A10" authorId="0" shapeId="0">
      <text>
        <r>
          <rPr>
            <b/>
            <sz val="9"/>
            <color indexed="81"/>
            <rFont val="Tahoma"/>
            <family val="2"/>
          </rPr>
          <t>SACHIN:</t>
        </r>
        <r>
          <rPr>
            <sz val="9"/>
            <color indexed="81"/>
            <rFont val="Tahoma"/>
            <family val="2"/>
          </rPr>
          <t xml:space="preserve">
</t>
        </r>
        <r>
          <rPr>
            <sz val="16"/>
            <color indexed="81"/>
            <rFont val="Tahoma"/>
            <family val="2"/>
          </rPr>
          <t>Project Picture</t>
        </r>
      </text>
    </comment>
    <comment ref="G53" authorId="0" shapeId="0">
      <text>
        <r>
          <rPr>
            <b/>
            <sz val="9"/>
            <color indexed="81"/>
            <rFont val="Tahoma"/>
            <family val="2"/>
          </rPr>
          <t>SACHIN:</t>
        </r>
        <r>
          <rPr>
            <sz val="9"/>
            <color indexed="81"/>
            <rFont val="Tahoma"/>
            <family val="2"/>
          </rPr>
          <t xml:space="preserve">
Visit Date</t>
        </r>
      </text>
    </comment>
    <comment ref="G55" authorId="0" shapeId="0">
      <text>
        <r>
          <rPr>
            <b/>
            <sz val="9"/>
            <color indexed="81"/>
            <rFont val="Tahoma"/>
            <family val="2"/>
          </rPr>
          <t>SACHIN:</t>
        </r>
        <r>
          <rPr>
            <sz val="9"/>
            <color indexed="81"/>
            <rFont val="Tahoma"/>
            <family val="2"/>
          </rPr>
          <t xml:space="preserve">
All documents name
Layout plan, floor plan CC and other NOC with Name n no</t>
        </r>
      </text>
    </comment>
    <comment ref="G57" authorId="0" shapeId="0">
      <text>
        <r>
          <rPr>
            <b/>
            <sz val="9"/>
            <color indexed="81"/>
            <rFont val="Tahoma"/>
            <family val="2"/>
          </rPr>
          <t>SACHIN:</t>
        </r>
        <r>
          <rPr>
            <sz val="9"/>
            <color indexed="81"/>
            <rFont val="Tahoma"/>
            <family val="2"/>
          </rPr>
          <t xml:space="preserve">
Project Name, Location, Marketbility, Total Flats, range of carpet etc</t>
        </r>
      </text>
    </comment>
    <comment ref="G102" authorId="0" shapeId="0">
      <text>
        <r>
          <rPr>
            <b/>
            <sz val="9"/>
            <color indexed="81"/>
            <rFont val="Tahoma"/>
            <family val="2"/>
          </rPr>
          <t>2 School
2 Shopping Centre or mall
2 Hospital</t>
        </r>
        <r>
          <rPr>
            <sz val="9"/>
            <color indexed="81"/>
            <rFont val="Tahoma"/>
            <family val="2"/>
          </rPr>
          <t xml:space="preserve">
</t>
        </r>
      </text>
    </comment>
    <comment ref="G103" authorId="0" shapeId="0">
      <text>
        <r>
          <rPr>
            <b/>
            <sz val="9"/>
            <color indexed="81"/>
            <rFont val="Tahoma"/>
            <family val="2"/>
          </rPr>
          <t>2 School
2 Shopping Centre or mall
2 Hospital</t>
        </r>
        <r>
          <rPr>
            <sz val="9"/>
            <color indexed="81"/>
            <rFont val="Tahoma"/>
            <family val="2"/>
          </rPr>
          <t xml:space="preserve">
</t>
        </r>
      </text>
    </comment>
    <comment ref="G104" authorId="0" shapeId="0">
      <text>
        <r>
          <rPr>
            <b/>
            <sz val="9"/>
            <color indexed="81"/>
            <rFont val="Tahoma"/>
            <family val="2"/>
          </rPr>
          <t>2 School
2 Shopping Centre or mall
2 Hospital</t>
        </r>
        <r>
          <rPr>
            <sz val="9"/>
            <color indexed="81"/>
            <rFont val="Tahoma"/>
            <family val="2"/>
          </rPr>
          <t xml:space="preserve">
</t>
        </r>
      </text>
    </comment>
    <comment ref="G105" authorId="0" shapeId="0">
      <text>
        <r>
          <rPr>
            <b/>
            <sz val="9"/>
            <color indexed="81"/>
            <rFont val="Tahoma"/>
            <family val="2"/>
          </rPr>
          <t>2 School
2 Shopping Centre or mall
2 Hospital</t>
        </r>
        <r>
          <rPr>
            <sz val="9"/>
            <color indexed="81"/>
            <rFont val="Tahoma"/>
            <family val="2"/>
          </rPr>
          <t xml:space="preserve">
</t>
        </r>
      </text>
    </comment>
    <comment ref="G113" authorId="0" shapeId="0">
      <text>
        <r>
          <rPr>
            <b/>
            <sz val="9"/>
            <color indexed="81"/>
            <rFont val="Tahoma"/>
            <family val="2"/>
          </rPr>
          <t>SACHIN:</t>
        </r>
        <r>
          <rPr>
            <sz val="9"/>
            <color indexed="81"/>
            <rFont val="Tahoma"/>
            <family val="2"/>
          </rPr>
          <t xml:space="preserve">
Type of Road</t>
        </r>
      </text>
    </comment>
    <comment ref="G114" authorId="0" shapeId="0">
      <text>
        <r>
          <rPr>
            <b/>
            <sz val="9"/>
            <color indexed="81"/>
            <rFont val="Tahoma"/>
            <family val="2"/>
          </rPr>
          <t>SACHIN:</t>
        </r>
        <r>
          <rPr>
            <sz val="9"/>
            <color indexed="81"/>
            <rFont val="Tahoma"/>
            <family val="2"/>
          </rPr>
          <t xml:space="preserve">
Size of Road</t>
        </r>
      </text>
    </comment>
    <comment ref="G116" authorId="0" shapeId="0">
      <text>
        <r>
          <rPr>
            <b/>
            <sz val="9"/>
            <color indexed="81"/>
            <rFont val="Tahoma"/>
            <family val="2"/>
          </rPr>
          <t>SACHIN:</t>
        </r>
        <r>
          <rPr>
            <sz val="9"/>
            <color indexed="81"/>
            <rFont val="Tahoma"/>
            <family val="2"/>
          </rPr>
          <t xml:space="preserve">
Water supply authority
</t>
        </r>
      </text>
    </comment>
    <comment ref="G119" authorId="0" shapeId="0">
      <text>
        <r>
          <rPr>
            <b/>
            <sz val="9"/>
            <color indexed="81"/>
            <rFont val="Tahoma"/>
            <family val="2"/>
          </rPr>
          <t>SACHIN:</t>
        </r>
        <r>
          <rPr>
            <sz val="9"/>
            <color indexed="81"/>
            <rFont val="Tahoma"/>
            <family val="2"/>
          </rPr>
          <t xml:space="preserve">
Advantages like markets,banks,development,nearby stn etc
</t>
        </r>
      </text>
    </comment>
    <comment ref="G130" authorId="0" shapeId="0">
      <text>
        <r>
          <rPr>
            <b/>
            <sz val="9"/>
            <color indexed="81"/>
            <rFont val="Tahoma"/>
            <family val="2"/>
          </rPr>
          <t>SACHIN:</t>
        </r>
        <r>
          <rPr>
            <sz val="9"/>
            <color indexed="81"/>
            <rFont val="Tahoma"/>
            <family val="2"/>
          </rPr>
          <t xml:space="preserve">
Ready Recknor Rate</t>
        </r>
      </text>
    </comment>
    <comment ref="I130" authorId="0" shapeId="0">
      <text>
        <r>
          <rPr>
            <b/>
            <sz val="9"/>
            <color indexed="81"/>
            <rFont val="Tahoma"/>
            <family val="2"/>
          </rPr>
          <t>SACHIN:</t>
        </r>
        <r>
          <rPr>
            <sz val="9"/>
            <color indexed="81"/>
            <rFont val="Tahoma"/>
            <family val="2"/>
          </rPr>
          <t xml:space="preserve">
Ready Reconer rate 
ONLY IN SQM</t>
        </r>
      </text>
    </comment>
    <comment ref="G131" authorId="0" shapeId="0">
      <text>
        <r>
          <rPr>
            <b/>
            <sz val="9"/>
            <color indexed="81"/>
            <rFont val="Tahoma"/>
            <family val="2"/>
          </rPr>
          <t>SACHIN:</t>
        </r>
        <r>
          <rPr>
            <sz val="9"/>
            <color indexed="81"/>
            <rFont val="Tahoma"/>
            <family val="2"/>
          </rPr>
          <t xml:space="preserve">
Ready Recknor Rate</t>
        </r>
      </text>
    </comment>
    <comment ref="I131" authorId="0" shapeId="0">
      <text>
        <r>
          <rPr>
            <b/>
            <sz val="9"/>
            <color indexed="81"/>
            <rFont val="Tahoma"/>
            <family val="2"/>
          </rPr>
          <t>SACHIN:</t>
        </r>
        <r>
          <rPr>
            <sz val="9"/>
            <color indexed="81"/>
            <rFont val="Tahoma"/>
            <family val="2"/>
          </rPr>
          <t xml:space="preserve">
Ready Reconer rate 
ONLY IN SQM</t>
        </r>
      </text>
    </comment>
    <comment ref="G144" authorId="0" shapeId="0">
      <text>
        <r>
          <rPr>
            <b/>
            <sz val="9"/>
            <color indexed="81"/>
            <rFont val="Tahoma"/>
            <family val="2"/>
          </rPr>
          <t>SACHIN:</t>
        </r>
        <r>
          <rPr>
            <sz val="9"/>
            <color indexed="81"/>
            <rFont val="Tahoma"/>
            <family val="2"/>
          </rPr>
          <t xml:space="preserve">
Building Names with Approved No. of Floors</t>
        </r>
      </text>
    </comment>
    <comment ref="G148" authorId="0" shapeId="0">
      <text>
        <r>
          <rPr>
            <b/>
            <sz val="9"/>
            <color indexed="81"/>
            <rFont val="Tahoma"/>
            <family val="2"/>
          </rPr>
          <t>SACHIN:</t>
        </r>
        <r>
          <rPr>
            <sz val="9"/>
            <color indexed="81"/>
            <rFont val="Tahoma"/>
            <family val="2"/>
          </rPr>
          <t xml:space="preserve">
Plan date &amp; Valid upto Date</t>
        </r>
      </text>
    </comment>
  </commentList>
</comments>
</file>

<file path=xl/sharedStrings.xml><?xml version="1.0" encoding="utf-8"?>
<sst xmlns="http://schemas.openxmlformats.org/spreadsheetml/2006/main" count="1523" uniqueCount="680">
  <si>
    <t>GOOGLE MAP :</t>
  </si>
  <si>
    <t xml:space="preserve">Dated: </t>
  </si>
  <si>
    <t>Name &amp; Address of Branch</t>
  </si>
  <si>
    <t>:</t>
  </si>
  <si>
    <t xml:space="preserve">Name of the Project </t>
  </si>
  <si>
    <t>a)</t>
  </si>
  <si>
    <t>b)</t>
  </si>
  <si>
    <t>d)</t>
  </si>
  <si>
    <t>Purpose of Valuation</t>
  </si>
  <si>
    <t>Date of Inspection of Property</t>
  </si>
  <si>
    <t xml:space="preserve">Location of the Property </t>
  </si>
  <si>
    <t>Carpet Area, Terrace Area and Saleable area to be mentioned separately and clarified</t>
  </si>
  <si>
    <t>See below mentioned schedule of the property.</t>
  </si>
  <si>
    <t>Rate</t>
  </si>
  <si>
    <t>Particulars</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</si>
  <si>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</si>
  <si>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</si>
  <si>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</si>
  <si>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</si>
  <si>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</si>
  <si>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</si>
  <si>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</si>
  <si>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</si>
  <si>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</si>
  <si>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</si>
  <si>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</si>
  <si>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</si>
  <si>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</si>
  <si>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</si>
  <si>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</si>
  <si>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</si>
  <si>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</si>
  <si>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</si>
  <si>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</si>
  <si>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</si>
  <si>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</si>
  <si>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</si>
  <si>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</si>
  <si>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</si>
  <si>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 xml:space="preserve">total floor </t>
  </si>
  <si>
    <t>e)</t>
  </si>
  <si>
    <t>f)</t>
  </si>
  <si>
    <t>g)</t>
  </si>
  <si>
    <t>h)</t>
  </si>
  <si>
    <t>i)</t>
  </si>
  <si>
    <t>j)</t>
  </si>
  <si>
    <t>Description</t>
  </si>
  <si>
    <t>East</t>
  </si>
  <si>
    <t>West</t>
  </si>
  <si>
    <t>North</t>
  </si>
  <si>
    <t>South</t>
  </si>
  <si>
    <t>NA</t>
  </si>
  <si>
    <t>Proposed</t>
  </si>
  <si>
    <t>Yes</t>
  </si>
  <si>
    <t>No</t>
  </si>
  <si>
    <t>Introduction :</t>
  </si>
  <si>
    <t>To assess present market value for the purpose of advance.</t>
  </si>
  <si>
    <t>Remark :</t>
  </si>
  <si>
    <t xml:space="preserve">PHOTOGRAPHS OF PROPERTY : 
</t>
  </si>
  <si>
    <t>Market Research Data</t>
  </si>
  <si>
    <t>Source</t>
  </si>
  <si>
    <t>Net Carpet</t>
  </si>
  <si>
    <t>Market Value</t>
  </si>
  <si>
    <t>Average</t>
  </si>
  <si>
    <t xml:space="preserve">Valuation Adopted </t>
  </si>
  <si>
    <t>Value (Rs.)</t>
  </si>
  <si>
    <r>
      <rPr>
        <b/>
        <u/>
        <sz val="11"/>
        <color indexed="8"/>
        <rFont val="Times New Roman"/>
        <family val="1"/>
      </rPr>
      <t>VALUATION</t>
    </r>
    <r>
      <rPr>
        <b/>
        <sz val="11"/>
        <color indexed="8"/>
        <rFont val="Times New Roman"/>
        <family val="1"/>
      </rPr>
      <t xml:space="preserve"> </t>
    </r>
    <r>
      <rPr>
        <b/>
        <u/>
        <sz val="11"/>
        <color indexed="8"/>
        <rFont val="Times New Roman"/>
        <family val="1"/>
      </rPr>
      <t>REPORT</t>
    </r>
  </si>
  <si>
    <t>Sr. No.</t>
  </si>
  <si>
    <t>Floor No.</t>
  </si>
  <si>
    <t>Flat / Shop No.</t>
  </si>
  <si>
    <t>Configuration</t>
  </si>
  <si>
    <t>Flat</t>
  </si>
  <si>
    <t>1 BHK</t>
  </si>
  <si>
    <t>1 RK</t>
  </si>
  <si>
    <t>99 Acres</t>
  </si>
  <si>
    <t>Valuation Summary :</t>
  </si>
  <si>
    <t>VALUATION OF PROPERTIES</t>
  </si>
  <si>
    <t>OF</t>
  </si>
  <si>
    <t>BY</t>
  </si>
  <si>
    <t>Distance from proposed property</t>
  </si>
  <si>
    <t>Sarvam</t>
  </si>
  <si>
    <t>Ground Floor For Parking</t>
  </si>
  <si>
    <t>1st Floor</t>
  </si>
  <si>
    <t>Carpet Area 
(in Sq. Ft.)</t>
  </si>
  <si>
    <t>2nd Floor</t>
  </si>
  <si>
    <t>3rd Floor</t>
  </si>
  <si>
    <t>4th Floor</t>
  </si>
  <si>
    <t>5th Floor</t>
  </si>
  <si>
    <t>6th Floor</t>
  </si>
  <si>
    <t>7th Floor</t>
  </si>
  <si>
    <t>Saleable Area
(in Sq. Ft.)</t>
  </si>
  <si>
    <t>Attached Terrace Area
(in Sq. Ft.)</t>
  </si>
  <si>
    <t>Building No.1 - B Wing</t>
  </si>
  <si>
    <t>Building No.1 - A Wing</t>
  </si>
  <si>
    <t>2 BHK</t>
  </si>
  <si>
    <t>Building &amp; Wing</t>
  </si>
  <si>
    <t>Building No.2 - C Wing</t>
  </si>
  <si>
    <t>Carpet Area (Sq.ft)</t>
  </si>
  <si>
    <t>Saleable Area</t>
  </si>
  <si>
    <t>Housing</t>
  </si>
  <si>
    <t>1BHK</t>
  </si>
  <si>
    <t>1RK</t>
  </si>
  <si>
    <t>Proptiger</t>
  </si>
  <si>
    <t>Gardenia - 650m</t>
  </si>
  <si>
    <t>2BHK</t>
  </si>
  <si>
    <t>Mahaavir Majesty - 550m</t>
  </si>
  <si>
    <t>Arihant Anaika - 550m</t>
  </si>
  <si>
    <t>Krushna Kunj - 950m</t>
  </si>
  <si>
    <t>Rate 
(on Saleable Area)</t>
  </si>
  <si>
    <t>We verified Approved Plans, CC, Sale Plans &amp; others Documents.</t>
  </si>
  <si>
    <t>Rate on Saleable Area</t>
  </si>
  <si>
    <t xml:space="preserve">A Wing </t>
  </si>
  <si>
    <t xml:space="preserve">B Wing </t>
  </si>
  <si>
    <t>C Wing</t>
  </si>
  <si>
    <t>market Value</t>
  </si>
  <si>
    <t>Office No. J-1031, Akshar Business Park, Plot No. 03</t>
  </si>
  <si>
    <t xml:space="preserve">Sector 25, Near APMC Market, Vashi, </t>
  </si>
  <si>
    <t>Navi Mumbai, Maharashtra 400703</t>
  </si>
  <si>
    <t xml:space="preserve">Web site: www.vsjadon.com    </t>
  </si>
  <si>
    <t>TEL: 022-46090378/79/80 Email: vsjc.apf@gmail.com.</t>
  </si>
  <si>
    <t>Office No. 1031, Wing J, Akshar Business Park, Plot No. 03 Sector 25, Near APMC Market, Vashi, 
Navi Mumbai, Maharashtra 400703 TEL: 022-46090378/79/80                                                                       
E mail : vsjcapf@gmail.com. Web site : www.vsjadon.com</t>
  </si>
  <si>
    <t>Date on which the valuation is made</t>
  </si>
  <si>
    <t>List of documents produced for perusal</t>
  </si>
  <si>
    <t>Name of the owner(s) and his / their address
(es) with Phone no. (details of share of each
owner in case of joint ownership)</t>
  </si>
  <si>
    <t>Brief description of the property (Including
leasehold / freehold etc)</t>
  </si>
  <si>
    <t>Village</t>
  </si>
  <si>
    <t>District</t>
  </si>
  <si>
    <t>Taluka</t>
  </si>
  <si>
    <t>Postal address of the property</t>
  </si>
  <si>
    <t>City / Town</t>
  </si>
  <si>
    <t>Residential Area</t>
  </si>
  <si>
    <t>Commercial Area</t>
  </si>
  <si>
    <t>Industrial Area</t>
  </si>
  <si>
    <t>Classification of the area</t>
  </si>
  <si>
    <t>a. High / Middle / Poor</t>
  </si>
  <si>
    <t>b. Urban / Semi Urban / Rural</t>
  </si>
  <si>
    <t>Coming under Corporation limit / Village
Panchayat / Municipality</t>
  </si>
  <si>
    <t>Boundaries of the property</t>
  </si>
  <si>
    <t>As per Rera</t>
  </si>
  <si>
    <t>As per Approved Layout</t>
  </si>
  <si>
    <t xml:space="preserve">As per Site </t>
  </si>
  <si>
    <t>Dimensions of the site</t>
  </si>
  <si>
    <t>As per the Deed</t>
  </si>
  <si>
    <t>Actuals</t>
  </si>
  <si>
    <t>Extent of the site</t>
  </si>
  <si>
    <t>Whether occupied by the owner / tenant? If
occupied by tenant, since how long? Rent
received per month.</t>
  </si>
  <si>
    <t>Feasibility to the Civic amenities like school, hospital, bus stop, market etc</t>
  </si>
  <si>
    <t>Corner plot or intermittent plot?</t>
  </si>
  <si>
    <t>Road facilities</t>
  </si>
  <si>
    <t>Type of road available at present</t>
  </si>
  <si>
    <t>Width of road – is it below 20 ft or more than 20 ft</t>
  </si>
  <si>
    <t>Is it a land – locked land?</t>
  </si>
  <si>
    <t>Water potentiality</t>
  </si>
  <si>
    <t>Underground sewerage system</t>
  </si>
  <si>
    <t>Is power supply available at the site?</t>
  </si>
  <si>
    <t>Advantage of the site</t>
  </si>
  <si>
    <t>Special remarks, if any, like threat of acquisition of land for public service purposes, road widening or applicability of CRZ provisions etc. (Distance from sea-coast / tidal level must be incorporated)</t>
  </si>
  <si>
    <t>Plain</t>
  </si>
  <si>
    <t>Irregular</t>
  </si>
  <si>
    <t>Connected to Munciple Sewer</t>
  </si>
  <si>
    <t>Valuation</t>
  </si>
  <si>
    <t>A</t>
  </si>
  <si>
    <t>North &amp; South</t>
  </si>
  <si>
    <t>East &amp; West</t>
  </si>
  <si>
    <t>Total extent of the plot</t>
  </si>
  <si>
    <t>Prevailing market rate (Along with details/reference of at least two latest deals/transactions with respect to adjacent properties in the areas)</t>
  </si>
  <si>
    <t>Assessed / adopted rate of valuation</t>
  </si>
  <si>
    <t>Estimated value of land</t>
  </si>
  <si>
    <t>Size of plot (As per Approved Plan) sq.m</t>
  </si>
  <si>
    <t>Size of plot (As per RERA) sq.m</t>
  </si>
  <si>
    <t>-</t>
  </si>
  <si>
    <t>As per table Attached to the report</t>
  </si>
  <si>
    <t>As per table Attached to the report.
Details of recent transactions/ online listings are attached with the report</t>
  </si>
  <si>
    <t>Guideline rate obtained from the Registrar’s Office (an evidence thereof to be enclosed) sq.m</t>
  </si>
  <si>
    <t>As per RERA</t>
  </si>
  <si>
    <t xml:space="preserve">As per Approved Plan </t>
  </si>
  <si>
    <t>Land Area in sq.m</t>
  </si>
  <si>
    <t>Value in Rs.</t>
  </si>
  <si>
    <t>Valuation of Building</t>
  </si>
  <si>
    <t>B</t>
  </si>
  <si>
    <t>Technical details of the building</t>
  </si>
  <si>
    <t>Type of construction (Load bearing / RCC / Steel Framed)</t>
  </si>
  <si>
    <t>Year of construction</t>
  </si>
  <si>
    <t xml:space="preserve">c) </t>
  </si>
  <si>
    <t>Number of floors and height of each floor including basement, if any including basement, if any</t>
  </si>
  <si>
    <t>Plinth area floor-wise</t>
  </si>
  <si>
    <t>Condition of the building</t>
  </si>
  <si>
    <t xml:space="preserve">1. Exterior </t>
  </si>
  <si>
    <t xml:space="preserve">2. Interior </t>
  </si>
  <si>
    <t>Date of issue and validity of layout of approved map / plan</t>
  </si>
  <si>
    <t>Type of Building (Residential / Commercial/ Industrial)</t>
  </si>
  <si>
    <t>Approved map / plan issuing authority</t>
  </si>
  <si>
    <t>Any other comments by our empanelled valuers on authentic of approved plan</t>
  </si>
  <si>
    <t>Whether genuineness or authenticity of approved map / plan is verified YES / NO</t>
  </si>
  <si>
    <t>Specifications of construction (floor-wise) in respect of</t>
  </si>
  <si>
    <t>S.No.</t>
  </si>
  <si>
    <t xml:space="preserve"> Description</t>
  </si>
  <si>
    <t>Foundation</t>
  </si>
  <si>
    <t>Basement</t>
  </si>
  <si>
    <t>Joinery / Doors &amp; Windows (please furnish details about size of frames, shutters, glazing, fitting etc. and specify the species of timber)</t>
  </si>
  <si>
    <t>RCC works</t>
  </si>
  <si>
    <t>Plastering</t>
  </si>
  <si>
    <t>Flooring, Skirting, dadoing</t>
  </si>
  <si>
    <t>Special finish as marble, granite, wooden paneling, grills, etc</t>
  </si>
  <si>
    <t>Roofing including weather proof course</t>
  </si>
  <si>
    <t>Drainage</t>
  </si>
  <si>
    <t>Proposed as IS Code requirements</t>
  </si>
  <si>
    <t>N.A. Building Construction Work in process</t>
  </si>
  <si>
    <t>Compound wall :</t>
  </si>
  <si>
    <t>Height :</t>
  </si>
  <si>
    <t>Length</t>
  </si>
  <si>
    <t>Type of construction</t>
  </si>
  <si>
    <t>Electrical installation</t>
  </si>
  <si>
    <t>Type of wiring :</t>
  </si>
  <si>
    <t>Class of fittings (superior / ordinary / poor) :</t>
  </si>
  <si>
    <t>Number of light points :</t>
  </si>
  <si>
    <t>Fan points :</t>
  </si>
  <si>
    <t>Spare plug points :</t>
  </si>
  <si>
    <t>Any other item</t>
  </si>
  <si>
    <t>Plumbing installation</t>
  </si>
  <si>
    <t>No. of water closets and their type :</t>
  </si>
  <si>
    <t>No. of wash basins :</t>
  </si>
  <si>
    <t>No. of urinals :</t>
  </si>
  <si>
    <t>No. of bath tubs :</t>
  </si>
  <si>
    <t>Water meter, taps, etc. :</t>
  </si>
  <si>
    <t>Any other fixtures</t>
  </si>
  <si>
    <t>Traditional Technology</t>
  </si>
  <si>
    <t>Configuration of Project</t>
  </si>
  <si>
    <t xml:space="preserve">Layout Approval No   </t>
  </si>
  <si>
    <t>Approved Floor plan No.</t>
  </si>
  <si>
    <t xml:space="preserve">O. Certificate No.: </t>
  </si>
  <si>
    <t>Date</t>
  </si>
  <si>
    <t>Approved no of units</t>
  </si>
  <si>
    <t>Approved no of Floors</t>
  </si>
  <si>
    <t>Proposed no of Floors</t>
  </si>
  <si>
    <t>No. of Units</t>
  </si>
  <si>
    <t>Total Carpet Area</t>
  </si>
  <si>
    <t>Total</t>
  </si>
  <si>
    <t>Grand Total</t>
  </si>
  <si>
    <t>Building Detail Statements: As per approved Plan.</t>
  </si>
  <si>
    <t>Building/ Wing/ Tower</t>
  </si>
  <si>
    <t>Total No. of Units</t>
  </si>
  <si>
    <t>Builtup Area (Sq.ft)</t>
  </si>
  <si>
    <t>Builtup Area
(in Sq. Ft.)</t>
  </si>
  <si>
    <t>Fair Market Value</t>
  </si>
  <si>
    <t xml:space="preserve"> Portico :</t>
  </si>
  <si>
    <t xml:space="preserve"> Ornamental front door :</t>
  </si>
  <si>
    <t xml:space="preserve"> Sit out/ Verandah with steel grills :</t>
  </si>
  <si>
    <t xml:space="preserve"> Overhead water tank :</t>
  </si>
  <si>
    <t xml:space="preserve"> Extra steel/ collapsible gates</t>
  </si>
  <si>
    <t xml:space="preserve"> Wardrobes :</t>
  </si>
  <si>
    <t xml:space="preserve"> Glazed tiles :</t>
  </si>
  <si>
    <t xml:space="preserve"> Extra sinks and bath tub :</t>
  </si>
  <si>
    <t xml:space="preserve"> Marble / Ceramic tiles flooring :</t>
  </si>
  <si>
    <t xml:space="preserve"> Interior decorations :</t>
  </si>
  <si>
    <t xml:space="preserve"> Architectural elevation works :</t>
  </si>
  <si>
    <t xml:space="preserve"> Panelling works :</t>
  </si>
  <si>
    <t xml:space="preserve"> Aluminium works :</t>
  </si>
  <si>
    <t xml:space="preserve"> Aluminium hand rails :</t>
  </si>
  <si>
    <t xml:space="preserve"> False ceiling</t>
  </si>
  <si>
    <t xml:space="preserve"> Separate toilet room :</t>
  </si>
  <si>
    <t xml:space="preserve"> Separate lumber room :</t>
  </si>
  <si>
    <t xml:space="preserve"> Separate water tank/ sump :</t>
  </si>
  <si>
    <t xml:space="preserve"> Trees, gardening</t>
  </si>
  <si>
    <t xml:space="preserve"> Water supply arrangements :</t>
  </si>
  <si>
    <t xml:space="preserve"> Drainage arrangements :</t>
  </si>
  <si>
    <t xml:space="preserve"> Compound wall :</t>
  </si>
  <si>
    <t xml:space="preserve"> Pavement</t>
  </si>
  <si>
    <t xml:space="preserve"> C.  B.  deposits, fittings etc</t>
  </si>
  <si>
    <t>Amount in Rs.</t>
  </si>
  <si>
    <t>Total abstract of the entire property</t>
  </si>
  <si>
    <t>Part A</t>
  </si>
  <si>
    <t>Part B</t>
  </si>
  <si>
    <t>Part C</t>
  </si>
  <si>
    <t>Part D</t>
  </si>
  <si>
    <t>Part E</t>
  </si>
  <si>
    <t>Part F</t>
  </si>
  <si>
    <t>Land</t>
  </si>
  <si>
    <t>Building</t>
  </si>
  <si>
    <t>Extra Items</t>
  </si>
  <si>
    <t>Amenities</t>
  </si>
  <si>
    <t>Miscellaneous</t>
  </si>
  <si>
    <t>Services</t>
  </si>
  <si>
    <t>Layout</t>
  </si>
  <si>
    <t xml:space="preserve">Place: </t>
  </si>
  <si>
    <t>Navi Mumbai</t>
  </si>
  <si>
    <t xml:space="preserve">             (Annexure-I)</t>
  </si>
  <si>
    <t>I, Mr. Vishwajeet Singh Jadon son of Mr. Ram Singh Jadon do hereby solemnly affirm and state that:</t>
  </si>
  <si>
    <t>I am a citizen of India</t>
  </si>
  <si>
    <t>I will not undertake valuation of any assets in which I have a direct or indirect interest or become so interested at any time during a period of three years prior to my appointment as valuer or three years after the valuation of assets was conducted by me</t>
  </si>
  <si>
    <t>Valuation report is submitted in the format as prescribed by the Bank</t>
  </si>
  <si>
    <t>I have not been depanelled/ delisted by any other bank and in case any such depanelment by other banks during my empanelment with you, I will inform you within 3 days of such depanelment</t>
  </si>
  <si>
    <t>I have not been removed/dismissed from service/employment earlier</t>
  </si>
  <si>
    <t>I have not been convicted of any offence and sentenced to a term of imprisonment</t>
  </si>
  <si>
    <t>I have not been found guilty of misconduct in professional capacity</t>
  </si>
  <si>
    <t>I have not been declared to be unsound mind</t>
  </si>
  <si>
    <t>I am not an undischarged bankrupt or has not applied to be adjudicated as a bankrupt.</t>
  </si>
  <si>
    <t>I am not an undischarged insolvent</t>
  </si>
  <si>
    <t>I have not been levied a penalty under section 271J of Income-tax Act, 1961 (43 of 1961) and time limit for filing appeal before Commissioner of Income tax (Appeals) or Income-tax Appellate Tribunal, as the case may be has expired, or such penalty has been confirmed by Income-tax Appellate Tribunal, and five years have not elapsed after levy of such penalty</t>
  </si>
  <si>
    <t>I undertake to keep you informed of any events or happenings which would make me ineligible for empanelment as a valuer</t>
  </si>
  <si>
    <t>I have not concealed or suppressed any material information, facts and records and I have made a complete and full disclosure</t>
  </si>
  <si>
    <t>I have read the Handbook on Policy, Standards and procedure for Real Estate Valuation, 2011 of the IBA and this report is in conformity to the “Standards” enshrined for valuation in the Part-B of the above handbook to the best of my ability</t>
  </si>
  <si>
    <t>I have read the International Valuation Standards (IVS) and the report submitted to the Bank for the respective asset class is in conformity to the “Standards” as enshrined for valuation in the IVS in “General Standards” and “Asset Standards” as applicable</t>
  </si>
  <si>
    <t>I abide by the Model Code of Conduct for empanelment of valuer in the Bank. (Annexure V- A signed copy of same to be taken and kept along with this declaration)</t>
  </si>
  <si>
    <t>I am registered under Section 34 AB of the Wealth Tax Act, 1957. (Strike off, if not applicable)</t>
  </si>
  <si>
    <t>I am valuer registered with Insolvency &amp; Bankruptcy Board of India (IBBI) (Strike off, if not applicable)</t>
  </si>
  <si>
    <t>My CIBIL Score and credit worthiness is as per Bank’s guidelines.</t>
  </si>
  <si>
    <t>I am the proprietor / partner / authorized official of the firm / company, who is competent to sign this valuation report.</t>
  </si>
  <si>
    <t>I will undertake the valuation work on receipt of Letter of Engagement generated from the system (i.e. LLMS/LOS) only.</t>
  </si>
  <si>
    <t>Sr.No.</t>
  </si>
  <si>
    <t>Valuer comment</t>
  </si>
  <si>
    <t>Background information of the asset being valued;</t>
  </si>
  <si>
    <t>Purpose of valuation and appointing authority</t>
  </si>
  <si>
    <t>Identity of the valuer and any other experts involved in the valuation;</t>
  </si>
  <si>
    <t>Disclosure of valuer interest or conflict, if any;</t>
  </si>
  <si>
    <t>Date of appointment, valuation date and date of report;</t>
  </si>
  <si>
    <t>Date of Appointment</t>
  </si>
  <si>
    <t>Valuation date</t>
  </si>
  <si>
    <t>Date of Report</t>
  </si>
  <si>
    <t>Inspections and/or investigations undertaken;</t>
  </si>
  <si>
    <t>Physically site Verified.</t>
  </si>
  <si>
    <t>Nature and sources of the information used or relied upon;</t>
  </si>
  <si>
    <t>Procedures adopted in carrying out the valuation and valuation standards followed;</t>
  </si>
  <si>
    <t>Market Approach Method adopted where Value is estimated based on instances of sales/quotes of similar assets in the market.</t>
  </si>
  <si>
    <t>Restrictions on use of the report, if any;</t>
  </si>
  <si>
    <t>Major factors that were taken into account during the valuation;</t>
  </si>
  <si>
    <t>Major factors that were not taken into account during the valuation;</t>
  </si>
  <si>
    <t>Caveats, limitations and disclaimers to the extent they explain or elucidate the limitations faced by valuer, which shall not be for the purpose of limiting his responsibility for the valuation report.</t>
  </si>
  <si>
    <t xml:space="preserve">As a result of my appraisal and analysis, it is my considered opinion that the realizable value of the above property in the prevailing condition with aforesaid specifications is Rs. </t>
  </si>
  <si>
    <t>Ready Reckoner Rate</t>
  </si>
  <si>
    <t>Place:</t>
  </si>
  <si>
    <t>Date:</t>
  </si>
  <si>
    <t>Signature</t>
  </si>
  <si>
    <t>(Name and Official seal of the Approved Valuer)</t>
  </si>
  <si>
    <t>(Name of the Branch Manager with Official seal)</t>
  </si>
  <si>
    <t>Declaration-cum-undertaking from the valuer (Annexure-I)</t>
  </si>
  <si>
    <t>*</t>
  </si>
  <si>
    <t>Model code of conduct for valuer (Annexure II )</t>
  </si>
  <si>
    <t>Attached Below</t>
  </si>
  <si>
    <t>DECLARATION - CUM - UNDERTAKING</t>
  </si>
  <si>
    <t>Registered Valuer - Vishwajeet Singh Jadon</t>
  </si>
  <si>
    <t>Technical Engineer - Sachin M. Sawant</t>
  </si>
  <si>
    <t>Market Survey at the time of site visit.
Ready Reckoner rates/ Circle rates
Online search for registered transactions
Online price indicators on real estate portals
Enquiries with real estate consultants
Existing data of valuation assignments carried out by us</t>
  </si>
  <si>
    <t>Present Market enquiries, Location, Demand and position supply, Development of locality, etc.</t>
  </si>
  <si>
    <t>(Annexure-II)</t>
  </si>
  <si>
    <t>MODEL CODE OF CONDUCT FOR VALUERS</t>
  </si>
  <si>
    <t>Integrity and Fairness</t>
  </si>
  <si>
    <t>A valuer shall, in the conduct of his/its business, follow high standards of integrity and fairness in all his/its dealings with his/its clients and other valuers.</t>
  </si>
  <si>
    <t>Professional Competence and Due Care</t>
  </si>
  <si>
    <t>A valuer shall render at all times high standards of service, exercise due diligence, ensure proper care and exercise independent professional judgment.</t>
  </si>
  <si>
    <t>A valuer shall carry out professional services in accordance with the relevant technical and professional standards that may be specified from time to time</t>
  </si>
  <si>
    <t>Independence and Disclosure of Interest</t>
  </si>
  <si>
    <t> In any fairness opinion or independent expert opinion submitted by a valuer, if there has been a prior engagement in an unconnected transaction, the valuer shall declare the association with the company during the last five years.</t>
  </si>
  <si>
    <t>Confidentiality</t>
  </si>
  <si>
    <t>Information Management</t>
  </si>
  <si>
    <t>A valuer while respecting the confidentiality of information acquired during the course of performing professional services, shall maintain proper working papers for a period of three years or such longer period as required in its contract for a specific valuation, for production before a regulatory authority or for a peer review. In the event of a pending case before the Tribunal or Appellate Tribunal, the record shall be maintained till the disposal of the case.</t>
  </si>
  <si>
    <t>Gifts and hospitality.</t>
  </si>
  <si>
    <t>Remuneration and Costs.</t>
  </si>
  <si>
    <t xml:space="preserve">Signature  of the valuer      </t>
  </si>
  <si>
    <t>Name of the Valuer</t>
  </si>
  <si>
    <t>V.S Jadon &amp; Co. Valuers LLP</t>
  </si>
  <si>
    <t xml:space="preserve"> A valuer shall continuously maintain professional knowledge and skill to provide competent professional service based on up-to-date developments in practice, prevailing regulations/guidelines and techniques.</t>
  </si>
  <si>
    <t xml:space="preserve"> In the preparation of a valuation report, the valuer shall not disclaim liability for his/its expertise or deny his/its duty of care, except to the extent that the assumptions are based on statements of fact provided by the company or its auditors or consultants or information available in public domain and not generated by the valuer.</t>
  </si>
  <si>
    <t xml:space="preserve"> A valuer shall not indulge in “mandate snatching” or offering “convenience valuations” in order to cater to a company or client’s needs.</t>
  </si>
  <si>
    <t>A valuer shall refrain from being involved in any action that would bring disrepute to the profession.</t>
  </si>
  <si>
    <t>A valuer shall keep public interest foremost while delivering his services.</t>
  </si>
  <si>
    <t>As an independent valuer, the valuer shall not charge success fee.</t>
  </si>
  <si>
    <t>A valuer shall not use or divulge to other clients or any other party any confidential information about the subject company, which has come to his/its knowledge without proper and specific authority or unless there is a legal or professional right or duty to disclose.</t>
  </si>
  <si>
    <t>A valuer shall ensure that he/ it maintains written contemporaneous records for any decision taken, the reasons for taking the decision, and the information and evidence in support of such decision. This shall be maintained so as to sufficiently enable a reasonable person to take a view on the appropriateness of his/its decisions and actions.</t>
  </si>
  <si>
    <t>A valuer shall appear, co-operate and be available for inspections and investigations carried out by the authority, any person authorised by the authority, the registered valuers organisation with which he/it is registered or any other statutory regulatory body.</t>
  </si>
  <si>
    <t>A valuer shall provide all information and records as may be required by the authority, the Tribunal, Appellate Tribunal, the registered valuers organisation with which he/it is registered, or any other statutory regulatory body.</t>
  </si>
  <si>
    <t>A valuer shall not carry out any instruction of the client insofar as they are incompatible with the requirements of integrity, objectivity and independence.</t>
  </si>
  <si>
    <t>A valuer shall clearly state to his client the services that he would be competent to provide and the services for which he would be relying on other valuers or professionals or for which the client can have a separate arrangement with other valuers.</t>
  </si>
  <si>
    <t>A valuer shall act with objectivity in his/its professional dealings by ensuring that his/its decisions are made without the presence of any bias, conflict of interest, coercion, or undue influence of any party, whether directly connected to the valuation assignment or not.</t>
  </si>
  <si>
    <t>A valuer shall not take up an assignment if he/it or any of his/its relatives or associates is not independent in terms of association to the company.</t>
  </si>
  <si>
    <t>A valuer shall wherever necessary disclose to the clients, possible sources of conflicts of duties and interests, while providing unbiased services.</t>
  </si>
  <si>
    <t>A valuer shall maintain complete independence in his/its professional relationships and shall conduct the valuation independent of external influences.</t>
  </si>
  <si>
    <t>A valuer shall not deal in securities of any subject company after any time when he/it first becomes aware of the possibility of his/its association with the valuation, and in accordance with the Securities and Exchange Board of India (Prohibition of Insider Trading) Regulations, 2015 or till the time the valuation report becomes public, whichever is earlier.</t>
  </si>
  <si>
    <t>A valuer or his/its relative shall not accept gifts or hospitality which undermines or affects his independence as a valuer.
Explanation: For the purposes of this code the term ‘relative’ shall have the same meaning as defined in clause (77) of Section 2 of the Companies Act, 2013 (18 of 2013).</t>
  </si>
  <si>
    <t>A valuer shall not offer gifts or hospitality or a financial or any other advantage to a public servant or any other person with a view to obtain or retain work for himself/ itself, or to obtain or retain an advantage in the conduct of profession for himself/ itself.</t>
  </si>
  <si>
    <t>A valuer shall provide services for remuneration which is charged in a transparent manner, is a reasonable reflection of the work necessarily and properly undertaken, and is not inconsistent with the applicable rules.</t>
  </si>
  <si>
    <t>A valuer shall refrain from accepting too many assignments, if he/it is unlikely to be able to devote adequate time to each of his/ its assignments.</t>
  </si>
  <si>
    <t>A valuer shall not conduct business which in the opinion of the authority or the registered valuer organisation discredits the profession.</t>
  </si>
  <si>
    <t>A valuer shall refrain from undertaking to review the work of another valuer of the same client except under written orders from the bank or housing finance institutions and with knowledge of the concerned valuer.</t>
  </si>
  <si>
    <t>A valuer shall follow this code as amended or revised from time to time</t>
  </si>
  <si>
    <t xml:space="preserve">Assumptions, Disclaimers, Limitations &amp; Qualifications </t>
  </si>
  <si>
    <t>ASSUMPTIONS, CAVEATS, LIMITATION AND DISCLAIMERS</t>
  </si>
  <si>
    <t>We assume no responsibility for matters of legal nature affecting the property appraised or the title thereto, nor do we render our opinion as to the title, which is assumed to be good and marketable.</t>
  </si>
  <si>
    <t xml:space="preserve">It is assumed that there are no hidden or unapparent conditions of the subsoil or structure that would render it more or less valuable. No responsibility is assumed for such conditions or for engineering that might be required to discover such factors.
</t>
  </si>
  <si>
    <t xml:space="preserve">There is no direct/ indirect interest in the property valued.
</t>
  </si>
  <si>
    <t>The rates for valuation of the property are in accordance with the Govt. approved rates and prevailing market rates.</t>
  </si>
  <si>
    <t>The property is valued as though under responsible ownership.</t>
  </si>
  <si>
    <t>It is assumed that the property is free of liens and encumbrances.</t>
  </si>
  <si>
    <t>Sector</t>
  </si>
  <si>
    <t>Panvel</t>
  </si>
  <si>
    <t>Raigad</t>
  </si>
  <si>
    <t>Landmark</t>
  </si>
  <si>
    <t>Road</t>
  </si>
  <si>
    <t>Pincode</t>
  </si>
  <si>
    <t>Whether covered under any State / Central
Govt. enactments (e.g. Urban Land Ceiling Act) or notified under agency area / scheduled area / cantonment area</t>
  </si>
  <si>
    <t>In case it is an agricultural land, any conversion to house site plots is contemplated</t>
  </si>
  <si>
    <t>Location Link</t>
  </si>
  <si>
    <t>Extent of the site considered for valuation (least of 14A &amp; 14B)</t>
  </si>
  <si>
    <t>Classification of locality</t>
  </si>
  <si>
    <t>Development of surrounding areas</t>
  </si>
  <si>
    <t>Possibility of frequent flooding / sub-merging</t>
  </si>
  <si>
    <t>Above 20ft</t>
  </si>
  <si>
    <t>֍</t>
  </si>
  <si>
    <t>Proposed RCC Footing</t>
  </si>
  <si>
    <t>A Wing</t>
  </si>
  <si>
    <t>Ground Floor For Commercial &amp; Parking</t>
  </si>
  <si>
    <t>Shop</t>
  </si>
  <si>
    <t>B Wing</t>
  </si>
  <si>
    <t>Commercial Units</t>
  </si>
  <si>
    <t>Is plot in town planning approved layout?</t>
  </si>
  <si>
    <t>Level of land with topographical conditions</t>
  </si>
  <si>
    <t>Shape of land</t>
  </si>
  <si>
    <t>Type of use to which it can be put</t>
  </si>
  <si>
    <t>Any usage restriction</t>
  </si>
  <si>
    <r>
      <t xml:space="preserve">My PAN Card number/Service Tax number as applicable is </t>
    </r>
    <r>
      <rPr>
        <b/>
        <sz val="11"/>
        <color theme="1"/>
        <rFont val="Times New Roman"/>
        <family val="1"/>
      </rPr>
      <t>AAHPJ7711Q</t>
    </r>
  </si>
  <si>
    <r>
      <t>Further, I hereby provide the following information</t>
    </r>
    <r>
      <rPr>
        <b/>
        <sz val="11"/>
        <color theme="1"/>
        <rFont val="Times New Roman"/>
        <family val="1"/>
      </rPr>
      <t>.</t>
    </r>
  </si>
  <si>
    <r>
      <rPr>
        <sz val="11"/>
        <color theme="1"/>
        <rFont val="Times New Roman"/>
        <family val="1"/>
      </rPr>
      <t xml:space="preserve"> A valuer shall maintain integrity by being honest, straightforward, and forthright in all professional relationships.</t>
    </r>
  </si>
  <si>
    <r>
      <rPr>
        <sz val="11"/>
        <color theme="1"/>
        <rFont val="Times New Roman"/>
        <family val="1"/>
      </rPr>
      <t xml:space="preserve"> A valuer shall endeavour to ensure that he/it provides true and adequate information and shall not misrepresent any facts or situations.</t>
    </r>
  </si>
  <si>
    <r>
      <rPr>
        <sz val="11"/>
        <color theme="1"/>
        <rFont val="Times New Roman"/>
        <family val="1"/>
      </rPr>
      <t xml:space="preserve">A valuer shall not accept any fees or charges other than those which are disclosed in a written contract with the person to whom he would be rendering service. </t>
    </r>
    <r>
      <rPr>
        <b/>
        <sz val="11"/>
        <color theme="1"/>
        <rFont val="Times New Roman"/>
        <family val="1"/>
      </rPr>
      <t>Occupation, employability and restrictions.</t>
    </r>
  </si>
  <si>
    <t>Wing A</t>
  </si>
  <si>
    <t>Wing B</t>
  </si>
  <si>
    <t>Total Builtup Area</t>
  </si>
  <si>
    <t>Shops</t>
  </si>
  <si>
    <t>Flats</t>
  </si>
  <si>
    <t xml:space="preserve">As per above table </t>
  </si>
  <si>
    <t>Construction work is in process at the time of Visit (labour found)</t>
  </si>
  <si>
    <t>We considered Carpet area as per Approved Plan.</t>
  </si>
  <si>
    <t>We have considered proposed No. of Floor for Stage Calculation.</t>
  </si>
  <si>
    <t>Car parking is subjected to authentic documentation.</t>
  </si>
  <si>
    <t>Part F (Services)</t>
  </si>
  <si>
    <t>Part E (Miscellaneous)</t>
  </si>
  <si>
    <t>Part D (Amenities)</t>
  </si>
  <si>
    <t>Part C (Extra Items)</t>
  </si>
  <si>
    <t>Rate on Carpet Area
(per Sq. Ft.)</t>
  </si>
  <si>
    <t>Total Amount</t>
  </si>
  <si>
    <t>Total Amount in words</t>
  </si>
  <si>
    <t>The undersigned has inspected the property detailed in the Valuation Report dated _____________ on _____________. We are satisfied that the fair and reasonable market value of the property is Rs. _________ (Rupees ________________ only).</t>
  </si>
  <si>
    <t>Office No. J-1031, Akshar Business Park, Plot No. 03
Sector 25, Near APMC Market, Vashi, Navi Mumbai, Maharashtra 400703
TEL: 022-46090378/79/80 Email: vsjc.apf@gmail.com.
Web site: www.vsjadon.com</t>
  </si>
  <si>
    <t>As a result of my appraisal and analysis, it is my considered opinion that the realizable value of the above property in the prevailing condition with aforesaid specifications is (As per table attached to report)</t>
  </si>
  <si>
    <t>I have not been convicted of an offence connected with any proceeding under the Income Tax Act 1961, Wealth Tax Act 1957, or Gift Tax Act 1958.</t>
  </si>
  <si>
    <t>Characteristics of the Site:</t>
  </si>
  <si>
    <t xml:space="preserve">                                                             Valuation of land</t>
  </si>
  <si>
    <r>
      <rPr>
        <b/>
        <sz val="11"/>
        <color theme="1"/>
        <rFont val="Times New Roman"/>
        <family val="1"/>
      </rPr>
      <t xml:space="preserve">Our Investigations </t>
    </r>
    <r>
      <rPr>
        <sz val="11"/>
        <color theme="1"/>
        <rFont val="Times New Roman"/>
        <family val="1"/>
      </rPr>
      <t xml:space="preserve">
We are not engaged to carry out all possible investigations in relation to the subject property. Where in our report we identify certain limitations to our investigations, this is to enable the reliant party to instruct further investigations where considered appropriate or where we recommend as necessary prior to reliance. Vastukala Consultants India Pvt. Ltd. (VCIPL) is not liable for any loss occasioned by a decision not to conduct further investigations. </t>
    </r>
  </si>
  <si>
    <r>
      <rPr>
        <b/>
        <sz val="11"/>
        <color theme="1"/>
        <rFont val="Times New Roman"/>
        <family val="1"/>
      </rPr>
      <t xml:space="preserve">Assumptions </t>
    </r>
    <r>
      <rPr>
        <sz val="11"/>
        <color theme="1"/>
        <rFont val="Times New Roman"/>
        <family val="1"/>
      </rPr>
      <t xml:space="preserve">
Assumptions are a necessary part of undertaking valuations. VCIPL adopts assumptions for the purpose of providing valuation advise because some matters are not capable of accurate calculations or fall outside the scope of our expertise, or out instructions. The reliant party accepts that the valuation contains certain specific assumptions and acknowledge and accept the risk of that if any of the assumptions adopted in the valuation are incorrect, then this may have an effect on the valuation. </t>
    </r>
  </si>
  <si>
    <r>
      <rPr>
        <b/>
        <sz val="11"/>
        <color theme="1"/>
        <rFont val="Times New Roman"/>
        <family val="1"/>
      </rPr>
      <t xml:space="preserve">Information Supplied by Others </t>
    </r>
    <r>
      <rPr>
        <sz val="11"/>
        <color theme="1"/>
        <rFont val="Times New Roman"/>
        <family val="1"/>
      </rPr>
      <t xml:space="preserve">
The appraisal is based on the information provided by the client. The same has been assumed to be correct and has been used for appraisal exercise. Where it is stated in the report that another party has supplied information to VCIPL, this information is believed to be reliable but VCIPL can accept no responsibility if this should prove not to be so. </t>
    </r>
  </si>
  <si>
    <r>
      <rPr>
        <b/>
        <sz val="11"/>
        <color theme="1"/>
        <rFont val="Times New Roman"/>
        <family val="1"/>
      </rPr>
      <t>Future Matters</t>
    </r>
    <r>
      <rPr>
        <sz val="11"/>
        <color theme="1"/>
        <rFont val="Times New Roman"/>
        <family val="1"/>
      </rPr>
      <t xml:space="preserve"> 
To the extent that the valuation includes any statement as to a future matter, that statement is provided as an estimate and/or opinion based on the information known to VCIPL at the date of this document. VCIPL does not warrant that such statements are accurate or correct. </t>
    </r>
  </si>
  <si>
    <r>
      <rPr>
        <b/>
        <sz val="11"/>
        <color theme="1"/>
        <rFont val="Times New Roman"/>
        <family val="1"/>
      </rPr>
      <t xml:space="preserve">Map and Plans </t>
    </r>
    <r>
      <rPr>
        <sz val="11"/>
        <color theme="1"/>
        <rFont val="Times New Roman"/>
        <family val="1"/>
      </rPr>
      <t xml:space="preserve">
Any sketch, plan or map in this report is included to assist the reader while visualising the property and assume no responsibility in connection with such matters. </t>
    </r>
  </si>
  <si>
    <r>
      <rPr>
        <b/>
        <sz val="11"/>
        <color theme="1"/>
        <rFont val="Times New Roman"/>
        <family val="1"/>
      </rPr>
      <t xml:space="preserve">Site Details </t>
    </r>
    <r>
      <rPr>
        <sz val="11"/>
        <color theme="1"/>
        <rFont val="Times New Roman"/>
        <family val="1"/>
      </rPr>
      <t xml:space="preserve">
Based on inputs received from Client's representative and site visit conducted, we understand that the subject property is currently a Building Under Construction work is in progress contiguous and non-agricultural land parcel admeasuring as per table attached to the report and in the name M/s. Starwing Real Estate Company. Further, VCIPL has assumed that the subject property is free from any encroachment and is available as on the date of the appraisal.</t>
    </r>
  </si>
  <si>
    <r>
      <rPr>
        <b/>
        <sz val="11"/>
        <color theme="1"/>
        <rFont val="Times New Roman"/>
        <family val="1"/>
      </rPr>
      <t>Property Title</t>
    </r>
    <r>
      <rPr>
        <sz val="11"/>
        <color theme="1"/>
        <rFont val="Times New Roman"/>
        <family val="1"/>
      </rPr>
      <t xml:space="preserve">
Based on our discussion with the Client, we understand that the subject property is owned by M/s. Starwing Real Estate Company. For the purpose of this appraisal exercise, we have assumed that the subject property has a clear title and is free from any encumbrances, disputes and claims. VCIPL has made no further enquiries with the relevant local authorities in this regard and does not certify the property as having a clear and marketable title. Further, no legal advice regarding the title and ownership of the subject property has been obtained for the purpose of this appraisal exercise. It has been assumed that the title deeds are clear and marketable.</t>
    </r>
  </si>
  <si>
    <r>
      <rPr>
        <b/>
        <sz val="11"/>
        <color theme="1"/>
        <rFont val="Times New Roman"/>
        <family val="1"/>
      </rPr>
      <t>Area</t>
    </r>
    <r>
      <rPr>
        <sz val="11"/>
        <color theme="1"/>
        <rFont val="Times New Roman"/>
        <family val="1"/>
      </rPr>
      <t xml:space="preserve">
Based on the information provided by the Client's representative, we understand that the subject property is a Building Under Construction work is in progress, contiguous and non-agricultural land parcel admeasuring as per table attached to the report. </t>
    </r>
  </si>
  <si>
    <r>
      <rPr>
        <b/>
        <sz val="11"/>
        <color theme="1"/>
        <rFont val="Times New Roman"/>
        <family val="1"/>
      </rPr>
      <t>Environmental Conditions</t>
    </r>
    <r>
      <rPr>
        <sz val="11"/>
        <color theme="1"/>
        <rFont val="Times New Roman"/>
        <family val="1"/>
      </rPr>
      <t xml:space="preserve">
We have assumed that the subject property is not contaminated and is not adversely affected by any existing or proposed environmental law and any processes which are carried out on the property are regulated by environmental legislation and are properly licensed by the appropriate authorities.</t>
    </r>
  </si>
  <si>
    <r>
      <rPr>
        <b/>
        <sz val="11"/>
        <color theme="1"/>
        <rFont val="Times New Roman"/>
        <family val="1"/>
      </rPr>
      <t>Town Planning</t>
    </r>
    <r>
      <rPr>
        <sz val="11"/>
        <color theme="1"/>
        <rFont val="Times New Roman"/>
        <family val="1"/>
      </rPr>
      <t xml:space="preserve">
The permissible land use, zoning, achievable FSI, area statement adopted for purpose of this valuation is based on the information provided by the Client's representative and the same has been adopted for this valuation purpose. VCIPL has assumed the same to be correct and permissible. VCIPL has not validated the same from any authority.</t>
    </r>
  </si>
  <si>
    <r>
      <rPr>
        <b/>
        <sz val="11"/>
        <color theme="1"/>
        <rFont val="Times New Roman"/>
        <family val="1"/>
      </rPr>
      <t>Valuation Methodology</t>
    </r>
    <r>
      <rPr>
        <sz val="11"/>
        <color theme="1"/>
        <rFont val="Times New Roman"/>
        <family val="1"/>
      </rPr>
      <t xml:space="preserve">
For the purpose of this valuation exercise, the valuation methodology used is Direct Comparison Approach Method and proposed Highest and Best Use model is used for analysing development potential.
The Direct Comparison Approach involves a comparison of the property being valued to similar properties that have actually been sold in arms length transactions or are offered for sale. This approach demonstrates what buyers have historically been willing to pay (and sellers willing to accept) for similiar properties in an open and competitive market and is particularly useful in estimating the value of the land and properties that are typically traded on a unit basis.
In case of inadequate recent transaction activity in the subject micro-market, the appraiser would collate details of older transactions. Subsequently, the appraiser would analyse rental / capital value trends in the subject micro-market in order to calculate the percentage increase/decrease in values since the date of the identified transactions. This percentage would then be adopted to project the current value of the same.
Where reliance has been placed upon external sources of information in applying the valuation methodologies, unless otherwise specifically instructed by Client and/or stated in the valuation, VCIPL has not independently verified that information and VCIPL does not advise nor accept it as reliable. The person or entity to whom the report is addressed acknowledges and accepts the risk that if any of the unverified information in the valuation is incorrect, then this may have an effect on the valuation. </t>
    </r>
  </si>
  <si>
    <r>
      <rPr>
        <b/>
        <sz val="11"/>
        <color theme="1"/>
        <rFont val="Times New Roman"/>
        <family val="1"/>
      </rPr>
      <t>Not a Structural Survey</t>
    </r>
    <r>
      <rPr>
        <sz val="11"/>
        <color theme="1"/>
        <rFont val="Times New Roman"/>
        <family val="1"/>
      </rPr>
      <t xml:space="preserve">
We state that this is a valuation report and not a structural survey</t>
    </r>
  </si>
  <si>
    <r>
      <rPr>
        <b/>
        <sz val="11"/>
        <color theme="1"/>
        <rFont val="Times New Roman"/>
        <family val="1"/>
      </rPr>
      <t>Other</t>
    </r>
    <r>
      <rPr>
        <sz val="11"/>
        <color theme="1"/>
        <rFont val="Times New Roman"/>
        <family val="1"/>
      </rPr>
      <t xml:space="preserve">
All measurements, areas and ages quoted in our report are approximate</t>
    </r>
  </si>
  <si>
    <r>
      <rPr>
        <b/>
        <sz val="11"/>
        <color theme="1"/>
        <rFont val="Times New Roman"/>
        <family val="1"/>
      </rPr>
      <t>Legal</t>
    </r>
    <r>
      <rPr>
        <sz val="11"/>
        <color theme="1"/>
        <rFont val="Times New Roman"/>
        <family val="1"/>
      </rPr>
      <t xml:space="preserve">
We have not made any allowances with respect to any existing or proposed local legislation relating to taxation on realization of the sale value of the subject property. VCIPL is not required to give testimony or to appear in court by reason of this appraisal report, with reference to the property in question, unless arrangement has been made thereof. Further, no legal advice on any aspects has been obtained for the purpose of this appraisal exercise.</t>
    </r>
  </si>
  <si>
    <r>
      <rPr>
        <b/>
        <sz val="11"/>
        <color theme="1"/>
        <rFont val="Times New Roman"/>
        <family val="1"/>
      </rPr>
      <t>Property specific assumptions</t>
    </r>
    <r>
      <rPr>
        <sz val="11"/>
        <color theme="1"/>
        <rFont val="Times New Roman"/>
        <family val="1"/>
      </rPr>
      <t xml:space="preserve">
Based on inputs received from the client and site visit conducted, we understand that the subject property is currently Building Under Construction work is in progress, contiguous and non-agricultural land parcel admeasuring area as per table attached to the report.</t>
    </r>
  </si>
  <si>
    <t>֎</t>
  </si>
  <si>
    <r>
      <rPr>
        <b/>
        <sz val="11"/>
        <color theme="1"/>
        <rFont val="Times New Roman"/>
        <family val="1"/>
      </rPr>
      <t>Condition &amp; Repair</t>
    </r>
    <r>
      <rPr>
        <sz val="11"/>
        <color theme="1"/>
        <rFont val="Times New Roman"/>
        <family val="1"/>
      </rPr>
      <t xml:space="preserve">
In the absence of any information to the contrary, we have assumed that there are no abnormal ground conditions, nor archaeological remains present which might adversely affect the current or future occupation, al remains present which might adversely affect the struct development or value of the property. The property is free from rat, infestation, structural or latent defect. No currently known deleterious or hazardous materials or suspect techniques will be used in the construction of or subsequent alteration or additions to the property and comments made in the property details do not purport to express an opinion about, or advise upon, the condition of uninspected parts and should not be taken as making an implied representation or statement about such parts.</t>
    </r>
  </si>
  <si>
    <t>Rera No &amp; Name.</t>
  </si>
  <si>
    <t>1. a)</t>
  </si>
  <si>
    <t>1. b)</t>
  </si>
  <si>
    <t>1. c)</t>
  </si>
  <si>
    <t>Residential Units (As per approved Plan)</t>
  </si>
  <si>
    <t>Residential Units (As per Proposed by builder)</t>
  </si>
  <si>
    <t>As per approved Plans</t>
  </si>
  <si>
    <t>As per Proposed Plans</t>
  </si>
  <si>
    <t>Commercial Area Details : (As per Approved Plans)</t>
  </si>
  <si>
    <t>Residential Area Details : (As per Approved Plans)</t>
  </si>
  <si>
    <t>Residential Area Details : (Proposed)</t>
  </si>
  <si>
    <t>Particulars (As per Approved Flan)</t>
  </si>
  <si>
    <t>Particulars (Proposed)</t>
  </si>
  <si>
    <t>Building No. 1= Gr + 1st + 15th Floor</t>
  </si>
  <si>
    <t>Ground</t>
  </si>
  <si>
    <t>Podium</t>
  </si>
  <si>
    <t>Floors</t>
  </si>
  <si>
    <t xml:space="preserve">Stage of construction: </t>
  </si>
  <si>
    <t>All work Completed. OC Received.</t>
  </si>
  <si>
    <t>Type of Work</t>
  </si>
  <si>
    <t>Project Progress %</t>
  </si>
  <si>
    <t>Slab/Floor</t>
  </si>
  <si>
    <t>Complition %</t>
  </si>
  <si>
    <t>Progress %</t>
  </si>
  <si>
    <t>Piling Work in process</t>
  </si>
  <si>
    <t>Excavation</t>
  </si>
  <si>
    <t>Excavation in process</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</si>
  <si>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</si>
  <si>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</si>
  <si>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</si>
  <si>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</si>
  <si>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</si>
  <si>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</si>
  <si>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</si>
  <si>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</si>
  <si>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</si>
  <si>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</si>
  <si>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</si>
  <si>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</si>
  <si>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</si>
  <si>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</si>
  <si>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</si>
  <si>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</si>
  <si>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</si>
  <si>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Construction Details: As per Proposed No of Floors</t>
  </si>
  <si>
    <t>Completion period of project (As per Rera)</t>
  </si>
  <si>
    <t>Thane</t>
  </si>
  <si>
    <t>Palghar</t>
  </si>
  <si>
    <t>Mumbai</t>
  </si>
  <si>
    <t>Pune</t>
  </si>
  <si>
    <t>Mokhada</t>
  </si>
  <si>
    <t>Andheri</t>
  </si>
  <si>
    <t>Alibag</t>
  </si>
  <si>
    <t>Pune City</t>
  </si>
  <si>
    <t>Shahpur</t>
  </si>
  <si>
    <t>Talasari</t>
  </si>
  <si>
    <t>Borivali</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</si>
  <si>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</si>
  <si>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</si>
  <si>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</si>
  <si>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</si>
  <si>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</si>
  <si>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</si>
  <si>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</si>
  <si>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</si>
  <si>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</si>
  <si>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</si>
  <si>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</si>
  <si>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</si>
  <si>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</si>
  <si>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</si>
  <si>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</si>
  <si>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</si>
  <si>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</si>
  <si>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</si>
  <si>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</si>
  <si>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</si>
  <si>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</si>
  <si>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</si>
  <si>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</si>
  <si>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</si>
  <si>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</si>
  <si>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</si>
  <si>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</si>
  <si>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</si>
  <si>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</si>
  <si>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</si>
  <si>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</si>
  <si>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</si>
  <si>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</si>
  <si>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</si>
  <si>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</si>
  <si>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Slum Rehabilitation Authority (SRA)</t>
  </si>
  <si>
    <t>Navi Mumbai Municipal Corporation (NMMC)</t>
  </si>
  <si>
    <t>Panvel Municipal Corporation</t>
  </si>
  <si>
    <t>Vasai-Virar City Municipal Corporation. (VVCMC)</t>
  </si>
  <si>
    <t>Municipal Corporation of Greater Mumbai (MCGM)</t>
  </si>
  <si>
    <t>Thane Muncipal Cooperation (TMC)</t>
  </si>
  <si>
    <t>City and Industrial Development Corporation (CIDCO)</t>
  </si>
  <si>
    <t>Collector Of Palghar</t>
  </si>
  <si>
    <t>Maharashtra Housing and Area Development Authority(MHADA)</t>
  </si>
  <si>
    <t>Kalyan Dombivli Municipal Corporation (KMDC)</t>
  </si>
  <si>
    <t>Maharashtra State Road Development Corporation Limited (MSRDC)</t>
  </si>
  <si>
    <t>Town Planner, Palghar</t>
  </si>
  <si>
    <t>Mumbai Metropolitan Region Development Authority (MMRDA)</t>
  </si>
  <si>
    <t>Ambernath Municipal Council (AMC)</t>
  </si>
  <si>
    <t>Navi Mumbai Airport Influence Notified Area (NAINA)</t>
  </si>
  <si>
    <t>Kulgoan Badlapur Municipal Council</t>
  </si>
  <si>
    <t>Pen Municipal Council</t>
  </si>
  <si>
    <t>Town Planning Thane</t>
  </si>
  <si>
    <t>Raigad Zilha Parishad</t>
  </si>
  <si>
    <t>Ulhasnagar Municipal Corporation</t>
  </si>
  <si>
    <t>Roha Municipal Council</t>
  </si>
  <si>
    <t>Nagar Rachana Ani Mulya Nirdharan Vibhag Thane</t>
  </si>
  <si>
    <t>Collector Of Raigad</t>
  </si>
  <si>
    <t>Bhiwandi Nizampur City Municipal Corporation</t>
  </si>
  <si>
    <t>Maharashtra Industrial Development Corporation (MIDC)</t>
  </si>
  <si>
    <t>Mira-Bhayandar Municipal Corporation</t>
  </si>
  <si>
    <t>Latitude, Longitude of the site</t>
  </si>
  <si>
    <t>Flexible Pavement</t>
  </si>
  <si>
    <t>Superstructure</t>
  </si>
  <si>
    <t xml:space="preserve">Name of Municipal Corporation / Authority  </t>
  </si>
  <si>
    <t>Construction details:</t>
  </si>
  <si>
    <t>Disbursement %</t>
  </si>
  <si>
    <t>Brickwork &amp; Internal Plaster</t>
  </si>
  <si>
    <t>External Plaster &amp; Plumbing</t>
  </si>
  <si>
    <t>As per RERA (sq.m)</t>
  </si>
  <si>
    <t>As per Approved Plan (sq.m)</t>
  </si>
  <si>
    <t xml:space="preserve">Cost of construction in Rs. 
( per Sq.
Ft.)
</t>
  </si>
  <si>
    <t>Approx Rent per month
in Rs.</t>
  </si>
  <si>
    <t>3rd</t>
  </si>
  <si>
    <t>4th</t>
  </si>
  <si>
    <t>5th</t>
  </si>
  <si>
    <t>6th</t>
  </si>
  <si>
    <t>7th</t>
  </si>
  <si>
    <t xml:space="preserve">Ground </t>
  </si>
  <si>
    <t xml:space="preserve">For Residential = </t>
  </si>
  <si>
    <t xml:space="preserve">For Land = </t>
  </si>
  <si>
    <t>Realizable Value</t>
  </si>
  <si>
    <t>SBI, Belapur, Navi Mumbai.</t>
  </si>
  <si>
    <t>Amenties</t>
  </si>
  <si>
    <t>Recommended Total Realizable Value should be considered as all inclusive value (Base Value + Other Charges + GST). (Excluding other government Taxes)</t>
  </si>
  <si>
    <t>Gross Carpet Area 
(in Sq. Ft.)</t>
  </si>
  <si>
    <t>Attached
Loft
Area
(in Sq.
Ft.)</t>
  </si>
  <si>
    <t>Total Realizable Value
in Rs.</t>
  </si>
  <si>
    <t>Amenities
in Rs.</t>
  </si>
  <si>
    <t>Realizable
Value
in Rs.</t>
  </si>
  <si>
    <t>Rate per
Sq.Ft.</t>
  </si>
  <si>
    <t>Flat Type</t>
  </si>
  <si>
    <t>Neelkanth Complex</t>
  </si>
  <si>
    <t>M/S. Neelkanth Mahadev Developers</t>
  </si>
  <si>
    <r>
      <t xml:space="preserve">Name: </t>
    </r>
    <r>
      <rPr>
        <b/>
        <sz val="11"/>
        <rFont val="Times New Roman"/>
        <family val="1"/>
      </rPr>
      <t>Neelkanth Mahadev Developers</t>
    </r>
    <r>
      <rPr>
        <sz val="11"/>
        <rFont val="Times New Roman"/>
        <family val="1"/>
      </rPr>
      <t xml:space="preserve">
Address: Plot No. 472, Old Panvel, Market Yard, Panvel - 410206.</t>
    </r>
  </si>
  <si>
    <t>CARPC/B/2024/APL/00628</t>
  </si>
  <si>
    <t>1B + Gr/St + 1st to 6th Floor</t>
  </si>
  <si>
    <t>Commencement-CC No:
Valid Upto</t>
  </si>
  <si>
    <t>P52000077406</t>
  </si>
  <si>
    <t>Semi Urban</t>
  </si>
  <si>
    <t>Basement Floor for Parking</t>
  </si>
  <si>
    <t>Ground Floor For Commercial, Society Office, Drivers room &amp; Parking</t>
  </si>
  <si>
    <t>1st Floor for Residential</t>
  </si>
  <si>
    <t>1st</t>
  </si>
  <si>
    <t>2nd</t>
  </si>
  <si>
    <t>Neelkanth Complex project is a MahaRERA registered project bearing MahaRERA registration No. P52000077406. Project is located in Panvel Navi Mumbai. This project will be developed by M/s. Neelkanth Mahadev Developers. Project is approved for Ground + 6 Upper Floors but it is proposed for Ground + 7 Upper Floors. Project consists 1RK, 1BHK, 2BHK, Different types of amenties, Good space for parking and so on.</t>
  </si>
  <si>
    <t>https://maps.app.goo.gl/6tyWqFMofxGTQWk67</t>
  </si>
  <si>
    <t>18.9802121,73.1107635</t>
  </si>
  <si>
    <t>Market Yard Road</t>
  </si>
  <si>
    <t>La Riveria lakhani Apartment complex</t>
  </si>
  <si>
    <t>12 mtrs Road</t>
  </si>
  <si>
    <t>Plot no 473</t>
  </si>
  <si>
    <t>Plot no 471</t>
  </si>
  <si>
    <t>18 mtrs road</t>
  </si>
  <si>
    <t>12 M. Wide Road</t>
  </si>
  <si>
    <t>Other Plot</t>
  </si>
  <si>
    <t>18 M. Wide Road</t>
  </si>
  <si>
    <t>Internal Road</t>
  </si>
  <si>
    <t>Plot Area = 2097.00</t>
  </si>
  <si>
    <t>SCHOOL :
Kothari International School  - 1.4 KM
Vithoba Khandappa High School &amp; Junior College - 1.6 KM</t>
  </si>
  <si>
    <t>SHOPPING :
DMart - 3.6 KM
Kokan Bharat Mart - 1.8 KM</t>
  </si>
  <si>
    <t>HOSPITALS :
Gandhi Hospital - 1.9 KM
Dr Prabhakar Patwardhan Smruti Rugnaalay - 1.2 KM</t>
  </si>
  <si>
    <t>PETROL PUMP :
Bharat Petroleum</t>
  </si>
  <si>
    <t>PMC</t>
  </si>
  <si>
    <t>Located in developing area, surrounded by projects like La Riveria lakhani etc.</t>
  </si>
  <si>
    <t>Plan date : CARPC/B/2024/APL/00628
Valid upto Date : 07/06/2024</t>
  </si>
  <si>
    <t>Shop - 22, Flats - 78</t>
  </si>
  <si>
    <t>Wing A = 1B + Gr/St + 1st to 7th Floor</t>
  </si>
  <si>
    <t>Wing B = 1B + Gr/St + 1st to 7th Floor</t>
  </si>
  <si>
    <t>We considered Gross carpet area = Net carpet + Balcony Area + Chajja Area.</t>
  </si>
  <si>
    <t>During site visit, We met Ms. Saumya : 8976737788.</t>
  </si>
  <si>
    <r>
      <t xml:space="preserve">The property under construction was purchased by </t>
    </r>
    <r>
      <rPr>
        <b/>
        <sz val="11"/>
        <rFont val="Times New Roman"/>
        <family val="1"/>
      </rPr>
      <t>Neelkanth Mahadev Developers</t>
    </r>
  </si>
  <si>
    <r>
      <t xml:space="preserve">Loan Purpose for State Bank of India, </t>
    </r>
    <r>
      <rPr>
        <b/>
        <sz val="11"/>
        <rFont val="Times New Roman"/>
        <family val="1"/>
      </rPr>
      <t>(Belapur)</t>
    </r>
  </si>
  <si>
    <t>Site Inspection Engineer - Ravindra vishwakarma</t>
  </si>
  <si>
    <t>Fire NOC No:
Valid Upto</t>
  </si>
  <si>
    <t>Provisional fire noc</t>
  </si>
  <si>
    <t>Airport NOC No:
Valid Upto</t>
  </si>
  <si>
    <t xml:space="preserve">Valid upto </t>
  </si>
  <si>
    <t>PMC/Fire/2121/Ref.No.1572/2023/1606</t>
  </si>
  <si>
    <t>1B + Gr + 1st to 6 Upper Floor (Height 21.00M)</t>
  </si>
  <si>
    <t>NAVI/WEST/B/091423/789294</t>
  </si>
  <si>
    <t>Site Elevation AMSL = 8.26 M
Permissible Top Elevation = 54.85 M (Restricted) AMSL</t>
  </si>
  <si>
    <t>Corner plot</t>
  </si>
  <si>
    <t xml:space="preserve">Cost of Construction
(Builtup Area (Sq.ft) x Rate of construction(₹ 2500))
</t>
  </si>
  <si>
    <t>Recommeded Rate of Single parking in ₹ 5,00,000/-</t>
  </si>
  <si>
    <t>Please note proposed area calculation of above project (i.e 14 Flats) should be not be considered for valuation till  authority approve revised plans</t>
  </si>
  <si>
    <t>Power Backup, 24 x 7 Security, CCTV, Lift, 24*7 Water Supply, Kids' Play Area, Seating Area, Terrace Garden</t>
  </si>
  <si>
    <r>
      <t>The information furnished in my valuation report dated (</t>
    </r>
    <r>
      <rPr>
        <b/>
        <sz val="11"/>
        <rFont val="Times New Roman"/>
        <family val="1"/>
      </rPr>
      <t>24/07/2025</t>
    </r>
    <r>
      <rPr>
        <sz val="11"/>
        <rFont val="Times New Roman"/>
        <family val="1"/>
      </rPr>
      <t>) is true and correct to the best of my knowledge and belief and I have made an impartial and true valuation of the property.</t>
    </r>
  </si>
  <si>
    <r>
      <t xml:space="preserve">I have personally inspected the property on </t>
    </r>
    <r>
      <rPr>
        <b/>
        <sz val="11"/>
        <rFont val="Times New Roman"/>
        <family val="1"/>
      </rPr>
      <t>(24/07/2025).</t>
    </r>
    <r>
      <rPr>
        <sz val="11"/>
        <rFont val="Times New Roman"/>
        <family val="1"/>
      </rPr>
      <t xml:space="preserve"> The work is not subcontracted to any other valuer and carried out by myself.</t>
    </r>
  </si>
  <si>
    <r>
      <rPr>
        <b/>
        <sz val="11"/>
        <color theme="1"/>
        <rFont val="Times New Roman"/>
        <family val="1"/>
      </rPr>
      <t xml:space="preserve">Value Subject to Change </t>
    </r>
    <r>
      <rPr>
        <sz val="11"/>
        <color theme="1"/>
        <rFont val="Times New Roman"/>
        <family val="1"/>
      </rPr>
      <t xml:space="preserve">
The subject appraisal exercise is based on prevailing market dynamics as on </t>
    </r>
    <r>
      <rPr>
        <b/>
        <sz val="11"/>
        <color theme="1"/>
        <rFont val="Times New Roman"/>
        <family val="1"/>
      </rPr>
      <t>24/07/2025</t>
    </r>
    <r>
      <rPr>
        <sz val="11"/>
        <color theme="1"/>
        <rFont val="Times New Roman"/>
        <family val="1"/>
      </rPr>
      <t xml:space="preserve"> and does not take into account any unforeseeable developments which could impact the same in the future. </t>
    </r>
  </si>
  <si>
    <t>Survey No</t>
  </si>
  <si>
    <t>Survey No. 472, Near Market Yard, Panvel 410206</t>
  </si>
  <si>
    <t>Wing A &amp; B = 1B + Gr/St + 1st to 6th Floor
(Total Height = 21.00 Mtrs.)</t>
  </si>
  <si>
    <t>Copy of following items
1. Approved Layout Plan 
CARPC/B/2024/APL/00628
Date : 07/06/2024
2. Approved Floor Plan
CARPC/B/2024/APL/00628
Date : 07/06/2024
3. Approved Commencement Certificate
CARPC/B/2024/APL/00628
Date : 07/06/2024
4. RERA Certificate
5. Sale Plans (Typical Floor plan)
6. Cost Sheet
7. Builder Profile 
8. Fire NOC No
PMC/Fire/2121/Ref.No.1572/2023/1606
Date : 18/12/2023
9. Airport Noc No.
NAVI/WEST/B/091423/789294
Date : 29/09/2023</t>
  </si>
  <si>
    <t>Wing A &amp; B = 1B + Gr/St + 1st to 6th Floor</t>
  </si>
  <si>
    <t>Wing A &amp; B = 1B + Gr/St + 1st to 7th Floor</t>
  </si>
  <si>
    <t>Terace Area</t>
  </si>
  <si>
    <r>
      <t xml:space="preserve">The sales comparison approach is commonly used for Residential Flat, where there are typically many comparable available to analyze. As the property is a residential flat, we have adopted Sale comparision Approach Method for the purpose of valuation. The Price for similiar type of property in nearby vicinity is in the range of 14500₹ to 15500₹ per sq.ft on carpet Area for Flats. Considering the rate with attacted report, current market conditions, demand and supply position, Flat Size, loaction, upswing in real estate prices, sustained demand for Residential Flat, all round development of commercial and residential application in the locality etc. We have estimated </t>
    </r>
    <r>
      <rPr>
        <b/>
        <sz val="11"/>
        <color theme="1"/>
        <rFont val="Times New Roman"/>
        <family val="1"/>
      </rPr>
      <t>15000₹</t>
    </r>
    <r>
      <rPr>
        <sz val="11"/>
        <color theme="1"/>
        <rFont val="Times New Roman"/>
        <family val="1"/>
      </rPr>
      <t xml:space="preserve"> per sq.ft on carpet area for Flats.</t>
    </r>
  </si>
  <si>
    <t xml:space="preserve">Seventy Crore Thirty Three Lakh Forty Two Thousand Four Hundred Five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</si>
</sst>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_ &quot;₹&quot;\ * #,##0_ ;_ &quot;₹&quot;\ * \-#,##0_ ;_ &quot;₹&quot;\ * &quot;-&quot;??_ ;_ @_ "/>
    <numFmt numFmtId="165" formatCode="&quot;₹&quot;\ #,##0"/>
    <numFmt numFmtId="166" formatCode="_ * #,##0_ ;_ * \-#,##0_ ;_ * &quot;-&quot;??_ ;_ @_ "/>
    <numFmt numFmtId="167" formatCode="&quot;₹&quot;\ #,##0.00"/>
  </numFmts>
  <fonts count="42"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b/>
      <sz val="10"/>
      <color indexed="8"/>
      <name val="Times New Roman"/>
      <family val="1"/>
    </font>
    <font>
      <sz val="10"/>
      <name val="Arial"/>
      <family val="2"/>
    </font>
    <font>
      <b/>
      <sz val="11"/>
      <name val="Times New Roman"/>
      <family val="1"/>
    </font>
    <font>
      <b/>
      <u/>
      <sz val="11"/>
      <color indexed="8"/>
      <name val="Times New Roman"/>
      <family val="1"/>
    </font>
    <font>
      <u/>
      <sz val="11"/>
      <color theme="10"/>
      <name val="Calibri"/>
      <family val="2"/>
    </font>
    <font>
      <sz val="10"/>
      <color theme="1"/>
      <name val="Verdana"/>
      <family val="2"/>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b/>
      <sz val="10"/>
      <color theme="1"/>
      <name val="Times New Roman"/>
      <family val="1"/>
    </font>
    <font>
      <b/>
      <sz val="12"/>
      <color theme="1"/>
      <name val="Times New Roman"/>
      <family val="1"/>
    </font>
    <font>
      <sz val="11"/>
      <color theme="1"/>
      <name val="Calibri"/>
      <family val="2"/>
      <scheme val="minor"/>
    </font>
    <font>
      <b/>
      <sz val="11.5"/>
      <color indexed="8"/>
      <name val="Times New Roman"/>
      <family val="1"/>
    </font>
    <font>
      <sz val="9"/>
      <color indexed="81"/>
      <name val="Tahoma"/>
      <family val="2"/>
    </font>
    <font>
      <b/>
      <sz val="9"/>
      <color indexed="81"/>
      <name val="Tahoma"/>
      <family val="2"/>
    </font>
    <font>
      <sz val="11"/>
      <color rgb="FFFF0000"/>
      <name val="Times New Roman"/>
      <family val="1"/>
    </font>
    <font>
      <b/>
      <sz val="14"/>
      <color indexed="8"/>
      <name val="Times New Roman"/>
      <family val="1"/>
    </font>
    <font>
      <sz val="11"/>
      <color rgb="FF333333"/>
      <name val="Arial"/>
      <family val="2"/>
    </font>
    <font>
      <sz val="11"/>
      <name val="Times New Roman"/>
      <family val="1"/>
    </font>
    <font>
      <sz val="11"/>
      <color indexed="8"/>
      <name val="Times New Roman"/>
      <family val="1"/>
    </font>
    <font>
      <sz val="11"/>
      <color theme="1"/>
      <name val="Calibri"/>
      <family val="2"/>
    </font>
    <font>
      <sz val="10"/>
      <color theme="1"/>
      <name val="Times New Roman"/>
      <family val="1"/>
    </font>
    <font>
      <sz val="10"/>
      <color rgb="FF000000"/>
      <name val="Times New Roman"/>
      <family val="1"/>
    </font>
    <font>
      <sz val="16"/>
      <color indexed="81"/>
      <name val="Tahoma"/>
      <family val="2"/>
    </font>
    <font>
      <b/>
      <sz val="11"/>
      <color rgb="FFFF0000"/>
      <name val="Times New Roman"/>
      <family val="1"/>
    </font>
    <font>
      <sz val="12"/>
      <name val="Times New Roman"/>
      <family val="1"/>
    </font>
    <font>
      <sz val="12"/>
      <color theme="1"/>
      <name val="Times New Roman"/>
      <family val="1"/>
    </font>
    <font>
      <sz val="10"/>
      <color theme="1"/>
      <name val="Arial"/>
      <family val="2"/>
    </font>
    <font>
      <sz val="8"/>
      <color theme="1"/>
      <name val="Times New Roman"/>
      <family val="1"/>
    </font>
    <font>
      <sz val="9"/>
      <color theme="1"/>
      <name val="Times New Roman"/>
      <family val="1"/>
    </font>
    <font>
      <sz val="9"/>
      <color theme="1"/>
      <name val="Calibri"/>
      <family val="2"/>
      <scheme val="minor"/>
    </font>
    <font>
      <b/>
      <sz val="10"/>
      <color rgb="FFFF0000"/>
      <name val="Times New Roman"/>
      <family val="1"/>
    </font>
    <font>
      <sz val="10"/>
      <name val="Times New Roman"/>
      <family val="1"/>
    </font>
    <font>
      <b/>
      <sz val="10"/>
      <name val="Times New Roman"/>
      <family val="1"/>
    </font>
    <font>
      <b/>
      <sz val="14"/>
      <name val="Times New Roman"/>
      <family val="1"/>
    </font>
    <font>
      <b/>
      <sz val="12"/>
      <name val="Times New Roman"/>
      <family val="1"/>
    </font>
    <font>
      <b/>
      <sz val="9"/>
      <color theme="1"/>
      <name val="Times New Roman"/>
      <family val="1"/>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E3F2F3"/>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2" fillId="0" borderId="0"/>
    <xf numFmtId="0" fontId="1" fillId="0" borderId="0"/>
    <xf numFmtId="0" fontId="8" fillId="0" borderId="0" applyNumberFormat="0" applyFill="0" applyBorder="0" applyAlignment="0" applyProtection="0">
      <alignment vertical="top"/>
      <protection locked="0"/>
    </xf>
    <xf numFmtId="0" fontId="9" fillId="0" borderId="0"/>
    <xf numFmtId="0" fontId="5" fillId="0" borderId="0"/>
    <xf numFmtId="0" fontId="16" fillId="0" borderId="0"/>
    <xf numFmtId="44" fontId="16" fillId="0" borderId="0" applyFont="0" applyFill="0" applyBorder="0" applyAlignment="0" applyProtection="0"/>
    <xf numFmtId="43" fontId="16" fillId="0" borderId="0" applyFont="0" applyFill="0" applyBorder="0" applyAlignment="0" applyProtection="0"/>
  </cellStyleXfs>
  <cellXfs count="524">
    <xf numFmtId="0" fontId="0" fillId="0" borderId="0" xfId="0"/>
    <xf numFmtId="0" fontId="0" fillId="0" borderId="1" xfId="0" applyBorder="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top" wrapText="1"/>
    </xf>
    <xf numFmtId="0" fontId="12" fillId="0" borderId="0" xfId="0" applyFont="1"/>
    <xf numFmtId="0" fontId="10" fillId="2" borderId="1" xfId="0" applyFont="1" applyFill="1" applyBorder="1"/>
    <xf numFmtId="0" fontId="0" fillId="0" borderId="2" xfId="0" applyBorder="1"/>
    <xf numFmtId="0" fontId="0" fillId="0" borderId="0" xfId="0" applyAlignment="1">
      <alignment wrapText="1"/>
    </xf>
    <xf numFmtId="0" fontId="0" fillId="0" borderId="1" xfId="0" applyBorder="1" applyAlignment="1">
      <alignment wrapText="1"/>
    </xf>
    <xf numFmtId="0" fontId="3" fillId="0" borderId="0" xfId="0" applyFont="1" applyAlignment="1">
      <alignment horizontal="left" vertical="top" wrapText="1"/>
    </xf>
    <xf numFmtId="0" fontId="12" fillId="0" borderId="0" xfId="0" applyFont="1" applyAlignment="1">
      <alignment horizontal="center"/>
    </xf>
    <xf numFmtId="0" fontId="12" fillId="0" borderId="1" xfId="0" applyFont="1" applyBorder="1" applyAlignment="1">
      <alignment horizontal="center"/>
    </xf>
    <xf numFmtId="0" fontId="4" fillId="0" borderId="0" xfId="0" applyFont="1" applyAlignment="1">
      <alignment horizontal="left" vertical="top"/>
    </xf>
    <xf numFmtId="0" fontId="1" fillId="0" borderId="0" xfId="2"/>
    <xf numFmtId="0" fontId="12" fillId="0" borderId="8" xfId="0" applyFont="1" applyBorder="1"/>
    <xf numFmtId="0" fontId="12" fillId="0" borderId="9" xfId="0" applyFont="1" applyBorder="1"/>
    <xf numFmtId="0" fontId="0" fillId="0" borderId="1" xfId="0" applyBorder="1" applyAlignment="1">
      <alignment horizontal="center"/>
    </xf>
    <xf numFmtId="0" fontId="14" fillId="0" borderId="1" xfId="0" applyFont="1" applyBorder="1" applyAlignment="1">
      <alignment horizontal="center" vertical="top" wrapText="1"/>
    </xf>
    <xf numFmtId="2"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0" xfId="0" applyFont="1"/>
    <xf numFmtId="0" fontId="15" fillId="0" borderId="0" xfId="0" applyFont="1"/>
    <xf numFmtId="1" fontId="0" fillId="0" borderId="1" xfId="0" applyNumberFormat="1" applyBorder="1" applyAlignment="1">
      <alignment horizontal="center"/>
    </xf>
    <xf numFmtId="1" fontId="11" fillId="0" borderId="1" xfId="0" applyNumberFormat="1" applyFont="1" applyBorder="1" applyAlignment="1">
      <alignment horizontal="center"/>
    </xf>
    <xf numFmtId="1" fontId="12" fillId="0" borderId="1" xfId="0" applyNumberFormat="1" applyFont="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top" wrapText="1"/>
    </xf>
    <xf numFmtId="0" fontId="12" fillId="0" borderId="5" xfId="0" applyFont="1" applyBorder="1" applyAlignment="1">
      <alignment horizontal="center"/>
    </xf>
    <xf numFmtId="0" fontId="14" fillId="0" borderId="1" xfId="0" applyFont="1" applyBorder="1" applyAlignment="1">
      <alignment vertical="top"/>
    </xf>
    <xf numFmtId="0" fontId="15" fillId="0" borderId="0" xfId="0" applyFont="1" applyAlignment="1">
      <alignment horizontal="left" vertical="top"/>
    </xf>
    <xf numFmtId="0" fontId="15" fillId="0" borderId="0" xfId="0" applyFont="1" applyAlignment="1">
      <alignment vertical="top"/>
    </xf>
    <xf numFmtId="0" fontId="13" fillId="0" borderId="0" xfId="0" applyFont="1" applyAlignment="1">
      <alignment horizontal="left" vertical="top"/>
    </xf>
    <xf numFmtId="0" fontId="13" fillId="0" borderId="0" xfId="0" applyFont="1" applyAlignment="1">
      <alignment vertical="top"/>
    </xf>
    <xf numFmtId="0" fontId="12" fillId="0" borderId="0" xfId="0" applyFont="1" applyAlignment="1">
      <alignment horizontal="left" vertical="top"/>
    </xf>
    <xf numFmtId="0" fontId="12" fillId="0" borderId="0" xfId="0" applyFont="1" applyAlignment="1">
      <alignment vertical="top"/>
    </xf>
    <xf numFmtId="0" fontId="3" fillId="0" borderId="0" xfId="0" applyFont="1" applyAlignment="1">
      <alignment vertical="top"/>
    </xf>
    <xf numFmtId="0" fontId="0" fillId="0" borderId="0" xfId="0" applyAlignment="1">
      <alignment horizontal="left" vertical="top"/>
    </xf>
    <xf numFmtId="0" fontId="0" fillId="0" borderId="0" xfId="0" applyAlignment="1">
      <alignment horizontal="center" vertical="center"/>
    </xf>
    <xf numFmtId="1" fontId="13" fillId="0" borderId="1" xfId="0" applyNumberFormat="1" applyFont="1" applyBorder="1" applyAlignment="1">
      <alignment vertical="top" wrapText="1"/>
    </xf>
    <xf numFmtId="1" fontId="13" fillId="0" borderId="1" xfId="0" applyNumberFormat="1" applyFont="1" applyBorder="1" applyAlignment="1">
      <alignment horizontal="center" vertical="center" wrapText="1"/>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1" xfId="0" applyFont="1" applyBorder="1" applyAlignment="1">
      <alignment horizontal="center" vertical="top" wrapText="1"/>
    </xf>
    <xf numFmtId="0" fontId="12"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xf>
    <xf numFmtId="0" fontId="0" fillId="0" borderId="0" xfId="0" applyAlignment="1">
      <alignment horizontal="left" vertical="center" indent="1"/>
    </xf>
    <xf numFmtId="0" fontId="22" fillId="0" borderId="0" xfId="0" applyFont="1" applyAlignment="1">
      <alignment horizontal="left" vertical="center" wrapText="1" indent="1"/>
    </xf>
    <xf numFmtId="1" fontId="12" fillId="0" borderId="1" xfId="0" applyNumberFormat="1" applyFont="1" applyBorder="1" applyAlignment="1">
      <alignment horizontal="center" vertical="top"/>
    </xf>
    <xf numFmtId="1" fontId="12" fillId="0" borderId="0" xfId="0" applyNumberFormat="1" applyFont="1" applyAlignment="1">
      <alignment horizontal="center"/>
    </xf>
    <xf numFmtId="1" fontId="6" fillId="0" borderId="0" xfId="0" applyNumberFormat="1" applyFont="1" applyAlignment="1">
      <alignment horizontal="center"/>
    </xf>
    <xf numFmtId="0" fontId="13" fillId="3" borderId="1" xfId="0" applyFont="1" applyFill="1" applyBorder="1" applyAlignment="1">
      <alignment horizontal="center" vertical="top" wrapText="1"/>
    </xf>
    <xf numFmtId="0" fontId="23" fillId="0" borderId="1" xfId="0" applyFont="1" applyBorder="1" applyAlignment="1">
      <alignment vertical="top"/>
    </xf>
    <xf numFmtId="0" fontId="13" fillId="0" borderId="0" xfId="0" applyFont="1" applyAlignment="1">
      <alignment horizontal="center"/>
    </xf>
    <xf numFmtId="0" fontId="13" fillId="0" borderId="0" xfId="0" applyFont="1" applyAlignment="1">
      <alignment horizontal="center" vertical="top" wrapText="1"/>
    </xf>
    <xf numFmtId="0" fontId="12" fillId="0" borderId="0" xfId="0" applyFont="1" applyAlignment="1">
      <alignment horizontal="center" vertical="center"/>
    </xf>
    <xf numFmtId="0" fontId="12" fillId="0" borderId="0" xfId="0" applyFont="1" applyAlignment="1">
      <alignment horizontal="center" vertical="top"/>
    </xf>
    <xf numFmtId="1"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0" fillId="0" borderId="0" xfId="0" applyFont="1"/>
    <xf numFmtId="0" fontId="25" fillId="0" borderId="1" xfId="0" applyFont="1" applyBorder="1" applyAlignment="1">
      <alignment horizontal="center" vertical="center"/>
    </xf>
    <xf numFmtId="1" fontId="10" fillId="0" borderId="0" xfId="0" applyNumberFormat="1" applyFont="1"/>
    <xf numFmtId="0" fontId="26" fillId="6" borderId="17" xfId="6" applyFont="1" applyFill="1" applyBorder="1" applyAlignment="1" applyProtection="1">
      <alignment horizontal="center" vertical="center"/>
      <protection locked="0"/>
    </xf>
    <xf numFmtId="0" fontId="26" fillId="6" borderId="18" xfId="6" applyFont="1" applyFill="1" applyBorder="1" applyAlignment="1" applyProtection="1">
      <alignment horizontal="center" vertical="center"/>
      <protection locked="0"/>
    </xf>
    <xf numFmtId="0" fontId="26" fillId="0" borderId="19" xfId="6" applyFont="1" applyBorder="1" applyProtection="1">
      <protection hidden="1"/>
    </xf>
    <xf numFmtId="0" fontId="26" fillId="0" borderId="20" xfId="6" applyFont="1" applyBorder="1" applyProtection="1">
      <protection hidden="1"/>
    </xf>
    <xf numFmtId="0" fontId="26" fillId="0" borderId="0" xfId="0" applyFont="1"/>
    <xf numFmtId="0" fontId="26" fillId="6" borderId="1" xfId="6" applyFont="1" applyFill="1" applyBorder="1" applyAlignment="1" applyProtection="1">
      <alignment horizontal="center" vertical="center"/>
      <protection locked="0"/>
    </xf>
    <xf numFmtId="0" fontId="26" fillId="6" borderId="22" xfId="6" applyFont="1" applyFill="1" applyBorder="1" applyAlignment="1" applyProtection="1">
      <alignment horizontal="center" vertical="center"/>
      <protection locked="0"/>
    </xf>
    <xf numFmtId="0" fontId="26" fillId="0" borderId="0" xfId="6" applyFont="1" applyProtection="1">
      <protection hidden="1"/>
    </xf>
    <xf numFmtId="0" fontId="26" fillId="0" borderId="23" xfId="6" applyFont="1" applyBorder="1" applyProtection="1">
      <protection hidden="1"/>
    </xf>
    <xf numFmtId="0" fontId="14" fillId="7" borderId="24" xfId="0" applyFont="1" applyFill="1" applyBorder="1" applyAlignment="1">
      <alignment horizontal="left" vertical="top"/>
    </xf>
    <xf numFmtId="0" fontId="26" fillId="7" borderId="21" xfId="6" applyFont="1" applyFill="1" applyBorder="1" applyAlignment="1" applyProtection="1">
      <alignment horizontal="center" vertical="top" wrapText="1"/>
      <protection locked="0"/>
    </xf>
    <xf numFmtId="0" fontId="26" fillId="7" borderId="1" xfId="0" applyFont="1" applyFill="1" applyBorder="1" applyAlignment="1">
      <alignment horizontal="center"/>
    </xf>
    <xf numFmtId="0" fontId="26" fillId="7" borderId="1" xfId="6" applyFont="1" applyFill="1" applyBorder="1" applyAlignment="1" applyProtection="1">
      <alignment horizontal="center" vertical="top" wrapText="1"/>
      <protection locked="0"/>
    </xf>
    <xf numFmtId="0" fontId="27" fillId="0" borderId="0" xfId="0" applyFont="1" applyProtection="1">
      <protection hidden="1"/>
    </xf>
    <xf numFmtId="0" fontId="26" fillId="0" borderId="23" xfId="6" applyFont="1" applyBorder="1"/>
    <xf numFmtId="9" fontId="26" fillId="7" borderId="1" xfId="0" applyNumberFormat="1" applyFont="1" applyFill="1" applyBorder="1" applyAlignment="1">
      <alignment horizontal="center"/>
    </xf>
    <xf numFmtId="0" fontId="26" fillId="7" borderId="1" xfId="6" applyFont="1" applyFill="1" applyBorder="1" applyAlignment="1" applyProtection="1">
      <alignment horizontal="center" wrapText="1"/>
      <protection locked="0"/>
    </xf>
    <xf numFmtId="9" fontId="26" fillId="7" borderId="1" xfId="6" applyNumberFormat="1" applyFont="1" applyFill="1" applyBorder="1" applyAlignment="1" applyProtection="1">
      <alignment horizontal="center" vertical="center" wrapText="1"/>
      <protection hidden="1"/>
    </xf>
    <xf numFmtId="0" fontId="27" fillId="0" borderId="23" xfId="0" applyFont="1" applyBorder="1" applyProtection="1">
      <protection hidden="1"/>
    </xf>
    <xf numFmtId="1" fontId="26" fillId="7" borderId="1" xfId="6" applyNumberFormat="1" applyFont="1" applyFill="1" applyBorder="1" applyAlignment="1" applyProtection="1">
      <alignment horizontal="center" wrapText="1"/>
      <protection locked="0"/>
    </xf>
    <xf numFmtId="1" fontId="26" fillId="0" borderId="23" xfId="0" applyNumberFormat="1" applyFont="1" applyBorder="1"/>
    <xf numFmtId="1" fontId="26" fillId="0" borderId="23" xfId="0" applyNumberFormat="1" applyFont="1" applyBorder="1" applyAlignment="1">
      <alignment horizontal="right"/>
    </xf>
    <xf numFmtId="0" fontId="26" fillId="7" borderId="28" xfId="6" applyFont="1" applyFill="1" applyBorder="1" applyAlignment="1" applyProtection="1">
      <alignment horizontal="center" vertical="top" wrapText="1"/>
      <protection locked="0"/>
    </xf>
    <xf numFmtId="9" fontId="26" fillId="7" borderId="29" xfId="0" applyNumberFormat="1" applyFont="1" applyFill="1" applyBorder="1" applyAlignment="1">
      <alignment horizontal="center"/>
    </xf>
    <xf numFmtId="0" fontId="26" fillId="7" borderId="29" xfId="6" applyFont="1" applyFill="1" applyBorder="1" applyAlignment="1" applyProtection="1">
      <alignment horizontal="center" wrapText="1"/>
      <protection locked="0"/>
    </xf>
    <xf numFmtId="9" fontId="26" fillId="7" borderId="29" xfId="6" applyNumberFormat="1" applyFont="1" applyFill="1" applyBorder="1" applyAlignment="1" applyProtection="1">
      <alignment horizontal="center" vertical="center" wrapText="1"/>
      <protection hidden="1"/>
    </xf>
    <xf numFmtId="0" fontId="27" fillId="0" borderId="32" xfId="0" applyFont="1" applyBorder="1" applyProtection="1">
      <protection hidden="1"/>
    </xf>
    <xf numFmtId="1" fontId="26" fillId="0" borderId="31" xfId="0" applyNumberFormat="1" applyFont="1" applyBorder="1"/>
    <xf numFmtId="0" fontId="12" fillId="0" borderId="11" xfId="0" applyFont="1" applyBorder="1" applyAlignment="1">
      <alignment horizontal="left" vertical="top" wrapText="1"/>
    </xf>
    <xf numFmtId="0" fontId="0" fillId="0" borderId="1" xfId="0" applyBorder="1" applyAlignment="1">
      <alignment horizontal="center" vertical="center"/>
    </xf>
    <xf numFmtId="0" fontId="30" fillId="0" borderId="1" xfId="6" applyFont="1" applyBorder="1"/>
    <xf numFmtId="0" fontId="31" fillId="0" borderId="1" xfId="6" applyFont="1" applyBorder="1"/>
    <xf numFmtId="0" fontId="13" fillId="0" borderId="1" xfId="0" applyFont="1" applyBorder="1" applyAlignment="1">
      <alignment horizontal="center" vertical="center"/>
    </xf>
    <xf numFmtId="0" fontId="6" fillId="0" borderId="1" xfId="0" applyFont="1" applyBorder="1" applyAlignment="1">
      <alignment vertical="top"/>
    </xf>
    <xf numFmtId="0" fontId="32" fillId="0" borderId="0" xfId="5" applyFont="1" applyAlignment="1">
      <alignment wrapText="1"/>
    </xf>
    <xf numFmtId="0" fontId="12" fillId="0" borderId="1" xfId="5" applyFont="1" applyBorder="1" applyAlignment="1" applyProtection="1">
      <alignment horizontal="center" vertical="center" wrapText="1"/>
      <protection locked="0"/>
    </xf>
    <xf numFmtId="0" fontId="12" fillId="0" borderId="0" xfId="5" applyFont="1" applyAlignment="1" applyProtection="1">
      <alignment horizontal="center" vertical="center" wrapText="1"/>
      <protection hidden="1"/>
    </xf>
    <xf numFmtId="0" fontId="12" fillId="0" borderId="23" xfId="5" applyFont="1" applyBorder="1" applyAlignment="1" applyProtection="1">
      <alignment horizontal="center" vertical="center" wrapText="1"/>
      <protection hidden="1"/>
    </xf>
    <xf numFmtId="0" fontId="32" fillId="0" borderId="0" xfId="5" applyFont="1" applyAlignment="1">
      <alignment horizontal="center" vertical="center" wrapText="1"/>
    </xf>
    <xf numFmtId="0" fontId="12" fillId="0" borderId="0" xfId="5" applyFont="1" applyAlignment="1" applyProtection="1">
      <alignment wrapText="1"/>
      <protection hidden="1"/>
    </xf>
    <xf numFmtId="0" fontId="12" fillId="0" borderId="23" xfId="5" applyFont="1" applyBorder="1" applyAlignment="1" applyProtection="1">
      <alignment wrapText="1"/>
      <protection hidden="1"/>
    </xf>
    <xf numFmtId="0" fontId="32" fillId="0" borderId="0" xfId="5" applyFont="1" applyAlignment="1">
      <alignment vertical="center" wrapText="1"/>
    </xf>
    <xf numFmtId="0" fontId="23" fillId="0" borderId="22" xfId="6" applyFont="1" applyBorder="1" applyAlignment="1" applyProtection="1">
      <alignment horizontal="center" vertical="center"/>
      <protection locked="0"/>
    </xf>
    <xf numFmtId="0" fontId="34" fillId="0" borderId="0" xfId="5" applyFont="1" applyAlignment="1" applyProtection="1">
      <alignment wrapText="1"/>
      <protection hidden="1"/>
    </xf>
    <xf numFmtId="0" fontId="34" fillId="0" borderId="23" xfId="5" applyFont="1" applyBorder="1" applyAlignment="1">
      <alignment wrapText="1"/>
    </xf>
    <xf numFmtId="0" fontId="34" fillId="0" borderId="23" xfId="5" applyFont="1" applyBorder="1" applyAlignment="1" applyProtection="1">
      <alignment wrapText="1"/>
      <protection hidden="1"/>
    </xf>
    <xf numFmtId="1" fontId="35" fillId="0" borderId="23" xfId="5" applyNumberFormat="1" applyFont="1" applyBorder="1" applyAlignment="1">
      <alignment wrapText="1"/>
    </xf>
    <xf numFmtId="1" fontId="35" fillId="0" borderId="23" xfId="5" applyNumberFormat="1" applyFont="1" applyBorder="1" applyAlignment="1">
      <alignment horizontal="right" wrapText="1"/>
    </xf>
    <xf numFmtId="0" fontId="34" fillId="0" borderId="0" xfId="5" applyFont="1" applyAlignment="1" applyProtection="1">
      <alignment vertical="center" wrapText="1"/>
      <protection hidden="1"/>
    </xf>
    <xf numFmtId="1" fontId="35" fillId="0" borderId="23" xfId="5" applyNumberFormat="1" applyFont="1" applyBorder="1" applyAlignment="1">
      <alignment vertical="center" wrapText="1"/>
    </xf>
    <xf numFmtId="0" fontId="34" fillId="0" borderId="32" xfId="5" applyFont="1" applyBorder="1" applyAlignment="1" applyProtection="1">
      <alignment wrapText="1"/>
      <protection hidden="1"/>
    </xf>
    <xf numFmtId="1" fontId="35" fillId="0" borderId="31" xfId="5" applyNumberFormat="1" applyFont="1" applyBorder="1" applyAlignment="1">
      <alignment wrapText="1"/>
    </xf>
    <xf numFmtId="6" fontId="26" fillId="0" borderId="1" xfId="0" applyNumberFormat="1" applyFont="1" applyBorder="1" applyAlignment="1">
      <alignment horizontal="center"/>
    </xf>
    <xf numFmtId="166" fontId="37" fillId="0" borderId="1" xfId="8" applyNumberFormat="1" applyFont="1" applyFill="1" applyBorder="1" applyAlignment="1" applyProtection="1">
      <alignment horizontal="left" vertical="center"/>
      <protection locked="0"/>
    </xf>
    <xf numFmtId="0" fontId="26" fillId="0" borderId="1" xfId="0" applyFont="1" applyBorder="1" applyAlignment="1">
      <alignment horizontal="center"/>
    </xf>
    <xf numFmtId="0" fontId="26" fillId="0" borderId="1" xfId="0" applyFont="1" applyBorder="1" applyAlignment="1">
      <alignment horizontal="center" vertical="top"/>
    </xf>
    <xf numFmtId="1" fontId="26" fillId="0" borderId="1" xfId="0" applyNumberFormat="1" applyFont="1" applyBorder="1" applyAlignment="1">
      <alignment horizontal="center" vertical="top"/>
    </xf>
    <xf numFmtId="1" fontId="26" fillId="0" borderId="1" xfId="0" applyNumberFormat="1" applyFont="1" applyBorder="1" applyAlignment="1">
      <alignment horizontal="center" vertical="center"/>
    </xf>
    <xf numFmtId="0" fontId="26" fillId="0" borderId="5" xfId="0" applyFont="1" applyBorder="1" applyAlignment="1">
      <alignment horizontal="center" vertical="top"/>
    </xf>
    <xf numFmtId="1" fontId="26" fillId="0" borderId="1" xfId="0" applyNumberFormat="1" applyFont="1" applyBorder="1" applyAlignment="1">
      <alignment horizontal="center"/>
    </xf>
    <xf numFmtId="0" fontId="13" fillId="0" borderId="1" xfId="0" applyFont="1" applyBorder="1" applyAlignment="1">
      <alignment horizontal="center" vertical="top"/>
    </xf>
    <xf numFmtId="1" fontId="13" fillId="0" borderId="12" xfId="0" applyNumberFormat="1" applyFont="1" applyBorder="1" applyAlignment="1">
      <alignment horizontal="center" vertical="center" wrapText="1"/>
    </xf>
    <xf numFmtId="0" fontId="13" fillId="0" borderId="5" xfId="0" applyFont="1" applyBorder="1" applyAlignment="1">
      <alignment horizontal="center" vertical="top" wrapText="1"/>
    </xf>
    <xf numFmtId="0" fontId="13" fillId="0" borderId="1" xfId="0" applyFont="1" applyBorder="1" applyAlignment="1">
      <alignment horizontal="center" vertical="top" wrapText="1"/>
    </xf>
    <xf numFmtId="0" fontId="13" fillId="0" borderId="12" xfId="0" applyFont="1" applyBorder="1" applyAlignment="1">
      <alignment horizontal="center" vertical="top" wrapText="1"/>
    </xf>
    <xf numFmtId="0" fontId="14" fillId="0" borderId="1" xfId="0" applyFont="1" applyBorder="1" applyAlignment="1">
      <alignment horizontal="center" vertical="center" wrapText="1"/>
    </xf>
    <xf numFmtId="1" fontId="12" fillId="0" borderId="1" xfId="0" applyNumberFormat="1" applyFont="1" applyBorder="1" applyAlignment="1">
      <alignment horizontal="center" vertical="center" wrapText="1"/>
    </xf>
    <xf numFmtId="1" fontId="13" fillId="0" borderId="1" xfId="0" applyNumberFormat="1" applyFont="1" applyBorder="1" applyAlignment="1">
      <alignment vertical="center" wrapText="1"/>
    </xf>
    <xf numFmtId="0" fontId="39" fillId="0" borderId="0" xfId="0" applyFont="1"/>
    <xf numFmtId="0" fontId="39" fillId="0" borderId="0" xfId="0" applyFont="1" applyAlignment="1">
      <alignment horizontal="left" vertical="top"/>
    </xf>
    <xf numFmtId="0" fontId="39" fillId="0" borderId="0" xfId="0" applyFont="1" applyAlignment="1">
      <alignment vertical="top"/>
    </xf>
    <xf numFmtId="0" fontId="23" fillId="0" borderId="0" xfId="0" applyFont="1"/>
    <xf numFmtId="0" fontId="23" fillId="0" borderId="0" xfId="0" applyFont="1" applyAlignment="1">
      <alignment horizontal="left" vertical="top"/>
    </xf>
    <xf numFmtId="0" fontId="23" fillId="0" borderId="0" xfId="0" applyFont="1" applyAlignment="1">
      <alignment vertical="top"/>
    </xf>
    <xf numFmtId="0" fontId="6" fillId="0" borderId="8" xfId="0" applyFont="1" applyBorder="1"/>
    <xf numFmtId="0" fontId="6" fillId="0" borderId="0" xfId="0" applyFont="1" applyAlignment="1">
      <alignment horizontal="left" vertical="top"/>
    </xf>
    <xf numFmtId="0" fontId="6" fillId="0" borderId="0" xfId="0" applyFont="1" applyAlignment="1">
      <alignment vertical="top"/>
    </xf>
    <xf numFmtId="0" fontId="23" fillId="0" borderId="8" xfId="0" applyFont="1" applyBorder="1"/>
    <xf numFmtId="0" fontId="23" fillId="0" borderId="0" xfId="0" applyFont="1" applyAlignment="1">
      <alignment horizontal="left"/>
    </xf>
    <xf numFmtId="0" fontId="23" fillId="0" borderId="9" xfId="0" applyFont="1" applyBorder="1" applyAlignment="1">
      <alignment horizontal="left"/>
    </xf>
    <xf numFmtId="0" fontId="23" fillId="0" borderId="10" xfId="0" applyFont="1" applyBorder="1"/>
    <xf numFmtId="0" fontId="23" fillId="0" borderId="6" xfId="0" applyFont="1" applyBorder="1" applyAlignment="1">
      <alignment horizontal="left" vertical="top"/>
    </xf>
    <xf numFmtId="0" fontId="23" fillId="0" borderId="6" xfId="0" applyFont="1" applyBorder="1" applyAlignment="1">
      <alignment vertical="top"/>
    </xf>
    <xf numFmtId="0" fontId="23" fillId="0" borderId="6" xfId="0" applyFont="1" applyBorder="1"/>
    <xf numFmtId="0" fontId="23" fillId="0" borderId="7" xfId="0" applyFont="1" applyBorder="1"/>
    <xf numFmtId="0" fontId="23" fillId="0" borderId="1" xfId="0" applyFont="1" applyBorder="1" applyAlignment="1">
      <alignment horizontal="center" vertical="top"/>
    </xf>
    <xf numFmtId="2" fontId="0" fillId="0" borderId="0" xfId="0" applyNumberFormat="1" applyAlignment="1">
      <alignment horizontal="center" vertical="center"/>
    </xf>
    <xf numFmtId="1" fontId="23" fillId="0" borderId="1" xfId="0" applyNumberFormat="1" applyFont="1" applyBorder="1" applyAlignment="1">
      <alignment horizontal="center" vertical="center"/>
    </xf>
    <xf numFmtId="0" fontId="11" fillId="0" borderId="0" xfId="0" applyFont="1"/>
    <xf numFmtId="0" fontId="23" fillId="0" borderId="1" xfId="0" applyFont="1" applyBorder="1" applyAlignment="1">
      <alignment vertical="top" wrapText="1"/>
    </xf>
    <xf numFmtId="8" fontId="41" fillId="0" borderId="2" xfId="0" applyNumberFormat="1" applyFont="1" applyBorder="1" applyAlignment="1">
      <alignment horizontal="center" vertical="center" wrapText="1"/>
    </xf>
    <xf numFmtId="1" fontId="0" fillId="0" borderId="0" xfId="0" applyNumberFormat="1"/>
    <xf numFmtId="1" fontId="12" fillId="0" borderId="0" xfId="0" applyNumberFormat="1" applyFont="1"/>
    <xf numFmtId="44" fontId="12" fillId="0" borderId="0" xfId="0" applyNumberFormat="1" applyFont="1"/>
    <xf numFmtId="0" fontId="13" fillId="0" borderId="0" xfId="0" applyFont="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3" fillId="0" borderId="5" xfId="0" applyFont="1" applyBorder="1" applyAlignment="1">
      <alignment horizontal="center" vertical="top" wrapText="1"/>
    </xf>
    <xf numFmtId="0" fontId="13" fillId="0" borderId="12" xfId="0" applyFont="1" applyBorder="1" applyAlignment="1">
      <alignment horizontal="center" vertical="top" wrapText="1"/>
    </xf>
    <xf numFmtId="165" fontId="37" fillId="0" borderId="5" xfId="8" applyNumberFormat="1" applyFont="1" applyFill="1" applyBorder="1" applyAlignment="1" applyProtection="1">
      <alignment horizontal="center" vertical="center"/>
      <protection locked="0"/>
    </xf>
    <xf numFmtId="165" fontId="37" fillId="0" borderId="12" xfId="8" applyNumberFormat="1" applyFont="1" applyFill="1" applyBorder="1" applyAlignment="1" applyProtection="1">
      <alignment horizontal="center" vertical="center"/>
      <protection locked="0"/>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2" xfId="0" applyFont="1" applyBorder="1" applyAlignment="1">
      <alignment horizontal="center" vertical="center" wrapText="1"/>
    </xf>
    <xf numFmtId="0" fontId="14" fillId="0" borderId="5" xfId="0" applyFont="1" applyBorder="1" applyAlignment="1">
      <alignment horizontal="center" vertical="top" wrapText="1"/>
    </xf>
    <xf numFmtId="0" fontId="14" fillId="0" borderId="12" xfId="0" applyFont="1" applyBorder="1" applyAlignment="1">
      <alignment horizontal="center" vertical="top" wrapText="1"/>
    </xf>
    <xf numFmtId="1" fontId="23" fillId="0" borderId="1" xfId="0" applyNumberFormat="1" applyFont="1" applyBorder="1" applyAlignment="1">
      <alignment horizontal="center" vertical="top" wrapText="1"/>
    </xf>
    <xf numFmtId="1" fontId="12" fillId="0" borderId="5" xfId="0" applyNumberFormat="1" applyFont="1" applyBorder="1" applyAlignment="1">
      <alignment horizontal="center" vertical="top" wrapText="1"/>
    </xf>
    <xf numFmtId="1" fontId="12" fillId="0" borderId="12" xfId="0" applyNumberFormat="1" applyFont="1" applyBorder="1" applyAlignment="1">
      <alignment horizontal="center" vertical="top" wrapText="1"/>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1" fontId="12" fillId="0" borderId="5" xfId="0" applyNumberFormat="1" applyFont="1" applyBorder="1" applyAlignment="1">
      <alignment horizontal="center" vertical="center"/>
    </xf>
    <xf numFmtId="1" fontId="12" fillId="0" borderId="12" xfId="0" applyNumberFormat="1" applyFont="1" applyBorder="1" applyAlignment="1">
      <alignment horizontal="center" vertical="center"/>
    </xf>
    <xf numFmtId="0" fontId="13" fillId="5" borderId="5"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5" xfId="0" applyFont="1" applyFill="1" applyBorder="1" applyAlignment="1">
      <alignment horizontal="center" vertical="top"/>
    </xf>
    <xf numFmtId="0" fontId="12" fillId="5" borderId="11" xfId="0" applyFont="1" applyFill="1" applyBorder="1" applyAlignment="1">
      <alignment horizontal="center" vertical="top"/>
    </xf>
    <xf numFmtId="0" fontId="12" fillId="5" borderId="12" xfId="0" applyFont="1" applyFill="1" applyBorder="1" applyAlignment="1">
      <alignment horizontal="center" vertical="top"/>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left" vertical="top"/>
    </xf>
    <xf numFmtId="0" fontId="12" fillId="0" borderId="1" xfId="0" applyFont="1" applyBorder="1" applyAlignment="1">
      <alignment horizontal="left" vertical="top" wrapText="1"/>
    </xf>
    <xf numFmtId="0" fontId="23" fillId="0" borderId="1" xfId="0" applyFont="1" applyBorder="1" applyAlignment="1">
      <alignment horizontal="left" vertical="top"/>
    </xf>
    <xf numFmtId="14" fontId="23" fillId="0" borderId="1" xfId="0" applyNumberFormat="1" applyFont="1" applyBorder="1" applyAlignment="1">
      <alignment horizontal="left" vertical="top" wrapText="1"/>
    </xf>
    <xf numFmtId="1" fontId="13" fillId="0" borderId="5" xfId="0" applyNumberFormat="1" applyFont="1" applyBorder="1" applyAlignment="1" applyProtection="1">
      <alignment horizontal="center" vertical="top" wrapText="1"/>
      <protection locked="0"/>
    </xf>
    <xf numFmtId="1" fontId="13" fillId="0" borderId="11" xfId="0" applyNumberFormat="1" applyFont="1" applyBorder="1" applyAlignment="1" applyProtection="1">
      <alignment horizontal="center" vertical="top" wrapText="1"/>
      <protection locked="0"/>
    </xf>
    <xf numFmtId="1" fontId="13" fillId="0" borderId="12" xfId="0" applyNumberFormat="1" applyFont="1" applyBorder="1" applyAlignment="1" applyProtection="1">
      <alignment horizontal="center" vertical="top" wrapText="1"/>
      <protection locked="0"/>
    </xf>
    <xf numFmtId="1" fontId="12" fillId="0" borderId="5" xfId="0" applyNumberFormat="1" applyFont="1" applyBorder="1" applyAlignment="1" applyProtection="1">
      <alignment horizontal="center" vertical="top" wrapText="1"/>
      <protection locked="0"/>
    </xf>
    <xf numFmtId="1" fontId="12" fillId="0" borderId="11" xfId="0" applyNumberFormat="1" applyFont="1" applyBorder="1" applyAlignment="1" applyProtection="1">
      <alignment horizontal="center" vertical="top" wrapText="1"/>
      <protection locked="0"/>
    </xf>
    <xf numFmtId="1" fontId="12" fillId="0" borderId="12" xfId="0" applyNumberFormat="1" applyFont="1" applyBorder="1" applyAlignment="1" applyProtection="1">
      <alignment horizontal="center" vertical="top" wrapText="1"/>
      <protection locked="0"/>
    </xf>
    <xf numFmtId="1" fontId="12" fillId="0" borderId="5" xfId="0" applyNumberFormat="1"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1" xfId="0" applyFont="1" applyBorder="1" applyAlignment="1" applyProtection="1">
      <alignment horizontal="center" vertical="top" wrapText="1"/>
      <protection locked="0"/>
    </xf>
    <xf numFmtId="0" fontId="12" fillId="0" borderId="12" xfId="0" applyFont="1" applyBorder="1" applyAlignment="1" applyProtection="1">
      <alignment horizontal="center" vertical="top" wrapText="1"/>
      <protection locked="0"/>
    </xf>
    <xf numFmtId="0" fontId="12" fillId="0" borderId="5"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23" fillId="0" borderId="1" xfId="0" applyFont="1" applyBorder="1" applyAlignment="1">
      <alignment horizontal="left" vertical="top" wrapText="1"/>
    </xf>
    <xf numFmtId="0" fontId="12" fillId="0" borderId="1" xfId="0" applyFont="1" applyBorder="1" applyAlignment="1">
      <alignment horizontal="center"/>
    </xf>
    <xf numFmtId="165" fontId="12" fillId="0" borderId="1" xfId="0" applyNumberFormat="1" applyFont="1" applyBorder="1" applyAlignment="1">
      <alignment horizontal="center"/>
    </xf>
    <xf numFmtId="0" fontId="13" fillId="0" borderId="11" xfId="0" applyFont="1" applyBorder="1" applyAlignment="1">
      <alignment horizontal="center" vertical="top" wrapText="1"/>
    </xf>
    <xf numFmtId="0" fontId="6" fillId="0" borderId="1" xfId="0" applyFont="1" applyBorder="1" applyAlignment="1">
      <alignment horizontal="left" vertical="top"/>
    </xf>
    <xf numFmtId="0" fontId="15" fillId="0" borderId="5" xfId="0" applyFont="1" applyBorder="1" applyAlignment="1">
      <alignment horizontal="center" vertical="top"/>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12" fillId="0" borderId="5"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3" borderId="5"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12" xfId="0" applyFont="1" applyFill="1" applyBorder="1" applyAlignment="1">
      <alignment horizontal="left" vertical="center"/>
    </xf>
    <xf numFmtId="0" fontId="12" fillId="0" borderId="1" xfId="0" applyFont="1" applyBorder="1" applyAlignment="1">
      <alignment vertical="center"/>
    </xf>
    <xf numFmtId="1" fontId="3" fillId="5" borderId="5" xfId="0" applyNumberFormat="1" applyFont="1" applyFill="1" applyBorder="1" applyAlignment="1" applyProtection="1">
      <alignment horizontal="center" vertical="center" wrapText="1"/>
      <protection locked="0"/>
    </xf>
    <xf numFmtId="1" fontId="3" fillId="5" borderId="11" xfId="0" applyNumberFormat="1" applyFont="1" applyFill="1" applyBorder="1" applyAlignment="1" applyProtection="1">
      <alignment horizontal="center" vertical="center" wrapText="1"/>
      <protection locked="0"/>
    </xf>
    <xf numFmtId="1" fontId="3" fillId="5" borderId="12" xfId="0" applyNumberFormat="1" applyFont="1" applyFill="1" applyBorder="1" applyAlignment="1" applyProtection="1">
      <alignment horizontal="center" vertical="center" wrapText="1"/>
      <protection locked="0"/>
    </xf>
    <xf numFmtId="0" fontId="23" fillId="0" borderId="5"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13" fillId="4" borderId="5"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36" fillId="0" borderId="2" xfId="0" applyFont="1" applyBorder="1" applyAlignment="1">
      <alignment horizontal="center" vertical="top" wrapText="1"/>
    </xf>
    <xf numFmtId="0" fontId="36" fillId="0" borderId="8" xfId="0" applyFont="1" applyBorder="1" applyAlignment="1">
      <alignment horizontal="center" vertical="top" wrapText="1"/>
    </xf>
    <xf numFmtId="0" fontId="36" fillId="0" borderId="10" xfId="0" applyFont="1" applyBorder="1" applyAlignment="1">
      <alignment horizontal="center" vertical="top" wrapText="1"/>
    </xf>
    <xf numFmtId="0" fontId="13" fillId="0" borderId="0" xfId="0" applyFont="1" applyAlignment="1">
      <alignment horizontal="center"/>
    </xf>
    <xf numFmtId="0" fontId="13" fillId="5" borderId="1" xfId="0" applyFont="1" applyFill="1" applyBorder="1" applyAlignment="1">
      <alignment horizontal="center"/>
    </xf>
    <xf numFmtId="0" fontId="13" fillId="5" borderId="11" xfId="0" applyFont="1" applyFill="1" applyBorder="1" applyAlignment="1">
      <alignment horizontal="center"/>
    </xf>
    <xf numFmtId="0" fontId="13" fillId="5" borderId="12" xfId="0" applyFont="1" applyFill="1" applyBorder="1" applyAlignment="1">
      <alignment horizontal="center"/>
    </xf>
    <xf numFmtId="0" fontId="12" fillId="5" borderId="1" xfId="0" applyFont="1" applyFill="1" applyBorder="1" applyAlignment="1">
      <alignment horizontal="center"/>
    </xf>
    <xf numFmtId="164" fontId="13" fillId="5" borderId="11" xfId="7" applyNumberFormat="1" applyFont="1" applyFill="1" applyBorder="1" applyAlignment="1">
      <alignment horizontal="center"/>
    </xf>
    <xf numFmtId="164" fontId="13" fillId="5" borderId="12" xfId="7" applyNumberFormat="1" applyFont="1" applyFill="1" applyBorder="1" applyAlignment="1">
      <alignment horizontal="center"/>
    </xf>
    <xf numFmtId="0" fontId="12" fillId="5" borderId="1" xfId="0" applyFont="1" applyFill="1" applyBorder="1" applyAlignment="1">
      <alignment horizontal="center" vertical="top" wrapText="1"/>
    </xf>
    <xf numFmtId="0" fontId="12" fillId="5" borderId="1" xfId="0" applyFont="1" applyFill="1" applyBorder="1" applyAlignment="1">
      <alignment horizontal="center" vertical="top"/>
    </xf>
    <xf numFmtId="164" fontId="13" fillId="5" borderId="11" xfId="7" applyNumberFormat="1" applyFont="1" applyFill="1" applyBorder="1" applyAlignment="1">
      <alignment vertical="top"/>
    </xf>
    <xf numFmtId="164" fontId="13" fillId="5" borderId="12" xfId="7" applyNumberFormat="1" applyFont="1" applyFill="1" applyBorder="1" applyAlignment="1">
      <alignment vertical="top"/>
    </xf>
    <xf numFmtId="0" fontId="13" fillId="3" borderId="5"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2" fillId="3" borderId="1" xfId="0" applyFont="1" applyFill="1" applyBorder="1" applyAlignment="1">
      <alignment horizontal="center" vertical="center"/>
    </xf>
    <xf numFmtId="0" fontId="12" fillId="0" borderId="5"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4" fillId="5" borderId="1" xfId="0" applyFont="1" applyFill="1" applyBorder="1" applyAlignment="1">
      <alignment horizontal="center" vertical="top"/>
    </xf>
    <xf numFmtId="0" fontId="14" fillId="0" borderId="1" xfId="0" applyFont="1" applyBorder="1" applyAlignment="1">
      <alignment horizontal="center" vertical="top"/>
    </xf>
    <xf numFmtId="0" fontId="13" fillId="0" borderId="11" xfId="0" applyFont="1" applyBorder="1" applyAlignment="1">
      <alignment horizontal="left"/>
    </xf>
    <xf numFmtId="1" fontId="13" fillId="0" borderId="5" xfId="0" applyNumberFormat="1" applyFont="1" applyBorder="1" applyAlignment="1">
      <alignment horizontal="center" vertical="center"/>
    </xf>
    <xf numFmtId="1" fontId="13" fillId="0" borderId="12" xfId="0" applyNumberFormat="1" applyFont="1" applyBorder="1" applyAlignment="1">
      <alignment horizontal="center" vertical="center"/>
    </xf>
    <xf numFmtId="0" fontId="12" fillId="0" borderId="1" xfId="0" applyFont="1" applyBorder="1" applyAlignment="1">
      <alignment horizontal="center" vertical="top"/>
    </xf>
    <xf numFmtId="0" fontId="23" fillId="0" borderId="5" xfId="0" applyFont="1" applyBorder="1" applyAlignment="1">
      <alignment horizontal="center" vertical="top" wrapText="1"/>
    </xf>
    <xf numFmtId="0" fontId="23" fillId="0" borderId="11" xfId="0" applyFont="1" applyBorder="1" applyAlignment="1">
      <alignment horizontal="center" vertical="top" wrapText="1"/>
    </xf>
    <xf numFmtId="0" fontId="23" fillId="0" borderId="12" xfId="0" applyFont="1" applyBorder="1" applyAlignment="1">
      <alignment horizontal="center" vertical="top" wrapText="1"/>
    </xf>
    <xf numFmtId="0" fontId="12" fillId="0" borderId="1" xfId="0" applyFont="1" applyBorder="1" applyAlignment="1">
      <alignment horizontal="center" vertical="top" wrapText="1"/>
    </xf>
    <xf numFmtId="0" fontId="13" fillId="0" borderId="1" xfId="0" applyFont="1" applyBorder="1" applyAlignment="1">
      <alignment horizontal="center" vertical="top" wrapText="1"/>
    </xf>
    <xf numFmtId="1" fontId="3" fillId="0" borderId="5" xfId="0" applyNumberFormat="1" applyFont="1" applyBorder="1" applyAlignment="1" applyProtection="1">
      <alignment horizontal="center" vertical="top" wrapText="1"/>
      <protection locked="0"/>
    </xf>
    <xf numFmtId="1" fontId="3" fillId="0" borderId="11" xfId="0" applyNumberFormat="1" applyFont="1" applyBorder="1" applyAlignment="1" applyProtection="1">
      <alignment horizontal="center" vertical="top" wrapText="1"/>
      <protection locked="0"/>
    </xf>
    <xf numFmtId="1" fontId="3" fillId="0" borderId="12" xfId="0" applyNumberFormat="1" applyFont="1" applyBorder="1" applyAlignment="1" applyProtection="1">
      <alignment horizontal="center" vertical="top" wrapText="1"/>
      <protection locked="0"/>
    </xf>
    <xf numFmtId="0" fontId="13" fillId="0" borderId="5" xfId="0" applyFont="1" applyBorder="1" applyAlignment="1" applyProtection="1">
      <alignment horizontal="center" vertical="top" wrapText="1"/>
      <protection locked="0"/>
    </xf>
    <xf numFmtId="0" fontId="13" fillId="0" borderId="11" xfId="0" applyFont="1" applyBorder="1" applyAlignment="1" applyProtection="1">
      <alignment horizontal="center" vertical="top" wrapText="1"/>
      <protection locked="0"/>
    </xf>
    <xf numFmtId="0" fontId="13" fillId="0" borderId="12" xfId="0" applyFont="1" applyBorder="1" applyAlignment="1" applyProtection="1">
      <alignment horizontal="center" vertical="top" wrapText="1"/>
      <protection locked="0"/>
    </xf>
    <xf numFmtId="0" fontId="13" fillId="0" borderId="5"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23" fillId="0" borderId="5"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14" fontId="6" fillId="0" borderId="5" xfId="0" applyNumberFormat="1" applyFont="1" applyBorder="1" applyAlignment="1">
      <alignment horizontal="left" vertical="top"/>
    </xf>
    <xf numFmtId="14" fontId="6" fillId="0" borderId="11" xfId="0" applyNumberFormat="1" applyFont="1" applyBorder="1" applyAlignment="1">
      <alignment horizontal="left" vertical="top"/>
    </xf>
    <xf numFmtId="14" fontId="6" fillId="0" borderId="12" xfId="0" applyNumberFormat="1" applyFont="1" applyBorder="1" applyAlignment="1">
      <alignment horizontal="left" vertical="top"/>
    </xf>
    <xf numFmtId="167" fontId="12" fillId="0" borderId="1" xfId="0" applyNumberFormat="1" applyFont="1" applyBorder="1" applyAlignment="1">
      <alignment horizontal="center" vertical="top"/>
    </xf>
    <xf numFmtId="0" fontId="12" fillId="5" borderId="5"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23" fillId="0" borderId="10" xfId="0" applyFont="1" applyBorder="1" applyAlignment="1">
      <alignment horizontal="lef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12" fillId="0" borderId="13" xfId="0" applyFont="1" applyBorder="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8" xfId="0" applyFont="1" applyBorder="1" applyAlignment="1">
      <alignment horizontal="left" vertical="top"/>
    </xf>
    <xf numFmtId="0" fontId="12" fillId="0" borderId="0" xfId="0" applyFont="1" applyAlignment="1">
      <alignment horizontal="left" vertical="top"/>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5"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5"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23" fillId="0" borderId="5" xfId="0" applyFont="1" applyBorder="1" applyAlignment="1">
      <alignment horizontal="left" vertical="top" wrapText="1"/>
    </xf>
    <xf numFmtId="0" fontId="23" fillId="0" borderId="11" xfId="0" applyFont="1" applyBorder="1" applyAlignment="1">
      <alignment horizontal="left" vertical="top" wrapText="1"/>
    </xf>
    <xf numFmtId="0" fontId="23" fillId="0" borderId="12" xfId="0" applyFont="1" applyBorder="1" applyAlignment="1">
      <alignment horizontal="left" vertical="top" wrapText="1"/>
    </xf>
    <xf numFmtId="14" fontId="23" fillId="0" borderId="5" xfId="0" applyNumberFormat="1" applyFont="1" applyBorder="1" applyAlignment="1">
      <alignment horizontal="left" vertical="top" wrapText="1"/>
    </xf>
    <xf numFmtId="14" fontId="23" fillId="0" borderId="11" xfId="0" applyNumberFormat="1" applyFont="1" applyBorder="1" applyAlignment="1">
      <alignment horizontal="left" vertical="top" wrapText="1"/>
    </xf>
    <xf numFmtId="14" fontId="23" fillId="0" borderId="12" xfId="0" applyNumberFormat="1" applyFont="1" applyBorder="1" applyAlignment="1">
      <alignment horizontal="left" vertical="top" wrapText="1"/>
    </xf>
    <xf numFmtId="0" fontId="8" fillId="0" borderId="1" xfId="3" applyBorder="1" applyAlignment="1" applyProtection="1">
      <alignment horizontal="left" vertical="top" wrapText="1"/>
    </xf>
    <xf numFmtId="0" fontId="20" fillId="0" borderId="1" xfId="0" applyFont="1" applyBorder="1" applyAlignment="1">
      <alignment horizontal="left" vertical="top" wrapText="1"/>
    </xf>
    <xf numFmtId="14" fontId="12" fillId="0" borderId="1" xfId="0" applyNumberFormat="1" applyFont="1" applyBorder="1" applyAlignment="1">
      <alignment horizontal="left"/>
    </xf>
    <xf numFmtId="0" fontId="23" fillId="0" borderId="8" xfId="0" applyFont="1" applyBorder="1" applyAlignment="1">
      <alignment horizontal="left" vertical="top" wrapText="1"/>
    </xf>
    <xf numFmtId="0" fontId="23" fillId="0" borderId="0" xfId="0" applyFont="1" applyAlignment="1">
      <alignment horizontal="left" vertical="top" wrapText="1"/>
    </xf>
    <xf numFmtId="0" fontId="23" fillId="0" borderId="9" xfId="0" applyFont="1" applyBorder="1" applyAlignment="1">
      <alignment horizontal="left" vertical="top" wrapText="1"/>
    </xf>
    <xf numFmtId="14" fontId="23" fillId="0" borderId="1" xfId="0" applyNumberFormat="1" applyFont="1" applyBorder="1" applyAlignment="1">
      <alignment horizontal="left"/>
    </xf>
    <xf numFmtId="0" fontId="12" fillId="3" borderId="5"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3" borderId="12" xfId="0" applyFont="1" applyFill="1" applyBorder="1" applyAlignment="1">
      <alignment horizontal="center" vertical="top" wrapText="1"/>
    </xf>
    <xf numFmtId="0" fontId="23" fillId="0" borderId="5" xfId="0" applyFont="1" applyBorder="1" applyAlignment="1">
      <alignment horizontal="left" vertical="top"/>
    </xf>
    <xf numFmtId="0" fontId="23" fillId="0" borderId="11" xfId="0" applyFont="1" applyBorder="1" applyAlignment="1">
      <alignment horizontal="left" vertical="top"/>
    </xf>
    <xf numFmtId="0" fontId="23" fillId="0" borderId="12" xfId="0" applyFont="1" applyBorder="1" applyAlignment="1">
      <alignment horizontal="left" vertical="top"/>
    </xf>
    <xf numFmtId="0" fontId="12" fillId="4" borderId="5"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6" fillId="5" borderId="5" xfId="0" applyFont="1" applyFill="1" applyBorder="1" applyAlignment="1">
      <alignment horizontal="center" wrapText="1"/>
    </xf>
    <xf numFmtId="0" fontId="6" fillId="5" borderId="11" xfId="0" applyFont="1" applyFill="1" applyBorder="1" applyAlignment="1">
      <alignment horizontal="center" wrapText="1"/>
    </xf>
    <xf numFmtId="0" fontId="6" fillId="5" borderId="12" xfId="0" applyFont="1" applyFill="1" applyBorder="1" applyAlignment="1">
      <alignment horizontal="center" wrapText="1"/>
    </xf>
    <xf numFmtId="0" fontId="6" fillId="0" borderId="13" xfId="0" applyFont="1" applyBorder="1" applyAlignment="1">
      <alignment horizontal="left" vertical="top" wrapText="1"/>
    </xf>
    <xf numFmtId="14" fontId="12" fillId="0" borderId="0" xfId="0" applyNumberFormat="1" applyFont="1" applyAlignment="1">
      <alignment horizontal="center"/>
    </xf>
    <xf numFmtId="0" fontId="12" fillId="0" borderId="9" xfId="0" applyFont="1" applyBorder="1" applyAlignment="1">
      <alignment horizontal="center"/>
    </xf>
    <xf numFmtId="0" fontId="6" fillId="0" borderId="0" xfId="0" applyFont="1" applyAlignment="1">
      <alignment horizontal="left" vertical="top"/>
    </xf>
    <xf numFmtId="1" fontId="13" fillId="0" borderId="5"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0" fontId="12" fillId="4" borderId="1" xfId="0" applyFont="1" applyFill="1" applyBorder="1" applyAlignment="1">
      <alignment horizontal="center" vertical="center"/>
    </xf>
    <xf numFmtId="0" fontId="23" fillId="0" borderId="1" xfId="0" applyFont="1" applyBorder="1" applyAlignment="1">
      <alignment horizontal="center" vertical="top" wrapText="1"/>
    </xf>
    <xf numFmtId="0" fontId="39" fillId="0" borderId="0" xfId="0" applyFont="1" applyAlignment="1">
      <alignment horizontal="center"/>
    </xf>
    <xf numFmtId="0" fontId="39" fillId="0" borderId="0" xfId="0" applyFont="1" applyAlignment="1">
      <alignment horizontal="center" wrapText="1"/>
    </xf>
    <xf numFmtId="0" fontId="40" fillId="0" borderId="0" xfId="0" applyFont="1" applyAlignment="1">
      <alignment horizontal="center" vertical="center" wrapText="1"/>
    </xf>
    <xf numFmtId="0" fontId="15" fillId="0" borderId="0" xfId="0" applyFont="1" applyAlignment="1">
      <alignment horizont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6" fillId="0" borderId="0" xfId="0" applyFont="1" applyAlignment="1">
      <alignment horizontal="left"/>
    </xf>
    <xf numFmtId="0" fontId="6" fillId="0" borderId="9" xfId="0" applyFont="1" applyBorder="1" applyAlignment="1">
      <alignment horizontal="left"/>
    </xf>
    <xf numFmtId="0" fontId="17" fillId="0" borderId="5" xfId="6" applyFont="1" applyBorder="1" applyAlignment="1" applyProtection="1">
      <alignment horizontal="center" vertical="top" wrapText="1"/>
      <protection locked="0"/>
    </xf>
    <xf numFmtId="0" fontId="17" fillId="0" borderId="11" xfId="6" applyFont="1" applyBorder="1" applyAlignment="1" applyProtection="1">
      <alignment horizontal="center" vertical="top" wrapText="1"/>
      <protection locked="0"/>
    </xf>
    <xf numFmtId="0" fontId="17" fillId="0" borderId="12" xfId="6" applyFont="1" applyBorder="1" applyAlignment="1" applyProtection="1">
      <alignment horizontal="center" vertical="top" wrapText="1"/>
      <protection locked="0"/>
    </xf>
    <xf numFmtId="0" fontId="15" fillId="0" borderId="0" xfId="0" applyFont="1" applyAlignment="1">
      <alignment horizontal="center" vertical="center" wrapText="1"/>
    </xf>
    <xf numFmtId="0" fontId="30" fillId="0" borderId="0" xfId="0" applyFont="1" applyAlignment="1">
      <alignment horizontal="center" vertical="center" wrapText="1"/>
    </xf>
    <xf numFmtId="167" fontId="12" fillId="0" borderId="5" xfId="0" applyNumberFormat="1" applyFont="1" applyBorder="1" applyAlignment="1">
      <alignment horizontal="center"/>
    </xf>
    <xf numFmtId="0" fontId="12" fillId="0" borderId="11" xfId="0" applyFont="1" applyBorder="1" applyAlignment="1">
      <alignment horizontal="center" vertical="center"/>
    </xf>
    <xf numFmtId="0" fontId="14" fillId="5" borderId="5" xfId="0" applyFont="1" applyFill="1" applyBorder="1" applyAlignment="1">
      <alignment horizontal="center" vertical="top"/>
    </xf>
    <xf numFmtId="0" fontId="14" fillId="5" borderId="11" xfId="0" applyFont="1" applyFill="1" applyBorder="1" applyAlignment="1">
      <alignment horizontal="center" vertical="top"/>
    </xf>
    <xf numFmtId="0" fontId="14" fillId="5" borderId="12" xfId="0" applyFont="1" applyFill="1" applyBorder="1" applyAlignment="1">
      <alignment horizontal="center" vertical="top"/>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5" fillId="0" borderId="10" xfId="0" applyFont="1" applyBorder="1" applyAlignment="1">
      <alignment horizontal="center" vertical="top"/>
    </xf>
    <xf numFmtId="0" fontId="15" fillId="0" borderId="6" xfId="0" applyFont="1" applyBorder="1" applyAlignment="1">
      <alignment horizontal="center" vertical="top"/>
    </xf>
    <xf numFmtId="0" fontId="15" fillId="0" borderId="7" xfId="0" applyFont="1" applyBorder="1" applyAlignment="1">
      <alignment horizontal="center" vertical="top"/>
    </xf>
    <xf numFmtId="1" fontId="24" fillId="0" borderId="5" xfId="0" applyNumberFormat="1" applyFont="1" applyBorder="1" applyAlignment="1" applyProtection="1">
      <alignment horizontal="center" vertical="top" wrapText="1"/>
      <protection locked="0"/>
    </xf>
    <xf numFmtId="1" fontId="24" fillId="0" borderId="11" xfId="0" applyNumberFormat="1" applyFont="1" applyBorder="1" applyAlignment="1" applyProtection="1">
      <alignment horizontal="center" vertical="top" wrapText="1"/>
      <protection locked="0"/>
    </xf>
    <xf numFmtId="1" fontId="24" fillId="0" borderId="12" xfId="0" applyNumberFormat="1" applyFont="1" applyBorder="1" applyAlignment="1" applyProtection="1">
      <alignment horizontal="center" vertical="top" wrapText="1"/>
      <protection locked="0"/>
    </xf>
    <xf numFmtId="1" fontId="13" fillId="0" borderId="5" xfId="0" applyNumberFormat="1" applyFont="1" applyBorder="1" applyAlignment="1" applyProtection="1">
      <alignment horizontal="center" vertical="center"/>
      <protection locked="0"/>
    </xf>
    <xf numFmtId="0" fontId="23" fillId="0" borderId="1" xfId="0" applyFont="1" applyBorder="1" applyAlignment="1">
      <alignment horizontal="center" vertical="center"/>
    </xf>
    <xf numFmtId="1" fontId="12" fillId="0" borderId="1" xfId="0" applyNumberFormat="1" applyFont="1" applyBorder="1" applyAlignment="1">
      <alignment horizontal="center" vertical="top" wrapText="1"/>
    </xf>
    <xf numFmtId="1" fontId="29" fillId="0" borderId="5" xfId="0" applyNumberFormat="1" applyFont="1" applyBorder="1" applyAlignment="1">
      <alignment horizontal="center" vertical="center" wrapText="1"/>
    </xf>
    <xf numFmtId="1" fontId="29" fillId="0" borderId="12" xfId="0" applyNumberFormat="1" applyFont="1" applyBorder="1" applyAlignment="1">
      <alignment horizontal="center" vertical="center" wrapText="1"/>
    </xf>
    <xf numFmtId="0" fontId="12" fillId="0" borderId="1" xfId="5" applyFont="1" applyBorder="1" applyAlignment="1" applyProtection="1">
      <alignment horizontal="center" vertical="top" wrapText="1"/>
      <protection locked="0"/>
    </xf>
    <xf numFmtId="0" fontId="12" fillId="0" borderId="22" xfId="5" applyFont="1" applyBorder="1" applyAlignment="1" applyProtection="1">
      <alignment horizontal="center" vertical="top" wrapText="1"/>
      <protection locked="0"/>
    </xf>
    <xf numFmtId="1" fontId="12" fillId="3" borderId="5"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2" fillId="3" borderId="12" xfId="0" applyNumberFormat="1" applyFont="1" applyFill="1" applyBorder="1" applyAlignment="1">
      <alignment horizontal="center" vertical="center"/>
    </xf>
    <xf numFmtId="164" fontId="13" fillId="0" borderId="5" xfId="7" applyNumberFormat="1" applyFont="1" applyFill="1" applyBorder="1" applyAlignment="1">
      <alignment horizontal="center" vertical="center" wrapText="1"/>
    </xf>
    <xf numFmtId="164" fontId="13" fillId="0" borderId="12" xfId="7" applyNumberFormat="1" applyFont="1" applyFill="1" applyBorder="1" applyAlignment="1">
      <alignment horizontal="center" vertical="center" wrapText="1"/>
    </xf>
    <xf numFmtId="0" fontId="12" fillId="0" borderId="0" xfId="0" applyFont="1" applyAlignment="1">
      <alignment horizontal="center"/>
    </xf>
    <xf numFmtId="0" fontId="13" fillId="3" borderId="1" xfId="0" applyFont="1" applyFill="1" applyBorder="1" applyAlignment="1">
      <alignment horizontal="left" vertical="top"/>
    </xf>
    <xf numFmtId="0" fontId="12" fillId="0" borderId="8" xfId="0" applyFont="1" applyBorder="1" applyAlignment="1">
      <alignment horizontal="center" vertical="top"/>
    </xf>
    <xf numFmtId="0" fontId="12" fillId="0" borderId="0" xfId="0" applyFont="1" applyAlignment="1">
      <alignment horizontal="center" vertical="top"/>
    </xf>
    <xf numFmtId="0" fontId="12" fillId="0" borderId="9" xfId="0" applyFont="1" applyBorder="1" applyAlignment="1">
      <alignment horizontal="center" vertical="top"/>
    </xf>
    <xf numFmtId="0" fontId="23" fillId="0" borderId="10" xfId="0" applyFont="1" applyBorder="1" applyAlignment="1">
      <alignment horizontal="center" vertical="top" wrapText="1"/>
    </xf>
    <xf numFmtId="0" fontId="23" fillId="0" borderId="6" xfId="0" applyFont="1" applyBorder="1" applyAlignment="1">
      <alignment horizontal="center" vertical="top"/>
    </xf>
    <xf numFmtId="0" fontId="23" fillId="0" borderId="7" xfId="0" applyFont="1" applyBorder="1" applyAlignment="1">
      <alignment horizontal="center" vertical="top"/>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5" borderId="1" xfId="0" applyFont="1" applyFill="1" applyBorder="1" applyAlignment="1">
      <alignment horizontal="center" vertical="center"/>
    </xf>
    <xf numFmtId="0" fontId="21" fillId="0" borderId="0" xfId="0" applyFont="1" applyAlignment="1">
      <alignment horizontal="center" vertical="center"/>
    </xf>
    <xf numFmtId="0" fontId="12" fillId="0" borderId="1" xfId="0" applyFont="1" applyBorder="1" applyAlignment="1">
      <alignment horizontal="center" vertical="center"/>
    </xf>
    <xf numFmtId="0" fontId="13" fillId="3" borderId="1" xfId="0" applyFont="1" applyFill="1" applyBorder="1" applyAlignment="1">
      <alignment horizontal="center" vertical="top" wrapText="1"/>
    </xf>
    <xf numFmtId="14" fontId="13" fillId="0" borderId="5" xfId="0" applyNumberFormat="1" applyFont="1" applyBorder="1" applyAlignment="1">
      <alignment horizontal="center" vertical="top" wrapText="1"/>
    </xf>
    <xf numFmtId="14" fontId="13" fillId="0" borderId="11" xfId="0" applyNumberFormat="1" applyFont="1" applyBorder="1" applyAlignment="1">
      <alignment horizontal="center" vertical="top" wrapText="1"/>
    </xf>
    <xf numFmtId="14" fontId="13" fillId="0" borderId="12" xfId="0" applyNumberFormat="1" applyFont="1" applyBorder="1" applyAlignment="1">
      <alignment horizontal="center" vertical="top" wrapText="1"/>
    </xf>
    <xf numFmtId="0" fontId="6" fillId="3" borderId="14" xfId="0" applyFont="1" applyFill="1" applyBorder="1" applyAlignment="1">
      <alignment horizontal="center"/>
    </xf>
    <xf numFmtId="0" fontId="6" fillId="0" borderId="1" xfId="0" applyFont="1" applyBorder="1" applyAlignment="1">
      <alignment horizontal="left" vertical="top" wrapText="1"/>
    </xf>
    <xf numFmtId="0" fontId="13" fillId="0" borderId="5"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3" borderId="1" xfId="0" applyFont="1" applyFill="1" applyBorder="1" applyAlignment="1">
      <alignment horizontal="center" vertical="center"/>
    </xf>
    <xf numFmtId="44" fontId="13" fillId="3" borderId="1" xfId="7" applyFont="1" applyFill="1" applyBorder="1" applyAlignment="1">
      <alignment horizontal="left" vertical="top" wrapText="1"/>
    </xf>
    <xf numFmtId="164" fontId="13" fillId="3" borderId="1" xfId="7" applyNumberFormat="1" applyFont="1" applyFill="1" applyBorder="1" applyAlignment="1">
      <alignment horizontal="left" vertical="center"/>
    </xf>
    <xf numFmtId="0" fontId="33" fillId="0" borderId="19" xfId="5" applyFont="1" applyBorder="1" applyAlignment="1" applyProtection="1">
      <alignment horizontal="center" vertical="center" wrapText="1"/>
      <protection hidden="1"/>
    </xf>
    <xf numFmtId="0" fontId="33" fillId="0" borderId="20" xfId="5" applyFont="1" applyBorder="1" applyAlignment="1" applyProtection="1">
      <alignment horizontal="center" vertical="center" wrapText="1"/>
      <protection hidden="1"/>
    </xf>
    <xf numFmtId="9" fontId="12" fillId="8" borderId="1" xfId="5" applyNumberFormat="1" applyFont="1" applyFill="1" applyBorder="1" applyAlignment="1" applyProtection="1">
      <alignment horizontal="center" vertical="center" wrapText="1"/>
      <protection hidden="1"/>
    </xf>
    <xf numFmtId="9" fontId="12" fillId="8" borderId="29" xfId="5" applyNumberFormat="1" applyFont="1" applyFill="1" applyBorder="1" applyAlignment="1" applyProtection="1">
      <alignment horizontal="center" vertical="center" wrapText="1"/>
      <protection hidden="1"/>
    </xf>
    <xf numFmtId="0" fontId="13" fillId="0" borderId="17" xfId="5" applyFont="1" applyBorder="1" applyAlignment="1" applyProtection="1">
      <alignment horizontal="left" vertical="center" wrapText="1"/>
      <protection locked="0"/>
    </xf>
    <xf numFmtId="0" fontId="13" fillId="0" borderId="18" xfId="5" applyFont="1" applyBorder="1" applyAlignment="1" applyProtection="1">
      <alignment horizontal="left" vertical="center" wrapText="1"/>
      <protection locked="0"/>
    </xf>
    <xf numFmtId="0" fontId="13" fillId="0" borderId="16" xfId="5" applyFont="1" applyBorder="1" applyAlignment="1" applyProtection="1">
      <alignment horizontal="center" vertical="center" wrapText="1"/>
      <protection locked="0"/>
    </xf>
    <xf numFmtId="0" fontId="13" fillId="0" borderId="17" xfId="5" applyFont="1" applyBorder="1" applyAlignment="1" applyProtection="1">
      <alignment horizontal="center" vertical="center" wrapText="1"/>
      <protection locked="0"/>
    </xf>
    <xf numFmtId="0" fontId="12" fillId="0" borderId="1" xfId="5" applyFont="1" applyBorder="1" applyAlignment="1" applyProtection="1">
      <alignment horizontal="center" vertical="center" wrapText="1"/>
      <protection locked="0"/>
    </xf>
    <xf numFmtId="0" fontId="12" fillId="0" borderId="21" xfId="5" applyFont="1" applyBorder="1" applyAlignment="1" applyProtection="1">
      <alignment horizontal="center" vertical="center" wrapText="1"/>
      <protection locked="0"/>
    </xf>
    <xf numFmtId="0" fontId="12" fillId="0" borderId="21" xfId="5" applyFont="1" applyBorder="1" applyAlignment="1" applyProtection="1">
      <alignment horizontal="center" vertical="top" wrapText="1"/>
      <protection locked="0"/>
    </xf>
    <xf numFmtId="0" fontId="13" fillId="0" borderId="1" xfId="5" applyFont="1" applyBorder="1" applyAlignment="1" applyProtection="1">
      <alignment horizontal="left" vertical="top" wrapText="1"/>
      <protection locked="0"/>
    </xf>
    <xf numFmtId="0" fontId="13" fillId="0" borderId="22" xfId="5" applyFont="1" applyBorder="1" applyAlignment="1" applyProtection="1">
      <alignment horizontal="left" vertical="top" wrapText="1"/>
      <protection locked="0"/>
    </xf>
    <xf numFmtId="0" fontId="13" fillId="0" borderId="21" xfId="5" applyFont="1" applyBorder="1" applyAlignment="1" applyProtection="1">
      <alignment horizontal="center" vertical="top" wrapText="1"/>
      <protection locked="0"/>
    </xf>
    <xf numFmtId="0" fontId="13" fillId="0" borderId="1" xfId="5" applyFont="1" applyBorder="1" applyAlignment="1" applyProtection="1">
      <alignment horizontal="center" vertical="top" wrapText="1"/>
      <protection locked="0"/>
    </xf>
    <xf numFmtId="9" fontId="12" fillId="8" borderId="22" xfId="5" applyNumberFormat="1" applyFont="1" applyFill="1" applyBorder="1" applyAlignment="1" applyProtection="1">
      <alignment horizontal="center" vertical="center" wrapText="1"/>
      <protection hidden="1"/>
    </xf>
    <xf numFmtId="9" fontId="12" fillId="8" borderId="33" xfId="5" applyNumberFormat="1" applyFont="1" applyFill="1" applyBorder="1" applyAlignment="1" applyProtection="1">
      <alignment horizontal="center" vertical="center" wrapText="1"/>
      <protection hidden="1"/>
    </xf>
    <xf numFmtId="0" fontId="12" fillId="0" borderId="28" xfId="5" applyFont="1" applyBorder="1" applyAlignment="1" applyProtection="1">
      <alignment horizontal="center" vertical="top" wrapText="1"/>
      <protection locked="0"/>
    </xf>
    <xf numFmtId="0" fontId="12" fillId="0" borderId="29" xfId="5" applyFont="1" applyBorder="1" applyAlignment="1" applyProtection="1">
      <alignment horizontal="center" vertical="top" wrapText="1"/>
      <protection locked="0"/>
    </xf>
    <xf numFmtId="14" fontId="23" fillId="0" borderId="5" xfId="0" applyNumberFormat="1" applyFont="1" applyBorder="1" applyAlignment="1">
      <alignment horizontal="left" vertical="top"/>
    </xf>
    <xf numFmtId="14" fontId="23" fillId="0" borderId="12" xfId="0" applyNumberFormat="1" applyFont="1" applyBorder="1" applyAlignment="1">
      <alignment horizontal="left" vertical="top"/>
    </xf>
    <xf numFmtId="0" fontId="6" fillId="0" borderId="5"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13" fillId="0" borderId="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5" fillId="5" borderId="13" xfId="0" applyFont="1" applyFill="1" applyBorder="1" applyAlignment="1">
      <alignment horizontal="center" vertical="top"/>
    </xf>
    <xf numFmtId="0" fontId="15" fillId="5" borderId="14" xfId="0" applyFont="1" applyFill="1" applyBorder="1" applyAlignment="1">
      <alignment horizontal="center" vertical="top"/>
    </xf>
    <xf numFmtId="0" fontId="15" fillId="5" borderId="15" xfId="0" applyFont="1" applyFill="1" applyBorder="1" applyAlignment="1">
      <alignment horizontal="center" vertical="top"/>
    </xf>
    <xf numFmtId="0" fontId="14" fillId="0" borderId="13" xfId="0" applyFont="1" applyBorder="1" applyAlignment="1">
      <alignment horizontal="center" vertical="top" wrapText="1"/>
    </xf>
    <xf numFmtId="0" fontId="14" fillId="0" borderId="15"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4" fillId="0" borderId="7"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14" fillId="0" borderId="5"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1" fontId="13" fillId="0" borderId="11" xfId="0" applyNumberFormat="1" applyFont="1" applyBorder="1" applyAlignment="1" applyProtection="1">
      <alignment horizontal="center" vertical="center"/>
      <protection locked="0"/>
    </xf>
    <xf numFmtId="1" fontId="13" fillId="0" borderId="12" xfId="0" applyNumberFormat="1" applyFont="1" applyBorder="1" applyAlignment="1" applyProtection="1">
      <alignment horizontal="center" vertical="center"/>
      <protection locked="0"/>
    </xf>
    <xf numFmtId="0" fontId="38" fillId="0" borderId="13" xfId="0" applyFont="1" applyBorder="1" applyAlignment="1">
      <alignment horizontal="center" vertical="top" wrapText="1"/>
    </xf>
    <xf numFmtId="0" fontId="38" fillId="0" borderId="15" xfId="0" applyFont="1" applyBorder="1" applyAlignment="1">
      <alignment horizontal="center" vertical="top" wrapText="1"/>
    </xf>
    <xf numFmtId="0" fontId="38" fillId="0" borderId="8" xfId="0" applyFont="1" applyBorder="1" applyAlignment="1">
      <alignment horizontal="center" vertical="top" wrapText="1"/>
    </xf>
    <xf numFmtId="0" fontId="38" fillId="0" borderId="9" xfId="0" applyFont="1" applyBorder="1" applyAlignment="1">
      <alignment horizontal="center" vertical="top" wrapText="1"/>
    </xf>
    <xf numFmtId="0" fontId="38" fillId="0" borderId="10" xfId="0" applyFont="1" applyBorder="1" applyAlignment="1">
      <alignment horizontal="center" vertical="top" wrapText="1"/>
    </xf>
    <xf numFmtId="0" fontId="38" fillId="0" borderId="7" xfId="0" applyFont="1" applyBorder="1" applyAlignment="1">
      <alignment horizontal="center" vertical="top" wrapText="1"/>
    </xf>
    <xf numFmtId="1" fontId="12" fillId="0" borderId="1" xfId="5" applyNumberFormat="1" applyFont="1" applyBorder="1" applyAlignment="1" applyProtection="1">
      <alignment horizontal="center" vertical="top" wrapText="1"/>
      <protection locked="0"/>
    </xf>
    <xf numFmtId="14" fontId="23" fillId="0" borderId="1" xfId="0" applyNumberFormat="1" applyFont="1" applyBorder="1" applyAlignment="1">
      <alignment horizontal="left" vertical="top"/>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10" fillId="0" borderId="1" xfId="0" applyFont="1" applyBorder="1" applyAlignment="1">
      <alignment horizontal="center" vertical="top" wrapText="1"/>
    </xf>
    <xf numFmtId="0" fontId="10" fillId="0" borderId="1" xfId="0" applyFont="1" applyBorder="1" applyAlignment="1">
      <alignment horizontal="center"/>
    </xf>
    <xf numFmtId="0" fontId="10" fillId="0" borderId="5"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4" fillId="6" borderId="16" xfId="6" applyFont="1" applyFill="1" applyBorder="1" applyAlignment="1" applyProtection="1">
      <alignment horizontal="left" vertical="top" wrapText="1"/>
      <protection locked="0"/>
    </xf>
    <xf numFmtId="0" fontId="14" fillId="6" borderId="17" xfId="6" applyFont="1" applyFill="1" applyBorder="1" applyAlignment="1" applyProtection="1">
      <alignment horizontal="left" vertical="top" wrapText="1"/>
      <protection locked="0"/>
    </xf>
    <xf numFmtId="0" fontId="14" fillId="6" borderId="21" xfId="6" applyFont="1" applyFill="1" applyBorder="1" applyAlignment="1" applyProtection="1">
      <alignment horizontal="left" vertical="top" wrapText="1"/>
      <protection locked="0"/>
    </xf>
    <xf numFmtId="0" fontId="14" fillId="6" borderId="1" xfId="6" applyFont="1" applyFill="1" applyBorder="1" applyAlignment="1" applyProtection="1">
      <alignment horizontal="left" vertical="top" wrapText="1"/>
      <protection locked="0"/>
    </xf>
    <xf numFmtId="0" fontId="14" fillId="7" borderId="25" xfId="6" applyFont="1" applyFill="1" applyBorder="1" applyAlignment="1" applyProtection="1">
      <alignment horizontal="left" vertical="top" wrapText="1"/>
      <protection locked="0"/>
    </xf>
    <xf numFmtId="0" fontId="14" fillId="7" borderId="11" xfId="6" applyFont="1" applyFill="1" applyBorder="1" applyAlignment="1" applyProtection="1">
      <alignment horizontal="left" vertical="top" wrapText="1"/>
      <protection locked="0"/>
    </xf>
    <xf numFmtId="0" fontId="14" fillId="7" borderId="26" xfId="6" applyFont="1" applyFill="1" applyBorder="1" applyAlignment="1" applyProtection="1">
      <alignment horizontal="left" vertical="top" wrapText="1"/>
      <protection locked="0"/>
    </xf>
    <xf numFmtId="0" fontId="26" fillId="7" borderId="5" xfId="6" applyFont="1" applyFill="1" applyBorder="1" applyAlignment="1" applyProtection="1">
      <alignment horizontal="center" vertical="center" wrapText="1"/>
      <protection locked="0"/>
    </xf>
    <xf numFmtId="0" fontId="26" fillId="7" borderId="26" xfId="6" applyFont="1" applyFill="1" applyBorder="1" applyAlignment="1" applyProtection="1">
      <alignment horizontal="center" vertical="center" wrapText="1"/>
      <protection locked="0"/>
    </xf>
    <xf numFmtId="9" fontId="26" fillId="7" borderId="13" xfId="6" applyNumberFormat="1" applyFont="1" applyFill="1" applyBorder="1" applyAlignment="1" applyProtection="1">
      <alignment horizontal="center" vertical="center" wrapText="1"/>
      <protection hidden="1"/>
    </xf>
    <xf numFmtId="9" fontId="26" fillId="7" borderId="27" xfId="6" applyNumberFormat="1" applyFont="1" applyFill="1" applyBorder="1" applyAlignment="1" applyProtection="1">
      <alignment horizontal="center" vertical="center" wrapText="1"/>
      <protection hidden="1"/>
    </xf>
    <xf numFmtId="9" fontId="26" fillId="7" borderId="8" xfId="6" applyNumberFormat="1" applyFont="1" applyFill="1" applyBorder="1" applyAlignment="1" applyProtection="1">
      <alignment horizontal="center" vertical="center" wrapText="1"/>
      <protection hidden="1"/>
    </xf>
    <xf numFmtId="9" fontId="26" fillId="7" borderId="23" xfId="6" applyNumberFormat="1" applyFont="1" applyFill="1" applyBorder="1" applyAlignment="1" applyProtection="1">
      <alignment horizontal="center" vertical="center" wrapText="1"/>
      <protection hidden="1"/>
    </xf>
    <xf numFmtId="9" fontId="26" fillId="7" borderId="30" xfId="6" applyNumberFormat="1" applyFont="1" applyFill="1" applyBorder="1" applyAlignment="1" applyProtection="1">
      <alignment horizontal="center" vertical="center" wrapText="1"/>
      <protection hidden="1"/>
    </xf>
    <xf numFmtId="9" fontId="26" fillId="7" borderId="31" xfId="6" applyNumberFormat="1" applyFont="1" applyFill="1" applyBorder="1" applyAlignment="1" applyProtection="1">
      <alignment horizontal="center" vertical="center" wrapText="1"/>
      <protection hidden="1"/>
    </xf>
    <xf numFmtId="6" fontId="41" fillId="0" borderId="2" xfId="0" applyNumberFormat="1" applyFont="1" applyBorder="1" applyAlignment="1">
      <alignment horizontal="center" vertical="center" wrapText="1"/>
    </xf>
  </cellXfs>
  <cellStyles count="9">
    <cellStyle name="Comma" xfId="8" builtinId="3"/>
    <cellStyle name="Currency" xfId="7" builtinId="4"/>
    <cellStyle name="Excel Built-in Normal" xfId="1"/>
    <cellStyle name="Excel Built-in Normal 2" xfId="2"/>
    <cellStyle name="Hyperlink" xfId="3" builtinId="8"/>
    <cellStyle name="Normal" xfId="0" builtinId="0"/>
    <cellStyle name="Normal 2" xfId="4"/>
    <cellStyle name="Normal 3" xfId="6"/>
    <cellStyle name="Normal 3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12</xdr:col>
      <xdr:colOff>473379</xdr:colOff>
      <xdr:row>53</xdr:row>
      <xdr:rowOff>12700</xdr:rowOff>
    </xdr:from>
    <xdr:to>
      <xdr:col>16</xdr:col>
      <xdr:colOff>265329</xdr:colOff>
      <xdr:row>54</xdr:row>
      <xdr:rowOff>1755336</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stretch>
          <a:fillRect/>
        </a:stretch>
      </xdr:blipFill>
      <xdr:spPr>
        <a:xfrm>
          <a:off x="7718729" y="10223500"/>
          <a:ext cx="3240000" cy="1920436"/>
        </a:xfrm>
        <a:prstGeom prst="rect">
          <a:avLst/>
        </a:prstGeom>
        <a:ln>
          <a:solidFill>
            <a:schemeClr val="tx1"/>
          </a:solidFill>
        </a:ln>
      </xdr:spPr>
    </xdr:pic>
    <xdr:clientData/>
  </xdr:twoCellAnchor>
  <xdr:twoCellAnchor editAs="oneCell">
    <xdr:from>
      <xdr:col>12</xdr:col>
      <xdr:colOff>444500</xdr:colOff>
      <xdr:row>54</xdr:row>
      <xdr:rowOff>1867333</xdr:rowOff>
    </xdr:from>
    <xdr:to>
      <xdr:col>16</xdr:col>
      <xdr:colOff>236450</xdr:colOff>
      <xdr:row>55</xdr:row>
      <xdr:rowOff>223456</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a:stretch>
          <a:fillRect/>
        </a:stretch>
      </xdr:blipFill>
      <xdr:spPr>
        <a:xfrm>
          <a:off x="7689850" y="12255933"/>
          <a:ext cx="3240000" cy="2188012"/>
        </a:xfrm>
        <a:prstGeom prst="rect">
          <a:avLst/>
        </a:prstGeom>
        <a:ln>
          <a:solidFill>
            <a:schemeClr val="tx1"/>
          </a:solidFill>
        </a:ln>
      </xdr:spPr>
    </xdr:pic>
    <xdr:clientData/>
  </xdr:twoCellAnchor>
  <xdr:twoCellAnchor editAs="oneCell">
    <xdr:from>
      <xdr:col>12</xdr:col>
      <xdr:colOff>384479</xdr:colOff>
      <xdr:row>179</xdr:row>
      <xdr:rowOff>139700</xdr:rowOff>
    </xdr:from>
    <xdr:to>
      <xdr:col>16</xdr:col>
      <xdr:colOff>176429</xdr:colOff>
      <xdr:row>188</xdr:row>
      <xdr:rowOff>183711</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
        <a:stretch>
          <a:fillRect/>
        </a:stretch>
      </xdr:blipFill>
      <xdr:spPr>
        <a:xfrm>
          <a:off x="7629829" y="47040800"/>
          <a:ext cx="3240000" cy="1920436"/>
        </a:xfrm>
        <a:prstGeom prst="rect">
          <a:avLst/>
        </a:prstGeom>
        <a:ln>
          <a:solidFill>
            <a:schemeClr val="tx1"/>
          </a:solidFill>
        </a:ln>
      </xdr:spPr>
    </xdr:pic>
    <xdr:clientData/>
  </xdr:twoCellAnchor>
  <xdr:twoCellAnchor editAs="oneCell">
    <xdr:from>
      <xdr:col>12</xdr:col>
      <xdr:colOff>361950</xdr:colOff>
      <xdr:row>188</xdr:row>
      <xdr:rowOff>133783</xdr:rowOff>
    </xdr:from>
    <xdr:to>
      <xdr:col>16</xdr:col>
      <xdr:colOff>153900</xdr:colOff>
      <xdr:row>198</xdr:row>
      <xdr:rowOff>64371</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2"/>
        <a:stretch>
          <a:fillRect/>
        </a:stretch>
      </xdr:blipFill>
      <xdr:spPr>
        <a:xfrm>
          <a:off x="7607300" y="48317583"/>
          <a:ext cx="3240000" cy="2188012"/>
        </a:xfrm>
        <a:prstGeom prst="rect">
          <a:avLst/>
        </a:prstGeom>
        <a:ln>
          <a:solidFill>
            <a:schemeClr val="tx1"/>
          </a:solidFill>
        </a:ln>
      </xdr:spPr>
    </xdr:pic>
    <xdr:clientData/>
  </xdr:twoCellAnchor>
  <xdr:twoCellAnchor editAs="oneCell">
    <xdr:from>
      <xdr:col>12</xdr:col>
      <xdr:colOff>184150</xdr:colOff>
      <xdr:row>61</xdr:row>
      <xdr:rowOff>76200</xdr:rowOff>
    </xdr:from>
    <xdr:to>
      <xdr:col>16</xdr:col>
      <xdr:colOff>336100</xdr:colOff>
      <xdr:row>67</xdr:row>
      <xdr:rowOff>17040</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3"/>
        <a:stretch>
          <a:fillRect/>
        </a:stretch>
      </xdr:blipFill>
      <xdr:spPr>
        <a:xfrm>
          <a:off x="7429500" y="15970250"/>
          <a:ext cx="3600000" cy="1064789"/>
        </a:xfrm>
        <a:prstGeom prst="rect">
          <a:avLst/>
        </a:prstGeom>
        <a:ln>
          <a:solidFill>
            <a:schemeClr val="tx1"/>
          </a:solidFill>
        </a:ln>
      </xdr:spPr>
    </xdr:pic>
    <xdr:clientData/>
  </xdr:twoCellAnchor>
  <xdr:twoCellAnchor editAs="oneCell">
    <xdr:from>
      <xdr:col>12</xdr:col>
      <xdr:colOff>281001</xdr:colOff>
      <xdr:row>247</xdr:row>
      <xdr:rowOff>125069</xdr:rowOff>
    </xdr:from>
    <xdr:to>
      <xdr:col>18</xdr:col>
      <xdr:colOff>233619</xdr:colOff>
      <xdr:row>273</xdr:row>
      <xdr:rowOff>42541</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4"/>
        <a:stretch>
          <a:fillRect/>
        </a:stretch>
      </xdr:blipFill>
      <xdr:spPr>
        <a:xfrm>
          <a:off x="7410671" y="58534026"/>
          <a:ext cx="4597505" cy="4747889"/>
        </a:xfrm>
        <a:prstGeom prst="rect">
          <a:avLst/>
        </a:prstGeom>
        <a:ln>
          <a:solidFill>
            <a:schemeClr val="tx1"/>
          </a:solidFill>
        </a:ln>
      </xdr:spPr>
    </xdr:pic>
    <xdr:clientData/>
  </xdr:twoCellAnchor>
  <xdr:twoCellAnchor editAs="oneCell">
    <xdr:from>
      <xdr:col>14</xdr:col>
      <xdr:colOff>600627</xdr:colOff>
      <xdr:row>274</xdr:row>
      <xdr:rowOff>183045</xdr:rowOff>
    </xdr:from>
    <xdr:to>
      <xdr:col>22</xdr:col>
      <xdr:colOff>128430</xdr:colOff>
      <xdr:row>290</xdr:row>
      <xdr:rowOff>56134</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5"/>
        <a:stretch>
          <a:fillRect/>
        </a:stretch>
      </xdr:blipFill>
      <xdr:spPr>
        <a:xfrm>
          <a:off x="9573177" y="64114845"/>
          <a:ext cx="4480803" cy="3418069"/>
        </a:xfrm>
        <a:prstGeom prst="rect">
          <a:avLst/>
        </a:prstGeom>
        <a:ln>
          <a:solidFill>
            <a:schemeClr val="tx1"/>
          </a:solidFill>
        </a:ln>
      </xdr:spPr>
    </xdr:pic>
    <xdr:clientData/>
  </xdr:twoCellAnchor>
  <xdr:twoCellAnchor editAs="oneCell">
    <xdr:from>
      <xdr:col>12</xdr:col>
      <xdr:colOff>958850</xdr:colOff>
      <xdr:row>290</xdr:row>
      <xdr:rowOff>82550</xdr:rowOff>
    </xdr:from>
    <xdr:to>
      <xdr:col>19</xdr:col>
      <xdr:colOff>266750</xdr:colOff>
      <xdr:row>306</xdr:row>
      <xdr:rowOff>120043</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6"/>
        <a:stretch>
          <a:fillRect/>
        </a:stretch>
      </xdr:blipFill>
      <xdr:spPr>
        <a:xfrm>
          <a:off x="8204200" y="65671700"/>
          <a:ext cx="4680000" cy="2983893"/>
        </a:xfrm>
        <a:prstGeom prst="rect">
          <a:avLst/>
        </a:prstGeom>
        <a:ln>
          <a:solidFill>
            <a:schemeClr val="tx1"/>
          </a:solidFill>
        </a:ln>
      </xdr:spPr>
    </xdr:pic>
    <xdr:clientData/>
  </xdr:twoCellAnchor>
  <xdr:twoCellAnchor editAs="oneCell">
    <xdr:from>
      <xdr:col>12</xdr:col>
      <xdr:colOff>971550</xdr:colOff>
      <xdr:row>304</xdr:row>
      <xdr:rowOff>171450</xdr:rowOff>
    </xdr:from>
    <xdr:to>
      <xdr:col>19</xdr:col>
      <xdr:colOff>279450</xdr:colOff>
      <xdr:row>314</xdr:row>
      <xdr:rowOff>385</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7"/>
        <a:stretch>
          <a:fillRect/>
        </a:stretch>
      </xdr:blipFill>
      <xdr:spPr>
        <a:xfrm>
          <a:off x="8216900" y="68707000"/>
          <a:ext cx="4680000" cy="1669165"/>
        </a:xfrm>
        <a:prstGeom prst="rect">
          <a:avLst/>
        </a:prstGeom>
        <a:ln>
          <a:solidFill>
            <a:schemeClr val="tx1"/>
          </a:solidFill>
        </a:ln>
      </xdr:spPr>
    </xdr:pic>
    <xdr:clientData/>
  </xdr:twoCellAnchor>
  <xdr:twoCellAnchor editAs="oneCell">
    <xdr:from>
      <xdr:col>12</xdr:col>
      <xdr:colOff>165100</xdr:colOff>
      <xdr:row>118</xdr:row>
      <xdr:rowOff>222250</xdr:rowOff>
    </xdr:from>
    <xdr:to>
      <xdr:col>19</xdr:col>
      <xdr:colOff>193000</xdr:colOff>
      <xdr:row>121</xdr:row>
      <xdr:rowOff>167026</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8"/>
        <a:stretch>
          <a:fillRect/>
        </a:stretch>
      </xdr:blipFill>
      <xdr:spPr>
        <a:xfrm>
          <a:off x="7410450" y="30384750"/>
          <a:ext cx="5400000" cy="1751351"/>
        </a:xfrm>
        <a:prstGeom prst="rect">
          <a:avLst/>
        </a:prstGeom>
        <a:ln>
          <a:solidFill>
            <a:schemeClr val="tx1"/>
          </a:solidFill>
        </a:ln>
      </xdr:spPr>
    </xdr:pic>
    <xdr:clientData/>
  </xdr:twoCellAnchor>
  <xdr:twoCellAnchor>
    <xdr:from>
      <xdr:col>0</xdr:col>
      <xdr:colOff>374650</xdr:colOff>
      <xdr:row>473</xdr:row>
      <xdr:rowOff>152400</xdr:rowOff>
    </xdr:from>
    <xdr:to>
      <xdr:col>11</xdr:col>
      <xdr:colOff>371553</xdr:colOff>
      <xdr:row>513</xdr:row>
      <xdr:rowOff>121652</xdr:rowOff>
    </xdr:to>
    <xdr:grpSp>
      <xdr:nvGrpSpPr>
        <xdr:cNvPr id="2" name="Group 1">
          <a:extLst>
            <a:ext uri="{FF2B5EF4-FFF2-40B4-BE49-F238E27FC236}">
              <a16:creationId xmlns:a16="http://schemas.microsoft.com/office/drawing/2014/main" xmlns="" id="{00000000-0008-0000-0000-000002000000}"/>
            </a:ext>
          </a:extLst>
        </xdr:cNvPr>
        <xdr:cNvGrpSpPr/>
      </xdr:nvGrpSpPr>
      <xdr:grpSpPr>
        <a:xfrm>
          <a:off x="374650" y="107560782"/>
          <a:ext cx="6115315" cy="7589252"/>
          <a:chOff x="374650" y="122047000"/>
          <a:chExt cx="6404053" cy="7081252"/>
        </a:xfrm>
      </xdr:grpSpPr>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901370" y="126968252"/>
            <a:ext cx="2877333" cy="2160000"/>
          </a:xfrm>
          <a:prstGeom prst="rect">
            <a:avLst/>
          </a:prstGeom>
          <a:ln>
            <a:solidFill>
              <a:schemeClr val="tx1"/>
            </a:solidFill>
          </a:ln>
        </xdr:spPr>
      </xdr:pic>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632499" y="124507626"/>
            <a:ext cx="3117111" cy="2340000"/>
          </a:xfrm>
          <a:prstGeom prst="rect">
            <a:avLst/>
          </a:prstGeom>
          <a:ln>
            <a:solidFill>
              <a:schemeClr val="tx1"/>
            </a:solidFill>
          </a:ln>
        </xdr:spPr>
      </xdr:pic>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77522" y="126968252"/>
            <a:ext cx="1618313" cy="2160000"/>
          </a:xfrm>
          <a:prstGeom prst="rect">
            <a:avLst/>
          </a:prstGeom>
          <a:ln>
            <a:solidFill>
              <a:schemeClr val="tx1"/>
            </a:solidFill>
          </a:ln>
        </xdr:spPr>
      </xdr:pic>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74650" y="124507626"/>
            <a:ext cx="3117111" cy="2340000"/>
          </a:xfrm>
          <a:prstGeom prst="rect">
            <a:avLst/>
          </a:prstGeom>
          <a:ln>
            <a:solidFill>
              <a:schemeClr val="tx1"/>
            </a:solidFill>
          </a:ln>
        </xdr:spPr>
      </xdr:pic>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139446" y="126968252"/>
            <a:ext cx="1618313" cy="2160000"/>
          </a:xfrm>
          <a:prstGeom prst="rect">
            <a:avLst/>
          </a:prstGeom>
          <a:ln>
            <a:solidFill>
              <a:schemeClr val="tx1"/>
            </a:solidFill>
          </a:ln>
        </xdr:spPr>
      </xdr:pic>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632500" y="122047000"/>
            <a:ext cx="3117111" cy="2340000"/>
          </a:xfrm>
          <a:prstGeom prst="rect">
            <a:avLst/>
          </a:prstGeom>
          <a:ln>
            <a:solidFill>
              <a:schemeClr val="tx1"/>
            </a:solidFill>
          </a:ln>
        </xdr:spPr>
      </xdr:pic>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74650" y="122047000"/>
            <a:ext cx="3117111" cy="2340000"/>
          </a:xfrm>
          <a:prstGeom prst="rect">
            <a:avLst/>
          </a:prstGeom>
          <a:ln>
            <a:solidFill>
              <a:schemeClr val="tx1"/>
            </a:solidFill>
          </a:ln>
        </xdr:spPr>
      </xdr:pic>
    </xdr:grpSp>
    <xdr:clientData/>
  </xdr:twoCellAnchor>
  <xdr:twoCellAnchor editAs="oneCell">
    <xdr:from>
      <xdr:col>1</xdr:col>
      <xdr:colOff>171450</xdr:colOff>
      <xdr:row>519</xdr:row>
      <xdr:rowOff>120650</xdr:rowOff>
    </xdr:from>
    <xdr:to>
      <xdr:col>11</xdr:col>
      <xdr:colOff>284350</xdr:colOff>
      <xdr:row>539</xdr:row>
      <xdr:rowOff>57159</xdr:rowOff>
    </xdr:to>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a:ext>
          </a:extLst>
        </a:blip>
        <a:srcRect/>
        <a:stretch/>
      </xdr:blipFill>
      <xdr:spPr>
        <a:xfrm>
          <a:off x="571500" y="130238500"/>
          <a:ext cx="6120000" cy="3492509"/>
        </a:xfrm>
        <a:prstGeom prst="rect">
          <a:avLst/>
        </a:prstGeom>
        <a:ln>
          <a:solidFill>
            <a:schemeClr val="tx1"/>
          </a:solidFill>
        </a:ln>
      </xdr:spPr>
    </xdr:pic>
    <xdr:clientData/>
  </xdr:twoCellAnchor>
  <xdr:twoCellAnchor editAs="oneCell">
    <xdr:from>
      <xdr:col>2</xdr:col>
      <xdr:colOff>440600</xdr:colOff>
      <xdr:row>539</xdr:row>
      <xdr:rowOff>146225</xdr:rowOff>
    </xdr:from>
    <xdr:to>
      <xdr:col>10</xdr:col>
      <xdr:colOff>91400</xdr:colOff>
      <xdr:row>562</xdr:row>
      <xdr:rowOff>55093</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a:ext>
          </a:extLst>
        </a:blip>
        <a:srcRect/>
        <a:stretch/>
      </xdr:blipFill>
      <xdr:spPr>
        <a:xfrm>
          <a:off x="1291500" y="133820075"/>
          <a:ext cx="4680000" cy="3998268"/>
        </a:xfrm>
        <a:prstGeom prst="rect">
          <a:avLst/>
        </a:prstGeom>
        <a:ln>
          <a:solidFill>
            <a:schemeClr val="tx1"/>
          </a:solidFill>
        </a:ln>
      </xdr:spPr>
    </xdr:pic>
    <xdr:clientData/>
  </xdr:twoCellAnchor>
  <xdr:twoCellAnchor editAs="oneCell">
    <xdr:from>
      <xdr:col>3</xdr:col>
      <xdr:colOff>6350</xdr:colOff>
      <xdr:row>584</xdr:row>
      <xdr:rowOff>105949</xdr:rowOff>
    </xdr:from>
    <xdr:to>
      <xdr:col>9</xdr:col>
      <xdr:colOff>490950</xdr:colOff>
      <xdr:row>602</xdr:row>
      <xdr:rowOff>21480</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a:ext>
          </a:extLst>
        </a:blip>
        <a:srcRect/>
        <a:stretch/>
      </xdr:blipFill>
      <xdr:spPr>
        <a:xfrm>
          <a:off x="1454150" y="141780799"/>
          <a:ext cx="4320000" cy="3115932"/>
        </a:xfrm>
        <a:prstGeom prst="rect">
          <a:avLst/>
        </a:prstGeom>
        <a:ln>
          <a:solidFill>
            <a:schemeClr val="tx1"/>
          </a:solidFill>
        </a:ln>
      </xdr:spPr>
    </xdr:pic>
    <xdr:clientData/>
  </xdr:twoCellAnchor>
  <xdr:twoCellAnchor editAs="oneCell">
    <xdr:from>
      <xdr:col>3</xdr:col>
      <xdr:colOff>25400</xdr:colOff>
      <xdr:row>565</xdr:row>
      <xdr:rowOff>95250</xdr:rowOff>
    </xdr:from>
    <xdr:to>
      <xdr:col>9</xdr:col>
      <xdr:colOff>510000</xdr:colOff>
      <xdr:row>584</xdr:row>
      <xdr:rowOff>10290</xdr:rowOff>
    </xdr:to>
    <xdr:pic>
      <xdr:nvPicPr>
        <xdr:cNvPr id="25" name="Picture 24">
          <a:extLst>
            <a:ext uri="{FF2B5EF4-FFF2-40B4-BE49-F238E27FC236}">
              <a16:creationId xmlns:a16="http://schemas.microsoft.com/office/drawing/2014/main" xmlns="" id="{00000000-0008-0000-0000-000019000000}"/>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a:ext>
          </a:extLst>
        </a:blip>
        <a:srcRect/>
        <a:stretch/>
      </xdr:blipFill>
      <xdr:spPr>
        <a:xfrm>
          <a:off x="1473200" y="138391900"/>
          <a:ext cx="4320000" cy="3293240"/>
        </a:xfrm>
        <a:prstGeom prst="rect">
          <a:avLst/>
        </a:prstGeom>
        <a:ln>
          <a:solidFill>
            <a:schemeClr val="tx1"/>
          </a:solidFill>
        </a:ln>
      </xdr:spPr>
    </xdr:pic>
    <xdr:clientData/>
  </xdr:twoCellAnchor>
  <xdr:twoCellAnchor>
    <xdr:from>
      <xdr:col>6</xdr:col>
      <xdr:colOff>196850</xdr:colOff>
      <xdr:row>589</xdr:row>
      <xdr:rowOff>36098</xdr:rowOff>
    </xdr:from>
    <xdr:to>
      <xdr:col>7</xdr:col>
      <xdr:colOff>222250</xdr:colOff>
      <xdr:row>595</xdr:row>
      <xdr:rowOff>133349</xdr:rowOff>
    </xdr:to>
    <xdr:sp macro="" textlink="">
      <xdr:nvSpPr>
        <xdr:cNvPr id="26" name="Rectangle 25">
          <a:extLst>
            <a:ext uri="{FF2B5EF4-FFF2-40B4-BE49-F238E27FC236}">
              <a16:creationId xmlns:a16="http://schemas.microsoft.com/office/drawing/2014/main" xmlns="" id="{00000000-0008-0000-0000-00001A000000}"/>
            </a:ext>
          </a:extLst>
        </xdr:cNvPr>
        <xdr:cNvSpPr/>
      </xdr:nvSpPr>
      <xdr:spPr>
        <a:xfrm>
          <a:off x="3295650" y="142599948"/>
          <a:ext cx="654050" cy="116405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2</xdr:col>
      <xdr:colOff>82550</xdr:colOff>
      <xdr:row>10</xdr:row>
      <xdr:rowOff>19050</xdr:rowOff>
    </xdr:from>
    <xdr:to>
      <xdr:col>10</xdr:col>
      <xdr:colOff>453350</xdr:colOff>
      <xdr:row>30</xdr:row>
      <xdr:rowOff>35139</xdr:rowOff>
    </xdr:to>
    <xdr:pic>
      <xdr:nvPicPr>
        <xdr:cNvPr id="27" name="Picture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0"/>
        <a:stretch>
          <a:fillRect/>
        </a:stretch>
      </xdr:blipFill>
      <xdr:spPr>
        <a:xfrm>
          <a:off x="892175" y="2066925"/>
          <a:ext cx="5161875" cy="3826089"/>
        </a:xfrm>
        <a:prstGeom prst="rect">
          <a:avLst/>
        </a:prstGeom>
        <a:ln>
          <a:solidFill>
            <a:schemeClr val="tx1"/>
          </a:solidFill>
        </a:ln>
      </xdr:spPr>
    </xdr:pic>
    <xdr:clientData/>
  </xdr:twoCellAnchor>
  <xdr:twoCellAnchor editAs="oneCell">
    <xdr:from>
      <xdr:col>0</xdr:col>
      <xdr:colOff>251460</xdr:colOff>
      <xdr:row>612</xdr:row>
      <xdr:rowOff>114300</xdr:rowOff>
    </xdr:from>
    <xdr:to>
      <xdr:col>11</xdr:col>
      <xdr:colOff>564958</xdr:colOff>
      <xdr:row>632</xdr:row>
      <xdr:rowOff>87180</xdr:rowOff>
    </xdr:to>
    <xdr:pic>
      <xdr:nvPicPr>
        <xdr:cNvPr id="3" name="Picture 2">
          <a:extLst>
            <a:ext uri="{FF2B5EF4-FFF2-40B4-BE49-F238E27FC236}">
              <a16:creationId xmlns:a16="http://schemas.microsoft.com/office/drawing/2014/main" xmlns="" id="{29B7DAD9-D2EA-ABF2-2D5C-4AF3B6F7A5C6}"/>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a:xfrm>
          <a:off x="251460" y="146311620"/>
          <a:ext cx="6599998" cy="3600000"/>
        </a:xfrm>
        <a:prstGeom prst="rect">
          <a:avLst/>
        </a:prstGeom>
        <a:ln>
          <a:solidFill>
            <a:sysClr val="windowText" lastClr="000000"/>
          </a:solidFill>
        </a:ln>
      </xdr:spPr>
    </xdr:pic>
    <xdr:clientData/>
  </xdr:twoCellAnchor>
  <xdr:twoCellAnchor>
    <xdr:from>
      <xdr:col>0</xdr:col>
      <xdr:colOff>285750</xdr:colOff>
      <xdr:row>658</xdr:row>
      <xdr:rowOff>0</xdr:rowOff>
    </xdr:from>
    <xdr:to>
      <xdr:col>11</xdr:col>
      <xdr:colOff>583350</xdr:colOff>
      <xdr:row>696</xdr:row>
      <xdr:rowOff>127959</xdr:rowOff>
    </xdr:to>
    <xdr:grpSp>
      <xdr:nvGrpSpPr>
        <xdr:cNvPr id="4" name="Group 3"/>
        <xdr:cNvGrpSpPr/>
      </xdr:nvGrpSpPr>
      <xdr:grpSpPr>
        <a:xfrm>
          <a:off x="285750" y="142695706"/>
          <a:ext cx="6416012" cy="7366959"/>
          <a:chOff x="285750" y="140512800"/>
          <a:chExt cx="6403125" cy="7366959"/>
        </a:xfrm>
      </xdr:grpSpPr>
      <xdr:pic>
        <xdr:nvPicPr>
          <xdr:cNvPr id="28" name="Picture 27"/>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85750" y="140512800"/>
            <a:ext cx="6403125" cy="360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285750" y="144279759"/>
            <a:ext cx="6403125" cy="36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14</xdr:row>
      <xdr:rowOff>0</xdr:rowOff>
    </xdr:from>
    <xdr:to>
      <xdr:col>7</xdr:col>
      <xdr:colOff>419185</xdr:colOff>
      <xdr:row>32</xdr:row>
      <xdr:rowOff>171000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582707" y="3249706"/>
          <a:ext cx="6403125" cy="3600000"/>
        </a:xfrm>
        <a:prstGeom prst="rect">
          <a:avLst/>
        </a:prstGeom>
      </xdr:spPr>
    </xdr:pic>
    <xdr:clientData/>
  </xdr:twoCellAnchor>
  <xdr:twoCellAnchor editAs="oneCell">
    <xdr:from>
      <xdr:col>1</xdr:col>
      <xdr:colOff>1</xdr:colOff>
      <xdr:row>34</xdr:row>
      <xdr:rowOff>0</xdr:rowOff>
    </xdr:from>
    <xdr:to>
      <xdr:col>7</xdr:col>
      <xdr:colOff>419185</xdr:colOff>
      <xdr:row>52</xdr:row>
      <xdr:rowOff>171000</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582707" y="7059706"/>
          <a:ext cx="6403125" cy="3600000"/>
        </a:xfrm>
        <a:prstGeom prst="rect">
          <a:avLst/>
        </a:prstGeom>
      </xdr:spPr>
    </xdr:pic>
    <xdr:clientData/>
  </xdr:twoCellAnchor>
  <xdr:twoCellAnchor editAs="oneCell">
    <xdr:from>
      <xdr:col>1</xdr:col>
      <xdr:colOff>1</xdr:colOff>
      <xdr:row>54</xdr:row>
      <xdr:rowOff>0</xdr:rowOff>
    </xdr:from>
    <xdr:to>
      <xdr:col>7</xdr:col>
      <xdr:colOff>419185</xdr:colOff>
      <xdr:row>72</xdr:row>
      <xdr:rowOff>171000</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3"/>
        <a:stretch>
          <a:fillRect/>
        </a:stretch>
      </xdr:blipFill>
      <xdr:spPr>
        <a:xfrm>
          <a:off x="582707" y="10679206"/>
          <a:ext cx="6403125" cy="3600000"/>
        </a:xfrm>
        <a:prstGeom prst="rect">
          <a:avLst/>
        </a:prstGeom>
      </xdr:spPr>
    </xdr:pic>
    <xdr:clientData/>
  </xdr:twoCellAnchor>
  <xdr:twoCellAnchor editAs="oneCell">
    <xdr:from>
      <xdr:col>1</xdr:col>
      <xdr:colOff>1</xdr:colOff>
      <xdr:row>74</xdr:row>
      <xdr:rowOff>0</xdr:rowOff>
    </xdr:from>
    <xdr:to>
      <xdr:col>7</xdr:col>
      <xdr:colOff>419185</xdr:colOff>
      <xdr:row>92</xdr:row>
      <xdr:rowOff>171000</xdr:rowOff>
    </xdr:to>
    <xdr:pic>
      <xdr:nvPicPr>
        <xdr:cNvPr id="5" name="Picture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4"/>
        <a:stretch>
          <a:fillRect/>
        </a:stretch>
      </xdr:blipFill>
      <xdr:spPr>
        <a:xfrm>
          <a:off x="582707" y="14489206"/>
          <a:ext cx="6403125" cy="3600000"/>
        </a:xfrm>
        <a:prstGeom prst="rect">
          <a:avLst/>
        </a:prstGeom>
      </xdr:spPr>
    </xdr:pic>
    <xdr:clientData/>
  </xdr:twoCellAnchor>
  <xdr:twoCellAnchor editAs="oneCell">
    <xdr:from>
      <xdr:col>1</xdr:col>
      <xdr:colOff>1</xdr:colOff>
      <xdr:row>94</xdr:row>
      <xdr:rowOff>0</xdr:rowOff>
    </xdr:from>
    <xdr:to>
      <xdr:col>7</xdr:col>
      <xdr:colOff>419185</xdr:colOff>
      <xdr:row>112</xdr:row>
      <xdr:rowOff>171000</xdr:rowOff>
    </xdr:to>
    <xdr:pic>
      <xdr:nvPicPr>
        <xdr:cNvPr id="6" name="Picture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a:stretch>
          <a:fillRect/>
        </a:stretch>
      </xdr:blipFill>
      <xdr:spPr>
        <a:xfrm>
          <a:off x="582707" y="18299206"/>
          <a:ext cx="6403125" cy="3600000"/>
        </a:xfrm>
        <a:prstGeom prst="rect">
          <a:avLst/>
        </a:prstGeom>
      </xdr:spPr>
    </xdr:pic>
    <xdr:clientData/>
  </xdr:twoCellAnchor>
  <xdr:twoCellAnchor editAs="oneCell">
    <xdr:from>
      <xdr:col>1</xdr:col>
      <xdr:colOff>1</xdr:colOff>
      <xdr:row>114</xdr:row>
      <xdr:rowOff>0</xdr:rowOff>
    </xdr:from>
    <xdr:to>
      <xdr:col>7</xdr:col>
      <xdr:colOff>419185</xdr:colOff>
      <xdr:row>132</xdr:row>
      <xdr:rowOff>171000</xdr:rowOff>
    </xdr:to>
    <xdr:pic>
      <xdr:nvPicPr>
        <xdr:cNvPr id="7" name="Picture 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6"/>
        <a:stretch>
          <a:fillRect/>
        </a:stretch>
      </xdr:blipFill>
      <xdr:spPr>
        <a:xfrm>
          <a:off x="582707" y="22109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6tyWqFMofxGTQWk6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S848"/>
  <sheetViews>
    <sheetView tabSelected="1" view="pageBreakPreview" topLeftCell="A504" zoomScale="85" zoomScaleNormal="100" zoomScaleSheetLayoutView="85" zoomScalePageLayoutView="85" workbookViewId="0">
      <selection activeCell="T514" sqref="T514"/>
    </sheetView>
  </sheetViews>
  <sheetFormatPr defaultColWidth="9.28515625" defaultRowHeight="15" x14ac:dyDescent="0.25"/>
  <cols>
    <col min="1" max="1" width="5.7109375" style="5" customWidth="1"/>
    <col min="2" max="2" width="6.42578125" style="34" customWidth="1"/>
    <col min="3" max="3" width="8.5703125" style="35" customWidth="1"/>
    <col min="4" max="4" width="7.7109375" style="35" customWidth="1"/>
    <col min="5" max="5" width="8" style="35" customWidth="1"/>
    <col min="6" max="6" width="7.7109375" style="35" customWidth="1"/>
    <col min="7" max="7" width="9" style="5" customWidth="1"/>
    <col min="8" max="8" width="10" style="5" customWidth="1"/>
    <col min="9" max="9" width="12.28515625" style="5" customWidth="1"/>
    <col min="10" max="10" width="8.5703125" style="5" customWidth="1"/>
    <col min="11" max="11" width="7.5703125" style="5" customWidth="1"/>
    <col min="12" max="12" width="12" style="5" customWidth="1"/>
    <col min="13" max="13" width="18.28515625" style="5" customWidth="1"/>
    <col min="14" max="14" width="12.7109375" style="5" customWidth="1"/>
    <col min="15" max="16384" width="9.28515625" style="5"/>
  </cols>
  <sheetData>
    <row r="2" spans="1:12" ht="17.45" x14ac:dyDescent="0.3">
      <c r="A2" s="372" t="s">
        <v>76</v>
      </c>
      <c r="B2" s="372"/>
      <c r="C2" s="372"/>
      <c r="D2" s="372"/>
      <c r="E2" s="372"/>
      <c r="F2" s="372"/>
      <c r="G2" s="372"/>
      <c r="H2" s="372"/>
      <c r="I2" s="372"/>
      <c r="J2" s="372"/>
      <c r="K2" s="372"/>
      <c r="L2" s="372"/>
    </row>
    <row r="3" spans="1:12" ht="17.45" x14ac:dyDescent="0.3">
      <c r="A3" s="131"/>
      <c r="B3" s="132"/>
      <c r="C3" s="133"/>
      <c r="D3" s="133"/>
      <c r="E3" s="133"/>
      <c r="F3" s="133"/>
      <c r="G3" s="131"/>
      <c r="H3" s="131"/>
      <c r="I3" s="131"/>
      <c r="J3" s="131"/>
      <c r="K3" s="131"/>
      <c r="L3" s="131"/>
    </row>
    <row r="4" spans="1:12" ht="17.45" x14ac:dyDescent="0.3">
      <c r="A4" s="372" t="s">
        <v>77</v>
      </c>
      <c r="B4" s="372"/>
      <c r="C4" s="372"/>
      <c r="D4" s="372"/>
      <c r="E4" s="372"/>
      <c r="F4" s="372"/>
      <c r="G4" s="372"/>
      <c r="H4" s="372"/>
      <c r="I4" s="372"/>
      <c r="J4" s="372"/>
      <c r="K4" s="372"/>
      <c r="L4" s="372"/>
    </row>
    <row r="5" spans="1:12" ht="17.45" x14ac:dyDescent="0.3">
      <c r="A5" s="131"/>
      <c r="B5" s="132"/>
      <c r="C5" s="133"/>
      <c r="D5" s="133"/>
      <c r="E5" s="133"/>
      <c r="F5" s="133"/>
      <c r="G5" s="131"/>
      <c r="H5" s="131"/>
      <c r="I5" s="131"/>
      <c r="J5" s="131"/>
      <c r="K5" s="131"/>
      <c r="L5" s="131"/>
    </row>
    <row r="6" spans="1:12" ht="17.45" x14ac:dyDescent="0.3">
      <c r="A6" s="373" t="s">
        <v>614</v>
      </c>
      <c r="B6" s="372"/>
      <c r="C6" s="372"/>
      <c r="D6" s="372"/>
      <c r="E6" s="372"/>
      <c r="F6" s="372"/>
      <c r="G6" s="372"/>
      <c r="H6" s="372"/>
      <c r="I6" s="372"/>
      <c r="J6" s="372"/>
      <c r="K6" s="372"/>
      <c r="L6" s="372"/>
    </row>
    <row r="7" spans="1:12" ht="13.9" x14ac:dyDescent="0.25">
      <c r="A7" s="134"/>
      <c r="B7" s="135"/>
      <c r="C7" s="136"/>
      <c r="D7" s="136"/>
      <c r="E7" s="136"/>
      <c r="F7" s="136"/>
      <c r="G7" s="134"/>
      <c r="H7" s="134"/>
      <c r="I7" s="134"/>
      <c r="J7" s="134"/>
      <c r="K7" s="134"/>
      <c r="L7" s="134"/>
    </row>
    <row r="8" spans="1:12" ht="15.75" x14ac:dyDescent="0.25">
      <c r="A8" s="374" t="s">
        <v>613</v>
      </c>
      <c r="B8" s="374"/>
      <c r="C8" s="374"/>
      <c r="D8" s="374"/>
      <c r="E8" s="374"/>
      <c r="F8" s="374"/>
      <c r="G8" s="374"/>
      <c r="H8" s="374"/>
      <c r="I8" s="374"/>
      <c r="J8" s="374"/>
      <c r="K8" s="374"/>
      <c r="L8" s="374"/>
    </row>
    <row r="9" spans="1:12" ht="15.75" x14ac:dyDescent="0.25">
      <c r="A9" s="388" t="s">
        <v>672</v>
      </c>
      <c r="B9" s="388"/>
      <c r="C9" s="388"/>
      <c r="D9" s="388"/>
      <c r="E9" s="388"/>
      <c r="F9" s="388"/>
      <c r="G9" s="388"/>
      <c r="H9" s="388"/>
      <c r="I9" s="388"/>
      <c r="J9" s="388"/>
      <c r="K9" s="388"/>
      <c r="L9" s="388"/>
    </row>
    <row r="10" spans="1:12" ht="15.6" x14ac:dyDescent="0.25">
      <c r="A10" s="387"/>
      <c r="B10" s="387"/>
      <c r="C10" s="387"/>
      <c r="D10" s="387"/>
      <c r="E10" s="387"/>
      <c r="F10" s="387"/>
      <c r="G10" s="387"/>
      <c r="H10" s="387"/>
      <c r="I10" s="387"/>
      <c r="J10" s="387"/>
      <c r="K10" s="387"/>
      <c r="L10" s="387"/>
    </row>
    <row r="30" spans="1:12" ht="15.6" x14ac:dyDescent="0.3">
      <c r="A30" s="375" t="s">
        <v>78</v>
      </c>
      <c r="B30" s="375"/>
      <c r="C30" s="375"/>
      <c r="D30" s="375"/>
      <c r="E30" s="375"/>
      <c r="F30" s="375"/>
      <c r="G30" s="375"/>
      <c r="H30" s="375"/>
      <c r="I30" s="375"/>
      <c r="J30" s="375"/>
      <c r="K30" s="375"/>
      <c r="L30" s="375"/>
    </row>
    <row r="31" spans="1:12" ht="15.6" x14ac:dyDescent="0.3">
      <c r="A31" s="375"/>
      <c r="B31" s="375"/>
      <c r="C31" s="375"/>
      <c r="D31" s="375"/>
      <c r="E31" s="375"/>
      <c r="F31" s="375"/>
      <c r="G31" s="375"/>
      <c r="H31" s="375"/>
      <c r="I31" s="375"/>
      <c r="J31" s="375"/>
      <c r="K31" s="375"/>
      <c r="L31" s="375"/>
    </row>
    <row r="32" spans="1:12" ht="15.6" x14ac:dyDescent="0.3">
      <c r="A32" s="375" t="s">
        <v>360</v>
      </c>
      <c r="B32" s="375"/>
      <c r="C32" s="375"/>
      <c r="D32" s="375"/>
      <c r="E32" s="375"/>
      <c r="F32" s="375"/>
      <c r="G32" s="375"/>
      <c r="H32" s="375"/>
      <c r="I32" s="375"/>
      <c r="J32" s="375"/>
      <c r="K32" s="375"/>
      <c r="L32" s="375"/>
    </row>
    <row r="33" spans="1:12" ht="15.6" x14ac:dyDescent="0.3">
      <c r="A33" s="375" t="s">
        <v>115</v>
      </c>
      <c r="B33" s="375"/>
      <c r="C33" s="375"/>
      <c r="D33" s="375"/>
      <c r="E33" s="375"/>
      <c r="F33" s="375"/>
      <c r="G33" s="375"/>
      <c r="H33" s="375"/>
      <c r="I33" s="375"/>
      <c r="J33" s="375"/>
      <c r="K33" s="375"/>
      <c r="L33" s="375"/>
    </row>
    <row r="34" spans="1:12" ht="15.6" x14ac:dyDescent="0.3">
      <c r="A34" s="375" t="s">
        <v>116</v>
      </c>
      <c r="B34" s="375"/>
      <c r="C34" s="375"/>
      <c r="D34" s="375"/>
      <c r="E34" s="375"/>
      <c r="F34" s="375"/>
      <c r="G34" s="375"/>
      <c r="H34" s="375"/>
      <c r="I34" s="375"/>
      <c r="J34" s="375"/>
      <c r="K34" s="375"/>
      <c r="L34" s="375"/>
    </row>
    <row r="35" spans="1:12" ht="15.6" x14ac:dyDescent="0.3">
      <c r="A35" s="375" t="s">
        <v>117</v>
      </c>
      <c r="B35" s="375"/>
      <c r="C35" s="375"/>
      <c r="D35" s="375"/>
      <c r="E35" s="375"/>
      <c r="F35" s="375"/>
      <c r="G35" s="375"/>
      <c r="H35" s="375"/>
      <c r="I35" s="375"/>
      <c r="J35" s="375"/>
      <c r="K35" s="375"/>
      <c r="L35" s="375"/>
    </row>
    <row r="36" spans="1:12" ht="15.6" x14ac:dyDescent="0.3">
      <c r="A36" s="22"/>
      <c r="B36" s="30"/>
      <c r="C36" s="31"/>
      <c r="D36" s="31"/>
      <c r="E36" s="31"/>
      <c r="F36" s="31"/>
      <c r="G36" s="22"/>
      <c r="H36" s="22"/>
      <c r="I36" s="22"/>
      <c r="J36" s="22"/>
      <c r="K36" s="22"/>
      <c r="L36" s="22"/>
    </row>
    <row r="37" spans="1:12" ht="15.6" x14ac:dyDescent="0.3">
      <c r="A37" s="375" t="s">
        <v>119</v>
      </c>
      <c r="B37" s="375"/>
      <c r="C37" s="375"/>
      <c r="D37" s="375"/>
      <c r="E37" s="375"/>
      <c r="F37" s="375"/>
      <c r="G37" s="375"/>
      <c r="H37" s="375"/>
      <c r="I37" s="375"/>
      <c r="J37" s="375"/>
      <c r="K37" s="375"/>
      <c r="L37" s="375"/>
    </row>
    <row r="38" spans="1:12" ht="13.9" x14ac:dyDescent="0.25">
      <c r="A38" s="21"/>
      <c r="B38" s="32"/>
      <c r="C38" s="33"/>
      <c r="D38" s="33"/>
      <c r="E38" s="33"/>
      <c r="F38" s="33"/>
      <c r="G38" s="21"/>
      <c r="H38" s="21"/>
      <c r="I38" s="21"/>
      <c r="J38" s="21"/>
      <c r="K38" s="21"/>
      <c r="L38" s="21"/>
    </row>
    <row r="39" spans="1:12" ht="13.9" x14ac:dyDescent="0.25">
      <c r="A39" s="262" t="s">
        <v>118</v>
      </c>
      <c r="B39" s="262"/>
      <c r="C39" s="262"/>
      <c r="D39" s="262"/>
      <c r="E39" s="262"/>
      <c r="F39" s="262"/>
      <c r="G39" s="262"/>
      <c r="H39" s="262"/>
      <c r="I39" s="262"/>
      <c r="J39" s="262"/>
      <c r="K39" s="262"/>
      <c r="L39" s="262"/>
    </row>
    <row r="42" spans="1:12" ht="46.5" customHeight="1" x14ac:dyDescent="0.25">
      <c r="A42" s="384" t="s">
        <v>120</v>
      </c>
      <c r="B42" s="385"/>
      <c r="C42" s="385"/>
      <c r="D42" s="385"/>
      <c r="E42" s="385"/>
      <c r="F42" s="385"/>
      <c r="G42" s="385"/>
      <c r="H42" s="385"/>
      <c r="I42" s="385"/>
      <c r="J42" s="385"/>
      <c r="K42" s="385"/>
      <c r="L42" s="386"/>
    </row>
    <row r="43" spans="1:12" x14ac:dyDescent="0.25">
      <c r="A43" s="376" t="s">
        <v>66</v>
      </c>
      <c r="B43" s="377"/>
      <c r="C43" s="377"/>
      <c r="D43" s="377"/>
      <c r="E43" s="377"/>
      <c r="F43" s="377"/>
      <c r="G43" s="377"/>
      <c r="H43" s="377"/>
      <c r="I43" s="377"/>
      <c r="J43" s="377"/>
      <c r="K43" s="377"/>
      <c r="L43" s="378"/>
    </row>
    <row r="44" spans="1:12" x14ac:dyDescent="0.25">
      <c r="A44" s="379"/>
      <c r="B44" s="380"/>
      <c r="C44" s="380"/>
      <c r="D44" s="380"/>
      <c r="E44" s="380"/>
      <c r="F44" s="380"/>
      <c r="G44" s="380"/>
      <c r="H44" s="380"/>
      <c r="I44" s="380"/>
      <c r="J44" s="380"/>
      <c r="K44" s="380"/>
      <c r="L44" s="381"/>
    </row>
    <row r="45" spans="1:12" ht="13.9" x14ac:dyDescent="0.25">
      <c r="A45" s="15"/>
      <c r="I45" s="5" t="s">
        <v>1</v>
      </c>
      <c r="K45" s="365" t="str">
        <f ca="1">TEXT(TODAY(),"DD/MM/YYYY")</f>
        <v>24/07/2025</v>
      </c>
      <c r="L45" s="366"/>
    </row>
    <row r="46" spans="1:12" ht="13.9" x14ac:dyDescent="0.25">
      <c r="A46" s="15"/>
      <c r="L46" s="16"/>
    </row>
    <row r="47" spans="1:12" ht="13.9" x14ac:dyDescent="0.25">
      <c r="A47" s="137"/>
      <c r="B47" s="367" t="s">
        <v>2</v>
      </c>
      <c r="C47" s="367"/>
      <c r="D47" s="367"/>
      <c r="E47" s="138"/>
      <c r="F47" s="139" t="s">
        <v>3</v>
      </c>
      <c r="G47" s="382" t="s">
        <v>603</v>
      </c>
      <c r="H47" s="382"/>
      <c r="I47" s="382"/>
      <c r="J47" s="382"/>
      <c r="K47" s="382"/>
      <c r="L47" s="383"/>
    </row>
    <row r="48" spans="1:12" ht="13.9" x14ac:dyDescent="0.25">
      <c r="A48" s="140"/>
      <c r="B48" s="135"/>
      <c r="C48" s="135"/>
      <c r="D48" s="135"/>
      <c r="E48" s="135"/>
      <c r="F48" s="136"/>
      <c r="G48" s="141"/>
      <c r="H48" s="141"/>
      <c r="I48" s="141"/>
      <c r="J48" s="141"/>
      <c r="K48" s="141"/>
      <c r="L48" s="142"/>
    </row>
    <row r="49" spans="1:19" ht="13.9" x14ac:dyDescent="0.25">
      <c r="A49" s="137"/>
      <c r="B49" s="367" t="s">
        <v>4</v>
      </c>
      <c r="C49" s="367"/>
      <c r="D49" s="367"/>
      <c r="E49" s="138"/>
      <c r="F49" s="139" t="s">
        <v>3</v>
      </c>
      <c r="G49" s="382" t="s">
        <v>613</v>
      </c>
      <c r="H49" s="382"/>
      <c r="I49" s="382"/>
      <c r="J49" s="382"/>
      <c r="K49" s="382"/>
      <c r="L49" s="383"/>
    </row>
    <row r="50" spans="1:19" ht="13.9" x14ac:dyDescent="0.25">
      <c r="A50" s="143"/>
      <c r="B50" s="144"/>
      <c r="C50" s="145"/>
      <c r="D50" s="145"/>
      <c r="E50" s="145"/>
      <c r="F50" s="145"/>
      <c r="G50" s="146"/>
      <c r="H50" s="146"/>
      <c r="I50" s="146"/>
      <c r="J50" s="146"/>
      <c r="K50" s="146"/>
      <c r="L50" s="147"/>
    </row>
    <row r="51" spans="1:19" ht="15" customHeight="1" x14ac:dyDescent="0.25">
      <c r="A51" s="361" t="s">
        <v>55</v>
      </c>
      <c r="B51" s="362"/>
      <c r="C51" s="362"/>
      <c r="D51" s="362"/>
      <c r="E51" s="362"/>
      <c r="F51" s="362"/>
      <c r="G51" s="362"/>
      <c r="H51" s="362"/>
      <c r="I51" s="362"/>
      <c r="J51" s="362"/>
      <c r="K51" s="362"/>
      <c r="L51" s="363"/>
    </row>
    <row r="52" spans="1:19" ht="13.9" x14ac:dyDescent="0.25">
      <c r="A52" s="148">
        <v>1</v>
      </c>
      <c r="B52" s="337" t="s">
        <v>8</v>
      </c>
      <c r="C52" s="337"/>
      <c r="D52" s="337"/>
      <c r="E52" s="337"/>
      <c r="F52" s="338"/>
      <c r="G52" s="220" t="s">
        <v>56</v>
      </c>
      <c r="H52" s="220"/>
      <c r="I52" s="220"/>
      <c r="J52" s="220"/>
      <c r="K52" s="220"/>
      <c r="L52" s="220"/>
    </row>
    <row r="53" spans="1:19" x14ac:dyDescent="0.25">
      <c r="A53" s="187">
        <v>2</v>
      </c>
      <c r="B53" s="241" t="s">
        <v>9</v>
      </c>
      <c r="C53" s="241"/>
      <c r="D53" s="241"/>
      <c r="E53" s="241"/>
      <c r="F53" s="242"/>
      <c r="G53" s="348">
        <v>45860</v>
      </c>
      <c r="H53" s="348"/>
      <c r="I53" s="348"/>
      <c r="J53" s="348"/>
      <c r="K53" s="348"/>
      <c r="L53" s="348"/>
    </row>
    <row r="54" spans="1:19" x14ac:dyDescent="0.25">
      <c r="A54" s="189"/>
      <c r="B54" s="241" t="s">
        <v>121</v>
      </c>
      <c r="C54" s="241"/>
      <c r="D54" s="241"/>
      <c r="E54" s="241"/>
      <c r="F54" s="242"/>
      <c r="G54" s="344" t="str">
        <f ca="1">TEXT(TODAY(),"DD/MM/YYYY")</f>
        <v>24/07/2025</v>
      </c>
      <c r="H54" s="344"/>
      <c r="I54" s="344"/>
      <c r="J54" s="344"/>
      <c r="K54" s="344"/>
      <c r="L54" s="344"/>
    </row>
    <row r="55" spans="1:19" ht="301.5" customHeight="1" x14ac:dyDescent="0.25">
      <c r="A55" s="42">
        <v>3</v>
      </c>
      <c r="B55" s="190" t="s">
        <v>122</v>
      </c>
      <c r="C55" s="191"/>
      <c r="D55" s="191"/>
      <c r="E55" s="191"/>
      <c r="F55" s="192"/>
      <c r="G55" s="203" t="s">
        <v>674</v>
      </c>
      <c r="H55" s="203"/>
      <c r="I55" s="203"/>
      <c r="J55" s="203"/>
      <c r="K55" s="203"/>
      <c r="L55" s="203"/>
    </row>
    <row r="56" spans="1:19" ht="46.5" customHeight="1" x14ac:dyDescent="0.25">
      <c r="A56" s="42">
        <v>4</v>
      </c>
      <c r="B56" s="190" t="s">
        <v>123</v>
      </c>
      <c r="C56" s="191"/>
      <c r="D56" s="191"/>
      <c r="E56" s="191"/>
      <c r="F56" s="192"/>
      <c r="G56" s="220" t="s">
        <v>615</v>
      </c>
      <c r="H56" s="220"/>
      <c r="I56" s="220"/>
      <c r="J56" s="220"/>
      <c r="K56" s="220"/>
      <c r="L56" s="220"/>
    </row>
    <row r="57" spans="1:19" x14ac:dyDescent="0.25">
      <c r="A57" s="187">
        <v>5</v>
      </c>
      <c r="B57" s="315" t="s">
        <v>124</v>
      </c>
      <c r="C57" s="316"/>
      <c r="D57" s="316"/>
      <c r="E57" s="316"/>
      <c r="F57" s="317"/>
      <c r="G57" s="364" t="s">
        <v>626</v>
      </c>
      <c r="H57" s="316"/>
      <c r="I57" s="316"/>
      <c r="J57" s="316"/>
      <c r="K57" s="316"/>
      <c r="L57" s="317"/>
    </row>
    <row r="58" spans="1:19" ht="84.75" customHeight="1" x14ac:dyDescent="0.25">
      <c r="A58" s="188"/>
      <c r="B58" s="345"/>
      <c r="C58" s="346"/>
      <c r="D58" s="346"/>
      <c r="E58" s="346"/>
      <c r="F58" s="347"/>
      <c r="G58" s="318"/>
      <c r="H58" s="319"/>
      <c r="I58" s="319"/>
      <c r="J58" s="319"/>
      <c r="K58" s="319"/>
      <c r="L58" s="320"/>
    </row>
    <row r="59" spans="1:19" ht="15.75" customHeight="1" x14ac:dyDescent="0.25">
      <c r="A59" s="12">
        <v>6.1</v>
      </c>
      <c r="B59" s="203" t="s">
        <v>464</v>
      </c>
      <c r="C59" s="203"/>
      <c r="D59" s="203"/>
      <c r="E59" s="203"/>
      <c r="F59" s="203"/>
      <c r="G59" s="220" t="s">
        <v>619</v>
      </c>
      <c r="H59" s="220"/>
      <c r="I59" s="220"/>
      <c r="J59" s="220"/>
      <c r="K59" s="220"/>
      <c r="L59" s="220"/>
    </row>
    <row r="60" spans="1:19" ht="15.75" customHeight="1" x14ac:dyDescent="0.25">
      <c r="A60" s="12">
        <v>6.2</v>
      </c>
      <c r="B60" s="203" t="s">
        <v>509</v>
      </c>
      <c r="C60" s="203"/>
      <c r="D60" s="203"/>
      <c r="E60" s="203"/>
      <c r="F60" s="203"/>
      <c r="G60" s="205">
        <v>46752</v>
      </c>
      <c r="H60" s="220"/>
      <c r="I60" s="220"/>
      <c r="J60" s="220"/>
      <c r="K60" s="220"/>
      <c r="L60" s="220"/>
    </row>
    <row r="61" spans="1:19" ht="15.75" customHeight="1" x14ac:dyDescent="0.25">
      <c r="A61" s="349" t="s">
        <v>10</v>
      </c>
      <c r="B61" s="350"/>
      <c r="C61" s="350"/>
      <c r="D61" s="350"/>
      <c r="E61" s="350"/>
      <c r="F61" s="350"/>
      <c r="G61" s="350"/>
      <c r="H61" s="350"/>
      <c r="I61" s="350"/>
      <c r="J61" s="350"/>
      <c r="K61" s="350"/>
      <c r="L61" s="351"/>
    </row>
    <row r="62" spans="1:19" x14ac:dyDescent="0.25">
      <c r="A62" s="42" t="s">
        <v>465</v>
      </c>
      <c r="B62" s="336" t="s">
        <v>671</v>
      </c>
      <c r="C62" s="337"/>
      <c r="D62" s="337"/>
      <c r="E62" s="337"/>
      <c r="F62" s="338"/>
      <c r="G62" s="240">
        <v>472</v>
      </c>
      <c r="H62" s="241"/>
      <c r="I62" s="241"/>
      <c r="J62" s="241"/>
      <c r="K62" s="241"/>
      <c r="L62" s="242"/>
      <c r="O62" s="92" t="s">
        <v>510</v>
      </c>
      <c r="P62" s="92" t="s">
        <v>511</v>
      </c>
      <c r="Q62" s="92" t="s">
        <v>512</v>
      </c>
      <c r="R62" s="92" t="s">
        <v>395</v>
      </c>
      <c r="S62" s="92" t="s">
        <v>513</v>
      </c>
    </row>
    <row r="63" spans="1:19" x14ac:dyDescent="0.25">
      <c r="A63" s="42" t="s">
        <v>466</v>
      </c>
      <c r="B63" s="204" t="s">
        <v>393</v>
      </c>
      <c r="C63" s="204"/>
      <c r="D63" s="204"/>
      <c r="E63" s="204"/>
      <c r="F63" s="204"/>
      <c r="G63" s="203" t="s">
        <v>51</v>
      </c>
      <c r="H63" s="203"/>
      <c r="I63" s="203"/>
      <c r="J63" s="203"/>
      <c r="K63" s="203"/>
      <c r="L63" s="203"/>
      <c r="O63" s="92" t="s">
        <v>510</v>
      </c>
      <c r="P63" s="92" t="s">
        <v>514</v>
      </c>
      <c r="Q63" s="92" t="s">
        <v>515</v>
      </c>
      <c r="R63" s="92" t="s">
        <v>516</v>
      </c>
      <c r="S63" s="92" t="s">
        <v>517</v>
      </c>
    </row>
    <row r="64" spans="1:19" ht="14.45" x14ac:dyDescent="0.25">
      <c r="A64" s="42" t="s">
        <v>467</v>
      </c>
      <c r="B64" s="202" t="s">
        <v>396</v>
      </c>
      <c r="C64" s="202"/>
      <c r="D64" s="202"/>
      <c r="E64" s="202"/>
      <c r="F64" s="202"/>
      <c r="G64" s="203" t="s">
        <v>630</v>
      </c>
      <c r="H64" s="203"/>
      <c r="I64" s="203"/>
      <c r="J64" s="203"/>
      <c r="K64" s="203"/>
      <c r="L64" s="203"/>
      <c r="O64" s="92" t="s">
        <v>518</v>
      </c>
      <c r="P64" s="92" t="s">
        <v>519</v>
      </c>
      <c r="Q64" s="92" t="s">
        <v>520</v>
      </c>
      <c r="R64" s="92" t="s">
        <v>394</v>
      </c>
      <c r="S64" s="92" t="s">
        <v>521</v>
      </c>
    </row>
    <row r="65" spans="1:19" ht="14.45" x14ac:dyDescent="0.25">
      <c r="A65" s="42">
        <v>2</v>
      </c>
      <c r="B65" s="202" t="s">
        <v>397</v>
      </c>
      <c r="C65" s="202"/>
      <c r="D65" s="202"/>
      <c r="E65" s="202"/>
      <c r="F65" s="202"/>
      <c r="G65" s="203" t="s">
        <v>629</v>
      </c>
      <c r="H65" s="203"/>
      <c r="I65" s="203"/>
      <c r="J65" s="203"/>
      <c r="K65" s="203"/>
      <c r="L65" s="203"/>
      <c r="O65" s="92" t="s">
        <v>522</v>
      </c>
      <c r="P65" s="92" t="s">
        <v>523</v>
      </c>
      <c r="Q65" s="92" t="s">
        <v>524</v>
      </c>
      <c r="R65" s="92" t="s">
        <v>525</v>
      </c>
      <c r="S65" s="92" t="s">
        <v>526</v>
      </c>
    </row>
    <row r="66" spans="1:19" ht="14.45" x14ac:dyDescent="0.25">
      <c r="A66" s="42">
        <v>3</v>
      </c>
      <c r="B66" s="202" t="s">
        <v>125</v>
      </c>
      <c r="C66" s="202"/>
      <c r="D66" s="202"/>
      <c r="E66" s="202"/>
      <c r="F66" s="202"/>
      <c r="G66" s="203" t="s">
        <v>394</v>
      </c>
      <c r="H66" s="203"/>
      <c r="I66" s="203"/>
      <c r="J66" s="203"/>
      <c r="K66" s="203"/>
      <c r="L66" s="203"/>
      <c r="O66" s="92" t="s">
        <v>527</v>
      </c>
      <c r="P66" s="92" t="s">
        <v>528</v>
      </c>
      <c r="Q66" s="92" t="s">
        <v>512</v>
      </c>
      <c r="R66" s="92" t="s">
        <v>529</v>
      </c>
      <c r="S66" s="92" t="s">
        <v>530</v>
      </c>
    </row>
    <row r="67" spans="1:19" ht="14.45" x14ac:dyDescent="0.25">
      <c r="A67" s="42">
        <v>4</v>
      </c>
      <c r="B67" s="202" t="s">
        <v>127</v>
      </c>
      <c r="C67" s="202"/>
      <c r="D67" s="202"/>
      <c r="E67" s="202"/>
      <c r="F67" s="202"/>
      <c r="G67" s="220" t="s">
        <v>394</v>
      </c>
      <c r="H67" s="220"/>
      <c r="I67" s="220"/>
      <c r="J67" s="220"/>
      <c r="K67" s="220"/>
      <c r="L67" s="220"/>
      <c r="O67" s="92" t="s">
        <v>531</v>
      </c>
      <c r="P67" s="92" t="s">
        <v>511</v>
      </c>
      <c r="Q67" s="92"/>
      <c r="R67" s="92" t="s">
        <v>532</v>
      </c>
      <c r="S67" s="92" t="s">
        <v>533</v>
      </c>
    </row>
    <row r="68" spans="1:19" ht="14.45" x14ac:dyDescent="0.25">
      <c r="A68" s="42">
        <v>5</v>
      </c>
      <c r="B68" s="202" t="s">
        <v>126</v>
      </c>
      <c r="C68" s="202"/>
      <c r="D68" s="202"/>
      <c r="E68" s="202"/>
      <c r="F68" s="202"/>
      <c r="G68" s="220" t="s">
        <v>395</v>
      </c>
      <c r="H68" s="220"/>
      <c r="I68" s="220"/>
      <c r="J68" s="220"/>
      <c r="K68" s="220"/>
      <c r="L68" s="220"/>
      <c r="O68" s="92" t="s">
        <v>534</v>
      </c>
      <c r="P68" s="92" t="s">
        <v>535</v>
      </c>
      <c r="Q68" s="92"/>
      <c r="R68" s="92" t="s">
        <v>536</v>
      </c>
      <c r="S68" s="92" t="s">
        <v>537</v>
      </c>
    </row>
    <row r="69" spans="1:19" ht="14.45" x14ac:dyDescent="0.25">
      <c r="A69" s="42">
        <v>6</v>
      </c>
      <c r="B69" s="202" t="s">
        <v>398</v>
      </c>
      <c r="C69" s="202"/>
      <c r="D69" s="202"/>
      <c r="E69" s="202"/>
      <c r="F69" s="202"/>
      <c r="G69" s="203">
        <v>410206</v>
      </c>
      <c r="H69" s="203"/>
      <c r="I69" s="203"/>
      <c r="J69" s="203"/>
      <c r="K69" s="203"/>
      <c r="L69" s="203"/>
      <c r="O69" s="92" t="s">
        <v>538</v>
      </c>
      <c r="P69" s="92" t="s">
        <v>539</v>
      </c>
      <c r="Q69" s="92"/>
      <c r="R69" s="92" t="s">
        <v>540</v>
      </c>
      <c r="S69" s="92" t="s">
        <v>541</v>
      </c>
    </row>
    <row r="70" spans="1:19" ht="34.5" customHeight="1" x14ac:dyDescent="0.25">
      <c r="A70" s="42">
        <v>7</v>
      </c>
      <c r="B70" s="204" t="s">
        <v>128</v>
      </c>
      <c r="C70" s="204"/>
      <c r="D70" s="204"/>
      <c r="E70" s="204"/>
      <c r="F70" s="204"/>
      <c r="G70" s="220" t="str">
        <f>CONCATENATE((IF(OR(G49="",G49="NA"),"",G49)),", ",(IF(OR(B62="",B62="NA"),"",B62)),".",(IF(OR(G62="",G62="NA"),"",G62)),", near ",(IF(OR(G64="",G64="NA"),"",G64)),", ",(IF(OR(G65="",G65="NA"),"",G65)),", ",(IF(OR(G66="",G66="NA"),"",G66)),", ",(IF(OR(G71="",G71="NA"),"",G71)),", ",(IF(OR(G67="",G67="NA"),"",G67)),", ",(IF(OR(G68="",G68="NA"),"",G68))," - ",(IF(OR(G69="",G69="NA"),"",G69)),".")</f>
        <v>Neelkanth Complex, Survey No.472, near La Riveria lakhani Apartment complex, Market Yard Road, Panvel, Panvel, Panvel, Raigad - 410206.</v>
      </c>
      <c r="H70" s="220"/>
      <c r="I70" s="220"/>
      <c r="J70" s="220"/>
      <c r="K70" s="220"/>
      <c r="L70" s="220"/>
      <c r="O70" s="92"/>
      <c r="P70" s="92"/>
      <c r="Q70" s="92"/>
      <c r="R70" s="92" t="s">
        <v>542</v>
      </c>
      <c r="S70" s="92" t="s">
        <v>543</v>
      </c>
    </row>
    <row r="71" spans="1:19" x14ac:dyDescent="0.25">
      <c r="A71" s="187">
        <v>8</v>
      </c>
      <c r="B71" s="204" t="s">
        <v>129</v>
      </c>
      <c r="C71" s="204"/>
      <c r="D71" s="204"/>
      <c r="E71" s="204"/>
      <c r="F71" s="204"/>
      <c r="G71" s="220" t="s">
        <v>394</v>
      </c>
      <c r="H71" s="220"/>
      <c r="I71" s="220"/>
      <c r="J71" s="220"/>
      <c r="K71" s="220"/>
      <c r="L71" s="220"/>
      <c r="O71" s="92"/>
      <c r="P71" s="92"/>
      <c r="Q71" s="92"/>
      <c r="R71" s="92" t="s">
        <v>544</v>
      </c>
      <c r="S71" s="92" t="s">
        <v>545</v>
      </c>
    </row>
    <row r="72" spans="1:19" x14ac:dyDescent="0.25">
      <c r="A72" s="188"/>
      <c r="B72" s="204" t="s">
        <v>130</v>
      </c>
      <c r="C72" s="204"/>
      <c r="D72" s="204"/>
      <c r="E72" s="204"/>
      <c r="F72" s="204"/>
      <c r="G72" s="220" t="s">
        <v>53</v>
      </c>
      <c r="H72" s="220"/>
      <c r="I72" s="220"/>
      <c r="J72" s="220"/>
      <c r="K72" s="220"/>
      <c r="L72" s="220"/>
      <c r="O72" s="92"/>
      <c r="P72" s="92"/>
      <c r="Q72" s="92"/>
      <c r="R72" s="92" t="s">
        <v>546</v>
      </c>
      <c r="S72" s="92" t="s">
        <v>547</v>
      </c>
    </row>
    <row r="73" spans="1:19" x14ac:dyDescent="0.25">
      <c r="A73" s="188"/>
      <c r="B73" s="204" t="s">
        <v>131</v>
      </c>
      <c r="C73" s="204"/>
      <c r="D73" s="204"/>
      <c r="E73" s="204"/>
      <c r="F73" s="204"/>
      <c r="G73" s="220" t="s">
        <v>53</v>
      </c>
      <c r="H73" s="220"/>
      <c r="I73" s="220"/>
      <c r="J73" s="220"/>
      <c r="K73" s="220"/>
      <c r="L73" s="220"/>
      <c r="O73" s="92"/>
      <c r="P73" s="92"/>
      <c r="Q73" s="92"/>
      <c r="R73" s="92" t="s">
        <v>548</v>
      </c>
      <c r="S73" s="92" t="s">
        <v>549</v>
      </c>
    </row>
    <row r="74" spans="1:19" x14ac:dyDescent="0.25">
      <c r="A74" s="189"/>
      <c r="B74" s="204" t="s">
        <v>132</v>
      </c>
      <c r="C74" s="204"/>
      <c r="D74" s="204"/>
      <c r="E74" s="204"/>
      <c r="F74" s="204"/>
      <c r="G74" s="220" t="s">
        <v>54</v>
      </c>
      <c r="H74" s="220"/>
      <c r="I74" s="220"/>
      <c r="J74" s="220"/>
      <c r="K74" s="220"/>
      <c r="L74" s="220"/>
      <c r="O74" s="92"/>
      <c r="P74" s="92"/>
      <c r="Q74" s="92"/>
      <c r="R74" s="92" t="s">
        <v>550</v>
      </c>
      <c r="S74" s="92" t="s">
        <v>551</v>
      </c>
    </row>
    <row r="75" spans="1:19" x14ac:dyDescent="0.25">
      <c r="A75" s="187">
        <v>9</v>
      </c>
      <c r="B75" s="352" t="s">
        <v>133</v>
      </c>
      <c r="C75" s="353"/>
      <c r="D75" s="353"/>
      <c r="E75" s="353"/>
      <c r="F75" s="353"/>
      <c r="G75" s="353"/>
      <c r="H75" s="353"/>
      <c r="I75" s="353"/>
      <c r="J75" s="353"/>
      <c r="K75" s="353"/>
      <c r="L75" s="354"/>
      <c r="O75" s="92"/>
      <c r="P75" s="92"/>
      <c r="Q75" s="92"/>
      <c r="R75" s="92" t="s">
        <v>552</v>
      </c>
      <c r="S75" s="92" t="s">
        <v>553</v>
      </c>
    </row>
    <row r="76" spans="1:19" x14ac:dyDescent="0.25">
      <c r="A76" s="188"/>
      <c r="B76" s="202" t="s">
        <v>134</v>
      </c>
      <c r="C76" s="202"/>
      <c r="D76" s="202"/>
      <c r="E76" s="202"/>
      <c r="F76" s="202"/>
      <c r="G76" s="220" t="str">
        <f>IF(AND(G68="Mumbai"),"Upper Class","Middle Class")</f>
        <v>Middle Class</v>
      </c>
      <c r="H76" s="220"/>
      <c r="I76" s="220"/>
      <c r="J76" s="220"/>
      <c r="K76" s="220"/>
      <c r="L76" s="220"/>
      <c r="O76" s="92"/>
      <c r="P76" s="92"/>
      <c r="Q76" s="92"/>
      <c r="R76" s="92" t="s">
        <v>554</v>
      </c>
      <c r="S76" s="92" t="s">
        <v>555</v>
      </c>
    </row>
    <row r="77" spans="1:19" x14ac:dyDescent="0.25">
      <c r="A77" s="189"/>
      <c r="B77" s="202" t="s">
        <v>135</v>
      </c>
      <c r="C77" s="202"/>
      <c r="D77" s="202"/>
      <c r="E77" s="202"/>
      <c r="F77" s="202"/>
      <c r="G77" s="220" t="s">
        <v>620</v>
      </c>
      <c r="H77" s="220"/>
      <c r="I77" s="220"/>
      <c r="J77" s="220"/>
      <c r="K77" s="220"/>
      <c r="L77" s="220"/>
    </row>
    <row r="78" spans="1:19" ht="33.75" customHeight="1" x14ac:dyDescent="0.3">
      <c r="A78" s="42">
        <v>10</v>
      </c>
      <c r="B78" s="203" t="s">
        <v>136</v>
      </c>
      <c r="C78" s="202"/>
      <c r="D78" s="202"/>
      <c r="E78" s="202"/>
      <c r="F78" s="202"/>
      <c r="G78" s="220" t="s">
        <v>558</v>
      </c>
      <c r="H78" s="220"/>
      <c r="I78" s="220"/>
      <c r="J78" s="220"/>
      <c r="K78" s="220"/>
      <c r="L78" s="220"/>
      <c r="O78" s="1" t="s">
        <v>512</v>
      </c>
      <c r="P78" s="1" t="s">
        <v>510</v>
      </c>
      <c r="Q78" s="1" t="s">
        <v>395</v>
      </c>
      <c r="R78" s="1" t="s">
        <v>511</v>
      </c>
    </row>
    <row r="79" spans="1:19" ht="63" customHeight="1" x14ac:dyDescent="0.3">
      <c r="A79" s="42">
        <v>11</v>
      </c>
      <c r="B79" s="203" t="s">
        <v>399</v>
      </c>
      <c r="C79" s="202"/>
      <c r="D79" s="202"/>
      <c r="E79" s="202"/>
      <c r="F79" s="202"/>
      <c r="G79" s="220" t="s">
        <v>54</v>
      </c>
      <c r="H79" s="220"/>
      <c r="I79" s="220"/>
      <c r="J79" s="220"/>
      <c r="K79" s="220"/>
      <c r="L79" s="220"/>
      <c r="O79" s="1" t="s">
        <v>556</v>
      </c>
      <c r="P79" s="1" t="s">
        <v>557</v>
      </c>
      <c r="Q79" s="1" t="s">
        <v>558</v>
      </c>
      <c r="R79" s="1" t="s">
        <v>559</v>
      </c>
    </row>
    <row r="80" spans="1:19" ht="29.45" customHeight="1" x14ac:dyDescent="0.3">
      <c r="A80" s="42">
        <v>12</v>
      </c>
      <c r="B80" s="203" t="s">
        <v>400</v>
      </c>
      <c r="C80" s="202"/>
      <c r="D80" s="202"/>
      <c r="E80" s="202"/>
      <c r="F80" s="202"/>
      <c r="G80" s="220" t="s">
        <v>51</v>
      </c>
      <c r="H80" s="220"/>
      <c r="I80" s="220"/>
      <c r="J80" s="220"/>
      <c r="K80" s="220"/>
      <c r="L80" s="220"/>
      <c r="O80" s="1" t="s">
        <v>560</v>
      </c>
      <c r="P80" s="1" t="s">
        <v>561</v>
      </c>
      <c r="Q80" s="1" t="s">
        <v>562</v>
      </c>
      <c r="R80" s="1" t="s">
        <v>563</v>
      </c>
    </row>
    <row r="81" spans="1:18" ht="14.45" x14ac:dyDescent="0.3">
      <c r="A81" s="20">
        <v>13</v>
      </c>
      <c r="B81" s="202" t="s">
        <v>137</v>
      </c>
      <c r="C81" s="202"/>
      <c r="D81" s="202"/>
      <c r="E81" s="202"/>
      <c r="F81" s="202"/>
      <c r="G81" s="202"/>
      <c r="H81" s="202"/>
      <c r="I81" s="202"/>
      <c r="J81" s="202"/>
      <c r="K81" s="202"/>
      <c r="L81" s="202"/>
      <c r="O81" s="1" t="s">
        <v>564</v>
      </c>
      <c r="P81" s="1" t="s">
        <v>565</v>
      </c>
      <c r="Q81" s="1" t="s">
        <v>566</v>
      </c>
      <c r="R81" s="1" t="s">
        <v>567</v>
      </c>
    </row>
    <row r="82" spans="1:18" ht="15.6" x14ac:dyDescent="0.3">
      <c r="A82" s="279"/>
      <c r="B82" s="280"/>
      <c r="C82" s="280"/>
      <c r="D82" s="281"/>
      <c r="E82" s="295" t="s">
        <v>49</v>
      </c>
      <c r="F82" s="295"/>
      <c r="G82" s="161" t="s">
        <v>50</v>
      </c>
      <c r="H82" s="162"/>
      <c r="I82" s="161" t="s">
        <v>47</v>
      </c>
      <c r="J82" s="162"/>
      <c r="K82" s="295" t="s">
        <v>48</v>
      </c>
      <c r="L82" s="295"/>
      <c r="O82" s="1" t="s">
        <v>568</v>
      </c>
      <c r="P82" s="1" t="s">
        <v>569</v>
      </c>
      <c r="Q82" s="1" t="s">
        <v>570</v>
      </c>
      <c r="R82" s="93"/>
    </row>
    <row r="83" spans="1:18" ht="14.45" x14ac:dyDescent="0.3">
      <c r="A83" s="161" t="s">
        <v>138</v>
      </c>
      <c r="B83" s="223"/>
      <c r="C83" s="223"/>
      <c r="D83" s="162"/>
      <c r="E83" s="294" t="s">
        <v>633</v>
      </c>
      <c r="F83" s="294"/>
      <c r="G83" s="294" t="s">
        <v>634</v>
      </c>
      <c r="H83" s="294"/>
      <c r="I83" s="294" t="s">
        <v>631</v>
      </c>
      <c r="J83" s="294"/>
      <c r="K83" s="294" t="s">
        <v>632</v>
      </c>
      <c r="L83" s="294"/>
      <c r="O83" s="1" t="s">
        <v>564</v>
      </c>
      <c r="P83" s="1" t="s">
        <v>565</v>
      </c>
      <c r="Q83" s="1" t="s">
        <v>566</v>
      </c>
      <c r="R83" s="1" t="s">
        <v>567</v>
      </c>
    </row>
    <row r="84" spans="1:18" ht="15.6" x14ac:dyDescent="0.3">
      <c r="A84" s="161" t="s">
        <v>139</v>
      </c>
      <c r="B84" s="223" t="s">
        <v>47</v>
      </c>
      <c r="C84" s="223"/>
      <c r="D84" s="162"/>
      <c r="E84" s="294" t="s">
        <v>636</v>
      </c>
      <c r="F84" s="294"/>
      <c r="G84" s="294" t="s">
        <v>637</v>
      </c>
      <c r="H84" s="294"/>
      <c r="I84" s="294" t="s">
        <v>635</v>
      </c>
      <c r="J84" s="294"/>
      <c r="K84" s="294" t="s">
        <v>636</v>
      </c>
      <c r="L84" s="294"/>
      <c r="O84" s="1" t="s">
        <v>566</v>
      </c>
      <c r="P84" s="1" t="s">
        <v>571</v>
      </c>
      <c r="Q84" s="1" t="s">
        <v>572</v>
      </c>
      <c r="R84" s="94"/>
    </row>
    <row r="85" spans="1:18" ht="15.6" x14ac:dyDescent="0.3">
      <c r="A85" s="161" t="s">
        <v>140</v>
      </c>
      <c r="B85" s="223" t="s">
        <v>48</v>
      </c>
      <c r="C85" s="223"/>
      <c r="D85" s="162"/>
      <c r="E85" s="294" t="s">
        <v>636</v>
      </c>
      <c r="F85" s="294"/>
      <c r="G85" s="294" t="s">
        <v>638</v>
      </c>
      <c r="H85" s="294"/>
      <c r="I85" s="294" t="s">
        <v>638</v>
      </c>
      <c r="J85" s="294"/>
      <c r="K85" s="294" t="s">
        <v>636</v>
      </c>
      <c r="L85" s="294"/>
      <c r="O85" s="94"/>
      <c r="P85" s="1" t="s">
        <v>573</v>
      </c>
      <c r="Q85" s="1" t="s">
        <v>574</v>
      </c>
      <c r="R85" s="94"/>
    </row>
    <row r="86" spans="1:18" ht="15.75" x14ac:dyDescent="0.25">
      <c r="A86" s="187">
        <v>14.1</v>
      </c>
      <c r="B86" s="202" t="s">
        <v>141</v>
      </c>
      <c r="C86" s="202"/>
      <c r="D86" s="202"/>
      <c r="E86" s="202"/>
      <c r="F86" s="202"/>
      <c r="G86" s="290" t="s">
        <v>142</v>
      </c>
      <c r="H86" s="290"/>
      <c r="I86" s="290"/>
      <c r="J86" s="237" t="s">
        <v>143</v>
      </c>
      <c r="K86" s="238"/>
      <c r="L86" s="239"/>
      <c r="O86" s="94"/>
      <c r="P86" s="1" t="s">
        <v>575</v>
      </c>
      <c r="Q86" s="1" t="s">
        <v>576</v>
      </c>
      <c r="R86" s="94"/>
    </row>
    <row r="87" spans="1:18" ht="15.75" x14ac:dyDescent="0.25">
      <c r="A87" s="188"/>
      <c r="B87" s="202" t="s">
        <v>49</v>
      </c>
      <c r="C87" s="202"/>
      <c r="D87" s="202"/>
      <c r="E87" s="202"/>
      <c r="F87" s="202"/>
      <c r="G87" s="290" t="s">
        <v>170</v>
      </c>
      <c r="H87" s="290"/>
      <c r="I87" s="290"/>
      <c r="J87" s="237" t="s">
        <v>170</v>
      </c>
      <c r="K87" s="238"/>
      <c r="L87" s="239"/>
      <c r="O87" s="94"/>
      <c r="P87" s="1" t="s">
        <v>577</v>
      </c>
      <c r="Q87" s="94" t="s">
        <v>578</v>
      </c>
      <c r="R87" s="94"/>
    </row>
    <row r="88" spans="1:18" ht="15.75" x14ac:dyDescent="0.25">
      <c r="A88" s="188"/>
      <c r="B88" s="202" t="s">
        <v>50</v>
      </c>
      <c r="C88" s="202"/>
      <c r="D88" s="202"/>
      <c r="E88" s="202"/>
      <c r="F88" s="202"/>
      <c r="G88" s="290" t="s">
        <v>170</v>
      </c>
      <c r="H88" s="290"/>
      <c r="I88" s="290"/>
      <c r="J88" s="237" t="s">
        <v>170</v>
      </c>
      <c r="K88" s="238"/>
      <c r="L88" s="239"/>
      <c r="O88" s="94"/>
      <c r="P88" s="1" t="s">
        <v>579</v>
      </c>
      <c r="Q88" s="94"/>
      <c r="R88" s="94"/>
    </row>
    <row r="89" spans="1:18" ht="15.75" x14ac:dyDescent="0.25">
      <c r="A89" s="188"/>
      <c r="B89" s="203" t="s">
        <v>47</v>
      </c>
      <c r="C89" s="202"/>
      <c r="D89" s="202"/>
      <c r="E89" s="202"/>
      <c r="F89" s="202"/>
      <c r="G89" s="290" t="s">
        <v>170</v>
      </c>
      <c r="H89" s="290"/>
      <c r="I89" s="290"/>
      <c r="J89" s="237" t="s">
        <v>170</v>
      </c>
      <c r="K89" s="238"/>
      <c r="L89" s="239"/>
      <c r="O89" s="94"/>
      <c r="P89" s="1" t="s">
        <v>580</v>
      </c>
      <c r="Q89" s="94"/>
      <c r="R89" s="94"/>
    </row>
    <row r="90" spans="1:18" ht="15.75" x14ac:dyDescent="0.25">
      <c r="A90" s="189"/>
      <c r="B90" s="203" t="s">
        <v>48</v>
      </c>
      <c r="C90" s="202"/>
      <c r="D90" s="202"/>
      <c r="E90" s="202"/>
      <c r="F90" s="202"/>
      <c r="G90" s="290" t="s">
        <v>170</v>
      </c>
      <c r="H90" s="290"/>
      <c r="I90" s="290"/>
      <c r="J90" s="237" t="s">
        <v>170</v>
      </c>
      <c r="K90" s="238"/>
      <c r="L90" s="239"/>
      <c r="O90" s="94"/>
      <c r="P90" s="1" t="s">
        <v>581</v>
      </c>
      <c r="Q90" s="94"/>
      <c r="R90" s="94"/>
    </row>
    <row r="91" spans="1:18" ht="13.9" x14ac:dyDescent="0.25">
      <c r="A91" s="42">
        <v>14.2</v>
      </c>
      <c r="B91" s="203" t="s">
        <v>582</v>
      </c>
      <c r="C91" s="203"/>
      <c r="D91" s="203"/>
      <c r="E91" s="203"/>
      <c r="F91" s="203"/>
      <c r="G91" s="220" t="s">
        <v>628</v>
      </c>
      <c r="H91" s="220"/>
      <c r="I91" s="220"/>
      <c r="J91" s="220"/>
      <c r="K91" s="220"/>
      <c r="L91" s="220"/>
    </row>
    <row r="92" spans="1:18" ht="13.9" x14ac:dyDescent="0.25">
      <c r="A92" s="42">
        <v>14.3</v>
      </c>
      <c r="B92" s="203" t="s">
        <v>401</v>
      </c>
      <c r="C92" s="203"/>
      <c r="D92" s="203"/>
      <c r="E92" s="203"/>
      <c r="F92" s="203"/>
      <c r="G92" s="342" t="s">
        <v>627</v>
      </c>
      <c r="H92" s="343"/>
      <c r="I92" s="343"/>
      <c r="J92" s="343"/>
      <c r="K92" s="343"/>
      <c r="L92" s="343"/>
    </row>
    <row r="93" spans="1:18" ht="13.9" customHeight="1" x14ac:dyDescent="0.25">
      <c r="A93" s="187">
        <v>15</v>
      </c>
      <c r="B93" s="190" t="s">
        <v>144</v>
      </c>
      <c r="C93" s="191"/>
      <c r="D93" s="191"/>
      <c r="E93" s="191"/>
      <c r="F93" s="192"/>
      <c r="G93" s="291" t="s">
        <v>591</v>
      </c>
      <c r="H93" s="292"/>
      <c r="I93" s="293"/>
      <c r="J93" s="279" t="s">
        <v>639</v>
      </c>
      <c r="K93" s="280"/>
      <c r="L93" s="281"/>
    </row>
    <row r="94" spans="1:18" x14ac:dyDescent="0.25">
      <c r="A94" s="189"/>
      <c r="B94" s="196"/>
      <c r="C94" s="197"/>
      <c r="D94" s="197"/>
      <c r="E94" s="197"/>
      <c r="F94" s="198"/>
      <c r="G94" s="291" t="s">
        <v>590</v>
      </c>
      <c r="H94" s="292"/>
      <c r="I94" s="293"/>
      <c r="J94" s="279" t="s">
        <v>639</v>
      </c>
      <c r="K94" s="280"/>
      <c r="L94" s="281"/>
    </row>
    <row r="95" spans="1:18" ht="13.9" customHeight="1" x14ac:dyDescent="0.25">
      <c r="A95" s="187">
        <v>16</v>
      </c>
      <c r="B95" s="190" t="s">
        <v>402</v>
      </c>
      <c r="C95" s="191"/>
      <c r="D95" s="191"/>
      <c r="E95" s="191"/>
      <c r="F95" s="192"/>
      <c r="G95" s="291" t="s">
        <v>591</v>
      </c>
      <c r="H95" s="292"/>
      <c r="I95" s="293"/>
      <c r="J95" s="279" t="s">
        <v>639</v>
      </c>
      <c r="K95" s="280"/>
      <c r="L95" s="281"/>
    </row>
    <row r="96" spans="1:18" ht="13.9" customHeight="1" x14ac:dyDescent="0.25">
      <c r="A96" s="189"/>
      <c r="B96" s="196"/>
      <c r="C96" s="197"/>
      <c r="D96" s="197"/>
      <c r="E96" s="197"/>
      <c r="F96" s="198"/>
      <c r="G96" s="291" t="s">
        <v>590</v>
      </c>
      <c r="H96" s="292"/>
      <c r="I96" s="293"/>
      <c r="J96" s="279" t="s">
        <v>639</v>
      </c>
      <c r="K96" s="280"/>
      <c r="L96" s="281"/>
    </row>
    <row r="97" spans="1:12" ht="46.5" customHeight="1" x14ac:dyDescent="0.25">
      <c r="A97" s="42">
        <v>17</v>
      </c>
      <c r="B97" s="203" t="s">
        <v>145</v>
      </c>
      <c r="C97" s="203"/>
      <c r="D97" s="203"/>
      <c r="E97" s="203"/>
      <c r="F97" s="203"/>
      <c r="G97" s="220" t="s">
        <v>207</v>
      </c>
      <c r="H97" s="220"/>
      <c r="I97" s="220"/>
      <c r="J97" s="220"/>
      <c r="K97" s="220"/>
      <c r="L97" s="220"/>
    </row>
    <row r="98" spans="1:12" ht="13.9" x14ac:dyDescent="0.25">
      <c r="A98" s="184" t="s">
        <v>445</v>
      </c>
      <c r="B98" s="185"/>
      <c r="C98" s="185"/>
      <c r="D98" s="185"/>
      <c r="E98" s="185"/>
      <c r="F98" s="185"/>
      <c r="G98" s="185"/>
      <c r="H98" s="185"/>
      <c r="I98" s="185"/>
      <c r="J98" s="185"/>
      <c r="K98" s="185"/>
      <c r="L98" s="186"/>
    </row>
    <row r="99" spans="1:12" s="37" customFormat="1" ht="14.45" x14ac:dyDescent="0.3">
      <c r="A99" s="20">
        <v>1</v>
      </c>
      <c r="B99" s="203" t="s">
        <v>403</v>
      </c>
      <c r="C99" s="203"/>
      <c r="D99" s="203"/>
      <c r="E99" s="203"/>
      <c r="F99" s="203"/>
      <c r="G99" s="217" t="str">
        <f>G76</f>
        <v>Middle Class</v>
      </c>
      <c r="H99" s="218"/>
      <c r="I99" s="218"/>
      <c r="J99" s="218"/>
      <c r="K99" s="218"/>
      <c r="L99" s="219"/>
    </row>
    <row r="100" spans="1:12" customFormat="1" ht="14.45" x14ac:dyDescent="0.3">
      <c r="A100" s="20">
        <v>2</v>
      </c>
      <c r="B100" s="203" t="s">
        <v>404</v>
      </c>
      <c r="C100" s="203"/>
      <c r="D100" s="203"/>
      <c r="E100" s="203"/>
      <c r="F100" s="203"/>
      <c r="G100" s="352" t="s">
        <v>63</v>
      </c>
      <c r="H100" s="353"/>
      <c r="I100" s="353"/>
      <c r="J100" s="353"/>
      <c r="K100" s="353"/>
      <c r="L100" s="354"/>
    </row>
    <row r="101" spans="1:12" customFormat="1" ht="32.25" customHeight="1" x14ac:dyDescent="0.3">
      <c r="A101" s="41">
        <v>3</v>
      </c>
      <c r="B101" s="203" t="s">
        <v>405</v>
      </c>
      <c r="C101" s="203"/>
      <c r="D101" s="203"/>
      <c r="E101" s="203"/>
      <c r="F101" s="203"/>
      <c r="G101" s="336" t="s">
        <v>54</v>
      </c>
      <c r="H101" s="337"/>
      <c r="I101" s="337"/>
      <c r="J101" s="337"/>
      <c r="K101" s="337"/>
      <c r="L101" s="338"/>
    </row>
    <row r="102" spans="1:12" customFormat="1" ht="45.75" customHeight="1" x14ac:dyDescent="0.25">
      <c r="A102" s="187">
        <v>4</v>
      </c>
      <c r="B102" s="190" t="s">
        <v>146</v>
      </c>
      <c r="C102" s="191"/>
      <c r="D102" s="191"/>
      <c r="E102" s="191"/>
      <c r="F102" s="192"/>
      <c r="G102" s="339" t="s">
        <v>640</v>
      </c>
      <c r="H102" s="340"/>
      <c r="I102" s="340"/>
      <c r="J102" s="340"/>
      <c r="K102" s="340"/>
      <c r="L102" s="341"/>
    </row>
    <row r="103" spans="1:12" customFormat="1" ht="44.65" customHeight="1" x14ac:dyDescent="0.25">
      <c r="A103" s="188"/>
      <c r="B103" s="193"/>
      <c r="C103" s="194"/>
      <c r="D103" s="194"/>
      <c r="E103" s="194"/>
      <c r="F103" s="195"/>
      <c r="G103" s="205" t="s">
        <v>641</v>
      </c>
      <c r="H103" s="205"/>
      <c r="I103" s="205"/>
      <c r="J103" s="205"/>
      <c r="K103" s="205"/>
      <c r="L103" s="205"/>
    </row>
    <row r="104" spans="1:12" customFormat="1" ht="48.75" customHeight="1" x14ac:dyDescent="0.25">
      <c r="A104" s="188"/>
      <c r="B104" s="193"/>
      <c r="C104" s="194"/>
      <c r="D104" s="194"/>
      <c r="E104" s="194"/>
      <c r="F104" s="195"/>
      <c r="G104" s="205" t="s">
        <v>642</v>
      </c>
      <c r="H104" s="205"/>
      <c r="I104" s="205"/>
      <c r="J104" s="205"/>
      <c r="K104" s="205"/>
      <c r="L104" s="205"/>
    </row>
    <row r="105" spans="1:12" customFormat="1" ht="31.15" customHeight="1" x14ac:dyDescent="0.25">
      <c r="A105" s="189"/>
      <c r="B105" s="196"/>
      <c r="C105" s="197"/>
      <c r="D105" s="197"/>
      <c r="E105" s="197"/>
      <c r="F105" s="198"/>
      <c r="G105" s="205" t="s">
        <v>643</v>
      </c>
      <c r="H105" s="205"/>
      <c r="I105" s="205"/>
      <c r="J105" s="205"/>
      <c r="K105" s="205"/>
      <c r="L105" s="205"/>
    </row>
    <row r="106" spans="1:12" customFormat="1" ht="15" customHeight="1" x14ac:dyDescent="0.3">
      <c r="A106" s="41">
        <v>5</v>
      </c>
      <c r="B106" s="203" t="s">
        <v>415</v>
      </c>
      <c r="C106" s="203"/>
      <c r="D106" s="203"/>
      <c r="E106" s="203"/>
      <c r="F106" s="203"/>
      <c r="G106" s="204" t="s">
        <v>157</v>
      </c>
      <c r="H106" s="204"/>
      <c r="I106" s="204"/>
      <c r="J106" s="204"/>
      <c r="K106" s="204"/>
      <c r="L106" s="204"/>
    </row>
    <row r="107" spans="1:12" customFormat="1" ht="14.45" x14ac:dyDescent="0.3">
      <c r="A107" s="41">
        <v>6</v>
      </c>
      <c r="B107" s="203" t="s">
        <v>416</v>
      </c>
      <c r="C107" s="203"/>
      <c r="D107" s="203"/>
      <c r="E107" s="203"/>
      <c r="F107" s="203"/>
      <c r="G107" s="204" t="s">
        <v>158</v>
      </c>
      <c r="H107" s="204"/>
      <c r="I107" s="204"/>
      <c r="J107" s="204"/>
      <c r="K107" s="204"/>
      <c r="L107" s="204"/>
    </row>
    <row r="108" spans="1:12" customFormat="1" ht="14.45" x14ac:dyDescent="0.3">
      <c r="A108" s="41">
        <v>7</v>
      </c>
      <c r="B108" s="203" t="s">
        <v>417</v>
      </c>
      <c r="C108" s="203"/>
      <c r="D108" s="203"/>
      <c r="E108" s="203"/>
      <c r="F108" s="203"/>
      <c r="G108" s="204" t="str">
        <f>IF(AND(ISNUMBER(SEARCH("Flat",G194)),ISNUMBER(SEARCH("Shop",G194)),ISNUMBER(SEARCH("Office",G194))),"Residential + Commercial",IF(AND(ISNUMBER(SEARCH("Flat",G194)),ISNUMBER(SEARCH("Shop",G194))),"Residential + Commercial",IF(AND(ISNUMBER(SEARCH("Flat",G194)),ISNUMBER(SEARCH("Office",G194))),"Residential + Commercial",IF(AND(ISNUMBER(SEARCH("Shop",G194)),ISNUMBER(SEARCH("Office",G194))),"Commercial",IF(ISNUMBER(SEARCH("Shop",G194)),"Commercial",IF(ISNUMBER(SEARCH("Office",G194)),"Commercial",IF(ISNUMBER(SEARCH("Flat",G194)),"Residential")))))))</f>
        <v>Residential + Commercial</v>
      </c>
      <c r="H108" s="204"/>
      <c r="I108" s="204"/>
      <c r="J108" s="204"/>
      <c r="K108" s="204"/>
      <c r="L108" s="204"/>
    </row>
    <row r="109" spans="1:12" customFormat="1" ht="14.45" x14ac:dyDescent="0.3">
      <c r="A109" s="41">
        <v>8</v>
      </c>
      <c r="B109" s="203" t="s">
        <v>418</v>
      </c>
      <c r="C109" s="203"/>
      <c r="D109" s="203"/>
      <c r="E109" s="203"/>
      <c r="F109" s="203"/>
      <c r="G109" s="204" t="str">
        <f>G108</f>
        <v>Residential + Commercial</v>
      </c>
      <c r="H109" s="204"/>
      <c r="I109" s="204"/>
      <c r="J109" s="204"/>
      <c r="K109" s="204"/>
      <c r="L109" s="204"/>
    </row>
    <row r="110" spans="1:12" customFormat="1" ht="14.45" x14ac:dyDescent="0.3">
      <c r="A110" s="41">
        <v>9</v>
      </c>
      <c r="B110" s="203" t="s">
        <v>414</v>
      </c>
      <c r="C110" s="203"/>
      <c r="D110" s="203"/>
      <c r="E110" s="203"/>
      <c r="F110" s="203"/>
      <c r="G110" s="204" t="s">
        <v>53</v>
      </c>
      <c r="H110" s="204"/>
      <c r="I110" s="204"/>
      <c r="J110" s="204"/>
      <c r="K110" s="204"/>
      <c r="L110" s="204"/>
    </row>
    <row r="111" spans="1:12" customFormat="1" ht="14.45" x14ac:dyDescent="0.3">
      <c r="A111" s="41">
        <v>10</v>
      </c>
      <c r="B111" s="203" t="s">
        <v>147</v>
      </c>
      <c r="C111" s="203"/>
      <c r="D111" s="203"/>
      <c r="E111" s="203"/>
      <c r="F111" s="203"/>
      <c r="G111" s="204" t="s">
        <v>663</v>
      </c>
      <c r="H111" s="204"/>
      <c r="I111" s="204"/>
      <c r="J111" s="204"/>
      <c r="K111" s="204"/>
      <c r="L111" s="204"/>
    </row>
    <row r="112" spans="1:12" customFormat="1" ht="14.45" x14ac:dyDescent="0.3">
      <c r="A112" s="41">
        <v>11</v>
      </c>
      <c r="B112" s="203" t="s">
        <v>148</v>
      </c>
      <c r="C112" s="203"/>
      <c r="D112" s="203"/>
      <c r="E112" s="203"/>
      <c r="F112" s="203"/>
      <c r="G112" s="204" t="s">
        <v>53</v>
      </c>
      <c r="H112" s="204"/>
      <c r="I112" s="204"/>
      <c r="J112" s="204"/>
      <c r="K112" s="204"/>
      <c r="L112" s="204"/>
    </row>
    <row r="113" spans="1:12" customFormat="1" ht="14.45" x14ac:dyDescent="0.3">
      <c r="A113" s="41">
        <v>12</v>
      </c>
      <c r="B113" s="203" t="s">
        <v>149</v>
      </c>
      <c r="C113" s="203"/>
      <c r="D113" s="203"/>
      <c r="E113" s="203"/>
      <c r="F113" s="203"/>
      <c r="G113" s="204" t="s">
        <v>583</v>
      </c>
      <c r="H113" s="204"/>
      <c r="I113" s="204"/>
      <c r="J113" s="204"/>
      <c r="K113" s="204"/>
      <c r="L113" s="204"/>
    </row>
    <row r="114" spans="1:12" customFormat="1" ht="30" customHeight="1" x14ac:dyDescent="0.25">
      <c r="A114" s="41">
        <v>13</v>
      </c>
      <c r="B114" s="203" t="s">
        <v>150</v>
      </c>
      <c r="C114" s="203"/>
      <c r="D114" s="203"/>
      <c r="E114" s="203"/>
      <c r="F114" s="203"/>
      <c r="G114" s="204" t="s">
        <v>406</v>
      </c>
      <c r="H114" s="204"/>
      <c r="I114" s="204"/>
      <c r="J114" s="204"/>
      <c r="K114" s="204"/>
      <c r="L114" s="204"/>
    </row>
    <row r="115" spans="1:12" customFormat="1" x14ac:dyDescent="0.25">
      <c r="A115" s="41">
        <v>14</v>
      </c>
      <c r="B115" s="203" t="s">
        <v>151</v>
      </c>
      <c r="C115" s="203"/>
      <c r="D115" s="203"/>
      <c r="E115" s="203"/>
      <c r="F115" s="203"/>
      <c r="G115" s="204" t="s">
        <v>54</v>
      </c>
      <c r="H115" s="204"/>
      <c r="I115" s="204"/>
      <c r="J115" s="204"/>
      <c r="K115" s="204"/>
      <c r="L115" s="204"/>
    </row>
    <row r="116" spans="1:12" customFormat="1" ht="14.45" x14ac:dyDescent="0.3">
      <c r="A116" s="41">
        <v>15</v>
      </c>
      <c r="B116" s="203" t="s">
        <v>152</v>
      </c>
      <c r="C116" s="203"/>
      <c r="D116" s="203"/>
      <c r="E116" s="203"/>
      <c r="F116" s="203"/>
      <c r="G116" s="202" t="s">
        <v>644</v>
      </c>
      <c r="H116" s="202"/>
      <c r="I116" s="202"/>
      <c r="J116" s="202"/>
      <c r="K116" s="202"/>
      <c r="L116" s="202"/>
    </row>
    <row r="117" spans="1:12" customFormat="1" ht="14.45" x14ac:dyDescent="0.3">
      <c r="A117" s="41">
        <v>16</v>
      </c>
      <c r="B117" s="203" t="s">
        <v>153</v>
      </c>
      <c r="C117" s="203"/>
      <c r="D117" s="203"/>
      <c r="E117" s="203"/>
      <c r="F117" s="203"/>
      <c r="G117" s="204" t="s">
        <v>159</v>
      </c>
      <c r="H117" s="204"/>
      <c r="I117" s="204"/>
      <c r="J117" s="204"/>
      <c r="K117" s="204"/>
      <c r="L117" s="204"/>
    </row>
    <row r="118" spans="1:12" customFormat="1" ht="14.45" x14ac:dyDescent="0.3">
      <c r="A118" s="41">
        <v>17</v>
      </c>
      <c r="B118" s="203" t="s">
        <v>154</v>
      </c>
      <c r="C118" s="203"/>
      <c r="D118" s="203"/>
      <c r="E118" s="203"/>
      <c r="F118" s="203"/>
      <c r="G118" s="204" t="s">
        <v>53</v>
      </c>
      <c r="H118" s="204"/>
      <c r="I118" s="204"/>
      <c r="J118" s="204"/>
      <c r="K118" s="204"/>
      <c r="L118" s="204"/>
    </row>
    <row r="119" spans="1:12" customFormat="1" ht="30" customHeight="1" x14ac:dyDescent="0.3">
      <c r="A119" s="41">
        <v>18</v>
      </c>
      <c r="B119" s="203" t="s">
        <v>155</v>
      </c>
      <c r="C119" s="203"/>
      <c r="D119" s="203"/>
      <c r="E119" s="203"/>
      <c r="F119" s="203"/>
      <c r="G119" s="220" t="s">
        <v>645</v>
      </c>
      <c r="H119" s="220"/>
      <c r="I119" s="220"/>
      <c r="J119" s="220"/>
      <c r="K119" s="220"/>
      <c r="L119" s="220"/>
    </row>
    <row r="120" spans="1:12" customFormat="1" ht="31.5" customHeight="1" x14ac:dyDescent="0.25">
      <c r="A120" s="41">
        <v>19</v>
      </c>
      <c r="B120" s="203" t="s">
        <v>604</v>
      </c>
      <c r="C120" s="203"/>
      <c r="D120" s="203"/>
      <c r="E120" s="203"/>
      <c r="F120" s="203"/>
      <c r="G120" s="203" t="s">
        <v>667</v>
      </c>
      <c r="H120" s="203"/>
      <c r="I120" s="203"/>
      <c r="J120" s="203"/>
      <c r="K120" s="203"/>
      <c r="L120" s="203"/>
    </row>
    <row r="121" spans="1:12" customFormat="1" ht="81" customHeight="1" x14ac:dyDescent="0.3">
      <c r="A121" s="41">
        <v>20</v>
      </c>
      <c r="B121" s="203" t="s">
        <v>156</v>
      </c>
      <c r="C121" s="203"/>
      <c r="D121" s="203"/>
      <c r="E121" s="203"/>
      <c r="F121" s="203"/>
      <c r="G121" s="204" t="s">
        <v>54</v>
      </c>
      <c r="H121" s="204"/>
      <c r="I121" s="204"/>
      <c r="J121" s="204"/>
      <c r="K121" s="204"/>
      <c r="L121" s="204"/>
    </row>
    <row r="122" spans="1:12" customFormat="1" ht="14.45" x14ac:dyDescent="0.3">
      <c r="A122" s="312" t="s">
        <v>160</v>
      </c>
      <c r="B122" s="313"/>
      <c r="C122" s="313"/>
      <c r="D122" s="313"/>
      <c r="E122" s="313"/>
      <c r="F122" s="313"/>
      <c r="G122" s="313"/>
      <c r="H122" s="313"/>
      <c r="I122" s="313"/>
      <c r="J122" s="313"/>
      <c r="K122" s="313"/>
      <c r="L122" s="314"/>
    </row>
    <row r="123" spans="1:12" customFormat="1" ht="14.45" x14ac:dyDescent="0.3">
      <c r="A123" s="20" t="s">
        <v>161</v>
      </c>
      <c r="B123" s="243" t="s">
        <v>446</v>
      </c>
      <c r="C123" s="244"/>
      <c r="D123" s="244"/>
      <c r="E123" s="244"/>
      <c r="F123" s="244"/>
      <c r="G123" s="244"/>
      <c r="H123" s="244"/>
      <c r="I123" s="244"/>
      <c r="J123" s="244"/>
      <c r="K123" s="244"/>
      <c r="L123" s="245"/>
    </row>
    <row r="124" spans="1:12" customFormat="1" x14ac:dyDescent="0.25">
      <c r="A124" s="199">
        <v>1</v>
      </c>
      <c r="B124" s="203" t="s">
        <v>168</v>
      </c>
      <c r="C124" s="203"/>
      <c r="D124" s="203"/>
      <c r="E124" s="203"/>
      <c r="F124" s="203"/>
      <c r="G124" s="202">
        <v>2097</v>
      </c>
      <c r="H124" s="202"/>
      <c r="I124" s="202"/>
      <c r="J124" s="202"/>
      <c r="K124" s="202"/>
      <c r="L124" s="202"/>
    </row>
    <row r="125" spans="1:12" customFormat="1" x14ac:dyDescent="0.25">
      <c r="A125" s="200"/>
      <c r="B125" s="203" t="s">
        <v>169</v>
      </c>
      <c r="C125" s="203"/>
      <c r="D125" s="203"/>
      <c r="E125" s="203"/>
      <c r="F125" s="203"/>
      <c r="G125" s="202">
        <v>2097</v>
      </c>
      <c r="H125" s="202"/>
      <c r="I125" s="202"/>
      <c r="J125" s="202"/>
      <c r="K125" s="202"/>
      <c r="L125" s="202"/>
    </row>
    <row r="126" spans="1:12" customFormat="1" x14ac:dyDescent="0.25">
      <c r="A126" s="200"/>
      <c r="B126" s="203" t="s">
        <v>162</v>
      </c>
      <c r="C126" s="203"/>
      <c r="D126" s="203"/>
      <c r="E126" s="203"/>
      <c r="F126" s="203"/>
      <c r="G126" s="333" t="s">
        <v>170</v>
      </c>
      <c r="H126" s="334"/>
      <c r="I126" s="334"/>
      <c r="J126" s="334"/>
      <c r="K126" s="334"/>
      <c r="L126" s="335"/>
    </row>
    <row r="127" spans="1:12" customFormat="1" x14ac:dyDescent="0.25">
      <c r="A127" s="201"/>
      <c r="B127" s="203" t="s">
        <v>163</v>
      </c>
      <c r="C127" s="203"/>
      <c r="D127" s="203"/>
      <c r="E127" s="203"/>
      <c r="F127" s="203"/>
      <c r="G127" s="333" t="s">
        <v>170</v>
      </c>
      <c r="H127" s="334"/>
      <c r="I127" s="334"/>
      <c r="J127" s="334"/>
      <c r="K127" s="334"/>
      <c r="L127" s="335"/>
    </row>
    <row r="128" spans="1:12" customFormat="1" ht="14.45" x14ac:dyDescent="0.3">
      <c r="A128" s="20">
        <v>2</v>
      </c>
      <c r="B128" s="203" t="s">
        <v>164</v>
      </c>
      <c r="C128" s="203"/>
      <c r="D128" s="203"/>
      <c r="E128" s="203"/>
      <c r="F128" s="203"/>
      <c r="G128" s="217" t="s">
        <v>171</v>
      </c>
      <c r="H128" s="218"/>
      <c r="I128" s="218"/>
      <c r="J128" s="218"/>
      <c r="K128" s="218"/>
      <c r="L128" s="219"/>
    </row>
    <row r="129" spans="1:12" customFormat="1" ht="55.9" customHeight="1" x14ac:dyDescent="0.3">
      <c r="A129" s="20">
        <v>3</v>
      </c>
      <c r="B129" s="203" t="s">
        <v>165</v>
      </c>
      <c r="C129" s="203"/>
      <c r="D129" s="203"/>
      <c r="E129" s="203"/>
      <c r="F129" s="203"/>
      <c r="G129" s="240" t="s">
        <v>172</v>
      </c>
      <c r="H129" s="218"/>
      <c r="I129" s="218"/>
      <c r="J129" s="218"/>
      <c r="K129" s="218"/>
      <c r="L129" s="219"/>
    </row>
    <row r="130" spans="1:12" customFormat="1" ht="25.5" customHeight="1" x14ac:dyDescent="0.25">
      <c r="A130" s="199">
        <v>4</v>
      </c>
      <c r="B130" s="190" t="s">
        <v>173</v>
      </c>
      <c r="C130" s="191"/>
      <c r="D130" s="191"/>
      <c r="E130" s="191"/>
      <c r="F130" s="192"/>
      <c r="G130" s="294" t="s">
        <v>600</v>
      </c>
      <c r="H130" s="294"/>
      <c r="I130" s="311">
        <v>63800</v>
      </c>
      <c r="J130" s="311"/>
      <c r="K130" s="311"/>
      <c r="L130" s="311"/>
    </row>
    <row r="131" spans="1:12" customFormat="1" ht="25.5" customHeight="1" x14ac:dyDescent="0.25">
      <c r="A131" s="201"/>
      <c r="B131" s="196"/>
      <c r="C131" s="197"/>
      <c r="D131" s="197"/>
      <c r="E131" s="197"/>
      <c r="F131" s="198"/>
      <c r="G131" s="294" t="s">
        <v>601</v>
      </c>
      <c r="H131" s="294"/>
      <c r="I131" s="311">
        <v>21200</v>
      </c>
      <c r="J131" s="311"/>
      <c r="K131" s="311"/>
      <c r="L131" s="311"/>
    </row>
    <row r="132" spans="1:12" customFormat="1" ht="14.45" x14ac:dyDescent="0.3">
      <c r="A132" s="20">
        <v>5</v>
      </c>
      <c r="B132" s="203" t="s">
        <v>166</v>
      </c>
      <c r="C132" s="203"/>
      <c r="D132" s="203"/>
      <c r="E132" s="203"/>
      <c r="F132" s="203"/>
      <c r="G132" s="333" t="s">
        <v>171</v>
      </c>
      <c r="H132" s="334"/>
      <c r="I132" s="334"/>
      <c r="J132" s="334"/>
      <c r="K132" s="334"/>
      <c r="L132" s="335"/>
    </row>
    <row r="133" spans="1:12" customFormat="1" x14ac:dyDescent="0.25">
      <c r="A133" s="187">
        <v>6</v>
      </c>
      <c r="B133" s="321" t="s">
        <v>167</v>
      </c>
      <c r="C133" s="322"/>
      <c r="D133" s="322"/>
      <c r="E133" s="322"/>
      <c r="F133" s="323"/>
      <c r="G133" s="330" t="s">
        <v>175</v>
      </c>
      <c r="H133" s="331"/>
      <c r="I133" s="331"/>
      <c r="J133" s="331"/>
      <c r="K133" s="331"/>
      <c r="L133" s="332"/>
    </row>
    <row r="134" spans="1:12" customFormat="1" x14ac:dyDescent="0.25">
      <c r="A134" s="188"/>
      <c r="B134" s="324"/>
      <c r="C134" s="325"/>
      <c r="D134" s="325"/>
      <c r="E134" s="325"/>
      <c r="F134" s="326"/>
      <c r="G134" s="221" t="s">
        <v>176</v>
      </c>
      <c r="H134" s="221"/>
      <c r="I134" s="330" t="s">
        <v>13</v>
      </c>
      <c r="J134" s="332"/>
      <c r="K134" s="221" t="s">
        <v>177</v>
      </c>
      <c r="L134" s="221"/>
    </row>
    <row r="135" spans="1:12" customFormat="1" x14ac:dyDescent="0.25">
      <c r="A135" s="188"/>
      <c r="B135" s="324"/>
      <c r="C135" s="325"/>
      <c r="D135" s="325"/>
      <c r="E135" s="325"/>
      <c r="F135" s="326"/>
      <c r="G135" s="221">
        <f>G124</f>
        <v>2097</v>
      </c>
      <c r="H135" s="221"/>
      <c r="I135" s="389">
        <f>I131</f>
        <v>21200</v>
      </c>
      <c r="J135" s="332"/>
      <c r="K135" s="222">
        <f>G135*I135</f>
        <v>44456400</v>
      </c>
      <c r="L135" s="222"/>
    </row>
    <row r="136" spans="1:12" customFormat="1" x14ac:dyDescent="0.25">
      <c r="A136" s="188"/>
      <c r="B136" s="324"/>
      <c r="C136" s="325"/>
      <c r="D136" s="325"/>
      <c r="E136" s="325"/>
      <c r="F136" s="326"/>
      <c r="G136" s="330" t="s">
        <v>174</v>
      </c>
      <c r="H136" s="331"/>
      <c r="I136" s="331"/>
      <c r="J136" s="331"/>
      <c r="K136" s="331"/>
      <c r="L136" s="332"/>
    </row>
    <row r="137" spans="1:12" customFormat="1" x14ac:dyDescent="0.25">
      <c r="A137" s="188"/>
      <c r="B137" s="324"/>
      <c r="C137" s="325"/>
      <c r="D137" s="325"/>
      <c r="E137" s="325"/>
      <c r="F137" s="326"/>
      <c r="G137" s="221" t="s">
        <v>176</v>
      </c>
      <c r="H137" s="221"/>
      <c r="I137" s="330" t="s">
        <v>13</v>
      </c>
      <c r="J137" s="332"/>
      <c r="K137" s="221" t="s">
        <v>177</v>
      </c>
      <c r="L137" s="221"/>
    </row>
    <row r="138" spans="1:12" customFormat="1" x14ac:dyDescent="0.25">
      <c r="A138" s="189"/>
      <c r="B138" s="327"/>
      <c r="C138" s="328"/>
      <c r="D138" s="328"/>
      <c r="E138" s="328"/>
      <c r="F138" s="329"/>
      <c r="G138" s="221">
        <f>G125</f>
        <v>2097</v>
      </c>
      <c r="H138" s="221"/>
      <c r="I138" s="389">
        <f>I131</f>
        <v>21200</v>
      </c>
      <c r="J138" s="332"/>
      <c r="K138" s="222">
        <f>G138*I138</f>
        <v>44456400</v>
      </c>
      <c r="L138" s="222"/>
    </row>
    <row r="139" spans="1:12" customFormat="1" ht="14.45" x14ac:dyDescent="0.3">
      <c r="A139" s="20" t="s">
        <v>179</v>
      </c>
      <c r="B139" s="358" t="s">
        <v>178</v>
      </c>
      <c r="C139" s="359"/>
      <c r="D139" s="359"/>
      <c r="E139" s="359"/>
      <c r="F139" s="359"/>
      <c r="G139" s="359"/>
      <c r="H139" s="359"/>
      <c r="I139" s="359"/>
      <c r="J139" s="359"/>
      <c r="K139" s="359"/>
      <c r="L139" s="360"/>
    </row>
    <row r="140" spans="1:12" customFormat="1" x14ac:dyDescent="0.25">
      <c r="A140" s="20" t="s">
        <v>407</v>
      </c>
      <c r="B140" s="370" t="s">
        <v>180</v>
      </c>
      <c r="C140" s="370"/>
      <c r="D140" s="370"/>
      <c r="E140" s="370"/>
      <c r="F140" s="370"/>
      <c r="G140" s="370"/>
      <c r="H140" s="370"/>
      <c r="I140" s="370"/>
      <c r="J140" s="370"/>
      <c r="K140" s="370"/>
      <c r="L140" s="370"/>
    </row>
    <row r="141" spans="1:12" customFormat="1" ht="31.5" customHeight="1" x14ac:dyDescent="0.3">
      <c r="A141" s="20" t="s">
        <v>5</v>
      </c>
      <c r="B141" s="203" t="s">
        <v>190</v>
      </c>
      <c r="C141" s="203"/>
      <c r="D141" s="203"/>
      <c r="E141" s="203"/>
      <c r="F141" s="203"/>
      <c r="G141" s="202" t="str">
        <f>G108</f>
        <v>Residential + Commercial</v>
      </c>
      <c r="H141" s="202"/>
      <c r="I141" s="202"/>
      <c r="J141" s="202"/>
      <c r="K141" s="202"/>
      <c r="L141" s="202"/>
    </row>
    <row r="142" spans="1:12" customFormat="1" ht="31.5" customHeight="1" x14ac:dyDescent="0.3">
      <c r="A142" s="41" t="s">
        <v>6</v>
      </c>
      <c r="B142" s="203" t="s">
        <v>181</v>
      </c>
      <c r="C142" s="203"/>
      <c r="D142" s="203"/>
      <c r="E142" s="203"/>
      <c r="F142" s="203"/>
      <c r="G142" s="204" t="s">
        <v>37</v>
      </c>
      <c r="H142" s="204"/>
      <c r="I142" s="204"/>
      <c r="J142" s="204"/>
      <c r="K142" s="204"/>
      <c r="L142" s="204"/>
    </row>
    <row r="143" spans="1:12" customFormat="1" ht="14.45" x14ac:dyDescent="0.3">
      <c r="A143" s="20" t="s">
        <v>183</v>
      </c>
      <c r="B143" s="203" t="s">
        <v>182</v>
      </c>
      <c r="C143" s="203"/>
      <c r="D143" s="203"/>
      <c r="E143" s="203"/>
      <c r="F143" s="203"/>
      <c r="G143" s="202" t="s">
        <v>207</v>
      </c>
      <c r="H143" s="202"/>
      <c r="I143" s="202"/>
      <c r="J143" s="202"/>
      <c r="K143" s="202"/>
      <c r="L143" s="202"/>
    </row>
    <row r="144" spans="1:12" customFormat="1" ht="30.75" customHeight="1" x14ac:dyDescent="0.25">
      <c r="A144" s="41" t="s">
        <v>7</v>
      </c>
      <c r="B144" s="240" t="s">
        <v>184</v>
      </c>
      <c r="C144" s="241"/>
      <c r="D144" s="241"/>
      <c r="E144" s="241"/>
      <c r="F144" s="242"/>
      <c r="G144" s="203" t="s">
        <v>673</v>
      </c>
      <c r="H144" s="203"/>
      <c r="I144" s="203"/>
      <c r="J144" s="203"/>
      <c r="K144" s="203"/>
      <c r="L144" s="203"/>
    </row>
    <row r="145" spans="1:12" customFormat="1" ht="14.45" x14ac:dyDescent="0.3">
      <c r="A145" s="20" t="s">
        <v>40</v>
      </c>
      <c r="B145" s="240" t="s">
        <v>185</v>
      </c>
      <c r="C145" s="241"/>
      <c r="D145" s="241"/>
      <c r="E145" s="241"/>
      <c r="F145" s="242"/>
      <c r="G145" s="217" t="s">
        <v>171</v>
      </c>
      <c r="H145" s="218"/>
      <c r="I145" s="218"/>
      <c r="J145" s="218"/>
      <c r="K145" s="218"/>
      <c r="L145" s="219"/>
    </row>
    <row r="146" spans="1:12" customFormat="1" ht="15" customHeight="1" x14ac:dyDescent="0.25">
      <c r="A146" s="290" t="s">
        <v>41</v>
      </c>
      <c r="B146" s="315" t="s">
        <v>186</v>
      </c>
      <c r="C146" s="316"/>
      <c r="D146" s="316"/>
      <c r="E146" s="316"/>
      <c r="F146" s="317"/>
      <c r="G146" s="290" t="s">
        <v>187</v>
      </c>
      <c r="H146" s="290"/>
      <c r="I146" s="290"/>
      <c r="J146" s="237" t="s">
        <v>188</v>
      </c>
      <c r="K146" s="238"/>
      <c r="L146" s="239"/>
    </row>
    <row r="147" spans="1:12" customFormat="1" ht="31.5" customHeight="1" x14ac:dyDescent="0.25">
      <c r="A147" s="290"/>
      <c r="B147" s="318"/>
      <c r="C147" s="319"/>
      <c r="D147" s="319"/>
      <c r="E147" s="319"/>
      <c r="F147" s="320"/>
      <c r="G147" s="371" t="s">
        <v>207</v>
      </c>
      <c r="H147" s="371"/>
      <c r="I147" s="371"/>
      <c r="J147" s="291" t="s">
        <v>207</v>
      </c>
      <c r="K147" s="292"/>
      <c r="L147" s="293"/>
    </row>
    <row r="148" spans="1:12" customFormat="1" ht="29.45" customHeight="1" x14ac:dyDescent="0.3">
      <c r="A148" s="41" t="s">
        <v>42</v>
      </c>
      <c r="B148" s="203" t="s">
        <v>189</v>
      </c>
      <c r="C148" s="203"/>
      <c r="D148" s="203"/>
      <c r="E148" s="203"/>
      <c r="F148" s="203"/>
      <c r="G148" s="220" t="s">
        <v>646</v>
      </c>
      <c r="H148" s="204"/>
      <c r="I148" s="204"/>
      <c r="J148" s="204"/>
      <c r="K148" s="204"/>
      <c r="L148" s="204"/>
    </row>
    <row r="149" spans="1:12" customFormat="1" ht="14.45" x14ac:dyDescent="0.3">
      <c r="A149" s="20" t="s">
        <v>43</v>
      </c>
      <c r="B149" s="217" t="s">
        <v>191</v>
      </c>
      <c r="C149" s="218"/>
      <c r="D149" s="218"/>
      <c r="E149" s="218"/>
      <c r="F149" s="219"/>
      <c r="G149" s="203" t="str">
        <f>G78</f>
        <v>Panvel Municipal Corporation</v>
      </c>
      <c r="H149" s="203"/>
      <c r="I149" s="203"/>
      <c r="J149" s="203"/>
      <c r="K149" s="203"/>
      <c r="L149" s="203"/>
    </row>
    <row r="150" spans="1:12" customFormat="1" ht="29.25" customHeight="1" x14ac:dyDescent="0.3">
      <c r="A150" s="41" t="s">
        <v>44</v>
      </c>
      <c r="B150" s="203" t="s">
        <v>193</v>
      </c>
      <c r="C150" s="203"/>
      <c r="D150" s="203"/>
      <c r="E150" s="203"/>
      <c r="F150" s="203"/>
      <c r="G150" s="220" t="s">
        <v>53</v>
      </c>
      <c r="H150" s="220"/>
      <c r="I150" s="220"/>
      <c r="J150" s="220"/>
      <c r="K150" s="220"/>
      <c r="L150" s="220"/>
    </row>
    <row r="151" spans="1:12" customFormat="1" ht="33" customHeight="1" x14ac:dyDescent="0.3">
      <c r="A151" s="41" t="s">
        <v>45</v>
      </c>
      <c r="B151" s="203" t="s">
        <v>192</v>
      </c>
      <c r="C151" s="203"/>
      <c r="D151" s="203"/>
      <c r="E151" s="203"/>
      <c r="F151" s="203"/>
      <c r="G151" s="220" t="s">
        <v>54</v>
      </c>
      <c r="H151" s="220"/>
      <c r="I151" s="220"/>
      <c r="J151" s="220"/>
      <c r="K151" s="220"/>
      <c r="L151" s="220"/>
    </row>
    <row r="152" spans="1:12" customFormat="1" x14ac:dyDescent="0.25">
      <c r="A152" s="20" t="s">
        <v>407</v>
      </c>
      <c r="B152" s="355" t="s">
        <v>194</v>
      </c>
      <c r="C152" s="356"/>
      <c r="D152" s="356"/>
      <c r="E152" s="356"/>
      <c r="F152" s="356"/>
      <c r="G152" s="356"/>
      <c r="H152" s="356"/>
      <c r="I152" s="356"/>
      <c r="J152" s="356"/>
      <c r="K152" s="356"/>
      <c r="L152" s="357"/>
    </row>
    <row r="153" spans="1:12" customFormat="1" ht="14.45" x14ac:dyDescent="0.3">
      <c r="A153" s="20" t="s">
        <v>195</v>
      </c>
      <c r="B153" s="217" t="s">
        <v>196</v>
      </c>
      <c r="C153" s="218"/>
      <c r="D153" s="218"/>
      <c r="E153" s="218"/>
      <c r="F153" s="218"/>
      <c r="G153" s="218"/>
      <c r="H153" s="218"/>
      <c r="I153" s="218"/>
      <c r="J153" s="218"/>
      <c r="K153" s="218"/>
      <c r="L153" s="219"/>
    </row>
    <row r="154" spans="1:12" customFormat="1" ht="14.45" x14ac:dyDescent="0.3">
      <c r="A154" s="20">
        <v>1</v>
      </c>
      <c r="B154" s="202" t="s">
        <v>197</v>
      </c>
      <c r="C154" s="202"/>
      <c r="D154" s="202"/>
      <c r="E154" s="202"/>
      <c r="F154" s="202"/>
      <c r="G154" s="174" t="s">
        <v>408</v>
      </c>
      <c r="H154" s="390"/>
      <c r="I154" s="390"/>
      <c r="J154" s="390"/>
      <c r="K154" s="390"/>
      <c r="L154" s="175"/>
    </row>
    <row r="155" spans="1:12" customFormat="1" ht="14.45" x14ac:dyDescent="0.3">
      <c r="A155" s="20">
        <v>2</v>
      </c>
      <c r="B155" s="202" t="s">
        <v>198</v>
      </c>
      <c r="C155" s="202"/>
      <c r="D155" s="202"/>
      <c r="E155" s="202"/>
      <c r="F155" s="202"/>
      <c r="G155" s="305" t="s">
        <v>207</v>
      </c>
      <c r="H155" s="306"/>
      <c r="I155" s="306"/>
      <c r="J155" s="306"/>
      <c r="K155" s="306"/>
      <c r="L155" s="307"/>
    </row>
    <row r="156" spans="1:12" customFormat="1" ht="14.45" x14ac:dyDescent="0.3">
      <c r="A156" s="20">
        <v>3</v>
      </c>
      <c r="B156" s="202" t="s">
        <v>584</v>
      </c>
      <c r="C156" s="202"/>
      <c r="D156" s="202"/>
      <c r="E156" s="202"/>
      <c r="F156" s="202"/>
      <c r="G156" s="305" t="s">
        <v>206</v>
      </c>
      <c r="H156" s="306"/>
      <c r="I156" s="306"/>
      <c r="J156" s="306"/>
      <c r="K156" s="306"/>
      <c r="L156" s="307"/>
    </row>
    <row r="157" spans="1:12" customFormat="1" ht="43.9" customHeight="1" x14ac:dyDescent="0.3">
      <c r="A157" s="41">
        <v>4</v>
      </c>
      <c r="B157" s="203" t="s">
        <v>199</v>
      </c>
      <c r="C157" s="203"/>
      <c r="D157" s="203"/>
      <c r="E157" s="203"/>
      <c r="F157" s="203"/>
      <c r="G157" s="305" t="s">
        <v>52</v>
      </c>
      <c r="H157" s="306"/>
      <c r="I157" s="306"/>
      <c r="J157" s="306"/>
      <c r="K157" s="306"/>
      <c r="L157" s="307"/>
    </row>
    <row r="158" spans="1:12" customFormat="1" ht="14.45" x14ac:dyDescent="0.3">
      <c r="A158" s="20">
        <v>5</v>
      </c>
      <c r="B158" s="202" t="s">
        <v>200</v>
      </c>
      <c r="C158" s="202"/>
      <c r="D158" s="202"/>
      <c r="E158" s="202"/>
      <c r="F158" s="202"/>
      <c r="G158" s="305" t="s">
        <v>207</v>
      </c>
      <c r="H158" s="306"/>
      <c r="I158" s="306"/>
      <c r="J158" s="306"/>
      <c r="K158" s="306"/>
      <c r="L158" s="307"/>
    </row>
    <row r="159" spans="1:12" customFormat="1" ht="14.45" x14ac:dyDescent="0.3">
      <c r="A159" s="20">
        <v>6</v>
      </c>
      <c r="B159" s="202" t="s">
        <v>201</v>
      </c>
      <c r="C159" s="202"/>
      <c r="D159" s="202"/>
      <c r="E159" s="202"/>
      <c r="F159" s="202"/>
      <c r="G159" s="305" t="s">
        <v>207</v>
      </c>
      <c r="H159" s="306"/>
      <c r="I159" s="306"/>
      <c r="J159" s="306"/>
      <c r="K159" s="306"/>
      <c r="L159" s="307"/>
    </row>
    <row r="160" spans="1:12" customFormat="1" ht="14.45" x14ac:dyDescent="0.3">
      <c r="A160" s="20">
        <v>7</v>
      </c>
      <c r="B160" s="202" t="s">
        <v>202</v>
      </c>
      <c r="C160" s="202"/>
      <c r="D160" s="202"/>
      <c r="E160" s="202"/>
      <c r="F160" s="202"/>
      <c r="G160" s="305" t="s">
        <v>207</v>
      </c>
      <c r="H160" s="306"/>
      <c r="I160" s="306"/>
      <c r="J160" s="306"/>
      <c r="K160" s="306"/>
      <c r="L160" s="307"/>
    </row>
    <row r="161" spans="1:12" customFormat="1" ht="30.75" customHeight="1" x14ac:dyDescent="0.3">
      <c r="A161" s="20">
        <v>8</v>
      </c>
      <c r="B161" s="203" t="s">
        <v>203</v>
      </c>
      <c r="C161" s="203"/>
      <c r="D161" s="203"/>
      <c r="E161" s="203"/>
      <c r="F161" s="203"/>
      <c r="G161" s="305" t="s">
        <v>207</v>
      </c>
      <c r="H161" s="306"/>
      <c r="I161" s="306"/>
      <c r="J161" s="306"/>
      <c r="K161" s="306"/>
      <c r="L161" s="307"/>
    </row>
    <row r="162" spans="1:12" customFormat="1" ht="14.45" x14ac:dyDescent="0.3">
      <c r="A162" s="20">
        <v>9</v>
      </c>
      <c r="B162" s="202" t="s">
        <v>204</v>
      </c>
      <c r="C162" s="202"/>
      <c r="D162" s="202"/>
      <c r="E162" s="202"/>
      <c r="F162" s="202"/>
      <c r="G162" s="305" t="s">
        <v>207</v>
      </c>
      <c r="H162" s="306"/>
      <c r="I162" s="306"/>
      <c r="J162" s="306"/>
      <c r="K162" s="306"/>
      <c r="L162" s="307"/>
    </row>
    <row r="163" spans="1:12" customFormat="1" ht="14.45" x14ac:dyDescent="0.3">
      <c r="A163" s="20">
        <v>10</v>
      </c>
      <c r="B163" s="202" t="s">
        <v>205</v>
      </c>
      <c r="C163" s="202"/>
      <c r="D163" s="202"/>
      <c r="E163" s="202"/>
      <c r="F163" s="202"/>
      <c r="G163" s="305" t="s">
        <v>52</v>
      </c>
      <c r="H163" s="306"/>
      <c r="I163" s="306"/>
      <c r="J163" s="306"/>
      <c r="K163" s="306"/>
      <c r="L163" s="307"/>
    </row>
    <row r="164" spans="1:12" customFormat="1" x14ac:dyDescent="0.25">
      <c r="A164" s="199">
        <v>11</v>
      </c>
      <c r="B164" s="176" t="s">
        <v>208</v>
      </c>
      <c r="C164" s="177"/>
      <c r="D164" s="177"/>
      <c r="E164" s="177"/>
      <c r="F164" s="177"/>
      <c r="G164" s="177"/>
      <c r="H164" s="177"/>
      <c r="I164" s="177"/>
      <c r="J164" s="177"/>
      <c r="K164" s="177"/>
      <c r="L164" s="178"/>
    </row>
    <row r="165" spans="1:12" customFormat="1" x14ac:dyDescent="0.25">
      <c r="A165" s="200"/>
      <c r="B165" s="246" t="s">
        <v>209</v>
      </c>
      <c r="C165" s="246"/>
      <c r="D165" s="246"/>
      <c r="E165" s="246"/>
      <c r="F165" s="246"/>
      <c r="G165" s="228" t="s">
        <v>207</v>
      </c>
      <c r="H165" s="229"/>
      <c r="I165" s="229"/>
      <c r="J165" s="229"/>
      <c r="K165" s="229"/>
      <c r="L165" s="230"/>
    </row>
    <row r="166" spans="1:12" customFormat="1" x14ac:dyDescent="0.25">
      <c r="A166" s="200"/>
      <c r="B166" s="246" t="s">
        <v>210</v>
      </c>
      <c r="C166" s="246"/>
      <c r="D166" s="246"/>
      <c r="E166" s="246"/>
      <c r="F166" s="246"/>
      <c r="G166" s="234"/>
      <c r="H166" s="235"/>
      <c r="I166" s="235"/>
      <c r="J166" s="235"/>
      <c r="K166" s="235"/>
      <c r="L166" s="236"/>
    </row>
    <row r="167" spans="1:12" customFormat="1" x14ac:dyDescent="0.25">
      <c r="A167" s="201"/>
      <c r="B167" s="246" t="s">
        <v>211</v>
      </c>
      <c r="C167" s="246"/>
      <c r="D167" s="246"/>
      <c r="E167" s="246"/>
      <c r="F167" s="246"/>
      <c r="G167" s="404" t="s">
        <v>226</v>
      </c>
      <c r="H167" s="404"/>
      <c r="I167" s="404"/>
      <c r="J167" s="404"/>
      <c r="K167" s="404"/>
      <c r="L167" s="404"/>
    </row>
    <row r="168" spans="1:12" customFormat="1" x14ac:dyDescent="0.25">
      <c r="A168" s="199">
        <v>12</v>
      </c>
      <c r="B168" s="176" t="s">
        <v>212</v>
      </c>
      <c r="C168" s="177"/>
      <c r="D168" s="177"/>
      <c r="E168" s="177"/>
      <c r="F168" s="177"/>
      <c r="G168" s="177"/>
      <c r="H168" s="177"/>
      <c r="I168" s="177"/>
      <c r="J168" s="177"/>
      <c r="K168" s="177"/>
      <c r="L168" s="178"/>
    </row>
    <row r="169" spans="1:12" customFormat="1" x14ac:dyDescent="0.25">
      <c r="A169" s="200"/>
      <c r="B169" s="246" t="s">
        <v>213</v>
      </c>
      <c r="C169" s="246"/>
      <c r="D169" s="246"/>
      <c r="E169" s="246"/>
      <c r="F169" s="246"/>
      <c r="G169" s="228" t="s">
        <v>207</v>
      </c>
      <c r="H169" s="229"/>
      <c r="I169" s="229"/>
      <c r="J169" s="229"/>
      <c r="K169" s="229"/>
      <c r="L169" s="230"/>
    </row>
    <row r="170" spans="1:12" customFormat="1" x14ac:dyDescent="0.25">
      <c r="A170" s="200"/>
      <c r="B170" s="246" t="s">
        <v>214</v>
      </c>
      <c r="C170" s="246"/>
      <c r="D170" s="246"/>
      <c r="E170" s="246"/>
      <c r="F170" s="246"/>
      <c r="G170" s="231"/>
      <c r="H170" s="232"/>
      <c r="I170" s="232"/>
      <c r="J170" s="232"/>
      <c r="K170" s="232"/>
      <c r="L170" s="233"/>
    </row>
    <row r="171" spans="1:12" customFormat="1" x14ac:dyDescent="0.25">
      <c r="A171" s="200"/>
      <c r="B171" s="246" t="s">
        <v>215</v>
      </c>
      <c r="C171" s="246"/>
      <c r="D171" s="246"/>
      <c r="E171" s="246"/>
      <c r="F171" s="246"/>
      <c r="G171" s="231"/>
      <c r="H171" s="232"/>
      <c r="I171" s="232"/>
      <c r="J171" s="232"/>
      <c r="K171" s="232"/>
      <c r="L171" s="233"/>
    </row>
    <row r="172" spans="1:12" customFormat="1" x14ac:dyDescent="0.25">
      <c r="A172" s="200"/>
      <c r="B172" s="246" t="s">
        <v>216</v>
      </c>
      <c r="C172" s="246"/>
      <c r="D172" s="246"/>
      <c r="E172" s="246"/>
      <c r="F172" s="246"/>
      <c r="G172" s="231"/>
      <c r="H172" s="232"/>
      <c r="I172" s="232"/>
      <c r="J172" s="232"/>
      <c r="K172" s="232"/>
      <c r="L172" s="233"/>
    </row>
    <row r="173" spans="1:12" customFormat="1" x14ac:dyDescent="0.25">
      <c r="A173" s="200"/>
      <c r="B173" s="246" t="s">
        <v>217</v>
      </c>
      <c r="C173" s="246"/>
      <c r="D173" s="246"/>
      <c r="E173" s="246"/>
      <c r="F173" s="246"/>
      <c r="G173" s="231"/>
      <c r="H173" s="232"/>
      <c r="I173" s="232"/>
      <c r="J173" s="232"/>
      <c r="K173" s="232"/>
      <c r="L173" s="233"/>
    </row>
    <row r="174" spans="1:12" customFormat="1" x14ac:dyDescent="0.25">
      <c r="A174" s="201"/>
      <c r="B174" s="246" t="s">
        <v>218</v>
      </c>
      <c r="C174" s="246"/>
      <c r="D174" s="246"/>
      <c r="E174" s="246"/>
      <c r="F174" s="246"/>
      <c r="G174" s="234"/>
      <c r="H174" s="235"/>
      <c r="I174" s="235"/>
      <c r="J174" s="235"/>
      <c r="K174" s="235"/>
      <c r="L174" s="236"/>
    </row>
    <row r="175" spans="1:12" customFormat="1" x14ac:dyDescent="0.25">
      <c r="A175" s="199">
        <v>13</v>
      </c>
      <c r="B175" s="176" t="s">
        <v>219</v>
      </c>
      <c r="C175" s="177"/>
      <c r="D175" s="177"/>
      <c r="E175" s="177"/>
      <c r="F175" s="177"/>
      <c r="G175" s="177"/>
      <c r="H175" s="177"/>
      <c r="I175" s="177"/>
      <c r="J175" s="177"/>
      <c r="K175" s="177"/>
      <c r="L175" s="178"/>
    </row>
    <row r="176" spans="1:12" customFormat="1" x14ac:dyDescent="0.25">
      <c r="A176" s="200"/>
      <c r="B176" s="246" t="s">
        <v>220</v>
      </c>
      <c r="C176" s="246"/>
      <c r="D176" s="246"/>
      <c r="E176" s="246"/>
      <c r="F176" s="246"/>
      <c r="G176" s="228" t="s">
        <v>207</v>
      </c>
      <c r="H176" s="229"/>
      <c r="I176" s="229"/>
      <c r="J176" s="229"/>
      <c r="K176" s="229"/>
      <c r="L176" s="230"/>
    </row>
    <row r="177" spans="1:13" customFormat="1" x14ac:dyDescent="0.25">
      <c r="A177" s="200"/>
      <c r="B177" s="246" t="s">
        <v>221</v>
      </c>
      <c r="C177" s="246"/>
      <c r="D177" s="246"/>
      <c r="E177" s="246"/>
      <c r="F177" s="246"/>
      <c r="G177" s="231"/>
      <c r="H177" s="232"/>
      <c r="I177" s="232"/>
      <c r="J177" s="232"/>
      <c r="K177" s="232"/>
      <c r="L177" s="233"/>
    </row>
    <row r="178" spans="1:13" customFormat="1" x14ac:dyDescent="0.25">
      <c r="A178" s="200"/>
      <c r="B178" s="246" t="s">
        <v>222</v>
      </c>
      <c r="C178" s="246"/>
      <c r="D178" s="246"/>
      <c r="E178" s="246"/>
      <c r="F178" s="246"/>
      <c r="G178" s="231"/>
      <c r="H178" s="232"/>
      <c r="I178" s="232"/>
      <c r="J178" s="232"/>
      <c r="K178" s="232"/>
      <c r="L178" s="233"/>
    </row>
    <row r="179" spans="1:13" customFormat="1" x14ac:dyDescent="0.25">
      <c r="A179" s="200"/>
      <c r="B179" s="246" t="s">
        <v>223</v>
      </c>
      <c r="C179" s="246"/>
      <c r="D179" s="246"/>
      <c r="E179" s="246"/>
      <c r="F179" s="246"/>
      <c r="G179" s="231"/>
      <c r="H179" s="232"/>
      <c r="I179" s="232"/>
      <c r="J179" s="232"/>
      <c r="K179" s="232"/>
      <c r="L179" s="233"/>
    </row>
    <row r="180" spans="1:13" customFormat="1" x14ac:dyDescent="0.25">
      <c r="A180" s="200"/>
      <c r="B180" s="246" t="s">
        <v>224</v>
      </c>
      <c r="C180" s="246"/>
      <c r="D180" s="246"/>
      <c r="E180" s="246"/>
      <c r="F180" s="246"/>
      <c r="G180" s="231"/>
      <c r="H180" s="232"/>
      <c r="I180" s="232"/>
      <c r="J180" s="232"/>
      <c r="K180" s="232"/>
      <c r="L180" s="233"/>
    </row>
    <row r="181" spans="1:13" customFormat="1" x14ac:dyDescent="0.25">
      <c r="A181" s="201"/>
      <c r="B181" s="246" t="s">
        <v>225</v>
      </c>
      <c r="C181" s="246"/>
      <c r="D181" s="246"/>
      <c r="E181" s="246"/>
      <c r="F181" s="246"/>
      <c r="G181" s="234"/>
      <c r="H181" s="235"/>
      <c r="I181" s="235"/>
      <c r="J181" s="235"/>
      <c r="K181" s="235"/>
      <c r="L181" s="236"/>
    </row>
    <row r="182" spans="1:13" s="60" customFormat="1" x14ac:dyDescent="0.25">
      <c r="A182" s="95" t="s">
        <v>407</v>
      </c>
      <c r="B182" s="253" t="s">
        <v>227</v>
      </c>
      <c r="C182" s="254"/>
      <c r="D182" s="254"/>
      <c r="E182" s="254"/>
      <c r="F182" s="254"/>
      <c r="G182" s="254"/>
      <c r="H182" s="254"/>
      <c r="I182" s="254"/>
      <c r="J182" s="254"/>
      <c r="K182" s="254"/>
      <c r="L182" s="255"/>
    </row>
    <row r="183" spans="1:13" s="60" customFormat="1" ht="31.5" customHeight="1" x14ac:dyDescent="0.3">
      <c r="A183" s="95"/>
      <c r="B183" s="161" t="s">
        <v>585</v>
      </c>
      <c r="C183" s="223"/>
      <c r="D183" s="223"/>
      <c r="E183" s="224" t="str">
        <f>G78</f>
        <v>Panvel Municipal Corporation</v>
      </c>
      <c r="F183" s="224"/>
      <c r="G183" s="224"/>
      <c r="H183" s="224"/>
      <c r="I183" s="224"/>
      <c r="J183" s="224"/>
      <c r="K183" s="224"/>
      <c r="L183" s="224"/>
    </row>
    <row r="184" spans="1:13" customFormat="1" ht="14.45" x14ac:dyDescent="0.3">
      <c r="A184" s="20">
        <v>1</v>
      </c>
      <c r="B184" s="217" t="s">
        <v>228</v>
      </c>
      <c r="C184" s="218"/>
      <c r="D184" s="219"/>
      <c r="E184" s="352" t="s">
        <v>616</v>
      </c>
      <c r="F184" s="353"/>
      <c r="G184" s="353"/>
      <c r="H184" s="353"/>
      <c r="I184" s="354"/>
      <c r="J184" s="53" t="s">
        <v>231</v>
      </c>
      <c r="K184" s="462">
        <v>45450</v>
      </c>
      <c r="L184" s="463"/>
    </row>
    <row r="185" spans="1:13" customFormat="1" ht="14.45" x14ac:dyDescent="0.3">
      <c r="A185" s="20">
        <v>2</v>
      </c>
      <c r="B185" s="217" t="s">
        <v>229</v>
      </c>
      <c r="C185" s="218"/>
      <c r="D185" s="219">
        <f>D184</f>
        <v>0</v>
      </c>
      <c r="E185" s="352" t="str">
        <f>E184</f>
        <v>CARPC/B/2024/APL/00628</v>
      </c>
      <c r="F185" s="353"/>
      <c r="G185" s="353"/>
      <c r="H185" s="353"/>
      <c r="I185" s="354"/>
      <c r="J185" s="53" t="s">
        <v>231</v>
      </c>
      <c r="K185" s="462">
        <f>K184</f>
        <v>45450</v>
      </c>
      <c r="L185" s="463"/>
    </row>
    <row r="186" spans="1:13" customFormat="1" x14ac:dyDescent="0.25">
      <c r="A186" s="199">
        <v>3</v>
      </c>
      <c r="B186" s="190" t="s">
        <v>618</v>
      </c>
      <c r="C186" s="191"/>
      <c r="D186" s="191"/>
      <c r="E186" s="352" t="s">
        <v>616</v>
      </c>
      <c r="F186" s="353"/>
      <c r="G186" s="353"/>
      <c r="H186" s="353"/>
      <c r="I186" s="354"/>
      <c r="J186" s="53" t="s">
        <v>231</v>
      </c>
      <c r="K186" s="462">
        <f>K184</f>
        <v>45450</v>
      </c>
      <c r="L186" s="463"/>
    </row>
    <row r="187" spans="1:13" customFormat="1" x14ac:dyDescent="0.25">
      <c r="A187" s="201"/>
      <c r="B187" s="196"/>
      <c r="C187" s="197"/>
      <c r="D187" s="197"/>
      <c r="E187" s="250" t="s">
        <v>617</v>
      </c>
      <c r="F187" s="251"/>
      <c r="G187" s="251"/>
      <c r="H187" s="251"/>
      <c r="I187" s="251"/>
      <c r="J187" s="251"/>
      <c r="K187" s="251"/>
      <c r="L187" s="252"/>
    </row>
    <row r="188" spans="1:13" customFormat="1" x14ac:dyDescent="0.25">
      <c r="A188" s="430">
        <v>4</v>
      </c>
      <c r="B188" s="203" t="s">
        <v>655</v>
      </c>
      <c r="C188" s="203"/>
      <c r="D188" s="203"/>
      <c r="E188" s="204" t="s">
        <v>659</v>
      </c>
      <c r="F188" s="204"/>
      <c r="G188" s="204"/>
      <c r="H188" s="204"/>
      <c r="I188" s="204"/>
      <c r="J188" s="53" t="s">
        <v>231</v>
      </c>
      <c r="K188" s="493">
        <v>45278</v>
      </c>
      <c r="L188" s="493"/>
      <c r="M188" s="151" t="s">
        <v>656</v>
      </c>
    </row>
    <row r="189" spans="1:13" customFormat="1" x14ac:dyDescent="0.25">
      <c r="A189" s="430"/>
      <c r="B189" s="203"/>
      <c r="C189" s="203"/>
      <c r="D189" s="203"/>
      <c r="E189" s="204" t="s">
        <v>660</v>
      </c>
      <c r="F189" s="204"/>
      <c r="G189" s="204"/>
      <c r="H189" s="204"/>
      <c r="I189" s="204"/>
      <c r="J189" s="204"/>
      <c r="K189" s="204"/>
      <c r="L189" s="204"/>
    </row>
    <row r="190" spans="1:13" customFormat="1" x14ac:dyDescent="0.25">
      <c r="A190" s="430">
        <v>5</v>
      </c>
      <c r="B190" s="203" t="s">
        <v>657</v>
      </c>
      <c r="C190" s="203"/>
      <c r="D190" s="203"/>
      <c r="E190" s="204" t="s">
        <v>661</v>
      </c>
      <c r="F190" s="204"/>
      <c r="G190" s="204"/>
      <c r="H190" s="204"/>
      <c r="I190" s="204"/>
      <c r="J190" s="53" t="s">
        <v>231</v>
      </c>
      <c r="K190" s="493">
        <v>45198</v>
      </c>
      <c r="L190" s="493"/>
    </row>
    <row r="191" spans="1:13" customFormat="1" ht="30.75" customHeight="1" x14ac:dyDescent="0.25">
      <c r="A191" s="430"/>
      <c r="B191" s="203"/>
      <c r="C191" s="203"/>
      <c r="D191" s="203"/>
      <c r="E191" s="204"/>
      <c r="F191" s="204"/>
      <c r="G191" s="204"/>
      <c r="H191" s="204"/>
      <c r="I191" s="204"/>
      <c r="J191" s="152" t="s">
        <v>658</v>
      </c>
      <c r="K191" s="493">
        <v>48119</v>
      </c>
      <c r="L191" s="493"/>
    </row>
    <row r="192" spans="1:13" customFormat="1" ht="30.75" customHeight="1" x14ac:dyDescent="0.25">
      <c r="A192" s="430"/>
      <c r="B192" s="203"/>
      <c r="C192" s="203"/>
      <c r="D192" s="203"/>
      <c r="E192" s="220" t="s">
        <v>662</v>
      </c>
      <c r="F192" s="204"/>
      <c r="G192" s="204"/>
      <c r="H192" s="204"/>
      <c r="I192" s="204"/>
      <c r="J192" s="204"/>
      <c r="K192" s="204"/>
      <c r="L192" s="204"/>
      <c r="M192">
        <f>55-3.95</f>
        <v>51.05</v>
      </c>
    </row>
    <row r="193" spans="1:14" s="60" customFormat="1" ht="14.45" x14ac:dyDescent="0.3">
      <c r="A193" s="95">
        <v>4</v>
      </c>
      <c r="B193" s="467" t="s">
        <v>230</v>
      </c>
      <c r="C193" s="468"/>
      <c r="D193" s="469"/>
      <c r="E193" s="464" t="s">
        <v>51</v>
      </c>
      <c r="F193" s="465"/>
      <c r="G193" s="465"/>
      <c r="H193" s="466"/>
      <c r="I193" s="96" t="s">
        <v>231</v>
      </c>
      <c r="J193" s="308" t="s">
        <v>51</v>
      </c>
      <c r="K193" s="309"/>
      <c r="L193" s="310"/>
    </row>
    <row r="194" spans="1:14" customFormat="1" ht="14.45" x14ac:dyDescent="0.3">
      <c r="A194" s="20">
        <v>5</v>
      </c>
      <c r="B194" s="202" t="s">
        <v>232</v>
      </c>
      <c r="C194" s="202"/>
      <c r="D194" s="202"/>
      <c r="E194" s="202"/>
      <c r="F194" s="202"/>
      <c r="G194" s="352" t="s">
        <v>647</v>
      </c>
      <c r="H194" s="353"/>
      <c r="I194" s="353"/>
      <c r="J194" s="353"/>
      <c r="K194" s="353"/>
      <c r="L194" s="354"/>
    </row>
    <row r="195" spans="1:14" customFormat="1" ht="14.45" x14ac:dyDescent="0.3">
      <c r="A195" s="20">
        <v>6</v>
      </c>
      <c r="B195" s="202" t="s">
        <v>233</v>
      </c>
      <c r="C195" s="202"/>
      <c r="D195" s="202"/>
      <c r="E195" s="202"/>
      <c r="F195" s="202"/>
      <c r="G195" s="352" t="s">
        <v>675</v>
      </c>
      <c r="H195" s="353"/>
      <c r="I195" s="353"/>
      <c r="J195" s="353"/>
      <c r="K195" s="353"/>
      <c r="L195" s="354"/>
    </row>
    <row r="196" spans="1:14" customFormat="1" ht="14.45" x14ac:dyDescent="0.3">
      <c r="A196" s="20">
        <v>7</v>
      </c>
      <c r="B196" s="202" t="s">
        <v>234</v>
      </c>
      <c r="C196" s="202"/>
      <c r="D196" s="202"/>
      <c r="E196" s="202"/>
      <c r="F196" s="202"/>
      <c r="G196" s="352" t="s">
        <v>676</v>
      </c>
      <c r="H196" s="353"/>
      <c r="I196" s="353"/>
      <c r="J196" s="353"/>
      <c r="K196" s="353"/>
      <c r="L196" s="354"/>
    </row>
    <row r="197" spans="1:14" ht="16.149999999999999" thickBot="1" x14ac:dyDescent="0.3">
      <c r="A197" s="470" t="s">
        <v>508</v>
      </c>
      <c r="B197" s="471"/>
      <c r="C197" s="471"/>
      <c r="D197" s="471"/>
      <c r="E197" s="471"/>
      <c r="F197" s="471"/>
      <c r="G197" s="471"/>
      <c r="H197" s="471"/>
      <c r="I197" s="471"/>
      <c r="J197" s="471"/>
      <c r="K197" s="471"/>
      <c r="L197" s="472"/>
    </row>
    <row r="198" spans="1:14" s="101" customFormat="1" ht="14.25" x14ac:dyDescent="0.25">
      <c r="A198" s="449" t="s">
        <v>586</v>
      </c>
      <c r="B198" s="450"/>
      <c r="C198" s="450"/>
      <c r="D198" s="447" t="s">
        <v>648</v>
      </c>
      <c r="E198" s="447"/>
      <c r="F198" s="447"/>
      <c r="G198" s="447"/>
      <c r="H198" s="447"/>
      <c r="I198" s="447"/>
      <c r="J198" s="447"/>
      <c r="K198" s="447"/>
      <c r="L198" s="448"/>
      <c r="M198" s="443" t="str">
        <f ca="1">(IF(H202&gt;99%,"All work completed. Please provide OC.",IF(H202&gt;89.8%,"Plinth, RCC, Brick, Plaster, Flooring, Painting work Completed. Finishing work is in process.",IF(H202&lt;94%,(IF(D202=0,"Work not yet Started.",IF(F202=25%,"Piling work in process",IF(F202=50%,"Excavation work in process",IF(F202=100%,"Excavation work Completed. ","0")))&amp;(IF(D203=0%,"",IF(D203=N204,"Footing work is process",IF(D203=N205,"Footing work Completed",IF(D203=N206,"1st Basement Completed",IF(D203=N207,"1st &amp; 2nd Basement Completed",IF(D203=N208,"1st to 3rd Basement Completed",IF(D203=N209,"1st to 4th Basement Completed",IF(D203=N210,"Plinth work is process",IF(D203=N211,"Plinth work completed","0")))))))))))&amp;(IF(D204=(F199+I199+L199),", RCC Slab",IF(D204&gt;0,", RCC upto "&amp;D204&amp;" Slab",""))&amp;(IF(D205=L199,", Brickwork",IF(D205&gt;0,", Brickwork upto "&amp;D205&amp;" Floor",""))&amp;(IF(D206=L199,", Internal Plaster",IF(D206&gt;0,", Internal Plaster upto "&amp;D206&amp;" Floor",""))&amp;(IF(D207=L199,", External Plaster",IF(D207&gt;0,", External Plaster upto "&amp;D207&amp;" Floor",""))&amp;(IF(D208=L199,", Flooring",IF(D208&gt;0,", Flooring upto "&amp;D208&amp;" Floor",""))&amp;(IF(D209=L199,", Painting",IF(D209&gt;0,", Painting upto "&amp;D209&amp;" Floor",""))&amp;(IF(D210&gt;0,", Finishing upto "&amp;D210&amp;" Floor","")&amp;(IF(D204&gt;0.5," Completed",""))))))))))))))</f>
        <v>Excavation work in process</v>
      </c>
      <c r="N198" s="444"/>
    </row>
    <row r="199" spans="1:14" s="101" customFormat="1" x14ac:dyDescent="0.25">
      <c r="A199" s="452" t="s">
        <v>198</v>
      </c>
      <c r="B199" s="451"/>
      <c r="C199" s="98">
        <v>1</v>
      </c>
      <c r="D199" s="451" t="s">
        <v>478</v>
      </c>
      <c r="E199" s="451"/>
      <c r="F199" s="98">
        <v>1</v>
      </c>
      <c r="G199" s="451" t="s">
        <v>479</v>
      </c>
      <c r="H199" s="451"/>
      <c r="I199" s="98">
        <v>0</v>
      </c>
      <c r="J199" s="451" t="s">
        <v>480</v>
      </c>
      <c r="K199" s="451"/>
      <c r="L199" s="105">
        <f ca="1">--TRIM(RIGHT(SUBSTITUTE(LEFT(D198,_xlfn.AGGREGATE(16,6,FIND({0,1,2,3,4,5,6,7,8,9},D198,ROW(INDIRECT("1:"&amp;LEN(D198)))),1))," ",REPT(" ",LEN(D198))),LEN(D198)))</f>
        <v>7</v>
      </c>
      <c r="M199" s="99"/>
      <c r="N199" s="100"/>
    </row>
    <row r="200" spans="1:14" s="97" customFormat="1" ht="13.9" x14ac:dyDescent="0.25">
      <c r="A200" s="456" t="s">
        <v>481</v>
      </c>
      <c r="B200" s="457"/>
      <c r="C200" s="457"/>
      <c r="D200" s="454" t="str">
        <f ca="1">M198</f>
        <v>Excavation work in process</v>
      </c>
      <c r="E200" s="454"/>
      <c r="F200" s="454"/>
      <c r="G200" s="454"/>
      <c r="H200" s="454"/>
      <c r="I200" s="454"/>
      <c r="J200" s="454"/>
      <c r="K200" s="454"/>
      <c r="L200" s="455"/>
      <c r="M200" s="102"/>
      <c r="N200" s="103"/>
    </row>
    <row r="201" spans="1:14" s="97" customFormat="1" ht="15" customHeight="1" x14ac:dyDescent="0.25">
      <c r="A201" s="453" t="s">
        <v>483</v>
      </c>
      <c r="B201" s="408"/>
      <c r="C201" s="408"/>
      <c r="D201" s="408" t="s">
        <v>485</v>
      </c>
      <c r="E201" s="408"/>
      <c r="F201" s="408" t="s">
        <v>486</v>
      </c>
      <c r="G201" s="408"/>
      <c r="H201" s="408" t="s">
        <v>487</v>
      </c>
      <c r="I201" s="408"/>
      <c r="J201" s="408" t="s">
        <v>587</v>
      </c>
      <c r="K201" s="408"/>
      <c r="L201" s="409"/>
      <c r="M201" s="106" t="s">
        <v>488</v>
      </c>
      <c r="N201" s="107">
        <f ca="1">L199*25%</f>
        <v>1.75</v>
      </c>
    </row>
    <row r="202" spans="1:14" s="97" customFormat="1" ht="15" customHeight="1" x14ac:dyDescent="0.2">
      <c r="A202" s="453" t="s">
        <v>489</v>
      </c>
      <c r="B202" s="408"/>
      <c r="C202" s="408"/>
      <c r="D202" s="408">
        <f ca="1">N202</f>
        <v>3.5</v>
      </c>
      <c r="E202" s="408"/>
      <c r="F202" s="445">
        <f ca="1">((100/L199)*D202)/100</f>
        <v>0.5</v>
      </c>
      <c r="G202" s="445"/>
      <c r="H202" s="445">
        <f ca="1">(((D203/L199*10)+(40/(F199+I199+L199)*D204)+(15/(L199)*D205)+(5/(L199)*D206)+(5/L199*D207)+(10/L199*D208)+(5/L199*D209)+(5/L199*D210)+(5/L199*D211))/100)</f>
        <v>0</v>
      </c>
      <c r="I202" s="445"/>
      <c r="J202" s="445">
        <f ca="1">((((D202/L199)*10)+((D203/L199)*20)+(30/(L199+I199+F199)*D204)+(15/L199*D205)+(5/L199*D206)+(5/L199*D207)+(5/L199*D208)+(5/L199*D209)+(2.5/L199*D210)+(2.5/L199*D211))/100)</f>
        <v>0.05</v>
      </c>
      <c r="K202" s="445"/>
      <c r="L202" s="458"/>
      <c r="M202" s="106" t="s">
        <v>490</v>
      </c>
      <c r="N202" s="108">
        <f ca="1">L199*50%</f>
        <v>3.5</v>
      </c>
    </row>
    <row r="203" spans="1:14" s="97" customFormat="1" x14ac:dyDescent="0.2">
      <c r="A203" s="453" t="s">
        <v>36</v>
      </c>
      <c r="B203" s="408"/>
      <c r="C203" s="408"/>
      <c r="D203" s="408">
        <v>0</v>
      </c>
      <c r="E203" s="408"/>
      <c r="F203" s="445">
        <f ca="1">((100/L199)*D203)/100</f>
        <v>0</v>
      </c>
      <c r="G203" s="445"/>
      <c r="H203" s="445"/>
      <c r="I203" s="445"/>
      <c r="J203" s="445"/>
      <c r="K203" s="445"/>
      <c r="L203" s="458"/>
      <c r="M203" s="106" t="s">
        <v>491</v>
      </c>
      <c r="N203" s="108">
        <f ca="1">L199</f>
        <v>7</v>
      </c>
    </row>
    <row r="204" spans="1:14" s="97" customFormat="1" ht="15" customHeight="1" x14ac:dyDescent="0.2">
      <c r="A204" s="453" t="s">
        <v>492</v>
      </c>
      <c r="B204" s="408"/>
      <c r="C204" s="408"/>
      <c r="D204" s="408">
        <v>0</v>
      </c>
      <c r="E204" s="408"/>
      <c r="F204" s="445">
        <f ca="1">((100/(F199+I199+L199))*D204)/100</f>
        <v>0</v>
      </c>
      <c r="G204" s="445"/>
      <c r="H204" s="445"/>
      <c r="I204" s="445"/>
      <c r="J204" s="445"/>
      <c r="K204" s="445"/>
      <c r="L204" s="458"/>
      <c r="M204" s="106" t="s">
        <v>493</v>
      </c>
      <c r="N204" s="109">
        <f ca="1">(IF(B199&gt;1,(L199/(B199+2)),L199/4))</f>
        <v>1.75</v>
      </c>
    </row>
    <row r="205" spans="1:14" s="97" customFormat="1" ht="15" customHeight="1" x14ac:dyDescent="0.2">
      <c r="A205" s="453" t="s">
        <v>494</v>
      </c>
      <c r="B205" s="408" t="s">
        <v>588</v>
      </c>
      <c r="C205" s="408"/>
      <c r="D205" s="408">
        <v>0</v>
      </c>
      <c r="E205" s="408"/>
      <c r="F205" s="445">
        <f ca="1">((100/L199)*D205)/100</f>
        <v>0</v>
      </c>
      <c r="G205" s="445"/>
      <c r="H205" s="445"/>
      <c r="I205" s="445"/>
      <c r="J205" s="445"/>
      <c r="K205" s="445"/>
      <c r="L205" s="458"/>
      <c r="M205" s="106" t="s">
        <v>495</v>
      </c>
      <c r="N205" s="109">
        <f ca="1">(IF(B199&gt;1,(L199/(B199+2)+N204),L199/4+N204))</f>
        <v>3.5</v>
      </c>
    </row>
    <row r="206" spans="1:14" s="97" customFormat="1" ht="15" customHeight="1" x14ac:dyDescent="0.2">
      <c r="A206" s="453" t="s">
        <v>496</v>
      </c>
      <c r="B206" s="408" t="s">
        <v>588</v>
      </c>
      <c r="C206" s="408"/>
      <c r="D206" s="408">
        <v>0</v>
      </c>
      <c r="E206" s="408"/>
      <c r="F206" s="445">
        <f ca="1">((100/L199)*D206)/100</f>
        <v>0</v>
      </c>
      <c r="G206" s="445"/>
      <c r="H206" s="445"/>
      <c r="I206" s="445"/>
      <c r="J206" s="445"/>
      <c r="K206" s="445"/>
      <c r="L206" s="458"/>
      <c r="M206" s="106" t="s">
        <v>497</v>
      </c>
      <c r="N206" s="109">
        <f>(IF(B199&gt;1,(L199/(B199+2)+N205),0))</f>
        <v>0</v>
      </c>
    </row>
    <row r="207" spans="1:14" s="97" customFormat="1" ht="15" customHeight="1" x14ac:dyDescent="0.2">
      <c r="A207" s="453" t="s">
        <v>498</v>
      </c>
      <c r="B207" s="408" t="s">
        <v>589</v>
      </c>
      <c r="C207" s="408"/>
      <c r="D207" s="408">
        <v>0</v>
      </c>
      <c r="E207" s="408"/>
      <c r="F207" s="445">
        <f ca="1">((100/(L199))*D207)/100</f>
        <v>0</v>
      </c>
      <c r="G207" s="445"/>
      <c r="H207" s="445"/>
      <c r="I207" s="445"/>
      <c r="J207" s="445"/>
      <c r="K207" s="445"/>
      <c r="L207" s="458"/>
      <c r="M207" s="106" t="s">
        <v>499</v>
      </c>
      <c r="N207" s="109">
        <f>(IF(B199&gt;2,(L199/(B199+2)+N206),0))</f>
        <v>0</v>
      </c>
    </row>
    <row r="208" spans="1:14" s="97" customFormat="1" ht="15" customHeight="1" x14ac:dyDescent="0.2">
      <c r="A208" s="453" t="s">
        <v>500</v>
      </c>
      <c r="B208" s="408" t="s">
        <v>500</v>
      </c>
      <c r="C208" s="408"/>
      <c r="D208" s="408">
        <v>0</v>
      </c>
      <c r="E208" s="408"/>
      <c r="F208" s="445">
        <f ca="1">((100/L199)*D208)/100</f>
        <v>0</v>
      </c>
      <c r="G208" s="445"/>
      <c r="H208" s="445"/>
      <c r="I208" s="445"/>
      <c r="J208" s="445"/>
      <c r="K208" s="445"/>
      <c r="L208" s="458"/>
      <c r="M208" s="106" t="s">
        <v>501</v>
      </c>
      <c r="N208" s="110">
        <f>(IF(B199&gt;3,(L199/(B199+2)+N207),0))</f>
        <v>0</v>
      </c>
    </row>
    <row r="209" spans="1:14" s="97" customFormat="1" ht="15" customHeight="1" x14ac:dyDescent="0.2">
      <c r="A209" s="453" t="s">
        <v>502</v>
      </c>
      <c r="B209" s="408"/>
      <c r="C209" s="408"/>
      <c r="D209" s="408">
        <v>0</v>
      </c>
      <c r="E209" s="408"/>
      <c r="F209" s="445">
        <f ca="1">((100/L199)*D209)/100</f>
        <v>0</v>
      </c>
      <c r="G209" s="445"/>
      <c r="H209" s="445"/>
      <c r="I209" s="445"/>
      <c r="J209" s="445"/>
      <c r="K209" s="445"/>
      <c r="L209" s="458"/>
      <c r="M209" s="106" t="s">
        <v>503</v>
      </c>
      <c r="N209" s="109">
        <f>(IF(B199&gt;4,(L199/(B199+2)+N208),0))</f>
        <v>0</v>
      </c>
    </row>
    <row r="210" spans="1:14" s="104" customFormat="1" ht="15" customHeight="1" x14ac:dyDescent="0.25">
      <c r="A210" s="453" t="s">
        <v>504</v>
      </c>
      <c r="B210" s="408" t="s">
        <v>504</v>
      </c>
      <c r="C210" s="408"/>
      <c r="D210" s="408">
        <v>0</v>
      </c>
      <c r="E210" s="408"/>
      <c r="F210" s="445">
        <f ca="1">((100/(L199))*D210)/100</f>
        <v>0</v>
      </c>
      <c r="G210" s="445"/>
      <c r="H210" s="445"/>
      <c r="I210" s="445"/>
      <c r="J210" s="445"/>
      <c r="K210" s="445"/>
      <c r="L210" s="458"/>
      <c r="M210" s="111" t="s">
        <v>505</v>
      </c>
      <c r="N210" s="112">
        <f ca="1">(IF(B199=1,(L199/(B199+3)+N205),IF(B199=0,(L199/4+N205),IF(B199&gt;1,0))))</f>
        <v>5.25</v>
      </c>
    </row>
    <row r="211" spans="1:14" s="97" customFormat="1" ht="15.75" customHeight="1" thickBot="1" x14ac:dyDescent="0.25">
      <c r="A211" s="460" t="s">
        <v>506</v>
      </c>
      <c r="B211" s="461"/>
      <c r="C211" s="461"/>
      <c r="D211" s="461">
        <v>0</v>
      </c>
      <c r="E211" s="461"/>
      <c r="F211" s="446">
        <f ca="1">((100/(L199))*C211)/100</f>
        <v>0</v>
      </c>
      <c r="G211" s="446"/>
      <c r="H211" s="446"/>
      <c r="I211" s="446"/>
      <c r="J211" s="446"/>
      <c r="K211" s="446"/>
      <c r="L211" s="459"/>
      <c r="M211" s="113" t="s">
        <v>507</v>
      </c>
      <c r="N211" s="114">
        <f ca="1">(IF(B199&gt;1.5,(L199/(B199+2)+N205+MAX(0,N206-N205)+MAX(0,N207-N206)+MAX(0,N208-N207)+MAX(0,N209-N208)+MAX(0,N210-N209)),IF(B199=1,(L199/(B199+3)+N210),IF(B199=0,L199/4+N210))))</f>
        <v>7</v>
      </c>
    </row>
    <row r="212" spans="1:14" s="101" customFormat="1" ht="14.25" x14ac:dyDescent="0.25">
      <c r="A212" s="449" t="s">
        <v>586</v>
      </c>
      <c r="B212" s="450"/>
      <c r="C212" s="450"/>
      <c r="D212" s="447" t="s">
        <v>649</v>
      </c>
      <c r="E212" s="447"/>
      <c r="F212" s="447"/>
      <c r="G212" s="447"/>
      <c r="H212" s="447"/>
      <c r="I212" s="447"/>
      <c r="J212" s="447"/>
      <c r="K212" s="447"/>
      <c r="L212" s="448"/>
      <c r="M212" s="443" t="str">
        <f ca="1">(IF(H216&gt;99%,"All work completed. Please provide OC.",IF(H216&gt;89.8%,"Plinth, RCC, Brick, Plaster, Flooring, Painting work Completed. Finishing work is in process.",IF(H216&lt;94%,(IF(D216=0,"Work not yet Started.",IF(F216=25%,"Piling work in process",IF(F216=50%,"Excavation work in process",IF(F216=100%,"Excavation work Completed. ","0")))&amp;(IF(D217=0%,"",IF(D217=N218,"Footing work is process",IF(D217=N219,"Footing work Completed",IF(D217=N220,"1st Basement Completed",IF(D217=N221,"1st &amp; 2nd Basement Completed",IF(D217=N222,"1st to 3rd Basement Completed",IF(D217=N223,"1st to 4th Basement Completed",IF(D217=N224,"Plinth work is process",IF(D217=N225,"Plinth work completed","0")))))))))))&amp;(IF(D218=(F213+I213+L213),", RCC Slab",IF(D218&gt;0,", RCC upto "&amp;D218&amp;" Slab",""))&amp;(IF(D219=L213,", Brickwork",IF(D219&gt;0,", Brickwork upto "&amp;D219&amp;" Floor",""))&amp;(IF(D220=L213,", Internal Plaster",IF(D220&gt;0,", Internal Plaster upto "&amp;D220&amp;" Floor",""))&amp;(IF(D221=L213,", External Plaster",IF(D221&gt;0,", External Plaster upto "&amp;D221&amp;" Floor",""))&amp;(IF(D222=L213,", Flooring",IF(D222&gt;0,", Flooring upto "&amp;D222&amp;" Floor",""))&amp;(IF(D223=L213,", Painting",IF(D223&gt;0,", Painting upto "&amp;D223&amp;" Floor",""))&amp;(IF(D224&gt;0,", Finishing upto "&amp;D224&amp;" Floor","")&amp;(IF(D218&gt;0.5," Completed",""))))))))))))))</f>
        <v>Excavation work Completed. Footing work Completed</v>
      </c>
      <c r="N212" s="444"/>
    </row>
    <row r="213" spans="1:14" s="101" customFormat="1" x14ac:dyDescent="0.25">
      <c r="A213" s="452" t="s">
        <v>198</v>
      </c>
      <c r="B213" s="451"/>
      <c r="C213" s="98">
        <v>1</v>
      </c>
      <c r="D213" s="451" t="s">
        <v>478</v>
      </c>
      <c r="E213" s="451"/>
      <c r="F213" s="98">
        <v>1</v>
      </c>
      <c r="G213" s="451" t="s">
        <v>479</v>
      </c>
      <c r="H213" s="451"/>
      <c r="I213" s="98">
        <v>0</v>
      </c>
      <c r="J213" s="451" t="s">
        <v>480</v>
      </c>
      <c r="K213" s="451"/>
      <c r="L213" s="105">
        <f ca="1">--TRIM(RIGHT(SUBSTITUTE(LEFT(D212,_xlfn.AGGREGATE(16,6,FIND({0,1,2,3,4,5,6,7,8,9},D212,ROW(INDIRECT("1:"&amp;LEN(D212)))),1))," ",REPT(" ",LEN(D212))),LEN(D212)))</f>
        <v>7</v>
      </c>
      <c r="M213" s="99"/>
      <c r="N213" s="100"/>
    </row>
    <row r="214" spans="1:14" s="97" customFormat="1" ht="13.9" x14ac:dyDescent="0.25">
      <c r="A214" s="456" t="s">
        <v>481</v>
      </c>
      <c r="B214" s="457"/>
      <c r="C214" s="457"/>
      <c r="D214" s="454" t="str">
        <f ca="1">M212</f>
        <v>Excavation work Completed. Footing work Completed</v>
      </c>
      <c r="E214" s="454"/>
      <c r="F214" s="454"/>
      <c r="G214" s="454"/>
      <c r="H214" s="454"/>
      <c r="I214" s="454"/>
      <c r="J214" s="454"/>
      <c r="K214" s="454"/>
      <c r="L214" s="455"/>
      <c r="M214" s="102"/>
      <c r="N214" s="103"/>
    </row>
    <row r="215" spans="1:14" s="97" customFormat="1" ht="15" customHeight="1" x14ac:dyDescent="0.25">
      <c r="A215" s="453" t="s">
        <v>483</v>
      </c>
      <c r="B215" s="408"/>
      <c r="C215" s="408"/>
      <c r="D215" s="408" t="s">
        <v>485</v>
      </c>
      <c r="E215" s="408"/>
      <c r="F215" s="408" t="s">
        <v>486</v>
      </c>
      <c r="G215" s="408"/>
      <c r="H215" s="408" t="s">
        <v>487</v>
      </c>
      <c r="I215" s="408"/>
      <c r="J215" s="408" t="s">
        <v>587</v>
      </c>
      <c r="K215" s="408"/>
      <c r="L215" s="409"/>
      <c r="M215" s="106" t="s">
        <v>488</v>
      </c>
      <c r="N215" s="107">
        <f ca="1">L213*25%</f>
        <v>1.75</v>
      </c>
    </row>
    <row r="216" spans="1:14" s="97" customFormat="1" ht="15" customHeight="1" x14ac:dyDescent="0.2">
      <c r="A216" s="453" t="s">
        <v>489</v>
      </c>
      <c r="B216" s="408"/>
      <c r="C216" s="408"/>
      <c r="D216" s="408">
        <f ca="1">N217</f>
        <v>7</v>
      </c>
      <c r="E216" s="408"/>
      <c r="F216" s="445">
        <f ca="1">((100/L213)*D216)/100</f>
        <v>1</v>
      </c>
      <c r="G216" s="445"/>
      <c r="H216" s="445">
        <f ca="1">(((D217/L213*10)+(40/(F213+I213+L213)*D218)+(15/(L213)*D219)+(5/(L213)*D220)+(5/L213*D221)+(10/L213*D222)+(5/L213*D223)+(5/L213*D224)+(5/L213*D225))/100)</f>
        <v>0.05</v>
      </c>
      <c r="I216" s="445"/>
      <c r="J216" s="445">
        <f ca="1">((((D216/L213)*10)+((D217/L213)*20)+(30/(L213+I213+F213)*D218)+(15/L213*D219)+(5/L213*D220)+(5/L213*D221)+(5/L213*D222)+(5/L213*D223)+(2.5/L213*D224)+(2.5/L213*D225))/100)</f>
        <v>0.2</v>
      </c>
      <c r="K216" s="445"/>
      <c r="L216" s="458"/>
      <c r="M216" s="106" t="s">
        <v>490</v>
      </c>
      <c r="N216" s="108">
        <f ca="1">L213*50%</f>
        <v>3.5</v>
      </c>
    </row>
    <row r="217" spans="1:14" s="97" customFormat="1" x14ac:dyDescent="0.2">
      <c r="A217" s="453" t="s">
        <v>36</v>
      </c>
      <c r="B217" s="408"/>
      <c r="C217" s="408"/>
      <c r="D217" s="492">
        <f ca="1">N219</f>
        <v>3.5</v>
      </c>
      <c r="E217" s="408"/>
      <c r="F217" s="445">
        <f ca="1">((100/L213)*D217)/100</f>
        <v>0.5</v>
      </c>
      <c r="G217" s="445"/>
      <c r="H217" s="445"/>
      <c r="I217" s="445"/>
      <c r="J217" s="445"/>
      <c r="K217" s="445"/>
      <c r="L217" s="458"/>
      <c r="M217" s="106" t="s">
        <v>491</v>
      </c>
      <c r="N217" s="108">
        <f ca="1">L213</f>
        <v>7</v>
      </c>
    </row>
    <row r="218" spans="1:14" s="97" customFormat="1" ht="15" customHeight="1" x14ac:dyDescent="0.2">
      <c r="A218" s="453" t="s">
        <v>492</v>
      </c>
      <c r="B218" s="408"/>
      <c r="C218" s="408"/>
      <c r="D218" s="408">
        <v>0</v>
      </c>
      <c r="E218" s="408"/>
      <c r="F218" s="445">
        <f ca="1">((100/(F213+I213+L213))*D218)/100</f>
        <v>0</v>
      </c>
      <c r="G218" s="445"/>
      <c r="H218" s="445"/>
      <c r="I218" s="445"/>
      <c r="J218" s="445"/>
      <c r="K218" s="445"/>
      <c r="L218" s="458"/>
      <c r="M218" s="106" t="s">
        <v>493</v>
      </c>
      <c r="N218" s="109">
        <f ca="1">(IF(B213&gt;1,(L213/(B213+2)),L213/4))</f>
        <v>1.75</v>
      </c>
    </row>
    <row r="219" spans="1:14" s="97" customFormat="1" ht="15" customHeight="1" x14ac:dyDescent="0.2">
      <c r="A219" s="453" t="s">
        <v>494</v>
      </c>
      <c r="B219" s="408" t="s">
        <v>588</v>
      </c>
      <c r="C219" s="408"/>
      <c r="D219" s="408">
        <v>0</v>
      </c>
      <c r="E219" s="408"/>
      <c r="F219" s="445">
        <f ca="1">((100/L213)*D219)/100</f>
        <v>0</v>
      </c>
      <c r="G219" s="445"/>
      <c r="H219" s="445"/>
      <c r="I219" s="445"/>
      <c r="J219" s="445"/>
      <c r="K219" s="445"/>
      <c r="L219" s="458"/>
      <c r="M219" s="106" t="s">
        <v>495</v>
      </c>
      <c r="N219" s="109">
        <f ca="1">(IF(B213&gt;1,(L213/(B213+2)+N218),L213/4+N218))</f>
        <v>3.5</v>
      </c>
    </row>
    <row r="220" spans="1:14" s="97" customFormat="1" ht="15" customHeight="1" x14ac:dyDescent="0.2">
      <c r="A220" s="453" t="s">
        <v>496</v>
      </c>
      <c r="B220" s="408" t="s">
        <v>588</v>
      </c>
      <c r="C220" s="408"/>
      <c r="D220" s="408">
        <v>0</v>
      </c>
      <c r="E220" s="408"/>
      <c r="F220" s="445">
        <f ca="1">((100/L213)*D220)/100</f>
        <v>0</v>
      </c>
      <c r="G220" s="445"/>
      <c r="H220" s="445"/>
      <c r="I220" s="445"/>
      <c r="J220" s="445"/>
      <c r="K220" s="445"/>
      <c r="L220" s="458"/>
      <c r="M220" s="106" t="s">
        <v>497</v>
      </c>
      <c r="N220" s="109">
        <f>(IF(B213&gt;1,(L213/(B213+2)+N219),0))</f>
        <v>0</v>
      </c>
    </row>
    <row r="221" spans="1:14" s="97" customFormat="1" ht="15" customHeight="1" x14ac:dyDescent="0.2">
      <c r="A221" s="453" t="s">
        <v>498</v>
      </c>
      <c r="B221" s="408" t="s">
        <v>589</v>
      </c>
      <c r="C221" s="408"/>
      <c r="D221" s="408">
        <v>0</v>
      </c>
      <c r="E221" s="408"/>
      <c r="F221" s="445">
        <f ca="1">((100/(L213))*D221)/100</f>
        <v>0</v>
      </c>
      <c r="G221" s="445"/>
      <c r="H221" s="445"/>
      <c r="I221" s="445"/>
      <c r="J221" s="445"/>
      <c r="K221" s="445"/>
      <c r="L221" s="458"/>
      <c r="M221" s="106" t="s">
        <v>499</v>
      </c>
      <c r="N221" s="109">
        <f>(IF(B213&gt;2,(L213/(B213+2)+N220),0))</f>
        <v>0</v>
      </c>
    </row>
    <row r="222" spans="1:14" s="97" customFormat="1" ht="15" customHeight="1" x14ac:dyDescent="0.2">
      <c r="A222" s="453" t="s">
        <v>500</v>
      </c>
      <c r="B222" s="408" t="s">
        <v>500</v>
      </c>
      <c r="C222" s="408"/>
      <c r="D222" s="408">
        <v>0</v>
      </c>
      <c r="E222" s="408"/>
      <c r="F222" s="445">
        <f ca="1">((100/L213)*D222)/100</f>
        <v>0</v>
      </c>
      <c r="G222" s="445"/>
      <c r="H222" s="445"/>
      <c r="I222" s="445"/>
      <c r="J222" s="445"/>
      <c r="K222" s="445"/>
      <c r="L222" s="458"/>
      <c r="M222" s="106" t="s">
        <v>501</v>
      </c>
      <c r="N222" s="110">
        <f>(IF(B213&gt;3,(L213/(B213+2)+N221),0))</f>
        <v>0</v>
      </c>
    </row>
    <row r="223" spans="1:14" s="97" customFormat="1" ht="15" customHeight="1" x14ac:dyDescent="0.2">
      <c r="A223" s="453" t="s">
        <v>502</v>
      </c>
      <c r="B223" s="408"/>
      <c r="C223" s="408"/>
      <c r="D223" s="408">
        <v>0</v>
      </c>
      <c r="E223" s="408"/>
      <c r="F223" s="445">
        <f ca="1">((100/L213)*D223)/100</f>
        <v>0</v>
      </c>
      <c r="G223" s="445"/>
      <c r="H223" s="445"/>
      <c r="I223" s="445"/>
      <c r="J223" s="445"/>
      <c r="K223" s="445"/>
      <c r="L223" s="458"/>
      <c r="M223" s="106" t="s">
        <v>503</v>
      </c>
      <c r="N223" s="109">
        <f>(IF(B213&gt;4,(L213/(B213+2)+N222),0))</f>
        <v>0</v>
      </c>
    </row>
    <row r="224" spans="1:14" s="104" customFormat="1" ht="15" customHeight="1" x14ac:dyDescent="0.25">
      <c r="A224" s="453" t="s">
        <v>504</v>
      </c>
      <c r="B224" s="408" t="s">
        <v>504</v>
      </c>
      <c r="C224" s="408"/>
      <c r="D224" s="408">
        <v>0</v>
      </c>
      <c r="E224" s="408"/>
      <c r="F224" s="445">
        <f ca="1">((100/(L213))*D224)/100</f>
        <v>0</v>
      </c>
      <c r="G224" s="445"/>
      <c r="H224" s="445"/>
      <c r="I224" s="445"/>
      <c r="J224" s="445"/>
      <c r="K224" s="445"/>
      <c r="L224" s="458"/>
      <c r="M224" s="111" t="s">
        <v>505</v>
      </c>
      <c r="N224" s="112">
        <f ca="1">(IF(B213=1,(L213/(B213+3)+N219),IF(B213=0,(L213/4+N219),IF(B213&gt;1,0))))</f>
        <v>5.25</v>
      </c>
    </row>
    <row r="225" spans="1:14" s="97" customFormat="1" ht="15.75" customHeight="1" thickBot="1" x14ac:dyDescent="0.25">
      <c r="A225" s="460" t="s">
        <v>506</v>
      </c>
      <c r="B225" s="461"/>
      <c r="C225" s="461"/>
      <c r="D225" s="461">
        <v>0</v>
      </c>
      <c r="E225" s="461"/>
      <c r="F225" s="446">
        <f ca="1">((100/(L213))*C225)/100</f>
        <v>0</v>
      </c>
      <c r="G225" s="446"/>
      <c r="H225" s="446"/>
      <c r="I225" s="446"/>
      <c r="J225" s="446"/>
      <c r="K225" s="446"/>
      <c r="L225" s="459"/>
      <c r="M225" s="113" t="s">
        <v>507</v>
      </c>
      <c r="N225" s="114">
        <f ca="1">(IF(B213&gt;1.5,(L213/(B213+2)+N219+MAX(0,N220-N219)+MAX(0,N221-N220)+MAX(0,N222-N221)+MAX(0,N223-N222)+MAX(0,N224-N223)),IF(B213=1,(L213/(B213+3)+N224),IF(B213=0,L213/4+N224))))</f>
        <v>7</v>
      </c>
    </row>
    <row r="226" spans="1:14" customFormat="1" ht="15.75" customHeight="1" x14ac:dyDescent="0.3">
      <c r="A226" s="247" t="s">
        <v>472</v>
      </c>
      <c r="B226" s="248"/>
      <c r="C226" s="248"/>
      <c r="D226" s="248"/>
      <c r="E226" s="248"/>
      <c r="F226" s="248"/>
      <c r="G226" s="248"/>
      <c r="H226" s="248"/>
      <c r="I226" s="248"/>
      <c r="J226" s="248"/>
      <c r="K226" s="248"/>
      <c r="L226" s="249"/>
    </row>
    <row r="227" spans="1:14" customFormat="1" ht="15.75" customHeight="1" x14ac:dyDescent="0.3">
      <c r="A227" s="296" t="s">
        <v>95</v>
      </c>
      <c r="B227" s="297"/>
      <c r="C227" s="298"/>
      <c r="D227" s="302" t="s">
        <v>235</v>
      </c>
      <c r="E227" s="303"/>
      <c r="F227" s="304"/>
      <c r="G227" s="299" t="s">
        <v>236</v>
      </c>
      <c r="H227" s="300"/>
      <c r="I227" s="301"/>
      <c r="J227" s="296" t="s">
        <v>426</v>
      </c>
      <c r="K227" s="297"/>
      <c r="L227" s="298"/>
    </row>
    <row r="228" spans="1:14" customFormat="1" ht="14.45" x14ac:dyDescent="0.3">
      <c r="A228" s="400" t="s">
        <v>424</v>
      </c>
      <c r="B228" s="401"/>
      <c r="C228" s="402"/>
      <c r="D228" s="212">
        <f>COUNT(E251:E263)</f>
        <v>13</v>
      </c>
      <c r="E228" s="213"/>
      <c r="F228" s="214"/>
      <c r="G228" s="209">
        <f>SUM(E251:E263)</f>
        <v>3797.1086399999999</v>
      </c>
      <c r="H228" s="215"/>
      <c r="I228" s="216"/>
      <c r="J228" s="209">
        <f>SUM(H251:H263)</f>
        <v>4556.5303679999997</v>
      </c>
      <c r="K228" s="215"/>
      <c r="L228" s="216"/>
    </row>
    <row r="229" spans="1:14" customFormat="1" ht="14.45" x14ac:dyDescent="0.3">
      <c r="A229" s="400" t="s">
        <v>425</v>
      </c>
      <c r="B229" s="401"/>
      <c r="C229" s="402"/>
      <c r="D229" s="212">
        <f>COUNT(E267:E275)</f>
        <v>9</v>
      </c>
      <c r="E229" s="213"/>
      <c r="F229" s="214"/>
      <c r="G229" s="209">
        <f>SUM(E267:E275)</f>
        <v>3459.9801600000005</v>
      </c>
      <c r="H229" s="215"/>
      <c r="I229" s="216"/>
      <c r="J229" s="209">
        <f>SUM(H267:H275)</f>
        <v>4151.9761920000001</v>
      </c>
      <c r="K229" s="215"/>
      <c r="L229" s="216"/>
    </row>
    <row r="230" spans="1:14" customFormat="1" ht="14.45" x14ac:dyDescent="0.3">
      <c r="A230" s="296" t="s">
        <v>237</v>
      </c>
      <c r="B230" s="297"/>
      <c r="C230" s="298"/>
      <c r="D230" s="302">
        <f>SUM(D228:D229)</f>
        <v>22</v>
      </c>
      <c r="E230" s="303"/>
      <c r="F230" s="304"/>
      <c r="G230" s="206">
        <f>SUM(G228:G229)</f>
        <v>7257.0888000000004</v>
      </c>
      <c r="H230" s="207"/>
      <c r="I230" s="208"/>
      <c r="J230" s="296">
        <f>SUM(J228:J229)</f>
        <v>8708.5065599999998</v>
      </c>
      <c r="K230" s="297"/>
      <c r="L230" s="298"/>
    </row>
    <row r="231" spans="1:14" customFormat="1" ht="15.75" customHeight="1" x14ac:dyDescent="0.3">
      <c r="A231" s="247" t="s">
        <v>473</v>
      </c>
      <c r="B231" s="248"/>
      <c r="C231" s="248"/>
      <c r="D231" s="248"/>
      <c r="E231" s="248"/>
      <c r="F231" s="248"/>
      <c r="G231" s="248"/>
      <c r="H231" s="248"/>
      <c r="I231" s="248"/>
      <c r="J231" s="248"/>
      <c r="K231" s="248"/>
      <c r="L231" s="249"/>
    </row>
    <row r="232" spans="1:14" customFormat="1" ht="15.75" customHeight="1" x14ac:dyDescent="0.3">
      <c r="A232" s="296" t="s">
        <v>95</v>
      </c>
      <c r="B232" s="297"/>
      <c r="C232" s="298"/>
      <c r="D232" s="302" t="s">
        <v>235</v>
      </c>
      <c r="E232" s="303"/>
      <c r="F232" s="304"/>
      <c r="G232" s="299" t="s">
        <v>236</v>
      </c>
      <c r="H232" s="300"/>
      <c r="I232" s="301"/>
      <c r="J232" s="296" t="s">
        <v>426</v>
      </c>
      <c r="K232" s="297"/>
      <c r="L232" s="298"/>
    </row>
    <row r="233" spans="1:14" customFormat="1" ht="14.45" x14ac:dyDescent="0.3">
      <c r="A233" s="400" t="s">
        <v>424</v>
      </c>
      <c r="B233" s="401"/>
      <c r="C233" s="402"/>
      <c r="D233" s="212">
        <f>COUNT(E283:E288)+COUNT(E289:E294)+COUNT(E295:E300)+COUNT(E301:E306)+COUNT(E307:E312)+COUNT(E313:E318)</f>
        <v>36</v>
      </c>
      <c r="E233" s="213"/>
      <c r="F233" s="214"/>
      <c r="G233" s="209">
        <f>SUM(E283:E288)+SUM(E289:E294)+SUM(E295:E300)+SUM(E301:E306)+SUM(E307:E312)+SUM(E313:E318)</f>
        <v>19975.419476999996</v>
      </c>
      <c r="H233" s="215"/>
      <c r="I233" s="216"/>
      <c r="J233" s="209">
        <f>SUM(F283:F288)+SUM(F289:F294)+SUM(F295:F300)+SUM(F301:F306)+SUM(F307:F312)+SUM(F313:F318)</f>
        <v>23970.503372399995</v>
      </c>
      <c r="K233" s="215"/>
      <c r="L233" s="216"/>
      <c r="M233">
        <f>6*6</f>
        <v>36</v>
      </c>
    </row>
    <row r="234" spans="1:14" customFormat="1" x14ac:dyDescent="0.25">
      <c r="A234" s="400" t="s">
        <v>425</v>
      </c>
      <c r="B234" s="401"/>
      <c r="C234" s="402"/>
      <c r="D234" s="212">
        <f>COUNT(E321:E328)+COUNT(E329:E336)+COUNT(E337:E344)+COUNT(E345:E352)+COUNT(E353:E360)+COUNT(E361:E362)</f>
        <v>42</v>
      </c>
      <c r="E234" s="213"/>
      <c r="F234" s="214"/>
      <c r="G234" s="209">
        <f>SUM(E321:E328)+SUM(E329:E336)+SUM(E337:E344)+SUM(E345:E352)+SUM(E353:E360)+SUM(E361:E362)</f>
        <v>19586.944025999997</v>
      </c>
      <c r="H234" s="215"/>
      <c r="I234" s="216"/>
      <c r="J234" s="209">
        <f>SUM(F321:F328)+SUM(F329:F336)+SUM(F337:F344)+SUM(F345:F352)+SUM(F353:F360)+SUM(F361:F362)</f>
        <v>23504.332831199998</v>
      </c>
      <c r="K234" s="215"/>
      <c r="L234" s="216"/>
      <c r="M234">
        <f>8*5+2</f>
        <v>42</v>
      </c>
    </row>
    <row r="235" spans="1:14" customFormat="1" x14ac:dyDescent="0.25">
      <c r="A235" s="296" t="s">
        <v>237</v>
      </c>
      <c r="B235" s="297"/>
      <c r="C235" s="298"/>
      <c r="D235" s="403">
        <f>SUM(D233:D234)</f>
        <v>78</v>
      </c>
      <c r="E235" s="303"/>
      <c r="F235" s="304"/>
      <c r="G235" s="206">
        <f>SUM(G233:G234)</f>
        <v>39562.363502999993</v>
      </c>
      <c r="H235" s="207"/>
      <c r="I235" s="208"/>
      <c r="J235" s="296">
        <f>SUM(J233:J234)</f>
        <v>47474.836203599989</v>
      </c>
      <c r="K235" s="297"/>
      <c r="L235" s="298"/>
    </row>
    <row r="236" spans="1:14" customFormat="1" ht="15.75" customHeight="1" x14ac:dyDescent="0.25">
      <c r="A236" s="247" t="s">
        <v>474</v>
      </c>
      <c r="B236" s="248"/>
      <c r="C236" s="248"/>
      <c r="D236" s="248"/>
      <c r="E236" s="248"/>
      <c r="F236" s="248"/>
      <c r="G236" s="248"/>
      <c r="H236" s="248"/>
      <c r="I236" s="248"/>
      <c r="J236" s="248"/>
      <c r="K236" s="248"/>
      <c r="L236" s="249"/>
    </row>
    <row r="237" spans="1:14" customFormat="1" ht="15.75" customHeight="1" x14ac:dyDescent="0.25">
      <c r="A237" s="206" t="s">
        <v>95</v>
      </c>
      <c r="B237" s="207"/>
      <c r="C237" s="208"/>
      <c r="D237" s="302" t="s">
        <v>235</v>
      </c>
      <c r="E237" s="303"/>
      <c r="F237" s="304"/>
      <c r="G237" s="299" t="s">
        <v>236</v>
      </c>
      <c r="H237" s="300"/>
      <c r="I237" s="301"/>
      <c r="J237" s="206" t="s">
        <v>426</v>
      </c>
      <c r="K237" s="207"/>
      <c r="L237" s="208"/>
    </row>
    <row r="238" spans="1:14" customFormat="1" x14ac:dyDescent="0.25">
      <c r="A238" s="209" t="s">
        <v>424</v>
      </c>
      <c r="B238" s="210"/>
      <c r="C238" s="211"/>
      <c r="D238" s="212">
        <f>COUNT(E376:E381)</f>
        <v>6</v>
      </c>
      <c r="E238" s="213"/>
      <c r="F238" s="214"/>
      <c r="G238" s="209">
        <f>SUM(E376:E381)</f>
        <v>3507.137244</v>
      </c>
      <c r="H238" s="215"/>
      <c r="I238" s="216"/>
      <c r="J238" s="209">
        <f>SUM(F376:F381)</f>
        <v>4208.5646927999996</v>
      </c>
      <c r="K238" s="215"/>
      <c r="L238" s="216"/>
    </row>
    <row r="239" spans="1:14" customFormat="1" x14ac:dyDescent="0.25">
      <c r="A239" s="209" t="s">
        <v>425</v>
      </c>
      <c r="B239" s="210"/>
      <c r="C239" s="211"/>
      <c r="D239" s="212">
        <f>COUNT(E384:E391)</f>
        <v>8</v>
      </c>
      <c r="E239" s="213"/>
      <c r="F239" s="214"/>
      <c r="G239" s="209">
        <f>SUM(E384:E391)</f>
        <v>3819.9929040000006</v>
      </c>
      <c r="H239" s="215"/>
      <c r="I239" s="216"/>
      <c r="J239" s="209">
        <f>SUM(F384:F391)</f>
        <v>4583.9914847999999</v>
      </c>
      <c r="K239" s="215"/>
      <c r="L239" s="216"/>
    </row>
    <row r="240" spans="1:14" customFormat="1" x14ac:dyDescent="0.25">
      <c r="A240" s="206" t="s">
        <v>237</v>
      </c>
      <c r="B240" s="207"/>
      <c r="C240" s="208"/>
      <c r="D240" s="302">
        <f>SUM(D238:D239)</f>
        <v>14</v>
      </c>
      <c r="E240" s="303"/>
      <c r="F240" s="304"/>
      <c r="G240" s="206">
        <f>SUM(G238:G239)</f>
        <v>7327.1301480000002</v>
      </c>
      <c r="H240" s="207"/>
      <c r="I240" s="208"/>
      <c r="J240" s="206">
        <f>SUM(J238:J239)</f>
        <v>8792.5561775999995</v>
      </c>
      <c r="K240" s="207"/>
      <c r="L240" s="208"/>
    </row>
    <row r="241" spans="1:14" customFormat="1" ht="16.5" customHeight="1" x14ac:dyDescent="0.25">
      <c r="A241" s="206" t="s">
        <v>238</v>
      </c>
      <c r="B241" s="207"/>
      <c r="C241" s="208"/>
      <c r="D241" s="403">
        <f>D230+D235+D240</f>
        <v>114</v>
      </c>
      <c r="E241" s="484"/>
      <c r="F241" s="485"/>
      <c r="G241" s="206">
        <f>G230+G235+G240</f>
        <v>54146.582450999995</v>
      </c>
      <c r="H241" s="207"/>
      <c r="I241" s="208"/>
      <c r="J241" s="206">
        <f>J230+J235+J240</f>
        <v>64975.898941199994</v>
      </c>
      <c r="K241" s="207"/>
      <c r="L241" s="208"/>
    </row>
    <row r="242" spans="1:14" ht="31.5" customHeight="1" x14ac:dyDescent="0.25">
      <c r="A242" s="41" t="s">
        <v>6</v>
      </c>
      <c r="B242" s="203" t="s">
        <v>11</v>
      </c>
      <c r="C242" s="203"/>
      <c r="D242" s="203"/>
      <c r="E242" s="203"/>
      <c r="F242" s="203"/>
      <c r="G242" s="203" t="s">
        <v>12</v>
      </c>
      <c r="H242" s="203"/>
      <c r="I242" s="203"/>
      <c r="J242" s="203"/>
      <c r="K242" s="203"/>
      <c r="L242" s="203"/>
    </row>
    <row r="243" spans="1:14" ht="15.6" x14ac:dyDescent="0.25">
      <c r="A243" s="397" t="s">
        <v>239</v>
      </c>
      <c r="B243" s="398"/>
      <c r="C243" s="398"/>
      <c r="D243" s="398"/>
      <c r="E243" s="398"/>
      <c r="F243" s="398"/>
      <c r="G243" s="398"/>
      <c r="H243" s="398"/>
      <c r="I243" s="398"/>
      <c r="J243" s="398"/>
      <c r="K243" s="398"/>
      <c r="L243" s="399"/>
    </row>
    <row r="244" spans="1:14" ht="15.6" x14ac:dyDescent="0.25">
      <c r="A244" s="225" t="s">
        <v>413</v>
      </c>
      <c r="B244" s="226"/>
      <c r="C244" s="226"/>
      <c r="D244" s="226"/>
      <c r="E244" s="226"/>
      <c r="F244" s="226"/>
      <c r="G244" s="226"/>
      <c r="H244" s="226"/>
      <c r="I244" s="226"/>
      <c r="J244" s="226"/>
      <c r="K244" s="226"/>
      <c r="L244" s="227"/>
    </row>
    <row r="245" spans="1:14" customFormat="1" ht="27" customHeight="1" x14ac:dyDescent="0.25">
      <c r="A245" s="394" t="s">
        <v>67</v>
      </c>
      <c r="B245" s="158" t="s">
        <v>68</v>
      </c>
      <c r="C245" s="158" t="s">
        <v>69</v>
      </c>
      <c r="D245" s="158" t="s">
        <v>70</v>
      </c>
      <c r="E245" s="158" t="s">
        <v>83</v>
      </c>
      <c r="F245" s="158" t="s">
        <v>607</v>
      </c>
      <c r="G245" s="158" t="s">
        <v>606</v>
      </c>
      <c r="H245" s="158" t="s">
        <v>243</v>
      </c>
      <c r="I245" s="158" t="s">
        <v>592</v>
      </c>
      <c r="J245" s="259"/>
      <c r="K245" s="259"/>
      <c r="L245" s="158"/>
    </row>
    <row r="246" spans="1:14" customFormat="1" ht="38.25" customHeight="1" x14ac:dyDescent="0.25">
      <c r="A246" s="395"/>
      <c r="B246" s="159"/>
      <c r="C246" s="159"/>
      <c r="D246" s="159"/>
      <c r="E246" s="159"/>
      <c r="F246" s="159"/>
      <c r="G246" s="159"/>
      <c r="H246" s="159"/>
      <c r="I246" s="160"/>
      <c r="J246" s="479"/>
      <c r="K246" s="260"/>
      <c r="L246" s="159"/>
    </row>
    <row r="247" spans="1:14" customFormat="1" x14ac:dyDescent="0.25">
      <c r="A247" s="396"/>
      <c r="B247" s="160"/>
      <c r="C247" s="160"/>
      <c r="D247" s="160"/>
      <c r="E247" s="160"/>
      <c r="F247" s="160"/>
      <c r="G247" s="160"/>
      <c r="H247" s="160"/>
      <c r="I247" s="153">
        <v>2500</v>
      </c>
      <c r="J247" s="480"/>
      <c r="K247" s="261"/>
      <c r="L247" s="160"/>
    </row>
    <row r="248" spans="1:14" customFormat="1" ht="14.45" x14ac:dyDescent="0.3">
      <c r="A248" s="391" t="s">
        <v>409</v>
      </c>
      <c r="B248" s="392"/>
      <c r="C248" s="392"/>
      <c r="D248" s="392"/>
      <c r="E248" s="392"/>
      <c r="F248" s="392"/>
      <c r="G248" s="392"/>
      <c r="H248" s="392"/>
      <c r="I248" s="392"/>
      <c r="J248" s="392"/>
      <c r="K248" s="392"/>
      <c r="L248" s="393"/>
    </row>
    <row r="249" spans="1:14" customFormat="1" ht="14.45" x14ac:dyDescent="0.3">
      <c r="A249" s="481" t="s">
        <v>621</v>
      </c>
      <c r="B249" s="482"/>
      <c r="C249" s="482"/>
      <c r="D249" s="482"/>
      <c r="E249" s="482"/>
      <c r="F249" s="482"/>
      <c r="G249" s="482"/>
      <c r="H249" s="482"/>
      <c r="I249" s="482"/>
      <c r="J249" s="482"/>
      <c r="K249" s="482"/>
      <c r="L249" s="483"/>
    </row>
    <row r="250" spans="1:14" customFormat="1" x14ac:dyDescent="0.25">
      <c r="A250" s="481" t="s">
        <v>622</v>
      </c>
      <c r="B250" s="482"/>
      <c r="C250" s="482"/>
      <c r="D250" s="482"/>
      <c r="E250" s="482"/>
      <c r="F250" s="482"/>
      <c r="G250" s="482"/>
      <c r="H250" s="482"/>
      <c r="I250" s="482"/>
      <c r="J250" s="482"/>
      <c r="K250" s="482"/>
      <c r="L250" s="483"/>
    </row>
    <row r="251" spans="1:14" customFormat="1" ht="15" customHeight="1" x14ac:dyDescent="0.25">
      <c r="A251" s="117">
        <v>1</v>
      </c>
      <c r="B251" s="282" t="s">
        <v>599</v>
      </c>
      <c r="C251" s="121" t="s">
        <v>111</v>
      </c>
      <c r="D251" s="118" t="s">
        <v>411</v>
      </c>
      <c r="E251" s="119">
        <f>(15.5)*(10.764)</f>
        <v>166.84199999999998</v>
      </c>
      <c r="F251" s="118">
        <v>0</v>
      </c>
      <c r="G251" s="119">
        <f>E251+(IF(F251&lt;201,F251,IF(F251&lt;301,F251/2,F251/3)))</f>
        <v>166.84199999999998</v>
      </c>
      <c r="H251" s="120">
        <f>G251*1.2</f>
        <v>200.21039999999996</v>
      </c>
      <c r="I251" s="120">
        <f>H251*I$247</f>
        <v>500525.99999999988</v>
      </c>
      <c r="J251" s="120"/>
      <c r="K251" s="117" t="s">
        <v>170</v>
      </c>
      <c r="L251" s="122" t="s">
        <v>170</v>
      </c>
      <c r="M251" s="149">
        <f>4.98*2.63</f>
        <v>13.0974</v>
      </c>
      <c r="N251" s="49">
        <f>10.764</f>
        <v>10.763999999999999</v>
      </c>
    </row>
    <row r="252" spans="1:14" customFormat="1" x14ac:dyDescent="0.25">
      <c r="A252" s="117">
        <f>A251+1</f>
        <v>2</v>
      </c>
      <c r="B252" s="283"/>
      <c r="C252" s="121" t="s">
        <v>111</v>
      </c>
      <c r="D252" s="118" t="s">
        <v>411</v>
      </c>
      <c r="E252" s="119">
        <f>(17.47)*(10.764)</f>
        <v>188.04707999999997</v>
      </c>
      <c r="F252" s="118">
        <v>0</v>
      </c>
      <c r="G252" s="119">
        <f t="shared" ref="G252:G263" si="0">E252+(IF(F252&lt;201,F252,IF(F252&lt;301,F252/2,F252/3)))</f>
        <v>188.04707999999997</v>
      </c>
      <c r="H252" s="120">
        <f t="shared" ref="H252:H263" si="1">G252*1.2</f>
        <v>225.65649599999995</v>
      </c>
      <c r="I252" s="120">
        <f t="shared" ref="I252:I263" si="2">H252*I$247</f>
        <v>564141.23999999987</v>
      </c>
      <c r="J252" s="120"/>
      <c r="K252" s="117" t="s">
        <v>170</v>
      </c>
      <c r="L252" s="122" t="s">
        <v>170</v>
      </c>
      <c r="M252" s="149"/>
    </row>
    <row r="253" spans="1:14" customFormat="1" x14ac:dyDescent="0.25">
      <c r="A253" s="117">
        <f t="shared" ref="A253:A263" si="3">A252+1</f>
        <v>3</v>
      </c>
      <c r="B253" s="283"/>
      <c r="C253" s="121" t="s">
        <v>111</v>
      </c>
      <c r="D253" s="118" t="s">
        <v>411</v>
      </c>
      <c r="E253" s="119">
        <f>(20.59)*(10.764)</f>
        <v>221.63075999999998</v>
      </c>
      <c r="F253" s="118">
        <v>0</v>
      </c>
      <c r="G253" s="119">
        <f t="shared" si="0"/>
        <v>221.63075999999998</v>
      </c>
      <c r="H253" s="120">
        <f t="shared" si="1"/>
        <v>265.95691199999999</v>
      </c>
      <c r="I253" s="120">
        <f t="shared" si="2"/>
        <v>664892.28</v>
      </c>
      <c r="J253" s="120"/>
      <c r="K253" s="117" t="s">
        <v>170</v>
      </c>
      <c r="L253" s="122" t="s">
        <v>170</v>
      </c>
      <c r="M253" s="149"/>
    </row>
    <row r="254" spans="1:14" customFormat="1" x14ac:dyDescent="0.25">
      <c r="A254" s="117">
        <f t="shared" si="3"/>
        <v>4</v>
      </c>
      <c r="B254" s="283"/>
      <c r="C254" s="121" t="s">
        <v>111</v>
      </c>
      <c r="D254" s="118" t="s">
        <v>411</v>
      </c>
      <c r="E254" s="119">
        <f>(37.46)*(10.764)</f>
        <v>403.21943999999996</v>
      </c>
      <c r="F254" s="118">
        <v>0</v>
      </c>
      <c r="G254" s="119">
        <f t="shared" si="0"/>
        <v>403.21943999999996</v>
      </c>
      <c r="H254" s="120">
        <f t="shared" si="1"/>
        <v>483.86332799999991</v>
      </c>
      <c r="I254" s="120">
        <f t="shared" si="2"/>
        <v>1209658.3199999998</v>
      </c>
      <c r="J254" s="120"/>
      <c r="K254" s="117" t="s">
        <v>170</v>
      </c>
      <c r="L254" s="122" t="s">
        <v>170</v>
      </c>
      <c r="M254" s="149"/>
    </row>
    <row r="255" spans="1:14" customFormat="1" x14ac:dyDescent="0.25">
      <c r="A255" s="117">
        <f t="shared" si="3"/>
        <v>5</v>
      </c>
      <c r="B255" s="283"/>
      <c r="C255" s="121" t="s">
        <v>111</v>
      </c>
      <c r="D255" s="118" t="s">
        <v>411</v>
      </c>
      <c r="E255" s="119">
        <f>(17.23)*(10.764)</f>
        <v>185.46372</v>
      </c>
      <c r="F255" s="118">
        <v>0</v>
      </c>
      <c r="G255" s="119">
        <f t="shared" si="0"/>
        <v>185.46372</v>
      </c>
      <c r="H255" s="120">
        <f t="shared" si="1"/>
        <v>222.55646399999998</v>
      </c>
      <c r="I255" s="120">
        <f>H255*I$247</f>
        <v>556391.15999999992</v>
      </c>
      <c r="J255" s="120"/>
      <c r="K255" s="117" t="s">
        <v>170</v>
      </c>
      <c r="L255" s="122" t="s">
        <v>170</v>
      </c>
      <c r="M255" s="149"/>
    </row>
    <row r="256" spans="1:14" customFormat="1" x14ac:dyDescent="0.25">
      <c r="A256" s="117">
        <f t="shared" si="3"/>
        <v>6</v>
      </c>
      <c r="B256" s="283"/>
      <c r="C256" s="121" t="s">
        <v>111</v>
      </c>
      <c r="D256" s="118" t="s">
        <v>411</v>
      </c>
      <c r="E256" s="119">
        <f>(40.37)*(10.764)</f>
        <v>434.54267999999996</v>
      </c>
      <c r="F256" s="118">
        <v>0</v>
      </c>
      <c r="G256" s="119">
        <f t="shared" si="0"/>
        <v>434.54267999999996</v>
      </c>
      <c r="H256" s="120">
        <f t="shared" si="1"/>
        <v>521.45121599999993</v>
      </c>
      <c r="I256" s="120">
        <f t="shared" si="2"/>
        <v>1303628.0399999998</v>
      </c>
      <c r="J256" s="120"/>
      <c r="K256" s="117" t="s">
        <v>170</v>
      </c>
      <c r="L256" s="122" t="s">
        <v>170</v>
      </c>
      <c r="M256" s="149">
        <f>2.92*13.66</f>
        <v>39.8872</v>
      </c>
    </row>
    <row r="257" spans="1:13" customFormat="1" x14ac:dyDescent="0.25">
      <c r="A257" s="117">
        <f t="shared" si="3"/>
        <v>7</v>
      </c>
      <c r="B257" s="283"/>
      <c r="C257" s="121" t="s">
        <v>111</v>
      </c>
      <c r="D257" s="118" t="s">
        <v>411</v>
      </c>
      <c r="E257" s="119">
        <f>(36.81)*(10.764)</f>
        <v>396.22284000000002</v>
      </c>
      <c r="F257" s="118">
        <v>0</v>
      </c>
      <c r="G257" s="119">
        <f t="shared" si="0"/>
        <v>396.22284000000002</v>
      </c>
      <c r="H257" s="120">
        <f t="shared" si="1"/>
        <v>475.46740799999998</v>
      </c>
      <c r="I257" s="120">
        <f t="shared" si="2"/>
        <v>1188668.52</v>
      </c>
      <c r="J257" s="120"/>
      <c r="K257" s="117" t="s">
        <v>170</v>
      </c>
      <c r="L257" s="122" t="s">
        <v>170</v>
      </c>
      <c r="M257" s="149"/>
    </row>
    <row r="258" spans="1:13" customFormat="1" x14ac:dyDescent="0.25">
      <c r="A258" s="117">
        <f t="shared" si="3"/>
        <v>8</v>
      </c>
      <c r="B258" s="283"/>
      <c r="C258" s="121" t="s">
        <v>111</v>
      </c>
      <c r="D258" s="118" t="s">
        <v>411</v>
      </c>
      <c r="E258" s="119">
        <f>(39.37)*(10.764)</f>
        <v>423.77867999999995</v>
      </c>
      <c r="F258" s="118">
        <v>0</v>
      </c>
      <c r="G258" s="119">
        <f t="shared" si="0"/>
        <v>423.77867999999995</v>
      </c>
      <c r="H258" s="120">
        <f t="shared" si="1"/>
        <v>508.53441599999991</v>
      </c>
      <c r="I258" s="120">
        <f t="shared" si="2"/>
        <v>1271336.0399999998</v>
      </c>
      <c r="J258" s="120"/>
      <c r="K258" s="117" t="s">
        <v>170</v>
      </c>
      <c r="L258" s="122" t="s">
        <v>170</v>
      </c>
    </row>
    <row r="259" spans="1:13" customFormat="1" x14ac:dyDescent="0.25">
      <c r="A259" s="117">
        <f t="shared" si="3"/>
        <v>9</v>
      </c>
      <c r="B259" s="283"/>
      <c r="C259" s="121" t="s">
        <v>111</v>
      </c>
      <c r="D259" s="118" t="s">
        <v>411</v>
      </c>
      <c r="E259" s="119">
        <f>(21.03)*(10.764)</f>
        <v>226.36691999999999</v>
      </c>
      <c r="F259" s="118">
        <v>0</v>
      </c>
      <c r="G259" s="119">
        <f t="shared" si="0"/>
        <v>226.36691999999999</v>
      </c>
      <c r="H259" s="120">
        <f t="shared" si="1"/>
        <v>271.64030399999996</v>
      </c>
      <c r="I259" s="120">
        <f t="shared" si="2"/>
        <v>679100.75999999989</v>
      </c>
      <c r="J259" s="120"/>
      <c r="K259" s="117" t="s">
        <v>170</v>
      </c>
      <c r="L259" s="122" t="s">
        <v>170</v>
      </c>
    </row>
    <row r="260" spans="1:13" customFormat="1" x14ac:dyDescent="0.25">
      <c r="A260" s="117">
        <f t="shared" si="3"/>
        <v>10</v>
      </c>
      <c r="B260" s="283"/>
      <c r="C260" s="121" t="s">
        <v>111</v>
      </c>
      <c r="D260" s="118" t="s">
        <v>411</v>
      </c>
      <c r="E260" s="119">
        <f>(20.6)*(10.764)</f>
        <v>221.73840000000001</v>
      </c>
      <c r="F260" s="118">
        <v>0</v>
      </c>
      <c r="G260" s="119">
        <f t="shared" si="0"/>
        <v>221.73840000000001</v>
      </c>
      <c r="H260" s="120">
        <f t="shared" si="1"/>
        <v>266.08607999999998</v>
      </c>
      <c r="I260" s="120">
        <f t="shared" si="2"/>
        <v>665215.19999999995</v>
      </c>
      <c r="J260" s="120"/>
      <c r="K260" s="117" t="s">
        <v>170</v>
      </c>
      <c r="L260" s="122" t="s">
        <v>170</v>
      </c>
    </row>
    <row r="261" spans="1:13" customFormat="1" x14ac:dyDescent="0.25">
      <c r="A261" s="117">
        <f t="shared" si="3"/>
        <v>11</v>
      </c>
      <c r="B261" s="283"/>
      <c r="C261" s="121" t="s">
        <v>111</v>
      </c>
      <c r="D261" s="118" t="s">
        <v>411</v>
      </c>
      <c r="E261" s="119">
        <f>(17.96)*(10.764)</f>
        <v>193.32144</v>
      </c>
      <c r="F261" s="118">
        <v>0</v>
      </c>
      <c r="G261" s="119">
        <f t="shared" si="0"/>
        <v>193.32144</v>
      </c>
      <c r="H261" s="120">
        <f t="shared" si="1"/>
        <v>231.98572799999999</v>
      </c>
      <c r="I261" s="120">
        <f t="shared" si="2"/>
        <v>579964.31999999995</v>
      </c>
      <c r="J261" s="120"/>
      <c r="K261" s="117" t="s">
        <v>170</v>
      </c>
      <c r="L261" s="122" t="s">
        <v>170</v>
      </c>
    </row>
    <row r="262" spans="1:13" customFormat="1" x14ac:dyDescent="0.25">
      <c r="A262" s="117">
        <f t="shared" si="3"/>
        <v>12</v>
      </c>
      <c r="B262" s="283"/>
      <c r="C262" s="121" t="s">
        <v>111</v>
      </c>
      <c r="D262" s="118" t="s">
        <v>411</v>
      </c>
      <c r="E262" s="119">
        <f>(36.21)*(10.764)</f>
        <v>389.76443999999998</v>
      </c>
      <c r="F262" s="118">
        <v>0</v>
      </c>
      <c r="G262" s="119">
        <f t="shared" si="0"/>
        <v>389.76443999999998</v>
      </c>
      <c r="H262" s="120">
        <f t="shared" si="1"/>
        <v>467.71732799999995</v>
      </c>
      <c r="I262" s="120">
        <f t="shared" si="2"/>
        <v>1169293.3199999998</v>
      </c>
      <c r="J262" s="120"/>
      <c r="K262" s="117" t="s">
        <v>170</v>
      </c>
      <c r="L262" s="122" t="s">
        <v>170</v>
      </c>
    </row>
    <row r="263" spans="1:13" customFormat="1" x14ac:dyDescent="0.25">
      <c r="A263" s="117">
        <f t="shared" si="3"/>
        <v>13</v>
      </c>
      <c r="B263" s="284"/>
      <c r="C263" s="121" t="s">
        <v>111</v>
      </c>
      <c r="D263" s="118" t="s">
        <v>411</v>
      </c>
      <c r="E263" s="119">
        <f>(32.16)*(10.764)</f>
        <v>346.17023999999992</v>
      </c>
      <c r="F263" s="118">
        <v>0</v>
      </c>
      <c r="G263" s="119">
        <f t="shared" si="0"/>
        <v>346.17023999999992</v>
      </c>
      <c r="H263" s="120">
        <f t="shared" si="1"/>
        <v>415.40428799999989</v>
      </c>
      <c r="I263" s="120">
        <f t="shared" si="2"/>
        <v>1038510.7199999997</v>
      </c>
      <c r="J263" s="120"/>
      <c r="K263" s="117" t="s">
        <v>170</v>
      </c>
      <c r="L263" s="122" t="s">
        <v>170</v>
      </c>
    </row>
    <row r="264" spans="1:13" customFormat="1" x14ac:dyDescent="0.25">
      <c r="A264" s="285" t="s">
        <v>412</v>
      </c>
      <c r="B264" s="285"/>
      <c r="C264" s="285"/>
      <c r="D264" s="285"/>
      <c r="E264" s="285"/>
      <c r="F264" s="285"/>
      <c r="G264" s="285"/>
      <c r="H264" s="285"/>
      <c r="I264" s="285"/>
      <c r="J264" s="285"/>
      <c r="K264" s="285"/>
      <c r="L264" s="285"/>
    </row>
    <row r="265" spans="1:13" customFormat="1" x14ac:dyDescent="0.25">
      <c r="A265" s="481" t="s">
        <v>621</v>
      </c>
      <c r="B265" s="482"/>
      <c r="C265" s="482"/>
      <c r="D265" s="482"/>
      <c r="E265" s="482"/>
      <c r="F265" s="482"/>
      <c r="G265" s="482"/>
      <c r="H265" s="482"/>
      <c r="I265" s="482"/>
      <c r="J265" s="482"/>
      <c r="K265" s="482"/>
      <c r="L265" s="483"/>
    </row>
    <row r="266" spans="1:13" customFormat="1" x14ac:dyDescent="0.25">
      <c r="A266" s="286" t="s">
        <v>410</v>
      </c>
      <c r="B266" s="286"/>
      <c r="C266" s="286"/>
      <c r="D266" s="286"/>
      <c r="E266" s="286"/>
      <c r="F266" s="286"/>
      <c r="G266" s="286"/>
      <c r="H266" s="286"/>
      <c r="I266" s="286"/>
      <c r="J266" s="286"/>
      <c r="K266" s="286"/>
      <c r="L266" s="286"/>
    </row>
    <row r="267" spans="1:13" customFormat="1" x14ac:dyDescent="0.25">
      <c r="A267" s="117">
        <f>A263+1</f>
        <v>14</v>
      </c>
      <c r="B267" s="282" t="s">
        <v>599</v>
      </c>
      <c r="C267" s="121" t="s">
        <v>112</v>
      </c>
      <c r="D267" s="118" t="s">
        <v>411</v>
      </c>
      <c r="E267" s="119">
        <f>(35.71)*(10.764)</f>
        <v>384.38243999999997</v>
      </c>
      <c r="F267" s="118">
        <v>0</v>
      </c>
      <c r="G267" s="119">
        <f t="shared" ref="G267:G275" si="4">E267+(IF(F267&lt;201,F267,IF(F267&lt;301,F267/2,F267/3)))</f>
        <v>384.38243999999997</v>
      </c>
      <c r="H267" s="120">
        <f t="shared" ref="H267:H275" si="5">G267*1.2</f>
        <v>461.25892799999997</v>
      </c>
      <c r="I267" s="120">
        <f t="shared" ref="I267:I275" si="6">H267*I$247</f>
        <v>1153147.3199999998</v>
      </c>
      <c r="J267" s="120"/>
      <c r="K267" s="117" t="s">
        <v>170</v>
      </c>
      <c r="L267" s="122" t="s">
        <v>170</v>
      </c>
    </row>
    <row r="268" spans="1:13" customFormat="1" x14ac:dyDescent="0.25">
      <c r="A268" s="117">
        <f t="shared" ref="A268:A275" si="7">A267+1</f>
        <v>15</v>
      </c>
      <c r="B268" s="283"/>
      <c r="C268" s="121" t="s">
        <v>112</v>
      </c>
      <c r="D268" s="118" t="s">
        <v>411</v>
      </c>
      <c r="E268" s="119">
        <f>(41.42)*(10.764)</f>
        <v>445.84487999999999</v>
      </c>
      <c r="F268" s="118">
        <v>0</v>
      </c>
      <c r="G268" s="119">
        <f t="shared" si="4"/>
        <v>445.84487999999999</v>
      </c>
      <c r="H268" s="120">
        <f t="shared" si="5"/>
        <v>535.01385599999992</v>
      </c>
      <c r="I268" s="120">
        <f t="shared" si="6"/>
        <v>1337534.6399999999</v>
      </c>
      <c r="J268" s="120"/>
      <c r="K268" s="117" t="s">
        <v>170</v>
      </c>
      <c r="L268" s="122" t="s">
        <v>170</v>
      </c>
    </row>
    <row r="269" spans="1:13" customFormat="1" x14ac:dyDescent="0.25">
      <c r="A269" s="117">
        <f t="shared" si="7"/>
        <v>16</v>
      </c>
      <c r="B269" s="283"/>
      <c r="C269" s="121" t="s">
        <v>112</v>
      </c>
      <c r="D269" s="118" t="s">
        <v>411</v>
      </c>
      <c r="E269" s="119">
        <f>(37.85)*(10.764)</f>
        <v>407.41739999999999</v>
      </c>
      <c r="F269" s="118">
        <v>0</v>
      </c>
      <c r="G269" s="119">
        <f t="shared" si="4"/>
        <v>407.41739999999999</v>
      </c>
      <c r="H269" s="120">
        <f t="shared" si="5"/>
        <v>488.90087999999997</v>
      </c>
      <c r="I269" s="120">
        <f t="shared" si="6"/>
        <v>1222252.2</v>
      </c>
      <c r="J269" s="120"/>
      <c r="K269" s="117" t="s">
        <v>170</v>
      </c>
      <c r="L269" s="122" t="s">
        <v>170</v>
      </c>
    </row>
    <row r="270" spans="1:13" customFormat="1" x14ac:dyDescent="0.25">
      <c r="A270" s="117">
        <f t="shared" si="7"/>
        <v>17</v>
      </c>
      <c r="B270" s="283"/>
      <c r="C270" s="121" t="s">
        <v>112</v>
      </c>
      <c r="D270" s="118" t="s">
        <v>411</v>
      </c>
      <c r="E270" s="119">
        <f>(42.02)*(10.764)</f>
        <v>452.30328000000003</v>
      </c>
      <c r="F270" s="118">
        <v>0</v>
      </c>
      <c r="G270" s="119">
        <f t="shared" si="4"/>
        <v>452.30328000000003</v>
      </c>
      <c r="H270" s="120">
        <f t="shared" si="5"/>
        <v>542.76393600000006</v>
      </c>
      <c r="I270" s="120">
        <f t="shared" si="6"/>
        <v>1356909.84</v>
      </c>
      <c r="J270" s="120"/>
      <c r="K270" s="117" t="s">
        <v>170</v>
      </c>
      <c r="L270" s="122" t="s">
        <v>170</v>
      </c>
    </row>
    <row r="271" spans="1:13" customFormat="1" x14ac:dyDescent="0.25">
      <c r="A271" s="117">
        <f t="shared" si="7"/>
        <v>18</v>
      </c>
      <c r="B271" s="283"/>
      <c r="C271" s="121" t="s">
        <v>112</v>
      </c>
      <c r="D271" s="118" t="s">
        <v>411</v>
      </c>
      <c r="E271" s="119">
        <f>(49.54)*(10.764)</f>
        <v>533.24856</v>
      </c>
      <c r="F271" s="118">
        <v>0</v>
      </c>
      <c r="G271" s="119">
        <f t="shared" si="4"/>
        <v>533.24856</v>
      </c>
      <c r="H271" s="120">
        <f t="shared" si="5"/>
        <v>639.89827200000002</v>
      </c>
      <c r="I271" s="120">
        <f t="shared" si="6"/>
        <v>1599745.68</v>
      </c>
      <c r="J271" s="120"/>
      <c r="K271" s="117" t="s">
        <v>170</v>
      </c>
      <c r="L271" s="122" t="s">
        <v>170</v>
      </c>
    </row>
    <row r="272" spans="1:13" customFormat="1" x14ac:dyDescent="0.25">
      <c r="A272" s="117">
        <f t="shared" si="7"/>
        <v>19</v>
      </c>
      <c r="B272" s="283"/>
      <c r="C272" s="121" t="s">
        <v>112</v>
      </c>
      <c r="D272" s="118" t="s">
        <v>411</v>
      </c>
      <c r="E272" s="119">
        <f>(21.85)*(10.764)</f>
        <v>235.1934</v>
      </c>
      <c r="F272" s="118">
        <v>0</v>
      </c>
      <c r="G272" s="119">
        <f t="shared" si="4"/>
        <v>235.1934</v>
      </c>
      <c r="H272" s="120">
        <f t="shared" si="5"/>
        <v>282.23208</v>
      </c>
      <c r="I272" s="120">
        <f t="shared" si="6"/>
        <v>705580.2</v>
      </c>
      <c r="J272" s="120"/>
      <c r="K272" s="117" t="s">
        <v>170</v>
      </c>
      <c r="L272" s="122" t="s">
        <v>170</v>
      </c>
    </row>
    <row r="273" spans="1:13" customFormat="1" x14ac:dyDescent="0.25">
      <c r="A273" s="117">
        <f t="shared" si="7"/>
        <v>20</v>
      </c>
      <c r="B273" s="283"/>
      <c r="C273" s="121" t="s">
        <v>112</v>
      </c>
      <c r="D273" s="118" t="s">
        <v>411</v>
      </c>
      <c r="E273" s="119">
        <f>(24.72)*(10.764)</f>
        <v>266.08607999999998</v>
      </c>
      <c r="F273" s="118">
        <v>0</v>
      </c>
      <c r="G273" s="119">
        <f t="shared" si="4"/>
        <v>266.08607999999998</v>
      </c>
      <c r="H273" s="120">
        <f t="shared" si="5"/>
        <v>319.30329599999999</v>
      </c>
      <c r="I273" s="120">
        <f t="shared" si="6"/>
        <v>798258.24</v>
      </c>
      <c r="J273" s="120"/>
      <c r="K273" s="117" t="s">
        <v>170</v>
      </c>
      <c r="L273" s="122" t="s">
        <v>170</v>
      </c>
    </row>
    <row r="274" spans="1:13" customFormat="1" x14ac:dyDescent="0.25">
      <c r="A274" s="117">
        <f t="shared" si="7"/>
        <v>21</v>
      </c>
      <c r="B274" s="283"/>
      <c r="C274" s="121" t="s">
        <v>112</v>
      </c>
      <c r="D274" s="118" t="s">
        <v>411</v>
      </c>
      <c r="E274" s="119">
        <f>(30.32)*(10.764)</f>
        <v>326.36447999999996</v>
      </c>
      <c r="F274" s="118">
        <v>0</v>
      </c>
      <c r="G274" s="119">
        <f t="shared" si="4"/>
        <v>326.36447999999996</v>
      </c>
      <c r="H274" s="120">
        <f t="shared" si="5"/>
        <v>391.63737599999996</v>
      </c>
      <c r="I274" s="120">
        <f t="shared" si="6"/>
        <v>979093.44</v>
      </c>
      <c r="J274" s="120"/>
      <c r="K274" s="117" t="s">
        <v>170</v>
      </c>
      <c r="L274" s="122" t="s">
        <v>170</v>
      </c>
    </row>
    <row r="275" spans="1:13" customFormat="1" x14ac:dyDescent="0.25">
      <c r="A275" s="117">
        <f t="shared" si="7"/>
        <v>22</v>
      </c>
      <c r="B275" s="284"/>
      <c r="C275" s="121" t="s">
        <v>112</v>
      </c>
      <c r="D275" s="118" t="s">
        <v>411</v>
      </c>
      <c r="E275" s="119">
        <f>(38.01)*(10.764)</f>
        <v>409.13963999999993</v>
      </c>
      <c r="F275" s="118">
        <v>0</v>
      </c>
      <c r="G275" s="119">
        <f t="shared" si="4"/>
        <v>409.13963999999993</v>
      </c>
      <c r="H275" s="120">
        <f t="shared" si="5"/>
        <v>490.96756799999991</v>
      </c>
      <c r="I275" s="120">
        <f t="shared" si="6"/>
        <v>1227418.9199999997</v>
      </c>
      <c r="J275" s="120"/>
      <c r="K275" s="117" t="s">
        <v>170</v>
      </c>
      <c r="L275" s="122" t="s">
        <v>170</v>
      </c>
    </row>
    <row r="276" spans="1:13" ht="15.75" x14ac:dyDescent="0.25">
      <c r="A276" s="225"/>
      <c r="B276" s="226"/>
      <c r="C276" s="226"/>
      <c r="D276" s="226"/>
      <c r="E276" s="226"/>
      <c r="F276" s="226"/>
      <c r="G276" s="226"/>
      <c r="H276" s="226"/>
      <c r="I276" s="226"/>
      <c r="J276" s="226"/>
      <c r="K276" s="226"/>
      <c r="L276" s="227"/>
    </row>
    <row r="277" spans="1:13" ht="15.75" x14ac:dyDescent="0.25">
      <c r="A277" s="225" t="s">
        <v>468</v>
      </c>
      <c r="B277" s="226"/>
      <c r="C277" s="226"/>
      <c r="D277" s="226"/>
      <c r="E277" s="226"/>
      <c r="F277" s="226"/>
      <c r="G277" s="226"/>
      <c r="H277" s="226"/>
      <c r="I277" s="226"/>
      <c r="J277" s="226"/>
      <c r="K277" s="226"/>
      <c r="L277" s="227"/>
    </row>
    <row r="278" spans="1:13" customFormat="1" ht="38.25" customHeight="1" x14ac:dyDescent="0.25">
      <c r="A278" s="158" t="s">
        <v>67</v>
      </c>
      <c r="B278" s="158" t="s">
        <v>68</v>
      </c>
      <c r="C278" s="158" t="s">
        <v>69</v>
      </c>
      <c r="D278" s="158" t="s">
        <v>70</v>
      </c>
      <c r="E278" s="158" t="s">
        <v>83</v>
      </c>
      <c r="F278" s="158" t="s">
        <v>243</v>
      </c>
      <c r="G278" s="18" t="s">
        <v>609</v>
      </c>
      <c r="H278" s="128" t="s">
        <v>610</v>
      </c>
      <c r="I278" s="158" t="s">
        <v>592</v>
      </c>
      <c r="J278" s="158" t="s">
        <v>593</v>
      </c>
      <c r="K278" s="486" t="s">
        <v>608</v>
      </c>
      <c r="L278" s="487"/>
    </row>
    <row r="279" spans="1:13" customFormat="1" ht="31.5" customHeight="1" x14ac:dyDescent="0.25">
      <c r="A279" s="159"/>
      <c r="B279" s="159"/>
      <c r="C279" s="159"/>
      <c r="D279" s="159"/>
      <c r="E279" s="159"/>
      <c r="F279" s="159"/>
      <c r="G279" s="18" t="s">
        <v>611</v>
      </c>
      <c r="H279" s="18" t="s">
        <v>611</v>
      </c>
      <c r="I279" s="160"/>
      <c r="J279" s="159"/>
      <c r="K279" s="488"/>
      <c r="L279" s="489"/>
    </row>
    <row r="280" spans="1:13" customFormat="1" x14ac:dyDescent="0.25">
      <c r="A280" s="160"/>
      <c r="B280" s="160"/>
      <c r="C280" s="160"/>
      <c r="D280" s="160"/>
      <c r="E280" s="160"/>
      <c r="F280" s="160"/>
      <c r="G280" s="523">
        <v>500</v>
      </c>
      <c r="H280" s="523">
        <v>14500</v>
      </c>
      <c r="I280" s="523">
        <v>2500</v>
      </c>
      <c r="J280" s="160"/>
      <c r="K280" s="490"/>
      <c r="L280" s="491"/>
    </row>
    <row r="281" spans="1:13" customFormat="1" x14ac:dyDescent="0.25">
      <c r="A281" s="285" t="s">
        <v>409</v>
      </c>
      <c r="B281" s="285"/>
      <c r="C281" s="285"/>
      <c r="D281" s="285"/>
      <c r="E281" s="285"/>
      <c r="F281" s="285"/>
      <c r="G281" s="285"/>
      <c r="H281" s="285"/>
      <c r="I281" s="285"/>
      <c r="J281" s="285"/>
      <c r="K281" s="285"/>
      <c r="L281" s="285"/>
    </row>
    <row r="282" spans="1:13" customFormat="1" x14ac:dyDescent="0.25">
      <c r="A282" s="286" t="s">
        <v>623</v>
      </c>
      <c r="B282" s="286"/>
      <c r="C282" s="286"/>
      <c r="D282" s="286"/>
      <c r="E282" s="286"/>
      <c r="F282" s="286"/>
      <c r="G282" s="286"/>
      <c r="H282" s="286"/>
      <c r="I282" s="286"/>
      <c r="J282" s="286"/>
      <c r="K282" s="286"/>
      <c r="L282" s="286"/>
      <c r="M282" s="154">
        <v>10.763999999999999</v>
      </c>
    </row>
    <row r="283" spans="1:13" customFormat="1" x14ac:dyDescent="0.25">
      <c r="A283" s="117">
        <v>1</v>
      </c>
      <c r="B283" s="256" t="s">
        <v>624</v>
      </c>
      <c r="C283" s="118">
        <f>LEFT(B283,SUM(LEN(B283)-LEN(SUBSTITUTE(B283,{"0","1","2","3","4","5","6","7","8","9"},""))))*100+1</f>
        <v>101</v>
      </c>
      <c r="D283" s="118" t="s">
        <v>100</v>
      </c>
      <c r="E283" s="119">
        <f>(31.93+(0.65*5.25))*(10.764)</f>
        <v>380.42667</v>
      </c>
      <c r="F283" s="119">
        <f>E283*1.2</f>
        <v>456.51200399999999</v>
      </c>
      <c r="G283" s="120">
        <f>E283*G$280</f>
        <v>190213.33499999999</v>
      </c>
      <c r="H283" s="120">
        <f>E283*$H$280</f>
        <v>5516186.7149999999</v>
      </c>
      <c r="I283" s="116">
        <f>$I$280*F283</f>
        <v>1141280.01</v>
      </c>
      <c r="J283" s="115">
        <v>10000</v>
      </c>
      <c r="K283" s="163">
        <f>H283+G283</f>
        <v>5706400.0499999998</v>
      </c>
      <c r="L283" s="164"/>
      <c r="M283" s="154">
        <f>((0.65*5.25))*10.764</f>
        <v>36.732149999999997</v>
      </c>
    </row>
    <row r="284" spans="1:13" customFormat="1" x14ac:dyDescent="0.25">
      <c r="A284" s="117">
        <f>A283+1</f>
        <v>2</v>
      </c>
      <c r="B284" s="257"/>
      <c r="C284" s="118">
        <f t="shared" ref="C284:C288" si="8">C283+1</f>
        <v>102</v>
      </c>
      <c r="D284" s="118" t="s">
        <v>104</v>
      </c>
      <c r="E284" s="119">
        <f>(52.84+(3*0.95+0.5*8.4*0.85+2.72*0.9))*(10.764)</f>
        <v>664.22491200000002</v>
      </c>
      <c r="F284" s="119">
        <f t="shared" ref="F284:F288" si="9">E284*1.2</f>
        <v>797.06989439999995</v>
      </c>
      <c r="G284" s="120">
        <f t="shared" ref="G284:G288" si="10">E284*G$280</f>
        <v>332112.45600000001</v>
      </c>
      <c r="H284" s="120">
        <f>E284*$H$280</f>
        <v>9631261.2239999995</v>
      </c>
      <c r="I284" s="116">
        <f t="shared" ref="I284:I288" si="11">$I$280*F284</f>
        <v>1992674.7359999998</v>
      </c>
      <c r="J284" s="115">
        <v>14000</v>
      </c>
      <c r="K284" s="163">
        <f>H284+G284</f>
        <v>9963373.6799999997</v>
      </c>
      <c r="L284" s="164"/>
      <c r="M284" s="154">
        <f>((3*0.95+0.5*8.4*0.85+2.72*0.9))*10.764</f>
        <v>95.455151999999998</v>
      </c>
    </row>
    <row r="285" spans="1:13" customFormat="1" x14ac:dyDescent="0.25">
      <c r="A285" s="117">
        <f>A284+1</f>
        <v>3</v>
      </c>
      <c r="B285" s="257"/>
      <c r="C285" s="118">
        <f t="shared" si="8"/>
        <v>103</v>
      </c>
      <c r="D285" s="118" t="s">
        <v>104</v>
      </c>
      <c r="E285" s="119">
        <f>(48.9+(2.93*1.75))*(10.764)</f>
        <v>581.55200999999988</v>
      </c>
      <c r="F285" s="119">
        <f t="shared" si="9"/>
        <v>697.86241199999984</v>
      </c>
      <c r="G285" s="120">
        <f t="shared" si="10"/>
        <v>290776.00499999995</v>
      </c>
      <c r="H285" s="120">
        <f t="shared" ref="H284:H288" si="12">E285*$H$280</f>
        <v>8432504.1449999977</v>
      </c>
      <c r="I285" s="116">
        <f t="shared" si="11"/>
        <v>1744656.0299999996</v>
      </c>
      <c r="J285" s="115">
        <v>14000</v>
      </c>
      <c r="K285" s="163">
        <f t="shared" ref="K284:K288" si="13">H285+G285</f>
        <v>8723280.1499999985</v>
      </c>
      <c r="L285" s="164"/>
      <c r="M285" s="154">
        <f>((2.93*1.75))*10.764</f>
        <v>55.192410000000002</v>
      </c>
    </row>
    <row r="286" spans="1:13" customFormat="1" x14ac:dyDescent="0.25">
      <c r="A286" s="117">
        <f t="shared" ref="A286:A289" si="14">A285+1</f>
        <v>4</v>
      </c>
      <c r="B286" s="257"/>
      <c r="C286" s="118">
        <f t="shared" si="8"/>
        <v>104</v>
      </c>
      <c r="D286" s="118" t="s">
        <v>104</v>
      </c>
      <c r="E286" s="119">
        <f>(45.67+(3.04*1.42+2.19*1.16)+3.31)*(10.764)</f>
        <v>601.03162080000004</v>
      </c>
      <c r="F286" s="119">
        <f t="shared" si="9"/>
        <v>721.23794496000005</v>
      </c>
      <c r="G286" s="120">
        <f t="shared" si="10"/>
        <v>300515.81040000002</v>
      </c>
      <c r="H286" s="120">
        <f t="shared" si="12"/>
        <v>8714958.501600001</v>
      </c>
      <c r="I286" s="116">
        <f t="shared" si="11"/>
        <v>1803094.8624000002</v>
      </c>
      <c r="J286" s="115">
        <v>14000</v>
      </c>
      <c r="K286" s="163">
        <f t="shared" si="13"/>
        <v>9015474.3120000008</v>
      </c>
      <c r="L286" s="164"/>
      <c r="M286" s="154">
        <f>((3.04*1.42+2.19*1.16))*10.764</f>
        <v>73.810900799999985</v>
      </c>
    </row>
    <row r="287" spans="1:13" customFormat="1" x14ac:dyDescent="0.25">
      <c r="A287" s="117">
        <f t="shared" si="14"/>
        <v>5</v>
      </c>
      <c r="B287" s="257"/>
      <c r="C287" s="118">
        <f t="shared" si="8"/>
        <v>105</v>
      </c>
      <c r="D287" s="118" t="s">
        <v>104</v>
      </c>
      <c r="E287" s="119">
        <f>(46.59+(1.2*2.89+0.5*1.25*2.89+0.5*1.25*2+0.65*2.75))*(10.764)</f>
        <v>590.96243700000002</v>
      </c>
      <c r="F287" s="119">
        <f t="shared" si="9"/>
        <v>709.15492440000003</v>
      </c>
      <c r="G287" s="120">
        <f t="shared" si="10"/>
        <v>295481.21850000002</v>
      </c>
      <c r="H287" s="120">
        <f>E287*$H$280</f>
        <v>8568955.3365000002</v>
      </c>
      <c r="I287" s="116">
        <f t="shared" si="11"/>
        <v>1772887.311</v>
      </c>
      <c r="J287" s="115">
        <v>14000</v>
      </c>
      <c r="K287" s="163">
        <f t="shared" si="13"/>
        <v>8864436.5549999997</v>
      </c>
      <c r="L287" s="164"/>
      <c r="M287" s="154">
        <f>((1.2*2.89+0.5*1.25*2.89+0.5*1.25*2+0.65*2.75))*10.764</f>
        <v>89.467676999999995</v>
      </c>
    </row>
    <row r="288" spans="1:13" customFormat="1" x14ac:dyDescent="0.25">
      <c r="A288" s="117">
        <f t="shared" si="14"/>
        <v>6</v>
      </c>
      <c r="B288" s="258"/>
      <c r="C288" s="118">
        <f t="shared" si="8"/>
        <v>106</v>
      </c>
      <c r="D288" s="118" t="s">
        <v>100</v>
      </c>
      <c r="E288" s="119">
        <f>(30.81+(0.65*5.3+2.71*1.88))*(10.764)</f>
        <v>423.56124719999997</v>
      </c>
      <c r="F288" s="119">
        <f t="shared" si="9"/>
        <v>508.27349663999996</v>
      </c>
      <c r="G288" s="120">
        <f t="shared" si="10"/>
        <v>211780.62359999999</v>
      </c>
      <c r="H288" s="120">
        <f t="shared" si="12"/>
        <v>6141638.0843999991</v>
      </c>
      <c r="I288" s="116">
        <f t="shared" si="11"/>
        <v>1270683.7415999998</v>
      </c>
      <c r="J288" s="115">
        <v>10000</v>
      </c>
      <c r="K288" s="163">
        <f t="shared" si="13"/>
        <v>6353418.7079999987</v>
      </c>
      <c r="L288" s="164"/>
      <c r="M288" s="154">
        <f>((0.65*5.3+2.71*1.88))*10.764</f>
        <v>91.922407199999995</v>
      </c>
    </row>
    <row r="289" spans="1:12" customFormat="1" x14ac:dyDescent="0.25">
      <c r="A289" s="117">
        <f t="shared" si="14"/>
        <v>7</v>
      </c>
      <c r="B289" s="256" t="s">
        <v>625</v>
      </c>
      <c r="C289" s="118">
        <f>LEFT(B289,SUM(LEN(B289)-LEN(SUBSTITUTE(B289,{"0","1","2","3","4","5","6","7","8","9"},""))))*100+1</f>
        <v>201</v>
      </c>
      <c r="D289" s="118" t="s">
        <v>100</v>
      </c>
      <c r="E289" s="119">
        <f>(31.93+0.75*(2.75+2.1+2.75))*(10.764)</f>
        <v>405.04931999999991</v>
      </c>
      <c r="F289" s="119">
        <f>E289*1.2</f>
        <v>486.05918399999985</v>
      </c>
      <c r="G289" s="120">
        <f>E289*G$280</f>
        <v>202524.65999999995</v>
      </c>
      <c r="H289" s="120">
        <f>E289*$H$280</f>
        <v>5873215.1399999987</v>
      </c>
      <c r="I289" s="116">
        <f>$I$280*F289</f>
        <v>1215147.9599999997</v>
      </c>
      <c r="J289" s="115">
        <v>10000</v>
      </c>
      <c r="K289" s="163">
        <f>H289+G289</f>
        <v>6075739.7999999989</v>
      </c>
      <c r="L289" s="164"/>
    </row>
    <row r="290" spans="1:12" customFormat="1" x14ac:dyDescent="0.25">
      <c r="A290" s="117">
        <f>A289+1</f>
        <v>8</v>
      </c>
      <c r="B290" s="257"/>
      <c r="C290" s="118">
        <f t="shared" ref="C290:C294" si="15">C289+1</f>
        <v>202</v>
      </c>
      <c r="D290" s="118" t="s">
        <v>104</v>
      </c>
      <c r="E290" s="119">
        <f>(52.84+0.75*3+2.97*1.2+1*(2.62+2.72))*(10.764)</f>
        <v>688.83141599999999</v>
      </c>
      <c r="F290" s="119">
        <f t="shared" ref="F290:F294" si="16">E290*1.2</f>
        <v>826.59769919999997</v>
      </c>
      <c r="G290" s="120">
        <f t="shared" ref="G290:G294" si="17">E290*G$280</f>
        <v>344415.70799999998</v>
      </c>
      <c r="H290" s="120">
        <f t="shared" ref="H290:H294" si="18">E290*$H$280</f>
        <v>9988055.5319999997</v>
      </c>
      <c r="I290" s="116">
        <f t="shared" ref="I290:I294" si="19">$I$280*F290</f>
        <v>2066494.2479999999</v>
      </c>
      <c r="J290" s="115">
        <v>14000</v>
      </c>
      <c r="K290" s="163">
        <f t="shared" ref="K290:K294" si="20">H290+G290</f>
        <v>10332471.24</v>
      </c>
      <c r="L290" s="164"/>
    </row>
    <row r="291" spans="1:12" customFormat="1" x14ac:dyDescent="0.25">
      <c r="A291" s="117">
        <f>A290+1</f>
        <v>9</v>
      </c>
      <c r="B291" s="257"/>
      <c r="C291" s="118">
        <f t="shared" si="15"/>
        <v>203</v>
      </c>
      <c r="D291" s="118" t="s">
        <v>104</v>
      </c>
      <c r="E291" s="119">
        <f>(48.9+0.75*2.86+2.93*1.2+1*(2.66+2.87))*(10.764)</f>
        <v>646.819524</v>
      </c>
      <c r="F291" s="119">
        <f t="shared" si="16"/>
        <v>776.1834288</v>
      </c>
      <c r="G291" s="120">
        <f t="shared" si="17"/>
        <v>323409.76199999999</v>
      </c>
      <c r="H291" s="120">
        <f t="shared" si="18"/>
        <v>9378883.0979999993</v>
      </c>
      <c r="I291" s="116">
        <f t="shared" si="19"/>
        <v>1940458.5719999999</v>
      </c>
      <c r="J291" s="115">
        <v>14000</v>
      </c>
      <c r="K291" s="163">
        <f t="shared" si="20"/>
        <v>9702292.8599999994</v>
      </c>
      <c r="L291" s="164"/>
    </row>
    <row r="292" spans="1:12" customFormat="1" x14ac:dyDescent="0.25">
      <c r="A292" s="117">
        <f t="shared" ref="A292:A295" si="21">A291+1</f>
        <v>10</v>
      </c>
      <c r="B292" s="257"/>
      <c r="C292" s="118">
        <f t="shared" si="15"/>
        <v>204</v>
      </c>
      <c r="D292" s="118" t="s">
        <v>104</v>
      </c>
      <c r="E292" s="119">
        <f>(45.67+0.75*2.75+3.04*1.2+1*1.17+1*3.31)*(10.764)</f>
        <v>601.282422</v>
      </c>
      <c r="F292" s="119">
        <f t="shared" si="16"/>
        <v>721.53890639999997</v>
      </c>
      <c r="G292" s="120">
        <f t="shared" si="17"/>
        <v>300641.21100000001</v>
      </c>
      <c r="H292" s="120">
        <f t="shared" si="18"/>
        <v>8718595.1190000009</v>
      </c>
      <c r="I292" s="116">
        <f t="shared" si="19"/>
        <v>1803847.2659999998</v>
      </c>
      <c r="J292" s="115">
        <v>14000</v>
      </c>
      <c r="K292" s="163">
        <f t="shared" si="20"/>
        <v>9019236.3300000001</v>
      </c>
      <c r="L292" s="164"/>
    </row>
    <row r="293" spans="1:12" customFormat="1" x14ac:dyDescent="0.25">
      <c r="A293" s="117">
        <f t="shared" si="21"/>
        <v>11</v>
      </c>
      <c r="B293" s="257"/>
      <c r="C293" s="118">
        <f t="shared" si="15"/>
        <v>205</v>
      </c>
      <c r="D293" s="118" t="s">
        <v>104</v>
      </c>
      <c r="E293" s="119">
        <f>(46.59+1.3*2.82+1*2.4+0.75*(2.75+2.87))*(10.764)</f>
        <v>612.15944399999989</v>
      </c>
      <c r="F293" s="119">
        <f t="shared" si="16"/>
        <v>734.5913327999998</v>
      </c>
      <c r="G293" s="120">
        <f t="shared" si="17"/>
        <v>306079.72199999995</v>
      </c>
      <c r="H293" s="120">
        <f t="shared" si="18"/>
        <v>8876311.9379999992</v>
      </c>
      <c r="I293" s="116">
        <f t="shared" si="19"/>
        <v>1836478.3319999995</v>
      </c>
      <c r="J293" s="115">
        <v>14000</v>
      </c>
      <c r="K293" s="163">
        <f t="shared" si="20"/>
        <v>9182391.6599999983</v>
      </c>
      <c r="L293" s="164"/>
    </row>
    <row r="294" spans="1:12" customFormat="1" x14ac:dyDescent="0.25">
      <c r="A294" s="117">
        <f t="shared" si="21"/>
        <v>12</v>
      </c>
      <c r="B294" s="258"/>
      <c r="C294" s="118">
        <f t="shared" si="15"/>
        <v>206</v>
      </c>
      <c r="D294" s="118" t="s">
        <v>100</v>
      </c>
      <c r="E294" s="119">
        <f>(30.81+0.75*(2.75+2.05+2.75))*(10.764)</f>
        <v>392.58998999999994</v>
      </c>
      <c r="F294" s="119">
        <f t="shared" si="16"/>
        <v>471.10798799999992</v>
      </c>
      <c r="G294" s="120">
        <f t="shared" si="17"/>
        <v>196294.99499999997</v>
      </c>
      <c r="H294" s="120">
        <f t="shared" si="18"/>
        <v>5692554.8549999995</v>
      </c>
      <c r="I294" s="116">
        <f t="shared" si="19"/>
        <v>1177769.9699999997</v>
      </c>
      <c r="J294" s="115">
        <v>10000</v>
      </c>
      <c r="K294" s="163">
        <f t="shared" si="20"/>
        <v>5888849.8499999996</v>
      </c>
      <c r="L294" s="164"/>
    </row>
    <row r="295" spans="1:12" customFormat="1" x14ac:dyDescent="0.25">
      <c r="A295" s="117">
        <f t="shared" si="21"/>
        <v>13</v>
      </c>
      <c r="B295" s="256" t="s">
        <v>594</v>
      </c>
      <c r="C295" s="118">
        <f>LEFT(B295,SUM(LEN(B295)-LEN(SUBSTITUTE(B295,{"0","1","2","3","4","5","6","7","8","9"},""))))*100+1</f>
        <v>301</v>
      </c>
      <c r="D295" s="118" t="s">
        <v>100</v>
      </c>
      <c r="E295" s="119">
        <f>(31.93+0.75*(2.75+2.1+2.75))*(10.764)</f>
        <v>405.04931999999991</v>
      </c>
      <c r="F295" s="119">
        <f>E295*1.2</f>
        <v>486.05918399999985</v>
      </c>
      <c r="G295" s="120">
        <f>E295*G$280</f>
        <v>202524.65999999995</v>
      </c>
      <c r="H295" s="120">
        <f>E295*$H$280</f>
        <v>5873215.1399999987</v>
      </c>
      <c r="I295" s="116">
        <f>$I$280*F295</f>
        <v>1215147.9599999997</v>
      </c>
      <c r="J295" s="115">
        <v>10000</v>
      </c>
      <c r="K295" s="163">
        <f>H295+G295</f>
        <v>6075739.7999999989</v>
      </c>
      <c r="L295" s="164"/>
    </row>
    <row r="296" spans="1:12" customFormat="1" x14ac:dyDescent="0.25">
      <c r="A296" s="117">
        <f>A295+1</f>
        <v>14</v>
      </c>
      <c r="B296" s="257"/>
      <c r="C296" s="118">
        <f t="shared" ref="C296:C300" si="22">C295+1</f>
        <v>302</v>
      </c>
      <c r="D296" s="118" t="s">
        <v>104</v>
      </c>
      <c r="E296" s="119">
        <f>(52.84+0.75*3+2.97*1.2+1*(2.62+2.72))*(10.764)</f>
        <v>688.83141599999999</v>
      </c>
      <c r="F296" s="119">
        <f t="shared" ref="F296:F300" si="23">E296*1.2</f>
        <v>826.59769919999997</v>
      </c>
      <c r="G296" s="120">
        <f t="shared" ref="G296:G300" si="24">E296*G$280</f>
        <v>344415.70799999998</v>
      </c>
      <c r="H296" s="120">
        <f t="shared" ref="H296:H300" si="25">E296*$H$280</f>
        <v>9988055.5319999997</v>
      </c>
      <c r="I296" s="116">
        <f t="shared" ref="I296:I300" si="26">$I$280*F296</f>
        <v>2066494.2479999999</v>
      </c>
      <c r="J296" s="115">
        <v>14000</v>
      </c>
      <c r="K296" s="163">
        <f t="shared" ref="K296:K300" si="27">H296+G296</f>
        <v>10332471.24</v>
      </c>
      <c r="L296" s="164"/>
    </row>
    <row r="297" spans="1:12" customFormat="1" x14ac:dyDescent="0.25">
      <c r="A297" s="117">
        <f>A296+1</f>
        <v>15</v>
      </c>
      <c r="B297" s="257"/>
      <c r="C297" s="118">
        <f t="shared" si="22"/>
        <v>303</v>
      </c>
      <c r="D297" s="118" t="s">
        <v>104</v>
      </c>
      <c r="E297" s="119">
        <f>(48.9+0.75*2.86+2.93*1.2+1*(2.66+2.87))*(10.764)</f>
        <v>646.819524</v>
      </c>
      <c r="F297" s="119">
        <f t="shared" si="23"/>
        <v>776.1834288</v>
      </c>
      <c r="G297" s="120">
        <f t="shared" si="24"/>
        <v>323409.76199999999</v>
      </c>
      <c r="H297" s="120">
        <f t="shared" si="25"/>
        <v>9378883.0979999993</v>
      </c>
      <c r="I297" s="116">
        <f t="shared" si="26"/>
        <v>1940458.5719999999</v>
      </c>
      <c r="J297" s="115">
        <v>14000</v>
      </c>
      <c r="K297" s="163">
        <f t="shared" si="27"/>
        <v>9702292.8599999994</v>
      </c>
      <c r="L297" s="164"/>
    </row>
    <row r="298" spans="1:12" customFormat="1" x14ac:dyDescent="0.25">
      <c r="A298" s="117">
        <f t="shared" ref="A298:A301" si="28">A297+1</f>
        <v>16</v>
      </c>
      <c r="B298" s="257"/>
      <c r="C298" s="118">
        <f t="shared" si="22"/>
        <v>304</v>
      </c>
      <c r="D298" s="118" t="s">
        <v>104</v>
      </c>
      <c r="E298" s="119">
        <f>(45.67+0.75*2.75+3.04*1.2+1*1.17+1*3.31)*(10.764)</f>
        <v>601.282422</v>
      </c>
      <c r="F298" s="119">
        <f t="shared" si="23"/>
        <v>721.53890639999997</v>
      </c>
      <c r="G298" s="120">
        <f t="shared" si="24"/>
        <v>300641.21100000001</v>
      </c>
      <c r="H298" s="120">
        <f t="shared" si="25"/>
        <v>8718595.1190000009</v>
      </c>
      <c r="I298" s="116">
        <f t="shared" si="26"/>
        <v>1803847.2659999998</v>
      </c>
      <c r="J298" s="115">
        <v>14000</v>
      </c>
      <c r="K298" s="163">
        <f t="shared" si="27"/>
        <v>9019236.3300000001</v>
      </c>
      <c r="L298" s="164"/>
    </row>
    <row r="299" spans="1:12" customFormat="1" x14ac:dyDescent="0.25">
      <c r="A299" s="117">
        <f t="shared" si="28"/>
        <v>17</v>
      </c>
      <c r="B299" s="257"/>
      <c r="C299" s="118">
        <f t="shared" si="22"/>
        <v>305</v>
      </c>
      <c r="D299" s="118" t="s">
        <v>104</v>
      </c>
      <c r="E299" s="119">
        <f>(46.59+1.3*2.82+1*2.4+0.75*(2.75+2.87))*(10.764)</f>
        <v>612.15944399999989</v>
      </c>
      <c r="F299" s="119">
        <f t="shared" si="23"/>
        <v>734.5913327999998</v>
      </c>
      <c r="G299" s="120">
        <f t="shared" si="24"/>
        <v>306079.72199999995</v>
      </c>
      <c r="H299" s="120">
        <f t="shared" si="25"/>
        <v>8876311.9379999992</v>
      </c>
      <c r="I299" s="116">
        <f t="shared" si="26"/>
        <v>1836478.3319999995</v>
      </c>
      <c r="J299" s="115">
        <v>14000</v>
      </c>
      <c r="K299" s="163">
        <f t="shared" si="27"/>
        <v>9182391.6599999983</v>
      </c>
      <c r="L299" s="164"/>
    </row>
    <row r="300" spans="1:12" customFormat="1" x14ac:dyDescent="0.25">
      <c r="A300" s="117">
        <f t="shared" si="28"/>
        <v>18</v>
      </c>
      <c r="B300" s="258"/>
      <c r="C300" s="118">
        <f t="shared" si="22"/>
        <v>306</v>
      </c>
      <c r="D300" s="118" t="s">
        <v>100</v>
      </c>
      <c r="E300" s="119">
        <f>(30.81+0.75*(2.75+2.05+2.75))*(10.764)</f>
        <v>392.58998999999994</v>
      </c>
      <c r="F300" s="119">
        <f t="shared" si="23"/>
        <v>471.10798799999992</v>
      </c>
      <c r="G300" s="120">
        <f t="shared" si="24"/>
        <v>196294.99499999997</v>
      </c>
      <c r="H300" s="120">
        <f t="shared" si="25"/>
        <v>5692554.8549999995</v>
      </c>
      <c r="I300" s="116">
        <f t="shared" si="26"/>
        <v>1177769.9699999997</v>
      </c>
      <c r="J300" s="115">
        <v>10000</v>
      </c>
      <c r="K300" s="163">
        <f t="shared" si="27"/>
        <v>5888849.8499999996</v>
      </c>
      <c r="L300" s="164"/>
    </row>
    <row r="301" spans="1:12" customFormat="1" x14ac:dyDescent="0.25">
      <c r="A301" s="117">
        <f t="shared" si="28"/>
        <v>19</v>
      </c>
      <c r="B301" s="256" t="s">
        <v>595</v>
      </c>
      <c r="C301" s="118">
        <f>LEFT(B301,SUM(LEN(B301)-LEN(SUBSTITUTE(B301,{"0","1","2","3","4","5","6","7","8","9"},""))))*100+1</f>
        <v>401</v>
      </c>
      <c r="D301" s="118" t="s">
        <v>100</v>
      </c>
      <c r="E301" s="119">
        <f>(31.93+0.75*(2.75+2.1+2.75))*(10.764)</f>
        <v>405.04931999999991</v>
      </c>
      <c r="F301" s="119">
        <f>E301*1.2</f>
        <v>486.05918399999985</v>
      </c>
      <c r="G301" s="120">
        <f>E301*G$280</f>
        <v>202524.65999999995</v>
      </c>
      <c r="H301" s="120">
        <f>E301*$H$280</f>
        <v>5873215.1399999987</v>
      </c>
      <c r="I301" s="116">
        <f>$I$280*F301</f>
        <v>1215147.9599999997</v>
      </c>
      <c r="J301" s="115">
        <v>10000</v>
      </c>
      <c r="K301" s="163">
        <f>H301+G301</f>
        <v>6075739.7999999989</v>
      </c>
      <c r="L301" s="164"/>
    </row>
    <row r="302" spans="1:12" customFormat="1" x14ac:dyDescent="0.25">
      <c r="A302" s="117">
        <f>A301+1</f>
        <v>20</v>
      </c>
      <c r="B302" s="257"/>
      <c r="C302" s="118">
        <f t="shared" ref="C302:C306" si="29">C301+1</f>
        <v>402</v>
      </c>
      <c r="D302" s="118" t="s">
        <v>104</v>
      </c>
      <c r="E302" s="119">
        <f>(52.84+0.75*3+2.97*1.2+1*(2.62+2.72))*(10.764)</f>
        <v>688.83141599999999</v>
      </c>
      <c r="F302" s="119">
        <f t="shared" ref="F302:F306" si="30">E302*1.2</f>
        <v>826.59769919999997</v>
      </c>
      <c r="G302" s="120">
        <f t="shared" ref="G302:G306" si="31">E302*G$280</f>
        <v>344415.70799999998</v>
      </c>
      <c r="H302" s="120">
        <f t="shared" ref="H302:H306" si="32">E302*$H$280</f>
        <v>9988055.5319999997</v>
      </c>
      <c r="I302" s="116">
        <f t="shared" ref="I302:I306" si="33">$I$280*F302</f>
        <v>2066494.2479999999</v>
      </c>
      <c r="J302" s="115">
        <v>14000</v>
      </c>
      <c r="K302" s="163">
        <f t="shared" ref="K302:K306" si="34">H302+G302</f>
        <v>10332471.24</v>
      </c>
      <c r="L302" s="164"/>
    </row>
    <row r="303" spans="1:12" customFormat="1" x14ac:dyDescent="0.25">
      <c r="A303" s="117">
        <f>A302+1</f>
        <v>21</v>
      </c>
      <c r="B303" s="257"/>
      <c r="C303" s="118">
        <f t="shared" si="29"/>
        <v>403</v>
      </c>
      <c r="D303" s="118" t="s">
        <v>104</v>
      </c>
      <c r="E303" s="119">
        <f>(48.9+0.75*2.86+2.93*1.2+1*(2.66+2.87))*(10.764)</f>
        <v>646.819524</v>
      </c>
      <c r="F303" s="119">
        <f t="shared" si="30"/>
        <v>776.1834288</v>
      </c>
      <c r="G303" s="120">
        <f t="shared" si="31"/>
        <v>323409.76199999999</v>
      </c>
      <c r="H303" s="120">
        <f t="shared" si="32"/>
        <v>9378883.0979999993</v>
      </c>
      <c r="I303" s="116">
        <f t="shared" si="33"/>
        <v>1940458.5719999999</v>
      </c>
      <c r="J303" s="115">
        <v>14000</v>
      </c>
      <c r="K303" s="163">
        <f t="shared" si="34"/>
        <v>9702292.8599999994</v>
      </c>
      <c r="L303" s="164"/>
    </row>
    <row r="304" spans="1:12" customFormat="1" x14ac:dyDescent="0.25">
      <c r="A304" s="117">
        <f t="shared" ref="A304:A307" si="35">A303+1</f>
        <v>22</v>
      </c>
      <c r="B304" s="257"/>
      <c r="C304" s="118">
        <f t="shared" si="29"/>
        <v>404</v>
      </c>
      <c r="D304" s="118" t="s">
        <v>104</v>
      </c>
      <c r="E304" s="119">
        <f>(45.67+0.75*2.75+3.04*1.2+1*1.17+1*3.31)*(10.764)</f>
        <v>601.282422</v>
      </c>
      <c r="F304" s="119">
        <f t="shared" si="30"/>
        <v>721.53890639999997</v>
      </c>
      <c r="G304" s="120">
        <f t="shared" si="31"/>
        <v>300641.21100000001</v>
      </c>
      <c r="H304" s="120">
        <f t="shared" si="32"/>
        <v>8718595.1190000009</v>
      </c>
      <c r="I304" s="116">
        <f t="shared" si="33"/>
        <v>1803847.2659999998</v>
      </c>
      <c r="J304" s="115">
        <v>14000</v>
      </c>
      <c r="K304" s="163">
        <f t="shared" si="34"/>
        <v>9019236.3300000001</v>
      </c>
      <c r="L304" s="164"/>
    </row>
    <row r="305" spans="1:13" customFormat="1" x14ac:dyDescent="0.25">
      <c r="A305" s="117">
        <f t="shared" si="35"/>
        <v>23</v>
      </c>
      <c r="B305" s="257"/>
      <c r="C305" s="118">
        <f t="shared" si="29"/>
        <v>405</v>
      </c>
      <c r="D305" s="118" t="s">
        <v>104</v>
      </c>
      <c r="E305" s="119">
        <f>(46.59+1.3*2.82+1*2.4+0.75*(2.75+2.87))*(10.764)</f>
        <v>612.15944399999989</v>
      </c>
      <c r="F305" s="119">
        <f t="shared" si="30"/>
        <v>734.5913327999998</v>
      </c>
      <c r="G305" s="120">
        <f t="shared" si="31"/>
        <v>306079.72199999995</v>
      </c>
      <c r="H305" s="120">
        <f t="shared" si="32"/>
        <v>8876311.9379999992</v>
      </c>
      <c r="I305" s="116">
        <f t="shared" si="33"/>
        <v>1836478.3319999995</v>
      </c>
      <c r="J305" s="115">
        <v>14000</v>
      </c>
      <c r="K305" s="163">
        <f t="shared" si="34"/>
        <v>9182391.6599999983</v>
      </c>
      <c r="L305" s="164"/>
    </row>
    <row r="306" spans="1:13" customFormat="1" x14ac:dyDescent="0.25">
      <c r="A306" s="117">
        <f t="shared" si="35"/>
        <v>24</v>
      </c>
      <c r="B306" s="258"/>
      <c r="C306" s="118">
        <f t="shared" si="29"/>
        <v>406</v>
      </c>
      <c r="D306" s="118" t="s">
        <v>100</v>
      </c>
      <c r="E306" s="119">
        <f>(30.81+0.75*(2.75+2.05+2.75))*(10.764)</f>
        <v>392.58998999999994</v>
      </c>
      <c r="F306" s="119">
        <f t="shared" si="30"/>
        <v>471.10798799999992</v>
      </c>
      <c r="G306" s="120">
        <f t="shared" si="31"/>
        <v>196294.99499999997</v>
      </c>
      <c r="H306" s="120">
        <f t="shared" si="32"/>
        <v>5692554.8549999995</v>
      </c>
      <c r="I306" s="116">
        <f t="shared" si="33"/>
        <v>1177769.9699999997</v>
      </c>
      <c r="J306" s="115">
        <v>10000</v>
      </c>
      <c r="K306" s="163">
        <f t="shared" si="34"/>
        <v>5888849.8499999996</v>
      </c>
      <c r="L306" s="164"/>
    </row>
    <row r="307" spans="1:13" customFormat="1" x14ac:dyDescent="0.25">
      <c r="A307" s="117">
        <f t="shared" si="35"/>
        <v>25</v>
      </c>
      <c r="B307" s="256" t="s">
        <v>596</v>
      </c>
      <c r="C307" s="118">
        <f>LEFT(B307,SUM(LEN(B307)-LEN(SUBSTITUTE(B307,{"0","1","2","3","4","5","6","7","8","9"},""))))*100+1</f>
        <v>501</v>
      </c>
      <c r="D307" s="118" t="s">
        <v>100</v>
      </c>
      <c r="E307" s="119">
        <f>(31.93+0.75*(2.75+2.1+2.75))*(10.764)</f>
        <v>405.04931999999991</v>
      </c>
      <c r="F307" s="119">
        <f>E307*1.2</f>
        <v>486.05918399999985</v>
      </c>
      <c r="G307" s="120">
        <f>E307*G$280</f>
        <v>202524.65999999995</v>
      </c>
      <c r="H307" s="120">
        <f>E307*$H$280</f>
        <v>5873215.1399999987</v>
      </c>
      <c r="I307" s="116">
        <f>$I$280*F307</f>
        <v>1215147.9599999997</v>
      </c>
      <c r="J307" s="115">
        <v>10000</v>
      </c>
      <c r="K307" s="163">
        <f>H307+G307</f>
        <v>6075739.7999999989</v>
      </c>
      <c r="L307" s="164"/>
    </row>
    <row r="308" spans="1:13" customFormat="1" x14ac:dyDescent="0.25">
      <c r="A308" s="117">
        <f>A307+1</f>
        <v>26</v>
      </c>
      <c r="B308" s="257"/>
      <c r="C308" s="118">
        <f t="shared" ref="C308:C312" si="36">C307+1</f>
        <v>502</v>
      </c>
      <c r="D308" s="118" t="s">
        <v>104</v>
      </c>
      <c r="E308" s="119">
        <f>(52.84+0.75*3+2.97*1.2+1*(2.62+2.72))*(10.764)</f>
        <v>688.83141599999999</v>
      </c>
      <c r="F308" s="119">
        <f t="shared" ref="F308:F312" si="37">E308*1.2</f>
        <v>826.59769919999997</v>
      </c>
      <c r="G308" s="120">
        <f t="shared" ref="G308:G312" si="38">E308*G$280</f>
        <v>344415.70799999998</v>
      </c>
      <c r="H308" s="120">
        <f t="shared" ref="H308:H312" si="39">E308*$H$280</f>
        <v>9988055.5319999997</v>
      </c>
      <c r="I308" s="116">
        <f t="shared" ref="I308:I312" si="40">$I$280*F308</f>
        <v>2066494.2479999999</v>
      </c>
      <c r="J308" s="115">
        <v>14000</v>
      </c>
      <c r="K308" s="163">
        <f t="shared" ref="K308:K312" si="41">H308+G308</f>
        <v>10332471.24</v>
      </c>
      <c r="L308" s="164"/>
    </row>
    <row r="309" spans="1:13" customFormat="1" x14ac:dyDescent="0.25">
      <c r="A309" s="117">
        <f>A308+1</f>
        <v>27</v>
      </c>
      <c r="B309" s="257"/>
      <c r="C309" s="118">
        <f t="shared" si="36"/>
        <v>503</v>
      </c>
      <c r="D309" s="118" t="s">
        <v>104</v>
      </c>
      <c r="E309" s="119">
        <f>(48.9+0.75*2.86+2.93*1.2+1*(2.66+2.87))*(10.764)</f>
        <v>646.819524</v>
      </c>
      <c r="F309" s="119">
        <f t="shared" si="37"/>
        <v>776.1834288</v>
      </c>
      <c r="G309" s="120">
        <f t="shared" si="38"/>
        <v>323409.76199999999</v>
      </c>
      <c r="H309" s="120">
        <f t="shared" si="39"/>
        <v>9378883.0979999993</v>
      </c>
      <c r="I309" s="116">
        <f t="shared" si="40"/>
        <v>1940458.5719999999</v>
      </c>
      <c r="J309" s="115">
        <v>14000</v>
      </c>
      <c r="K309" s="163">
        <f t="shared" si="41"/>
        <v>9702292.8599999994</v>
      </c>
      <c r="L309" s="164"/>
    </row>
    <row r="310" spans="1:13" customFormat="1" x14ac:dyDescent="0.25">
      <c r="A310" s="117">
        <f t="shared" ref="A310:A313" si="42">A309+1</f>
        <v>28</v>
      </c>
      <c r="B310" s="257"/>
      <c r="C310" s="118">
        <f t="shared" si="36"/>
        <v>504</v>
      </c>
      <c r="D310" s="118" t="s">
        <v>104</v>
      </c>
      <c r="E310" s="119">
        <f>(45.67+0.75*2.75+3.04*1.2+1*1.17+1*3.31)*(10.764)</f>
        <v>601.282422</v>
      </c>
      <c r="F310" s="119">
        <f t="shared" si="37"/>
        <v>721.53890639999997</v>
      </c>
      <c r="G310" s="120">
        <f t="shared" si="38"/>
        <v>300641.21100000001</v>
      </c>
      <c r="H310" s="120">
        <f t="shared" si="39"/>
        <v>8718595.1190000009</v>
      </c>
      <c r="I310" s="116">
        <f t="shared" si="40"/>
        <v>1803847.2659999998</v>
      </c>
      <c r="J310" s="115">
        <v>14000</v>
      </c>
      <c r="K310" s="163">
        <f t="shared" si="41"/>
        <v>9019236.3300000001</v>
      </c>
      <c r="L310" s="164"/>
    </row>
    <row r="311" spans="1:13" customFormat="1" x14ac:dyDescent="0.25">
      <c r="A311" s="117">
        <f t="shared" si="42"/>
        <v>29</v>
      </c>
      <c r="B311" s="257"/>
      <c r="C311" s="118">
        <f t="shared" si="36"/>
        <v>505</v>
      </c>
      <c r="D311" s="118" t="s">
        <v>104</v>
      </c>
      <c r="E311" s="119">
        <f>(46.59+1.3*2.82+1*2.4+0.75*(2.75+2.87))*(10.764)</f>
        <v>612.15944399999989</v>
      </c>
      <c r="F311" s="119">
        <f t="shared" si="37"/>
        <v>734.5913327999998</v>
      </c>
      <c r="G311" s="120">
        <f t="shared" si="38"/>
        <v>306079.72199999995</v>
      </c>
      <c r="H311" s="120">
        <f t="shared" si="39"/>
        <v>8876311.9379999992</v>
      </c>
      <c r="I311" s="116">
        <f t="shared" si="40"/>
        <v>1836478.3319999995</v>
      </c>
      <c r="J311" s="115">
        <v>14000</v>
      </c>
      <c r="K311" s="163">
        <f t="shared" si="41"/>
        <v>9182391.6599999983</v>
      </c>
      <c r="L311" s="164"/>
    </row>
    <row r="312" spans="1:13" customFormat="1" x14ac:dyDescent="0.25">
      <c r="A312" s="117">
        <f t="shared" si="42"/>
        <v>30</v>
      </c>
      <c r="B312" s="258"/>
      <c r="C312" s="118">
        <f t="shared" si="36"/>
        <v>506</v>
      </c>
      <c r="D312" s="118" t="s">
        <v>100</v>
      </c>
      <c r="E312" s="119">
        <f>(30.81+0.75*(2.75+2.05+2.75))*(10.764)</f>
        <v>392.58998999999994</v>
      </c>
      <c r="F312" s="119">
        <f t="shared" si="37"/>
        <v>471.10798799999992</v>
      </c>
      <c r="G312" s="120">
        <f t="shared" si="38"/>
        <v>196294.99499999997</v>
      </c>
      <c r="H312" s="120">
        <f t="shared" si="39"/>
        <v>5692554.8549999995</v>
      </c>
      <c r="I312" s="116">
        <f t="shared" si="40"/>
        <v>1177769.9699999997</v>
      </c>
      <c r="J312" s="115">
        <v>10000</v>
      </c>
      <c r="K312" s="163">
        <f t="shared" si="41"/>
        <v>5888849.8499999996</v>
      </c>
      <c r="L312" s="164"/>
    </row>
    <row r="313" spans="1:13" customFormat="1" x14ac:dyDescent="0.25">
      <c r="A313" s="117">
        <f t="shared" si="42"/>
        <v>31</v>
      </c>
      <c r="B313" s="256" t="s">
        <v>597</v>
      </c>
      <c r="C313" s="118">
        <f>LEFT(B313,SUM(LEN(B313)-LEN(SUBSTITUTE(B313,{"0","1","2","3","4","5","6","7","8","9"},""))))*100+1</f>
        <v>601</v>
      </c>
      <c r="D313" s="118" t="s">
        <v>100</v>
      </c>
      <c r="E313" s="119">
        <f>(31.93+0.75*(2.75+2.1+2.75))*(10.764)</f>
        <v>405.04931999999991</v>
      </c>
      <c r="F313" s="119">
        <f>E313*1.2</f>
        <v>486.05918399999985</v>
      </c>
      <c r="G313" s="120">
        <f>E313*G$280</f>
        <v>202524.65999999995</v>
      </c>
      <c r="H313" s="120">
        <f>E313*$H$280</f>
        <v>5873215.1399999987</v>
      </c>
      <c r="I313" s="116">
        <f>$I$280*F313</f>
        <v>1215147.9599999997</v>
      </c>
      <c r="J313" s="115">
        <v>10000</v>
      </c>
      <c r="K313" s="163">
        <f>H313+G313</f>
        <v>6075739.7999999989</v>
      </c>
      <c r="L313" s="164"/>
    </row>
    <row r="314" spans="1:13" customFormat="1" x14ac:dyDescent="0.25">
      <c r="A314" s="117">
        <f>A313+1</f>
        <v>32</v>
      </c>
      <c r="B314" s="257"/>
      <c r="C314" s="118">
        <f t="shared" ref="C314:C318" si="43">C313+1</f>
        <v>602</v>
      </c>
      <c r="D314" s="118" t="s">
        <v>104</v>
      </c>
      <c r="E314" s="119">
        <f>(52.84+0.75*3+2.97*1.2+1*(2.62+2.72))*(10.764)</f>
        <v>688.83141599999999</v>
      </c>
      <c r="F314" s="119">
        <f t="shared" ref="F314:F318" si="44">E314*1.2</f>
        <v>826.59769919999997</v>
      </c>
      <c r="G314" s="120">
        <f t="shared" ref="G314:G318" si="45">E314*G$280</f>
        <v>344415.70799999998</v>
      </c>
      <c r="H314" s="120">
        <f t="shared" ref="H314:H318" si="46">E314*$H$280</f>
        <v>9988055.5319999997</v>
      </c>
      <c r="I314" s="116">
        <f t="shared" ref="I314:I318" si="47">$I$280*F314</f>
        <v>2066494.2479999999</v>
      </c>
      <c r="J314" s="115">
        <v>14000</v>
      </c>
      <c r="K314" s="163">
        <f t="shared" ref="K314:K318" si="48">H314+G314</f>
        <v>10332471.24</v>
      </c>
      <c r="L314" s="164"/>
    </row>
    <row r="315" spans="1:13" customFormat="1" x14ac:dyDescent="0.25">
      <c r="A315" s="117">
        <f>A314+1</f>
        <v>33</v>
      </c>
      <c r="B315" s="257"/>
      <c r="C315" s="118">
        <f t="shared" si="43"/>
        <v>603</v>
      </c>
      <c r="D315" s="118" t="s">
        <v>104</v>
      </c>
      <c r="E315" s="119">
        <f>(48.9+0.75*2.86+2.93*1.2+1*(2.66+2.87))*(10.764)</f>
        <v>646.819524</v>
      </c>
      <c r="F315" s="119">
        <f t="shared" si="44"/>
        <v>776.1834288</v>
      </c>
      <c r="G315" s="120">
        <f t="shared" si="45"/>
        <v>323409.76199999999</v>
      </c>
      <c r="H315" s="120">
        <f t="shared" si="46"/>
        <v>9378883.0979999993</v>
      </c>
      <c r="I315" s="116">
        <f t="shared" si="47"/>
        <v>1940458.5719999999</v>
      </c>
      <c r="J315" s="115">
        <v>14000</v>
      </c>
      <c r="K315" s="163">
        <f t="shared" si="48"/>
        <v>9702292.8599999994</v>
      </c>
      <c r="L315" s="164"/>
    </row>
    <row r="316" spans="1:13" customFormat="1" x14ac:dyDescent="0.25">
      <c r="A316" s="117">
        <f t="shared" ref="A316:A318" si="49">A315+1</f>
        <v>34</v>
      </c>
      <c r="B316" s="257"/>
      <c r="C316" s="118">
        <f t="shared" si="43"/>
        <v>604</v>
      </c>
      <c r="D316" s="118" t="s">
        <v>104</v>
      </c>
      <c r="E316" s="119">
        <f>(45.67+0.75*2.75+3.04*1.2+1*1.17+1*3.31)*(10.764)</f>
        <v>601.282422</v>
      </c>
      <c r="F316" s="119">
        <f t="shared" si="44"/>
        <v>721.53890639999997</v>
      </c>
      <c r="G316" s="120">
        <f t="shared" si="45"/>
        <v>300641.21100000001</v>
      </c>
      <c r="H316" s="120">
        <f t="shared" si="46"/>
        <v>8718595.1190000009</v>
      </c>
      <c r="I316" s="116">
        <f t="shared" si="47"/>
        <v>1803847.2659999998</v>
      </c>
      <c r="J316" s="115">
        <v>14000</v>
      </c>
      <c r="K316" s="163">
        <f t="shared" si="48"/>
        <v>9019236.3300000001</v>
      </c>
      <c r="L316" s="164"/>
    </row>
    <row r="317" spans="1:13" customFormat="1" x14ac:dyDescent="0.25">
      <c r="A317" s="117">
        <f t="shared" si="49"/>
        <v>35</v>
      </c>
      <c r="B317" s="257"/>
      <c r="C317" s="118">
        <f t="shared" si="43"/>
        <v>605</v>
      </c>
      <c r="D317" s="118" t="s">
        <v>104</v>
      </c>
      <c r="E317" s="119">
        <f>(46.59+1.3*2.82+1*2.4+0.75*(2.75+2.87))*(10.764)</f>
        <v>612.15944399999989</v>
      </c>
      <c r="F317" s="119">
        <f t="shared" si="44"/>
        <v>734.5913327999998</v>
      </c>
      <c r="G317" s="120">
        <f t="shared" si="45"/>
        <v>306079.72199999995</v>
      </c>
      <c r="H317" s="120">
        <f t="shared" si="46"/>
        <v>8876311.9379999992</v>
      </c>
      <c r="I317" s="116">
        <f t="shared" si="47"/>
        <v>1836478.3319999995</v>
      </c>
      <c r="J317" s="115">
        <v>14000</v>
      </c>
      <c r="K317" s="163">
        <f t="shared" si="48"/>
        <v>9182391.6599999983</v>
      </c>
      <c r="L317" s="164"/>
    </row>
    <row r="318" spans="1:13" customFormat="1" x14ac:dyDescent="0.25">
      <c r="A318" s="117">
        <f t="shared" si="49"/>
        <v>36</v>
      </c>
      <c r="B318" s="258"/>
      <c r="C318" s="118">
        <f t="shared" si="43"/>
        <v>606</v>
      </c>
      <c r="D318" s="118" t="s">
        <v>100</v>
      </c>
      <c r="E318" s="119">
        <f>(30.81+0.75*(2.75+2.05+2.75))*(10.764)</f>
        <v>392.58998999999994</v>
      </c>
      <c r="F318" s="119">
        <f t="shared" si="44"/>
        <v>471.10798799999992</v>
      </c>
      <c r="G318" s="120">
        <f t="shared" si="45"/>
        <v>196294.99499999997</v>
      </c>
      <c r="H318" s="120">
        <f t="shared" si="46"/>
        <v>5692554.8549999995</v>
      </c>
      <c r="I318" s="116">
        <f t="shared" si="47"/>
        <v>1177769.9699999997</v>
      </c>
      <c r="J318" s="115">
        <v>10000</v>
      </c>
      <c r="K318" s="163">
        <f t="shared" si="48"/>
        <v>5888849.8499999996</v>
      </c>
      <c r="L318" s="164"/>
    </row>
    <row r="319" spans="1:13" customFormat="1" x14ac:dyDescent="0.25">
      <c r="A319" s="285" t="s">
        <v>412</v>
      </c>
      <c r="B319" s="285"/>
      <c r="C319" s="285"/>
      <c r="D319" s="285"/>
      <c r="E319" s="285"/>
      <c r="F319" s="285"/>
      <c r="G319" s="285"/>
      <c r="H319" s="285"/>
      <c r="I319" s="285"/>
      <c r="J319" s="285"/>
      <c r="K319" s="285"/>
      <c r="L319" s="285"/>
    </row>
    <row r="320" spans="1:13" customFormat="1" x14ac:dyDescent="0.25">
      <c r="A320" s="286" t="s">
        <v>623</v>
      </c>
      <c r="B320" s="286"/>
      <c r="C320" s="286"/>
      <c r="D320" s="286"/>
      <c r="E320" s="286"/>
      <c r="F320" s="286"/>
      <c r="G320" s="286"/>
      <c r="H320" s="286"/>
      <c r="I320" s="286"/>
      <c r="J320" s="286"/>
      <c r="K320" s="286"/>
      <c r="L320" s="286"/>
      <c r="M320" s="154">
        <v>10.763999999999999</v>
      </c>
    </row>
    <row r="321" spans="1:13" customFormat="1" x14ac:dyDescent="0.25">
      <c r="A321" s="117">
        <v>37</v>
      </c>
      <c r="B321" s="256" t="s">
        <v>624</v>
      </c>
      <c r="C321" s="118">
        <v>101</v>
      </c>
      <c r="D321" s="118" t="s">
        <v>100</v>
      </c>
      <c r="E321" s="49">
        <f>(30.7+0.75*(2.75+2.1+2.89))*(10.764)</f>
        <v>392.93981999999994</v>
      </c>
      <c r="F321" s="119">
        <f t="shared" ref="F321:F328" si="50">E321*1.2</f>
        <v>471.52778399999988</v>
      </c>
      <c r="G321" s="120">
        <f t="shared" ref="G321:G328" si="51">E321*G$280</f>
        <v>196469.90999999997</v>
      </c>
      <c r="H321" s="120">
        <f t="shared" ref="H321:H328" si="52">E321*$H$280</f>
        <v>5697627.3899999987</v>
      </c>
      <c r="I321" s="116">
        <f t="shared" ref="I321:I328" si="53">$I$280*F321</f>
        <v>1178819.4599999997</v>
      </c>
      <c r="J321" s="115">
        <v>10000</v>
      </c>
      <c r="K321" s="163">
        <f t="shared" ref="K321:K328" si="54">H321+G321</f>
        <v>5894097.2999999989</v>
      </c>
      <c r="L321" s="164"/>
    </row>
    <row r="322" spans="1:13" customFormat="1" x14ac:dyDescent="0.25">
      <c r="A322" s="117">
        <f>A321+1</f>
        <v>38</v>
      </c>
      <c r="B322" s="257"/>
      <c r="C322" s="118">
        <f>C321+1</f>
        <v>102</v>
      </c>
      <c r="D322" s="118" t="s">
        <v>100</v>
      </c>
      <c r="E322" s="49">
        <f>(31.09+0.75*(2.75+2.1+2.89))*(10.764)</f>
        <v>397.13777999999991</v>
      </c>
      <c r="F322" s="119">
        <f t="shared" si="50"/>
        <v>476.56533599999989</v>
      </c>
      <c r="G322" s="120">
        <f t="shared" si="51"/>
        <v>198568.88999999996</v>
      </c>
      <c r="H322" s="120">
        <f t="shared" si="52"/>
        <v>5758497.8099999987</v>
      </c>
      <c r="I322" s="116">
        <f t="shared" si="53"/>
        <v>1191413.3399999996</v>
      </c>
      <c r="J322" s="115">
        <v>10000</v>
      </c>
      <c r="K322" s="163">
        <f t="shared" si="54"/>
        <v>5957066.6999999983</v>
      </c>
      <c r="L322" s="164"/>
    </row>
    <row r="323" spans="1:13" customFormat="1" x14ac:dyDescent="0.25">
      <c r="A323" s="117">
        <f t="shared" ref="A323:A327" si="55">A322+1</f>
        <v>39</v>
      </c>
      <c r="B323" s="257"/>
      <c r="C323" s="118">
        <f>C322+1</f>
        <v>103</v>
      </c>
      <c r="D323" s="118" t="s">
        <v>101</v>
      </c>
      <c r="E323" s="49">
        <f>(19.7+(3.15*1.84+0.65*2.215))*(10.764)</f>
        <v>289.93641299999996</v>
      </c>
      <c r="F323" s="119">
        <f t="shared" si="50"/>
        <v>347.92369559999992</v>
      </c>
      <c r="G323" s="120">
        <f>E323*G$280</f>
        <v>144968.20649999997</v>
      </c>
      <c r="H323" s="120">
        <f t="shared" si="52"/>
        <v>4204077.988499999</v>
      </c>
      <c r="I323" s="116">
        <f t="shared" si="53"/>
        <v>869809.23899999983</v>
      </c>
      <c r="J323" s="115">
        <v>7000</v>
      </c>
      <c r="K323" s="163">
        <f t="shared" si="54"/>
        <v>4349046.1949999994</v>
      </c>
      <c r="L323" s="164"/>
      <c r="M323" s="154">
        <f>((3.15*1.84+0.65*2.215))*10.764</f>
        <v>77.885612999999992</v>
      </c>
    </row>
    <row r="324" spans="1:13" customFormat="1" x14ac:dyDescent="0.25">
      <c r="A324" s="117">
        <f t="shared" si="55"/>
        <v>40</v>
      </c>
      <c r="B324" s="257"/>
      <c r="C324" s="118">
        <f t="shared" ref="C324:C328" si="56">C323+1</f>
        <v>104</v>
      </c>
      <c r="D324" s="118" t="s">
        <v>100</v>
      </c>
      <c r="E324" s="49">
        <f>(32.75+(2.01*3.91+0.65*2.165))*(10.764)</f>
        <v>452.26399140000001</v>
      </c>
      <c r="F324" s="119">
        <f t="shared" si="50"/>
        <v>542.71678968000003</v>
      </c>
      <c r="G324" s="120">
        <f t="shared" si="51"/>
        <v>226131.9957</v>
      </c>
      <c r="H324" s="120">
        <f t="shared" si="52"/>
        <v>6557827.8753000004</v>
      </c>
      <c r="I324" s="116">
        <f t="shared" si="53"/>
        <v>1356791.9742000001</v>
      </c>
      <c r="J324" s="115">
        <v>10000</v>
      </c>
      <c r="K324" s="163">
        <f t="shared" si="54"/>
        <v>6783959.8710000003</v>
      </c>
      <c r="L324" s="164"/>
      <c r="M324" s="154">
        <f>((2.01*3.91+0.65*2.165))*10.764</f>
        <v>99.74299139999998</v>
      </c>
    </row>
    <row r="325" spans="1:13" customFormat="1" x14ac:dyDescent="0.25">
      <c r="A325" s="117">
        <f t="shared" si="55"/>
        <v>41</v>
      </c>
      <c r="B325" s="257"/>
      <c r="C325" s="118">
        <f t="shared" si="56"/>
        <v>105</v>
      </c>
      <c r="D325" s="118" t="s">
        <v>104</v>
      </c>
      <c r="E325" s="49">
        <f>(51.67+(2.95*1.23+2.68*0.66)+2.54*1+3.12*1)*(10.764)</f>
        <v>675.1966572</v>
      </c>
      <c r="F325" s="119">
        <f t="shared" si="50"/>
        <v>810.23598863999996</v>
      </c>
      <c r="G325" s="120">
        <f t="shared" si="51"/>
        <v>337598.32860000001</v>
      </c>
      <c r="H325" s="120">
        <f t="shared" si="52"/>
        <v>9790351.5294000003</v>
      </c>
      <c r="I325" s="116">
        <f t="shared" si="53"/>
        <v>2025589.9715999998</v>
      </c>
      <c r="J325" s="115">
        <v>14000</v>
      </c>
      <c r="K325" s="163">
        <f t="shared" si="54"/>
        <v>10127949.858000001</v>
      </c>
      <c r="L325" s="164"/>
      <c r="M325" s="154">
        <f>((2.95*1.23+2.68*0.66))*10.764</f>
        <v>58.0965372</v>
      </c>
    </row>
    <row r="326" spans="1:13" customFormat="1" x14ac:dyDescent="0.25">
      <c r="A326" s="117">
        <f t="shared" si="55"/>
        <v>42</v>
      </c>
      <c r="B326" s="257"/>
      <c r="C326" s="118">
        <f t="shared" si="56"/>
        <v>106</v>
      </c>
      <c r="D326" s="118" t="s">
        <v>104</v>
      </c>
      <c r="E326" s="49">
        <f>(52.07+(3*1+2.72*0.72)+2.66*1+0.75*3)*(10.764)</f>
        <v>666.70493759999999</v>
      </c>
      <c r="F326" s="119">
        <f t="shared" si="50"/>
        <v>800.04592511999999</v>
      </c>
      <c r="G326" s="120">
        <f t="shared" si="51"/>
        <v>333352.46879999997</v>
      </c>
      <c r="H326" s="120">
        <f t="shared" si="52"/>
        <v>9667221.5952000003</v>
      </c>
      <c r="I326" s="116">
        <f t="shared" si="53"/>
        <v>2000114.8128</v>
      </c>
      <c r="J326" s="115">
        <v>14000</v>
      </c>
      <c r="K326" s="163">
        <f t="shared" si="54"/>
        <v>10000574.064000001</v>
      </c>
      <c r="L326" s="164"/>
      <c r="M326" s="154">
        <f>((3*1+2.72*0.72))*10.764</f>
        <v>53.372217599999999</v>
      </c>
    </row>
    <row r="327" spans="1:13" customFormat="1" x14ac:dyDescent="0.25">
      <c r="A327" s="117">
        <f t="shared" si="55"/>
        <v>43</v>
      </c>
      <c r="B327" s="257"/>
      <c r="C327" s="118">
        <f t="shared" si="56"/>
        <v>107</v>
      </c>
      <c r="D327" s="118" t="s">
        <v>100</v>
      </c>
      <c r="E327" s="49">
        <f>(31.73+(2.71*1.43+5.73*3.28+0.65*2.25)/2)*(10.764)</f>
        <v>471.42122039999992</v>
      </c>
      <c r="F327" s="119">
        <f t="shared" si="50"/>
        <v>565.70546447999993</v>
      </c>
      <c r="G327" s="120">
        <f t="shared" si="51"/>
        <v>235710.61019999997</v>
      </c>
      <c r="H327" s="120">
        <f t="shared" si="52"/>
        <v>6835607.6957999989</v>
      </c>
      <c r="I327" s="116">
        <f t="shared" si="53"/>
        <v>1414263.6611999997</v>
      </c>
      <c r="J327" s="115">
        <v>10000</v>
      </c>
      <c r="K327" s="163">
        <f t="shared" si="54"/>
        <v>7071318.3059999989</v>
      </c>
      <c r="L327" s="164"/>
      <c r="M327" s="154">
        <f>((2.71*1.43+5.73*3.28+0.65*2.25))*10.764</f>
        <v>259.75900079999997</v>
      </c>
    </row>
    <row r="328" spans="1:13" customFormat="1" x14ac:dyDescent="0.25">
      <c r="A328" s="117">
        <f>A327+1</f>
        <v>44</v>
      </c>
      <c r="B328" s="258"/>
      <c r="C328" s="118">
        <f t="shared" si="56"/>
        <v>108</v>
      </c>
      <c r="D328" s="118" t="s">
        <v>100</v>
      </c>
      <c r="E328" s="49">
        <f>(31.26+(2.87*3.06+5.12*2.15)/2)*(10.764)</f>
        <v>442.99349640000003</v>
      </c>
      <c r="F328" s="119">
        <f t="shared" si="50"/>
        <v>531.59219568000003</v>
      </c>
      <c r="G328" s="120">
        <f t="shared" si="51"/>
        <v>221496.7482</v>
      </c>
      <c r="H328" s="120">
        <f t="shared" si="52"/>
        <v>6423405.6978000002</v>
      </c>
      <c r="I328" s="116">
        <f t="shared" si="53"/>
        <v>1328980.4892000002</v>
      </c>
      <c r="J328" s="115">
        <v>10000</v>
      </c>
      <c r="K328" s="163">
        <f t="shared" si="54"/>
        <v>6644902.4460000005</v>
      </c>
      <c r="L328" s="164"/>
      <c r="M328" s="154">
        <f>((2.87*3.06+5.12*2.15))*10.764</f>
        <v>213.02171279999996</v>
      </c>
    </row>
    <row r="329" spans="1:13" customFormat="1" x14ac:dyDescent="0.25">
      <c r="A329" s="117">
        <f>A328+1</f>
        <v>45</v>
      </c>
      <c r="B329" s="256" t="s">
        <v>625</v>
      </c>
      <c r="C329" s="118">
        <v>201</v>
      </c>
      <c r="D329" s="118" t="s">
        <v>100</v>
      </c>
      <c r="E329" s="49">
        <f>(30.7+0.75*(2.75+2.1+2.89))*(10.764)</f>
        <v>392.93981999999994</v>
      </c>
      <c r="F329" s="119">
        <f t="shared" ref="F329:F336" si="57">E329*1.2</f>
        <v>471.52778399999988</v>
      </c>
      <c r="G329" s="120">
        <f t="shared" ref="G329:G330" si="58">E329*G$280</f>
        <v>196469.90999999997</v>
      </c>
      <c r="H329" s="120">
        <f t="shared" ref="H329:H336" si="59">E329*$H$280</f>
        <v>5697627.3899999987</v>
      </c>
      <c r="I329" s="116">
        <f t="shared" ref="I329:I336" si="60">$I$280*F329</f>
        <v>1178819.4599999997</v>
      </c>
      <c r="J329" s="115">
        <v>10000</v>
      </c>
      <c r="K329" s="163">
        <f t="shared" ref="K329:K336" si="61">H329+G329</f>
        <v>5894097.2999999989</v>
      </c>
      <c r="L329" s="164"/>
    </row>
    <row r="330" spans="1:13" customFormat="1" x14ac:dyDescent="0.25">
      <c r="A330" s="117">
        <f>A329+1</f>
        <v>46</v>
      </c>
      <c r="B330" s="257"/>
      <c r="C330" s="118">
        <f>C329+1</f>
        <v>202</v>
      </c>
      <c r="D330" s="118" t="s">
        <v>100</v>
      </c>
      <c r="E330" s="49">
        <f>(31.09+0.75*(2.75+2.1+2.89))*(10.764)</f>
        <v>397.13777999999991</v>
      </c>
      <c r="F330" s="119">
        <f t="shared" si="57"/>
        <v>476.56533599999989</v>
      </c>
      <c r="G330" s="120">
        <f t="shared" si="58"/>
        <v>198568.88999999996</v>
      </c>
      <c r="H330" s="120">
        <f t="shared" si="59"/>
        <v>5758497.8099999987</v>
      </c>
      <c r="I330" s="116">
        <f t="shared" si="60"/>
        <v>1191413.3399999996</v>
      </c>
      <c r="J330" s="115">
        <v>10000</v>
      </c>
      <c r="K330" s="163">
        <f t="shared" si="61"/>
        <v>5957066.6999999983</v>
      </c>
      <c r="L330" s="164"/>
    </row>
    <row r="331" spans="1:13" customFormat="1" x14ac:dyDescent="0.25">
      <c r="A331" s="117">
        <f t="shared" ref="A331:A335" si="62">A330+1</f>
        <v>47</v>
      </c>
      <c r="B331" s="257"/>
      <c r="C331" s="118">
        <f>C330+1</f>
        <v>203</v>
      </c>
      <c r="D331" s="118" t="s">
        <v>101</v>
      </c>
      <c r="E331" s="49">
        <f>(19.7+0.75*(1.84+2.1))*(10.764)</f>
        <v>243.85842</v>
      </c>
      <c r="F331" s="119">
        <f t="shared" si="57"/>
        <v>292.63010399999996</v>
      </c>
      <c r="G331" s="120">
        <f>E331*G$280</f>
        <v>121929.20999999999</v>
      </c>
      <c r="H331" s="120">
        <f t="shared" si="59"/>
        <v>3535947.09</v>
      </c>
      <c r="I331" s="116">
        <f t="shared" si="60"/>
        <v>731575.25999999989</v>
      </c>
      <c r="J331" s="115">
        <v>7000</v>
      </c>
      <c r="K331" s="163">
        <f t="shared" si="61"/>
        <v>3657876.3</v>
      </c>
      <c r="L331" s="164"/>
    </row>
    <row r="332" spans="1:13" customFormat="1" x14ac:dyDescent="0.25">
      <c r="A332" s="117">
        <f t="shared" si="62"/>
        <v>48</v>
      </c>
      <c r="B332" s="257"/>
      <c r="C332" s="118">
        <f t="shared" ref="C332:C336" si="63">C331+1</f>
        <v>204</v>
      </c>
      <c r="D332" s="118" t="s">
        <v>100</v>
      </c>
      <c r="E332" s="49">
        <f>(32.75+0.75*(2.9+2.05+3.07))*(10.764)</f>
        <v>417.26646</v>
      </c>
      <c r="F332" s="119">
        <f t="shared" si="57"/>
        <v>500.71975199999997</v>
      </c>
      <c r="G332" s="120">
        <f t="shared" ref="G332:G336" si="64">E332*G$280</f>
        <v>208633.23</v>
      </c>
      <c r="H332" s="120">
        <f t="shared" si="59"/>
        <v>6050363.6699999999</v>
      </c>
      <c r="I332" s="116">
        <f t="shared" si="60"/>
        <v>1251799.3799999999</v>
      </c>
      <c r="J332" s="115">
        <v>10000</v>
      </c>
      <c r="K332" s="163">
        <f t="shared" si="61"/>
        <v>6258996.9000000004</v>
      </c>
      <c r="L332" s="164"/>
    </row>
    <row r="333" spans="1:13" customFormat="1" x14ac:dyDescent="0.25">
      <c r="A333" s="117">
        <f t="shared" si="62"/>
        <v>49</v>
      </c>
      <c r="B333" s="257"/>
      <c r="C333" s="118">
        <f t="shared" si="63"/>
        <v>205</v>
      </c>
      <c r="D333" s="118" t="s">
        <v>104</v>
      </c>
      <c r="E333" s="49">
        <f>(51.67+2.95*1.2+1*(2.54+3.12)+0.75*2.75)*(10.764)</f>
        <v>677.40543000000002</v>
      </c>
      <c r="F333" s="119">
        <f t="shared" si="57"/>
        <v>812.88651600000003</v>
      </c>
      <c r="G333" s="120">
        <f t="shared" si="64"/>
        <v>338702.71500000003</v>
      </c>
      <c r="H333" s="120">
        <f t="shared" si="59"/>
        <v>9822378.7350000013</v>
      </c>
      <c r="I333" s="116">
        <f t="shared" si="60"/>
        <v>2032216.29</v>
      </c>
      <c r="J333" s="115">
        <v>14000</v>
      </c>
      <c r="K333" s="163">
        <f t="shared" si="61"/>
        <v>10161081.450000001</v>
      </c>
      <c r="L333" s="164"/>
    </row>
    <row r="334" spans="1:13" customFormat="1" x14ac:dyDescent="0.25">
      <c r="A334" s="117">
        <f t="shared" si="62"/>
        <v>50</v>
      </c>
      <c r="B334" s="257"/>
      <c r="C334" s="118">
        <f t="shared" si="63"/>
        <v>206</v>
      </c>
      <c r="D334" s="118" t="s">
        <v>104</v>
      </c>
      <c r="E334" s="49">
        <f>(52.07+2.95*1.2+1*(2.66+2.72)+0.75*3)*(10.764)</f>
        <v>680.71536000000003</v>
      </c>
      <c r="F334" s="119">
        <f t="shared" si="57"/>
        <v>816.85843199999999</v>
      </c>
      <c r="G334" s="120">
        <f t="shared" si="64"/>
        <v>340357.68</v>
      </c>
      <c r="H334" s="120">
        <f t="shared" si="59"/>
        <v>9870372.7200000007</v>
      </c>
      <c r="I334" s="116">
        <f t="shared" si="60"/>
        <v>2042146.08</v>
      </c>
      <c r="J334" s="115">
        <v>14000</v>
      </c>
      <c r="K334" s="163">
        <f t="shared" si="61"/>
        <v>10210730.4</v>
      </c>
      <c r="L334" s="164"/>
    </row>
    <row r="335" spans="1:13" customFormat="1" x14ac:dyDescent="0.25">
      <c r="A335" s="117">
        <f t="shared" si="62"/>
        <v>51</v>
      </c>
      <c r="B335" s="257"/>
      <c r="C335" s="118">
        <f t="shared" si="63"/>
        <v>207</v>
      </c>
      <c r="D335" s="118" t="s">
        <v>100</v>
      </c>
      <c r="E335" s="49">
        <f>(31.73+0.75*(2.75+2.1+2.75))*(10.764)</f>
        <v>402.89651999999995</v>
      </c>
      <c r="F335" s="119">
        <f t="shared" si="57"/>
        <v>483.47582399999993</v>
      </c>
      <c r="G335" s="120">
        <f t="shared" si="64"/>
        <v>201448.25999999998</v>
      </c>
      <c r="H335" s="120">
        <f t="shared" si="59"/>
        <v>5841999.5399999991</v>
      </c>
      <c r="I335" s="116">
        <f t="shared" si="60"/>
        <v>1208689.5599999998</v>
      </c>
      <c r="J335" s="115">
        <v>10000</v>
      </c>
      <c r="K335" s="163">
        <f t="shared" si="61"/>
        <v>6043447.7999999989</v>
      </c>
      <c r="L335" s="164"/>
    </row>
    <row r="336" spans="1:13" customFormat="1" x14ac:dyDescent="0.25">
      <c r="A336" s="117">
        <f>A335+1</f>
        <v>52</v>
      </c>
      <c r="B336" s="258"/>
      <c r="C336" s="118">
        <f t="shared" si="63"/>
        <v>208</v>
      </c>
      <c r="D336" s="118" t="s">
        <v>100</v>
      </c>
      <c r="E336" s="49">
        <f>(31.26+0.75*(2.75+2.1+2.75))*(10.764)</f>
        <v>397.83743999999996</v>
      </c>
      <c r="F336" s="119">
        <f t="shared" si="57"/>
        <v>477.40492799999993</v>
      </c>
      <c r="G336" s="120">
        <f t="shared" si="64"/>
        <v>198918.71999999997</v>
      </c>
      <c r="H336" s="120">
        <f t="shared" si="59"/>
        <v>5768642.879999999</v>
      </c>
      <c r="I336" s="116">
        <f t="shared" si="60"/>
        <v>1193512.3199999998</v>
      </c>
      <c r="J336" s="115">
        <v>10000</v>
      </c>
      <c r="K336" s="163">
        <f t="shared" si="61"/>
        <v>5967561.5999999987</v>
      </c>
      <c r="L336" s="164"/>
    </row>
    <row r="337" spans="1:12" customFormat="1" x14ac:dyDescent="0.25">
      <c r="A337" s="117">
        <f>A336+1</f>
        <v>53</v>
      </c>
      <c r="B337" s="256" t="s">
        <v>594</v>
      </c>
      <c r="C337" s="118">
        <v>301</v>
      </c>
      <c r="D337" s="118" t="s">
        <v>100</v>
      </c>
      <c r="E337" s="49">
        <f>(30.7+0.75*(2.75+2.1+2.89))*(10.764)</f>
        <v>392.93981999999994</v>
      </c>
      <c r="F337" s="119">
        <f t="shared" ref="F337:F344" si="65">E337*1.2</f>
        <v>471.52778399999988</v>
      </c>
      <c r="G337" s="120">
        <f t="shared" ref="G337:G338" si="66">E337*G$280</f>
        <v>196469.90999999997</v>
      </c>
      <c r="H337" s="120">
        <f t="shared" ref="H337:H344" si="67">E337*$H$280</f>
        <v>5697627.3899999987</v>
      </c>
      <c r="I337" s="116">
        <f t="shared" ref="I337:I344" si="68">$I$280*F337</f>
        <v>1178819.4599999997</v>
      </c>
      <c r="J337" s="115">
        <v>10000</v>
      </c>
      <c r="K337" s="163">
        <f t="shared" ref="K337:K344" si="69">H337+G337</f>
        <v>5894097.2999999989</v>
      </c>
      <c r="L337" s="164"/>
    </row>
    <row r="338" spans="1:12" customFormat="1" x14ac:dyDescent="0.25">
      <c r="A338" s="117">
        <f>A337+1</f>
        <v>54</v>
      </c>
      <c r="B338" s="257"/>
      <c r="C338" s="118">
        <f>C337+1</f>
        <v>302</v>
      </c>
      <c r="D338" s="118" t="s">
        <v>100</v>
      </c>
      <c r="E338" s="49">
        <f>(31.09+0.75*(2.75+2.1+2.89))*(10.764)</f>
        <v>397.13777999999991</v>
      </c>
      <c r="F338" s="119">
        <f t="shared" si="65"/>
        <v>476.56533599999989</v>
      </c>
      <c r="G338" s="120">
        <f t="shared" si="66"/>
        <v>198568.88999999996</v>
      </c>
      <c r="H338" s="120">
        <f t="shared" si="67"/>
        <v>5758497.8099999987</v>
      </c>
      <c r="I338" s="116">
        <f t="shared" si="68"/>
        <v>1191413.3399999996</v>
      </c>
      <c r="J338" s="115">
        <v>10000</v>
      </c>
      <c r="K338" s="163">
        <f t="shared" si="69"/>
        <v>5957066.6999999983</v>
      </c>
      <c r="L338" s="164"/>
    </row>
    <row r="339" spans="1:12" customFormat="1" x14ac:dyDescent="0.25">
      <c r="A339" s="117">
        <f t="shared" ref="A339:A343" si="70">A338+1</f>
        <v>55</v>
      </c>
      <c r="B339" s="257"/>
      <c r="C339" s="118">
        <f>C338+1</f>
        <v>303</v>
      </c>
      <c r="D339" s="118" t="s">
        <v>101</v>
      </c>
      <c r="E339" s="49">
        <f>(19.7+0.75*(1.84+2.1))*(10.764)</f>
        <v>243.85842</v>
      </c>
      <c r="F339" s="119">
        <f t="shared" si="65"/>
        <v>292.63010399999996</v>
      </c>
      <c r="G339" s="120">
        <f>E339*G$280</f>
        <v>121929.20999999999</v>
      </c>
      <c r="H339" s="120">
        <f t="shared" si="67"/>
        <v>3535947.09</v>
      </c>
      <c r="I339" s="116">
        <f t="shared" si="68"/>
        <v>731575.25999999989</v>
      </c>
      <c r="J339" s="115">
        <v>7000</v>
      </c>
      <c r="K339" s="163">
        <f t="shared" si="69"/>
        <v>3657876.3</v>
      </c>
      <c r="L339" s="164"/>
    </row>
    <row r="340" spans="1:12" customFormat="1" x14ac:dyDescent="0.25">
      <c r="A340" s="117">
        <f t="shared" si="70"/>
        <v>56</v>
      </c>
      <c r="B340" s="257"/>
      <c r="C340" s="118">
        <f t="shared" ref="C340:C344" si="71">C339+1</f>
        <v>304</v>
      </c>
      <c r="D340" s="118" t="s">
        <v>100</v>
      </c>
      <c r="E340" s="49">
        <f>(32.75+0.75*(2.9+2.05+3.07))*(10.764)</f>
        <v>417.26646</v>
      </c>
      <c r="F340" s="119">
        <f t="shared" si="65"/>
        <v>500.71975199999997</v>
      </c>
      <c r="G340" s="120">
        <f t="shared" ref="G340:G344" si="72">E340*G$280</f>
        <v>208633.23</v>
      </c>
      <c r="H340" s="120">
        <f t="shared" si="67"/>
        <v>6050363.6699999999</v>
      </c>
      <c r="I340" s="116">
        <f t="shared" si="68"/>
        <v>1251799.3799999999</v>
      </c>
      <c r="J340" s="115">
        <v>10000</v>
      </c>
      <c r="K340" s="163">
        <f t="shared" si="69"/>
        <v>6258996.9000000004</v>
      </c>
      <c r="L340" s="164"/>
    </row>
    <row r="341" spans="1:12" customFormat="1" x14ac:dyDescent="0.25">
      <c r="A341" s="117">
        <f t="shared" si="70"/>
        <v>57</v>
      </c>
      <c r="B341" s="257"/>
      <c r="C341" s="118">
        <f t="shared" si="71"/>
        <v>305</v>
      </c>
      <c r="D341" s="118" t="s">
        <v>104</v>
      </c>
      <c r="E341" s="49">
        <f>(51.67+2.95*1.2+1*(2.54+3.12)+0.75*2.75)*(10.764)</f>
        <v>677.40543000000002</v>
      </c>
      <c r="F341" s="119">
        <f t="shared" si="65"/>
        <v>812.88651600000003</v>
      </c>
      <c r="G341" s="120">
        <f t="shared" si="72"/>
        <v>338702.71500000003</v>
      </c>
      <c r="H341" s="120">
        <f t="shared" si="67"/>
        <v>9822378.7350000013</v>
      </c>
      <c r="I341" s="116">
        <f t="shared" si="68"/>
        <v>2032216.29</v>
      </c>
      <c r="J341" s="115">
        <v>14000</v>
      </c>
      <c r="K341" s="163">
        <f t="shared" si="69"/>
        <v>10161081.450000001</v>
      </c>
      <c r="L341" s="164"/>
    </row>
    <row r="342" spans="1:12" customFormat="1" x14ac:dyDescent="0.25">
      <c r="A342" s="117">
        <f t="shared" si="70"/>
        <v>58</v>
      </c>
      <c r="B342" s="257"/>
      <c r="C342" s="118">
        <f t="shared" si="71"/>
        <v>306</v>
      </c>
      <c r="D342" s="118" t="s">
        <v>104</v>
      </c>
      <c r="E342" s="49">
        <f>(52.07+2.95*1.2+1*(2.66+2.72)+0.75*3)*(10.764)</f>
        <v>680.71536000000003</v>
      </c>
      <c r="F342" s="119">
        <f t="shared" si="65"/>
        <v>816.85843199999999</v>
      </c>
      <c r="G342" s="120">
        <f t="shared" si="72"/>
        <v>340357.68</v>
      </c>
      <c r="H342" s="120">
        <f t="shared" si="67"/>
        <v>9870372.7200000007</v>
      </c>
      <c r="I342" s="116">
        <f t="shared" si="68"/>
        <v>2042146.08</v>
      </c>
      <c r="J342" s="115">
        <v>14000</v>
      </c>
      <c r="K342" s="163">
        <f t="shared" si="69"/>
        <v>10210730.4</v>
      </c>
      <c r="L342" s="164"/>
    </row>
    <row r="343" spans="1:12" customFormat="1" x14ac:dyDescent="0.25">
      <c r="A343" s="117">
        <f t="shared" si="70"/>
        <v>59</v>
      </c>
      <c r="B343" s="257"/>
      <c r="C343" s="118">
        <f t="shared" si="71"/>
        <v>307</v>
      </c>
      <c r="D343" s="118" t="s">
        <v>100</v>
      </c>
      <c r="E343" s="49">
        <f>(31.73+0.75*(2.75+2.1+2.75))*(10.764)</f>
        <v>402.89651999999995</v>
      </c>
      <c r="F343" s="119">
        <f t="shared" si="65"/>
        <v>483.47582399999993</v>
      </c>
      <c r="G343" s="120">
        <f t="shared" si="72"/>
        <v>201448.25999999998</v>
      </c>
      <c r="H343" s="120">
        <f t="shared" si="67"/>
        <v>5841999.5399999991</v>
      </c>
      <c r="I343" s="116">
        <f t="shared" si="68"/>
        <v>1208689.5599999998</v>
      </c>
      <c r="J343" s="115">
        <v>10000</v>
      </c>
      <c r="K343" s="163">
        <f t="shared" si="69"/>
        <v>6043447.7999999989</v>
      </c>
      <c r="L343" s="164"/>
    </row>
    <row r="344" spans="1:12" customFormat="1" x14ac:dyDescent="0.25">
      <c r="A344" s="117">
        <f>A343+1</f>
        <v>60</v>
      </c>
      <c r="B344" s="258"/>
      <c r="C344" s="118">
        <f t="shared" si="71"/>
        <v>308</v>
      </c>
      <c r="D344" s="118" t="s">
        <v>100</v>
      </c>
      <c r="E344" s="49">
        <f>(31.26+0.75*(2.75+2.1+2.75))*(10.764)</f>
        <v>397.83743999999996</v>
      </c>
      <c r="F344" s="119">
        <f t="shared" si="65"/>
        <v>477.40492799999993</v>
      </c>
      <c r="G344" s="120">
        <f t="shared" si="72"/>
        <v>198918.71999999997</v>
      </c>
      <c r="H344" s="120">
        <f t="shared" si="67"/>
        <v>5768642.879999999</v>
      </c>
      <c r="I344" s="116">
        <f t="shared" si="68"/>
        <v>1193512.3199999998</v>
      </c>
      <c r="J344" s="115">
        <v>10000</v>
      </c>
      <c r="K344" s="163">
        <f t="shared" si="69"/>
        <v>5967561.5999999987</v>
      </c>
      <c r="L344" s="164"/>
    </row>
    <row r="345" spans="1:12" customFormat="1" x14ac:dyDescent="0.25">
      <c r="A345" s="117">
        <f>A344+1</f>
        <v>61</v>
      </c>
      <c r="B345" s="256" t="s">
        <v>595</v>
      </c>
      <c r="C345" s="118">
        <v>401</v>
      </c>
      <c r="D345" s="118" t="s">
        <v>100</v>
      </c>
      <c r="E345" s="49">
        <f>(30.7+0.75*(2.75+2.1+2.89))*(10.764)</f>
        <v>392.93981999999994</v>
      </c>
      <c r="F345" s="119">
        <f t="shared" ref="F345:F352" si="73">E345*1.2</f>
        <v>471.52778399999988</v>
      </c>
      <c r="G345" s="120">
        <f t="shared" ref="G345:G346" si="74">E345*G$280</f>
        <v>196469.90999999997</v>
      </c>
      <c r="H345" s="120">
        <f t="shared" ref="H345:H352" si="75">E345*$H$280</f>
        <v>5697627.3899999987</v>
      </c>
      <c r="I345" s="116">
        <f t="shared" ref="I345:I352" si="76">$I$280*F345</f>
        <v>1178819.4599999997</v>
      </c>
      <c r="J345" s="115">
        <v>10000</v>
      </c>
      <c r="K345" s="163">
        <f t="shared" ref="K345:K352" si="77">H345+G345</f>
        <v>5894097.2999999989</v>
      </c>
      <c r="L345" s="164"/>
    </row>
    <row r="346" spans="1:12" customFormat="1" x14ac:dyDescent="0.25">
      <c r="A346" s="117">
        <f>A345+1</f>
        <v>62</v>
      </c>
      <c r="B346" s="257"/>
      <c r="C346" s="118">
        <f>C345+1</f>
        <v>402</v>
      </c>
      <c r="D346" s="118" t="s">
        <v>100</v>
      </c>
      <c r="E346" s="49">
        <f>(31.09+0.75*(2.75+2.1+2.89))*(10.764)</f>
        <v>397.13777999999991</v>
      </c>
      <c r="F346" s="119">
        <f t="shared" si="73"/>
        <v>476.56533599999989</v>
      </c>
      <c r="G346" s="120">
        <f t="shared" si="74"/>
        <v>198568.88999999996</v>
      </c>
      <c r="H346" s="120">
        <f t="shared" si="75"/>
        <v>5758497.8099999987</v>
      </c>
      <c r="I346" s="116">
        <f t="shared" si="76"/>
        <v>1191413.3399999996</v>
      </c>
      <c r="J346" s="115">
        <v>10000</v>
      </c>
      <c r="K346" s="163">
        <f t="shared" si="77"/>
        <v>5957066.6999999983</v>
      </c>
      <c r="L346" s="164"/>
    </row>
    <row r="347" spans="1:12" customFormat="1" x14ac:dyDescent="0.25">
      <c r="A347" s="117">
        <f t="shared" ref="A347:A351" si="78">A346+1</f>
        <v>63</v>
      </c>
      <c r="B347" s="257"/>
      <c r="C347" s="118">
        <f>C346+1</f>
        <v>403</v>
      </c>
      <c r="D347" s="118" t="s">
        <v>101</v>
      </c>
      <c r="E347" s="49">
        <f>(19.7+0.75*(1.84+2.1))*(10.764)</f>
        <v>243.85842</v>
      </c>
      <c r="F347" s="119">
        <f t="shared" si="73"/>
        <v>292.63010399999996</v>
      </c>
      <c r="G347" s="120">
        <f>E347*G$280</f>
        <v>121929.20999999999</v>
      </c>
      <c r="H347" s="120">
        <f t="shared" si="75"/>
        <v>3535947.09</v>
      </c>
      <c r="I347" s="116">
        <f t="shared" si="76"/>
        <v>731575.25999999989</v>
      </c>
      <c r="J347" s="115">
        <v>7000</v>
      </c>
      <c r="K347" s="163">
        <f t="shared" si="77"/>
        <v>3657876.3</v>
      </c>
      <c r="L347" s="164"/>
    </row>
    <row r="348" spans="1:12" customFormat="1" x14ac:dyDescent="0.25">
      <c r="A348" s="117">
        <f t="shared" si="78"/>
        <v>64</v>
      </c>
      <c r="B348" s="257"/>
      <c r="C348" s="118">
        <f t="shared" ref="C348:C352" si="79">C347+1</f>
        <v>404</v>
      </c>
      <c r="D348" s="118" t="s">
        <v>100</v>
      </c>
      <c r="E348" s="49">
        <f>(32.75+0.75*(2.9+2.05+3.07))*(10.764)</f>
        <v>417.26646</v>
      </c>
      <c r="F348" s="119">
        <f t="shared" si="73"/>
        <v>500.71975199999997</v>
      </c>
      <c r="G348" s="120">
        <f t="shared" ref="G348:G352" si="80">E348*G$280</f>
        <v>208633.23</v>
      </c>
      <c r="H348" s="120">
        <f t="shared" si="75"/>
        <v>6050363.6699999999</v>
      </c>
      <c r="I348" s="116">
        <f t="shared" si="76"/>
        <v>1251799.3799999999</v>
      </c>
      <c r="J348" s="115">
        <v>10000</v>
      </c>
      <c r="K348" s="163">
        <f t="shared" si="77"/>
        <v>6258996.9000000004</v>
      </c>
      <c r="L348" s="164"/>
    </row>
    <row r="349" spans="1:12" customFormat="1" x14ac:dyDescent="0.25">
      <c r="A349" s="117">
        <f t="shared" si="78"/>
        <v>65</v>
      </c>
      <c r="B349" s="257"/>
      <c r="C349" s="118">
        <f t="shared" si="79"/>
        <v>405</v>
      </c>
      <c r="D349" s="118" t="s">
        <v>104</v>
      </c>
      <c r="E349" s="49">
        <f>(51.67+2.95*1.2+1*(2.54+3.12)+0.75*2.75)*(10.764)</f>
        <v>677.40543000000002</v>
      </c>
      <c r="F349" s="119">
        <f t="shared" si="73"/>
        <v>812.88651600000003</v>
      </c>
      <c r="G349" s="120">
        <f t="shared" si="80"/>
        <v>338702.71500000003</v>
      </c>
      <c r="H349" s="120">
        <f t="shared" si="75"/>
        <v>9822378.7350000013</v>
      </c>
      <c r="I349" s="116">
        <f t="shared" si="76"/>
        <v>2032216.29</v>
      </c>
      <c r="J349" s="115">
        <v>14000</v>
      </c>
      <c r="K349" s="163">
        <f t="shared" si="77"/>
        <v>10161081.450000001</v>
      </c>
      <c r="L349" s="164"/>
    </row>
    <row r="350" spans="1:12" customFormat="1" x14ac:dyDescent="0.25">
      <c r="A350" s="117">
        <f t="shared" si="78"/>
        <v>66</v>
      </c>
      <c r="B350" s="257"/>
      <c r="C350" s="118">
        <f t="shared" si="79"/>
        <v>406</v>
      </c>
      <c r="D350" s="118" t="s">
        <v>104</v>
      </c>
      <c r="E350" s="49">
        <f>(52.07+2.95*1.2+1*(2.66+2.72)+0.75*3)*(10.764)</f>
        <v>680.71536000000003</v>
      </c>
      <c r="F350" s="119">
        <f t="shared" si="73"/>
        <v>816.85843199999999</v>
      </c>
      <c r="G350" s="120">
        <f t="shared" si="80"/>
        <v>340357.68</v>
      </c>
      <c r="H350" s="120">
        <f t="shared" si="75"/>
        <v>9870372.7200000007</v>
      </c>
      <c r="I350" s="116">
        <f t="shared" si="76"/>
        <v>2042146.08</v>
      </c>
      <c r="J350" s="115">
        <v>14000</v>
      </c>
      <c r="K350" s="163">
        <f t="shared" si="77"/>
        <v>10210730.4</v>
      </c>
      <c r="L350" s="164"/>
    </row>
    <row r="351" spans="1:12" customFormat="1" x14ac:dyDescent="0.25">
      <c r="A351" s="117">
        <f t="shared" si="78"/>
        <v>67</v>
      </c>
      <c r="B351" s="257"/>
      <c r="C351" s="118">
        <f t="shared" si="79"/>
        <v>407</v>
      </c>
      <c r="D351" s="118" t="s">
        <v>100</v>
      </c>
      <c r="E351" s="49">
        <f>(31.73+0.75*(2.75+2.1+2.75))*(10.764)</f>
        <v>402.89651999999995</v>
      </c>
      <c r="F351" s="119">
        <f t="shared" si="73"/>
        <v>483.47582399999993</v>
      </c>
      <c r="G351" s="120">
        <f t="shared" si="80"/>
        <v>201448.25999999998</v>
      </c>
      <c r="H351" s="120">
        <f t="shared" si="75"/>
        <v>5841999.5399999991</v>
      </c>
      <c r="I351" s="116">
        <f t="shared" si="76"/>
        <v>1208689.5599999998</v>
      </c>
      <c r="J351" s="115">
        <v>10000</v>
      </c>
      <c r="K351" s="163">
        <f t="shared" si="77"/>
        <v>6043447.7999999989</v>
      </c>
      <c r="L351" s="164"/>
    </row>
    <row r="352" spans="1:12" customFormat="1" x14ac:dyDescent="0.25">
      <c r="A352" s="117">
        <f>A351+1</f>
        <v>68</v>
      </c>
      <c r="B352" s="258"/>
      <c r="C352" s="118">
        <f t="shared" si="79"/>
        <v>408</v>
      </c>
      <c r="D352" s="118" t="s">
        <v>100</v>
      </c>
      <c r="E352" s="49">
        <f>(31.26+0.75*(2.75+2.1+2.75))*(10.764)</f>
        <v>397.83743999999996</v>
      </c>
      <c r="F352" s="119">
        <f t="shared" si="73"/>
        <v>477.40492799999993</v>
      </c>
      <c r="G352" s="120">
        <f t="shared" si="80"/>
        <v>198918.71999999997</v>
      </c>
      <c r="H352" s="120">
        <f t="shared" si="75"/>
        <v>5768642.879999999</v>
      </c>
      <c r="I352" s="116">
        <f t="shared" si="76"/>
        <v>1193512.3199999998</v>
      </c>
      <c r="J352" s="115">
        <v>10000</v>
      </c>
      <c r="K352" s="163">
        <f t="shared" si="77"/>
        <v>5967561.5999999987</v>
      </c>
      <c r="L352" s="164"/>
    </row>
    <row r="353" spans="1:12" customFormat="1" x14ac:dyDescent="0.25">
      <c r="A353" s="117">
        <f>A352+1</f>
        <v>69</v>
      </c>
      <c r="B353" s="256" t="s">
        <v>596</v>
      </c>
      <c r="C353" s="118">
        <v>501</v>
      </c>
      <c r="D353" s="118" t="s">
        <v>100</v>
      </c>
      <c r="E353" s="49">
        <f>(30.7+0.75*(2.75+2.1+2.89))*(10.764)</f>
        <v>392.93981999999994</v>
      </c>
      <c r="F353" s="119">
        <f t="shared" ref="F353:F360" si="81">E353*1.2</f>
        <v>471.52778399999988</v>
      </c>
      <c r="G353" s="120">
        <f t="shared" ref="G353:G354" si="82">E353*G$280</f>
        <v>196469.90999999997</v>
      </c>
      <c r="H353" s="120">
        <f t="shared" ref="H353:H360" si="83">E353*$H$280</f>
        <v>5697627.3899999987</v>
      </c>
      <c r="I353" s="116">
        <f t="shared" ref="I353:I360" si="84">$I$280*F353</f>
        <v>1178819.4599999997</v>
      </c>
      <c r="J353" s="115">
        <v>10000</v>
      </c>
      <c r="K353" s="163">
        <f t="shared" ref="K353:K360" si="85">H353+G353</f>
        <v>5894097.2999999989</v>
      </c>
      <c r="L353" s="164"/>
    </row>
    <row r="354" spans="1:12" customFormat="1" x14ac:dyDescent="0.25">
      <c r="A354" s="117">
        <f>A353+1</f>
        <v>70</v>
      </c>
      <c r="B354" s="257"/>
      <c r="C354" s="118">
        <f>C353+1</f>
        <v>502</v>
      </c>
      <c r="D354" s="118" t="s">
        <v>100</v>
      </c>
      <c r="E354" s="49">
        <f>(31.09+0.75*(2.75+2.1+2.89))*(10.764)</f>
        <v>397.13777999999991</v>
      </c>
      <c r="F354" s="119">
        <f t="shared" si="81"/>
        <v>476.56533599999989</v>
      </c>
      <c r="G354" s="120">
        <f t="shared" si="82"/>
        <v>198568.88999999996</v>
      </c>
      <c r="H354" s="120">
        <f t="shared" si="83"/>
        <v>5758497.8099999987</v>
      </c>
      <c r="I354" s="116">
        <f t="shared" si="84"/>
        <v>1191413.3399999996</v>
      </c>
      <c r="J354" s="115">
        <v>10000</v>
      </c>
      <c r="K354" s="163">
        <f t="shared" si="85"/>
        <v>5957066.6999999983</v>
      </c>
      <c r="L354" s="164"/>
    </row>
    <row r="355" spans="1:12" customFormat="1" x14ac:dyDescent="0.25">
      <c r="A355" s="117">
        <f t="shared" ref="A355:A359" si="86">A354+1</f>
        <v>71</v>
      </c>
      <c r="B355" s="257"/>
      <c r="C355" s="118">
        <f>C354+1</f>
        <v>503</v>
      </c>
      <c r="D355" s="118" t="s">
        <v>101</v>
      </c>
      <c r="E355" s="49">
        <f>(19.7+0.75*(1.84+2.1))*(10.764)</f>
        <v>243.85842</v>
      </c>
      <c r="F355" s="119">
        <f t="shared" si="81"/>
        <v>292.63010399999996</v>
      </c>
      <c r="G355" s="120">
        <f>E355*G$280</f>
        <v>121929.20999999999</v>
      </c>
      <c r="H355" s="120">
        <f t="shared" si="83"/>
        <v>3535947.09</v>
      </c>
      <c r="I355" s="116">
        <f t="shared" si="84"/>
        <v>731575.25999999989</v>
      </c>
      <c r="J355" s="115">
        <v>7000</v>
      </c>
      <c r="K355" s="163">
        <f t="shared" si="85"/>
        <v>3657876.3</v>
      </c>
      <c r="L355" s="164"/>
    </row>
    <row r="356" spans="1:12" customFormat="1" x14ac:dyDescent="0.25">
      <c r="A356" s="117">
        <f t="shared" si="86"/>
        <v>72</v>
      </c>
      <c r="B356" s="257"/>
      <c r="C356" s="118">
        <f t="shared" ref="C356:C360" si="87">C355+1</f>
        <v>504</v>
      </c>
      <c r="D356" s="118" t="s">
        <v>100</v>
      </c>
      <c r="E356" s="49">
        <f>(32.75+0.75*(2.9+2.05+3.07))*(10.764)</f>
        <v>417.26646</v>
      </c>
      <c r="F356" s="119">
        <f t="shared" si="81"/>
        <v>500.71975199999997</v>
      </c>
      <c r="G356" s="120">
        <f t="shared" ref="G356:G360" si="88">E356*G$280</f>
        <v>208633.23</v>
      </c>
      <c r="H356" s="120">
        <f t="shared" si="83"/>
        <v>6050363.6699999999</v>
      </c>
      <c r="I356" s="116">
        <f t="shared" si="84"/>
        <v>1251799.3799999999</v>
      </c>
      <c r="J356" s="115">
        <v>10000</v>
      </c>
      <c r="K356" s="163">
        <f t="shared" si="85"/>
        <v>6258996.9000000004</v>
      </c>
      <c r="L356" s="164"/>
    </row>
    <row r="357" spans="1:12" customFormat="1" x14ac:dyDescent="0.25">
      <c r="A357" s="117">
        <f t="shared" si="86"/>
        <v>73</v>
      </c>
      <c r="B357" s="257"/>
      <c r="C357" s="118">
        <f t="shared" si="87"/>
        <v>505</v>
      </c>
      <c r="D357" s="118" t="s">
        <v>104</v>
      </c>
      <c r="E357" s="49">
        <f>(51.67+2.95*1.2+1*(2.54+3.12)+0.75*2.75)*(10.764)</f>
        <v>677.40543000000002</v>
      </c>
      <c r="F357" s="119">
        <f t="shared" si="81"/>
        <v>812.88651600000003</v>
      </c>
      <c r="G357" s="120">
        <f t="shared" si="88"/>
        <v>338702.71500000003</v>
      </c>
      <c r="H357" s="120">
        <f t="shared" si="83"/>
        <v>9822378.7350000013</v>
      </c>
      <c r="I357" s="116">
        <f t="shared" si="84"/>
        <v>2032216.29</v>
      </c>
      <c r="J357" s="115">
        <v>14000</v>
      </c>
      <c r="K357" s="163">
        <f t="shared" si="85"/>
        <v>10161081.450000001</v>
      </c>
      <c r="L357" s="164"/>
    </row>
    <row r="358" spans="1:12" customFormat="1" x14ac:dyDescent="0.25">
      <c r="A358" s="117">
        <f t="shared" si="86"/>
        <v>74</v>
      </c>
      <c r="B358" s="257"/>
      <c r="C358" s="118">
        <f t="shared" si="87"/>
        <v>506</v>
      </c>
      <c r="D358" s="118" t="s">
        <v>104</v>
      </c>
      <c r="E358" s="49">
        <f>(52.07+2.95*1.2+1*(2.66+2.72)+0.75*3)*(10.764)</f>
        <v>680.71536000000003</v>
      </c>
      <c r="F358" s="119">
        <f t="shared" si="81"/>
        <v>816.85843199999999</v>
      </c>
      <c r="G358" s="120">
        <f t="shared" si="88"/>
        <v>340357.68</v>
      </c>
      <c r="H358" s="120">
        <f t="shared" si="83"/>
        <v>9870372.7200000007</v>
      </c>
      <c r="I358" s="116">
        <f t="shared" si="84"/>
        <v>2042146.08</v>
      </c>
      <c r="J358" s="115">
        <v>14000</v>
      </c>
      <c r="K358" s="163">
        <f t="shared" si="85"/>
        <v>10210730.4</v>
      </c>
      <c r="L358" s="164"/>
    </row>
    <row r="359" spans="1:12" customFormat="1" x14ac:dyDescent="0.25">
      <c r="A359" s="117">
        <f t="shared" si="86"/>
        <v>75</v>
      </c>
      <c r="B359" s="257"/>
      <c r="C359" s="118">
        <f t="shared" si="87"/>
        <v>507</v>
      </c>
      <c r="D359" s="118" t="s">
        <v>100</v>
      </c>
      <c r="E359" s="49">
        <f>(31.73+0.75*(2.75+2.1+2.75))*(10.764)</f>
        <v>402.89651999999995</v>
      </c>
      <c r="F359" s="119">
        <f t="shared" si="81"/>
        <v>483.47582399999993</v>
      </c>
      <c r="G359" s="120">
        <f t="shared" si="88"/>
        <v>201448.25999999998</v>
      </c>
      <c r="H359" s="120">
        <f t="shared" si="83"/>
        <v>5841999.5399999991</v>
      </c>
      <c r="I359" s="116">
        <f t="shared" si="84"/>
        <v>1208689.5599999998</v>
      </c>
      <c r="J359" s="115">
        <v>10000</v>
      </c>
      <c r="K359" s="163">
        <f t="shared" si="85"/>
        <v>6043447.7999999989</v>
      </c>
      <c r="L359" s="164"/>
    </row>
    <row r="360" spans="1:12" customFormat="1" x14ac:dyDescent="0.25">
      <c r="A360" s="117">
        <f>A359+1</f>
        <v>76</v>
      </c>
      <c r="B360" s="258"/>
      <c r="C360" s="118">
        <f t="shared" si="87"/>
        <v>508</v>
      </c>
      <c r="D360" s="118" t="s">
        <v>100</v>
      </c>
      <c r="E360" s="49">
        <f>(31.26+0.75*(2.75+2.1+2.75))*(10.764)</f>
        <v>397.83743999999996</v>
      </c>
      <c r="F360" s="119">
        <f t="shared" si="81"/>
        <v>477.40492799999993</v>
      </c>
      <c r="G360" s="120">
        <f t="shared" si="88"/>
        <v>198918.71999999997</v>
      </c>
      <c r="H360" s="120">
        <f t="shared" si="83"/>
        <v>5768642.879999999</v>
      </c>
      <c r="I360" s="116">
        <f t="shared" si="84"/>
        <v>1193512.3199999998</v>
      </c>
      <c r="J360" s="115">
        <v>10000</v>
      </c>
      <c r="K360" s="163">
        <f t="shared" si="85"/>
        <v>5967561.5999999987</v>
      </c>
      <c r="L360" s="164"/>
    </row>
    <row r="361" spans="1:12" customFormat="1" x14ac:dyDescent="0.25">
      <c r="A361" s="117">
        <f>A360+1</f>
        <v>77</v>
      </c>
      <c r="B361" s="256" t="s">
        <v>597</v>
      </c>
      <c r="C361" s="118">
        <v>601</v>
      </c>
      <c r="D361" s="118" t="s">
        <v>104</v>
      </c>
      <c r="E361" s="49">
        <f>(51.67+2.95*1.2+1*(2.54+3.12)+0.75*2.75)*(10.764)</f>
        <v>677.40543000000002</v>
      </c>
      <c r="F361" s="119">
        <f t="shared" ref="F361:F362" si="89">E361*1.2</f>
        <v>812.88651600000003</v>
      </c>
      <c r="G361" s="120">
        <f t="shared" ref="G361:G362" si="90">E361*G$280</f>
        <v>338702.71500000003</v>
      </c>
      <c r="H361" s="120">
        <f t="shared" ref="H361:H362" si="91">E361*$H$280</f>
        <v>9822378.7350000013</v>
      </c>
      <c r="I361" s="116">
        <f t="shared" ref="I361:I362" si="92">$I$280*F361</f>
        <v>2032216.29</v>
      </c>
      <c r="J361" s="115">
        <v>14000</v>
      </c>
      <c r="K361" s="163">
        <f t="shared" ref="K361:K362" si="93">H361+G361</f>
        <v>10161081.450000001</v>
      </c>
      <c r="L361" s="164"/>
    </row>
    <row r="362" spans="1:12" customFormat="1" x14ac:dyDescent="0.25">
      <c r="A362" s="117">
        <f>A361+1</f>
        <v>78</v>
      </c>
      <c r="B362" s="257"/>
      <c r="C362" s="118">
        <f t="shared" ref="C362:C368" si="94">C361+1</f>
        <v>602</v>
      </c>
      <c r="D362" s="118" t="s">
        <v>104</v>
      </c>
      <c r="E362" s="49">
        <f>(52.07+2.95*1.2+1*(2.66+2.72)+0.75*3)*(10.764)</f>
        <v>680.71536000000003</v>
      </c>
      <c r="F362" s="119">
        <f t="shared" si="89"/>
        <v>816.85843199999999</v>
      </c>
      <c r="G362" s="120">
        <f t="shared" si="90"/>
        <v>340357.68</v>
      </c>
      <c r="H362" s="120">
        <f t="shared" si="91"/>
        <v>9870372.7200000007</v>
      </c>
      <c r="I362" s="116">
        <f t="shared" si="92"/>
        <v>2042146.08</v>
      </c>
      <c r="J362" s="115">
        <v>14000</v>
      </c>
      <c r="K362" s="163">
        <f t="shared" si="93"/>
        <v>10210730.4</v>
      </c>
      <c r="L362" s="164"/>
    </row>
    <row r="363" spans="1:12" customFormat="1" x14ac:dyDescent="0.25">
      <c r="A363" s="117" t="s">
        <v>170</v>
      </c>
      <c r="B363" s="257"/>
      <c r="C363" s="118">
        <f t="shared" si="94"/>
        <v>603</v>
      </c>
      <c r="D363" s="494" t="s">
        <v>677</v>
      </c>
      <c r="E363" s="495"/>
      <c r="F363" s="495"/>
      <c r="G363" s="495"/>
      <c r="H363" s="496"/>
      <c r="I363" s="116">
        <f t="shared" ref="I363" si="95">$I$280*F363</f>
        <v>0</v>
      </c>
      <c r="J363" s="115" t="s">
        <v>170</v>
      </c>
      <c r="K363" s="163" t="s">
        <v>170</v>
      </c>
      <c r="L363" s="164"/>
    </row>
    <row r="364" spans="1:12" customFormat="1" x14ac:dyDescent="0.25">
      <c r="A364" s="117" t="s">
        <v>170</v>
      </c>
      <c r="B364" s="257"/>
      <c r="C364" s="118">
        <f t="shared" si="94"/>
        <v>604</v>
      </c>
      <c r="D364" s="497"/>
      <c r="E364" s="498"/>
      <c r="F364" s="498"/>
      <c r="G364" s="498"/>
      <c r="H364" s="499"/>
      <c r="I364" s="116">
        <f t="shared" ref="I364:I365" si="96">$I$280*F364</f>
        <v>0</v>
      </c>
      <c r="J364" s="115" t="s">
        <v>170</v>
      </c>
      <c r="K364" s="163" t="s">
        <v>170</v>
      </c>
      <c r="L364" s="164"/>
    </row>
    <row r="365" spans="1:12" customFormat="1" x14ac:dyDescent="0.25">
      <c r="A365" s="117" t="s">
        <v>170</v>
      </c>
      <c r="B365" s="257"/>
      <c r="C365" s="118">
        <f t="shared" si="94"/>
        <v>605</v>
      </c>
      <c r="D365" s="497"/>
      <c r="E365" s="498"/>
      <c r="F365" s="498"/>
      <c r="G365" s="498"/>
      <c r="H365" s="499"/>
      <c r="I365" s="116">
        <f t="shared" si="96"/>
        <v>0</v>
      </c>
      <c r="J365" s="115" t="s">
        <v>170</v>
      </c>
      <c r="K365" s="163" t="s">
        <v>170</v>
      </c>
      <c r="L365" s="164"/>
    </row>
    <row r="366" spans="1:12" customFormat="1" x14ac:dyDescent="0.25">
      <c r="A366" s="117" t="s">
        <v>170</v>
      </c>
      <c r="B366" s="257"/>
      <c r="C366" s="118">
        <f t="shared" si="94"/>
        <v>606</v>
      </c>
      <c r="D366" s="497"/>
      <c r="E366" s="498"/>
      <c r="F366" s="498"/>
      <c r="G366" s="498"/>
      <c r="H366" s="499"/>
      <c r="I366" s="116">
        <f t="shared" ref="I366:I367" si="97">$I$280*F366</f>
        <v>0</v>
      </c>
      <c r="J366" s="115" t="s">
        <v>170</v>
      </c>
      <c r="K366" s="163" t="s">
        <v>170</v>
      </c>
      <c r="L366" s="164"/>
    </row>
    <row r="367" spans="1:12" customFormat="1" x14ac:dyDescent="0.25">
      <c r="A367" s="117" t="s">
        <v>170</v>
      </c>
      <c r="B367" s="257"/>
      <c r="C367" s="118">
        <f t="shared" si="94"/>
        <v>607</v>
      </c>
      <c r="D367" s="497"/>
      <c r="E367" s="498"/>
      <c r="F367" s="498"/>
      <c r="G367" s="498"/>
      <c r="H367" s="499"/>
      <c r="I367" s="116">
        <f t="shared" si="97"/>
        <v>0</v>
      </c>
      <c r="J367" s="115" t="s">
        <v>170</v>
      </c>
      <c r="K367" s="163" t="s">
        <v>170</v>
      </c>
      <c r="L367" s="164"/>
    </row>
    <row r="368" spans="1:12" customFormat="1" x14ac:dyDescent="0.25">
      <c r="A368" s="117" t="s">
        <v>170</v>
      </c>
      <c r="B368" s="258"/>
      <c r="C368" s="118">
        <f t="shared" si="94"/>
        <v>608</v>
      </c>
      <c r="D368" s="500"/>
      <c r="E368" s="501"/>
      <c r="F368" s="501"/>
      <c r="G368" s="501"/>
      <c r="H368" s="502"/>
      <c r="I368" s="116">
        <f t="shared" ref="I368" si="98">$I$280*F368</f>
        <v>0</v>
      </c>
      <c r="J368" s="115" t="s">
        <v>170</v>
      </c>
      <c r="K368" s="163" t="s">
        <v>170</v>
      </c>
      <c r="L368" s="164"/>
    </row>
    <row r="369" spans="1:12" ht="15" customHeight="1" x14ac:dyDescent="0.25">
      <c r="A369" s="279"/>
      <c r="B369" s="280"/>
      <c r="C369" s="280"/>
      <c r="D369" s="280"/>
      <c r="E369" s="280"/>
      <c r="F369" s="280"/>
      <c r="G369" s="280"/>
      <c r="H369" s="280"/>
      <c r="I369" s="280"/>
      <c r="J369" s="280"/>
      <c r="K369" s="280"/>
      <c r="L369" s="281"/>
    </row>
    <row r="370" spans="1:12" ht="15.75" x14ac:dyDescent="0.25">
      <c r="A370" s="225" t="s">
        <v>469</v>
      </c>
      <c r="B370" s="226"/>
      <c r="C370" s="226"/>
      <c r="D370" s="226"/>
      <c r="E370" s="226"/>
      <c r="F370" s="226"/>
      <c r="G370" s="226"/>
      <c r="H370" s="226"/>
      <c r="I370" s="226"/>
      <c r="J370" s="226"/>
      <c r="K370" s="226"/>
      <c r="L370" s="227"/>
    </row>
    <row r="371" spans="1:12" customFormat="1" ht="42" customHeight="1" x14ac:dyDescent="0.25">
      <c r="A371" s="158" t="s">
        <v>67</v>
      </c>
      <c r="B371" s="158" t="s">
        <v>68</v>
      </c>
      <c r="C371" s="158" t="s">
        <v>69</v>
      </c>
      <c r="D371" s="158" t="s">
        <v>70</v>
      </c>
      <c r="E371" s="158" t="s">
        <v>83</v>
      </c>
      <c r="F371" s="158" t="s">
        <v>243</v>
      </c>
      <c r="G371" s="18" t="s">
        <v>609</v>
      </c>
      <c r="H371" s="128" t="s">
        <v>610</v>
      </c>
      <c r="I371" s="158" t="s">
        <v>592</v>
      </c>
      <c r="J371" s="158" t="s">
        <v>593</v>
      </c>
      <c r="K371" s="473" t="s">
        <v>608</v>
      </c>
      <c r="L371" s="474"/>
    </row>
    <row r="372" spans="1:12" customFormat="1" ht="32.25" customHeight="1" x14ac:dyDescent="0.25">
      <c r="A372" s="159"/>
      <c r="B372" s="159"/>
      <c r="C372" s="159"/>
      <c r="D372" s="159"/>
      <c r="E372" s="159"/>
      <c r="F372" s="159"/>
      <c r="G372" s="18" t="s">
        <v>611</v>
      </c>
      <c r="H372" s="18" t="s">
        <v>611</v>
      </c>
      <c r="I372" s="160"/>
      <c r="J372" s="159"/>
      <c r="K372" s="475"/>
      <c r="L372" s="476"/>
    </row>
    <row r="373" spans="1:12" customFormat="1" x14ac:dyDescent="0.25">
      <c r="A373" s="160"/>
      <c r="B373" s="160"/>
      <c r="C373" s="160"/>
      <c r="D373" s="160"/>
      <c r="E373" s="160"/>
      <c r="F373" s="160"/>
      <c r="G373" s="523">
        <v>500</v>
      </c>
      <c r="H373" s="523">
        <v>14500</v>
      </c>
      <c r="I373" s="523">
        <v>2500</v>
      </c>
      <c r="J373" s="160"/>
      <c r="K373" s="477"/>
      <c r="L373" s="478"/>
    </row>
    <row r="374" spans="1:12" customFormat="1" x14ac:dyDescent="0.25">
      <c r="A374" s="285" t="s">
        <v>409</v>
      </c>
      <c r="B374" s="285"/>
      <c r="C374" s="285"/>
      <c r="D374" s="285"/>
      <c r="E374" s="285"/>
      <c r="F374" s="285"/>
      <c r="G374" s="285"/>
      <c r="H374" s="285"/>
      <c r="I374" s="285"/>
      <c r="J374" s="285"/>
      <c r="K374" s="285"/>
      <c r="L374" s="285"/>
    </row>
    <row r="375" spans="1:12" customFormat="1" x14ac:dyDescent="0.25">
      <c r="A375" s="286" t="s">
        <v>89</v>
      </c>
      <c r="B375" s="286"/>
      <c r="C375" s="286"/>
      <c r="D375" s="286"/>
      <c r="E375" s="286"/>
      <c r="F375" s="286"/>
      <c r="G375" s="286"/>
      <c r="H375" s="286"/>
      <c r="I375" s="286"/>
      <c r="J375" s="286"/>
      <c r="K375" s="286"/>
      <c r="L375" s="286"/>
    </row>
    <row r="376" spans="1:12" customFormat="1" x14ac:dyDescent="0.25">
      <c r="A376" s="117">
        <v>1</v>
      </c>
      <c r="B376" s="282" t="s">
        <v>598</v>
      </c>
      <c r="C376" s="118">
        <f>LEFT(B376,SUM(LEN(B376)-LEN(SUBSTITUTE(B376,{"0","1","2","3","4","5","6","7","8","9"},""))))*100+1</f>
        <v>701</v>
      </c>
      <c r="D376" s="118" t="s">
        <v>100</v>
      </c>
      <c r="E376" s="119">
        <f>(40.77)*(10.764)</f>
        <v>438.84827999999999</v>
      </c>
      <c r="F376" s="119">
        <f t="shared" ref="F376:F381" si="99">E376*1.2</f>
        <v>526.61793599999999</v>
      </c>
      <c r="G376" s="120">
        <f>E376*G$373</f>
        <v>219424.13999999998</v>
      </c>
      <c r="H376" s="120">
        <f>E376*$H$373</f>
        <v>6363300.0599999996</v>
      </c>
      <c r="I376" s="116">
        <f t="shared" ref="I376:I381" si="100">$I$280*F376</f>
        <v>1316544.8399999999</v>
      </c>
      <c r="J376" s="115">
        <v>10000</v>
      </c>
      <c r="K376" s="163">
        <f t="shared" ref="K376:K381" si="101">H376+G376</f>
        <v>6582724.1999999993</v>
      </c>
      <c r="L376" s="164"/>
    </row>
    <row r="377" spans="1:12" customFormat="1" x14ac:dyDescent="0.25">
      <c r="A377" s="117">
        <f t="shared" ref="A377:A381" si="102">A376+1</f>
        <v>2</v>
      </c>
      <c r="B377" s="283"/>
      <c r="C377" s="118">
        <f>C376+1</f>
        <v>702</v>
      </c>
      <c r="D377" s="118" t="s">
        <v>104</v>
      </c>
      <c r="E377" s="119">
        <f>(66.651)*(10.764)</f>
        <v>717.43136399999992</v>
      </c>
      <c r="F377" s="119">
        <f t="shared" si="99"/>
        <v>860.91763679999985</v>
      </c>
      <c r="G377" s="120">
        <f>E377*G$373</f>
        <v>358715.68199999997</v>
      </c>
      <c r="H377" s="120">
        <f>E377*$H$373</f>
        <v>10402754.777999999</v>
      </c>
      <c r="I377" s="116">
        <f t="shared" si="100"/>
        <v>2152294.0919999997</v>
      </c>
      <c r="J377" s="115">
        <v>14000</v>
      </c>
      <c r="K377" s="163">
        <f t="shared" si="101"/>
        <v>10761470.459999999</v>
      </c>
      <c r="L377" s="164"/>
    </row>
    <row r="378" spans="1:12" customFormat="1" x14ac:dyDescent="0.25">
      <c r="A378" s="117">
        <f t="shared" si="102"/>
        <v>3</v>
      </c>
      <c r="B378" s="283"/>
      <c r="C378" s="118">
        <f t="shared" ref="C378:C381" si="103">C377+1</f>
        <v>703</v>
      </c>
      <c r="D378" s="118" t="s">
        <v>104</v>
      </c>
      <c r="E378" s="119">
        <f>(62.546)*(10.764)</f>
        <v>673.24514399999998</v>
      </c>
      <c r="F378" s="119">
        <f t="shared" si="99"/>
        <v>807.89417279999998</v>
      </c>
      <c r="G378" s="120">
        <f t="shared" ref="G377:G381" si="104">E378*G$373</f>
        <v>336622.57199999999</v>
      </c>
      <c r="H378" s="120">
        <f>E378*$H$373</f>
        <v>9762054.5879999995</v>
      </c>
      <c r="I378" s="116">
        <f t="shared" si="100"/>
        <v>2019735.432</v>
      </c>
      <c r="J378" s="115">
        <v>14000</v>
      </c>
      <c r="K378" s="163">
        <f>H378+G378</f>
        <v>10098677.16</v>
      </c>
      <c r="L378" s="164"/>
    </row>
    <row r="379" spans="1:12" customFormat="1" x14ac:dyDescent="0.25">
      <c r="A379" s="117">
        <f t="shared" si="102"/>
        <v>4</v>
      </c>
      <c r="B379" s="283"/>
      <c r="C379" s="118">
        <f t="shared" si="103"/>
        <v>704</v>
      </c>
      <c r="D379" s="118" t="s">
        <v>104</v>
      </c>
      <c r="E379" s="119">
        <f>(58.366)*(10.764)</f>
        <v>628.25162399999999</v>
      </c>
      <c r="F379" s="119">
        <f t="shared" si="99"/>
        <v>753.90194880000001</v>
      </c>
      <c r="G379" s="120">
        <f t="shared" si="104"/>
        <v>314125.81199999998</v>
      </c>
      <c r="H379" s="120">
        <f t="shared" ref="H377:H381" si="105">E379*$H$373</f>
        <v>9109648.5480000004</v>
      </c>
      <c r="I379" s="116">
        <f t="shared" si="100"/>
        <v>1884754.872</v>
      </c>
      <c r="J379" s="115">
        <v>14000</v>
      </c>
      <c r="K379" s="163">
        <f t="shared" si="101"/>
        <v>9423774.3600000013</v>
      </c>
      <c r="L379" s="164"/>
    </row>
    <row r="380" spans="1:12" customFormat="1" x14ac:dyDescent="0.25">
      <c r="A380" s="117">
        <f t="shared" si="102"/>
        <v>5</v>
      </c>
      <c r="B380" s="283"/>
      <c r="C380" s="118">
        <f t="shared" si="103"/>
        <v>705</v>
      </c>
      <c r="D380" s="118" t="s">
        <v>104</v>
      </c>
      <c r="E380" s="119">
        <f>(58.709)*(10.764)</f>
        <v>631.94367599999998</v>
      </c>
      <c r="F380" s="119">
        <f t="shared" si="99"/>
        <v>758.33241119999991</v>
      </c>
      <c r="G380" s="120">
        <f t="shared" si="104"/>
        <v>315971.83799999999</v>
      </c>
      <c r="H380" s="120">
        <f t="shared" si="105"/>
        <v>9163183.3019999992</v>
      </c>
      <c r="I380" s="116">
        <f t="shared" si="100"/>
        <v>1895831.0279999997</v>
      </c>
      <c r="J380" s="115">
        <v>14000</v>
      </c>
      <c r="K380" s="163">
        <f t="shared" si="101"/>
        <v>9479155.1399999987</v>
      </c>
      <c r="L380" s="164"/>
    </row>
    <row r="381" spans="1:12" customFormat="1" x14ac:dyDescent="0.25">
      <c r="A381" s="117">
        <f t="shared" si="102"/>
        <v>6</v>
      </c>
      <c r="B381" s="283"/>
      <c r="C381" s="118">
        <f t="shared" si="103"/>
        <v>706</v>
      </c>
      <c r="D381" s="118" t="s">
        <v>100</v>
      </c>
      <c r="E381" s="119">
        <f>(38.779)*(10.764)</f>
        <v>417.41715600000003</v>
      </c>
      <c r="F381" s="119">
        <f t="shared" si="99"/>
        <v>500.90058720000002</v>
      </c>
      <c r="G381" s="120">
        <f t="shared" si="104"/>
        <v>208708.57800000001</v>
      </c>
      <c r="H381" s="120">
        <f t="shared" si="105"/>
        <v>6052548.7620000001</v>
      </c>
      <c r="I381" s="116">
        <f t="shared" si="100"/>
        <v>1252251.4680000001</v>
      </c>
      <c r="J381" s="115">
        <v>10000</v>
      </c>
      <c r="K381" s="163">
        <f t="shared" si="101"/>
        <v>6261257.3399999999</v>
      </c>
      <c r="L381" s="164"/>
    </row>
    <row r="382" spans="1:12" customFormat="1" x14ac:dyDescent="0.25">
      <c r="A382" s="285" t="s">
        <v>412</v>
      </c>
      <c r="B382" s="285"/>
      <c r="C382" s="285"/>
      <c r="D382" s="285"/>
      <c r="E382" s="285"/>
      <c r="F382" s="285"/>
      <c r="G382" s="285"/>
      <c r="H382" s="285"/>
      <c r="I382" s="285"/>
      <c r="J382" s="285"/>
      <c r="K382" s="285"/>
      <c r="L382" s="285"/>
    </row>
    <row r="383" spans="1:12" customFormat="1" x14ac:dyDescent="0.25">
      <c r="A383" s="286" t="s">
        <v>89</v>
      </c>
      <c r="B383" s="286"/>
      <c r="C383" s="286"/>
      <c r="D383" s="286"/>
      <c r="E383" s="286"/>
      <c r="F383" s="286"/>
      <c r="G383" s="286"/>
      <c r="H383" s="286"/>
      <c r="I383" s="286"/>
      <c r="J383" s="286"/>
      <c r="K383" s="286"/>
      <c r="L383" s="286"/>
    </row>
    <row r="384" spans="1:12" customFormat="1" x14ac:dyDescent="0.25">
      <c r="A384" s="117">
        <v>7</v>
      </c>
      <c r="B384" s="282" t="s">
        <v>598</v>
      </c>
      <c r="C384" s="118">
        <f>LEFT(B384,SUM(LEN(B384)-LEN(SUBSTITUTE(B384,{"0","1","2","3","4","5","6","7","8","9"},""))))*100+1</f>
        <v>701</v>
      </c>
      <c r="D384" s="118" t="s">
        <v>100</v>
      </c>
      <c r="E384" s="119">
        <f>(39.042)*(10.764)</f>
        <v>420.248088</v>
      </c>
      <c r="F384" s="119">
        <f t="shared" ref="F384:F391" si="106">E384*1.2</f>
        <v>504.29770559999997</v>
      </c>
      <c r="G384" s="120">
        <f t="shared" ref="G384:G391" si="107">E384*G$373</f>
        <v>210124.04399999999</v>
      </c>
      <c r="H384" s="120">
        <f t="shared" ref="H384:H391" si="108">E384*$H$373</f>
        <v>6093597.2759999996</v>
      </c>
      <c r="I384" s="116">
        <f t="shared" ref="I384:I391" si="109">$I$280*F384</f>
        <v>1260744.264</v>
      </c>
      <c r="J384" s="115">
        <v>10000</v>
      </c>
      <c r="K384" s="163">
        <f t="shared" ref="K384:K391" si="110">H384+G384</f>
        <v>6303721.3199999994</v>
      </c>
      <c r="L384" s="164"/>
    </row>
    <row r="385" spans="1:13" customFormat="1" x14ac:dyDescent="0.25">
      <c r="A385" s="117">
        <f t="shared" ref="A385:A391" si="111">A384+1</f>
        <v>8</v>
      </c>
      <c r="B385" s="283"/>
      <c r="C385" s="118">
        <f>C384+1</f>
        <v>702</v>
      </c>
      <c r="D385" s="118" t="s">
        <v>100</v>
      </c>
      <c r="E385" s="119">
        <f>(39.472)*(10.764)</f>
        <v>424.87660799999998</v>
      </c>
      <c r="F385" s="119">
        <f t="shared" si="106"/>
        <v>509.85192959999995</v>
      </c>
      <c r="G385" s="120">
        <f t="shared" si="107"/>
        <v>212438.30399999997</v>
      </c>
      <c r="H385" s="120">
        <f t="shared" si="108"/>
        <v>6160710.8159999996</v>
      </c>
      <c r="I385" s="116">
        <f t="shared" si="109"/>
        <v>1274629.8239999998</v>
      </c>
      <c r="J385" s="115">
        <v>10000</v>
      </c>
      <c r="K385" s="163">
        <f t="shared" si="110"/>
        <v>6373149.1199999992</v>
      </c>
      <c r="L385" s="164"/>
    </row>
    <row r="386" spans="1:13" customFormat="1" x14ac:dyDescent="0.25">
      <c r="A386" s="117">
        <f t="shared" si="111"/>
        <v>9</v>
      </c>
      <c r="B386" s="283"/>
      <c r="C386" s="118">
        <f t="shared" ref="C386:C391" si="112">C385+1</f>
        <v>703</v>
      </c>
      <c r="D386" s="118" t="s">
        <v>101</v>
      </c>
      <c r="E386" s="119">
        <f>(23.048)*(10.764)</f>
        <v>248.08867199999997</v>
      </c>
      <c r="F386" s="119">
        <f t="shared" si="106"/>
        <v>297.70640639999993</v>
      </c>
      <c r="G386" s="120">
        <f t="shared" si="107"/>
        <v>124044.33599999998</v>
      </c>
      <c r="H386" s="120">
        <f t="shared" si="108"/>
        <v>3597285.7439999995</v>
      </c>
      <c r="I386" s="116">
        <f t="shared" si="109"/>
        <v>744266.01599999983</v>
      </c>
      <c r="J386" s="115">
        <v>7000</v>
      </c>
      <c r="K386" s="163">
        <f t="shared" si="110"/>
        <v>3721330.0799999996</v>
      </c>
      <c r="L386" s="164"/>
    </row>
    <row r="387" spans="1:13" customFormat="1" x14ac:dyDescent="0.25">
      <c r="A387" s="117">
        <f t="shared" si="111"/>
        <v>10</v>
      </c>
      <c r="B387" s="283"/>
      <c r="C387" s="118">
        <f t="shared" si="112"/>
        <v>704</v>
      </c>
      <c r="D387" s="118" t="s">
        <v>100</v>
      </c>
      <c r="E387" s="119">
        <f>(41.41)*(10.764)</f>
        <v>445.73723999999993</v>
      </c>
      <c r="F387" s="119">
        <f t="shared" si="106"/>
        <v>534.88468799999987</v>
      </c>
      <c r="G387" s="120">
        <f t="shared" si="107"/>
        <v>222868.61999999997</v>
      </c>
      <c r="H387" s="120">
        <f t="shared" si="108"/>
        <v>6463189.9799999986</v>
      </c>
      <c r="I387" s="116">
        <f t="shared" si="109"/>
        <v>1337211.7199999997</v>
      </c>
      <c r="J387" s="115">
        <v>10000</v>
      </c>
      <c r="K387" s="163">
        <f t="shared" si="110"/>
        <v>6686058.5999999987</v>
      </c>
      <c r="L387" s="164"/>
    </row>
    <row r="388" spans="1:13" customFormat="1" x14ac:dyDescent="0.25">
      <c r="A388" s="117">
        <f t="shared" si="111"/>
        <v>11</v>
      </c>
      <c r="B388" s="283"/>
      <c r="C388" s="118">
        <f t="shared" si="112"/>
        <v>705</v>
      </c>
      <c r="D388" s="118" t="s">
        <v>104</v>
      </c>
      <c r="E388" s="119">
        <f>(67.141)*(10.764)</f>
        <v>722.70572400000003</v>
      </c>
      <c r="F388" s="119">
        <f t="shared" si="106"/>
        <v>867.24686880000002</v>
      </c>
      <c r="G388" s="120">
        <f t="shared" si="107"/>
        <v>361352.86200000002</v>
      </c>
      <c r="H388" s="120">
        <f t="shared" si="108"/>
        <v>10479232.998</v>
      </c>
      <c r="I388" s="116">
        <f t="shared" si="109"/>
        <v>2168117.1720000003</v>
      </c>
      <c r="J388" s="115">
        <v>14000</v>
      </c>
      <c r="K388" s="163">
        <f t="shared" si="110"/>
        <v>10840585.859999999</v>
      </c>
      <c r="L388" s="164"/>
    </row>
    <row r="389" spans="1:13" customFormat="1" x14ac:dyDescent="0.25">
      <c r="A389" s="117">
        <f t="shared" si="111"/>
        <v>12</v>
      </c>
      <c r="B389" s="283"/>
      <c r="C389" s="118">
        <f t="shared" si="112"/>
        <v>706</v>
      </c>
      <c r="D389" s="118" t="s">
        <v>104</v>
      </c>
      <c r="E389" s="119">
        <f>(65.985)*(10.764)</f>
        <v>710.26253999999994</v>
      </c>
      <c r="F389" s="119">
        <f t="shared" si="106"/>
        <v>852.31504799999993</v>
      </c>
      <c r="G389" s="120">
        <f t="shared" si="107"/>
        <v>355131.26999999996</v>
      </c>
      <c r="H389" s="120">
        <f t="shared" si="108"/>
        <v>10298806.83</v>
      </c>
      <c r="I389" s="116">
        <f t="shared" si="109"/>
        <v>2130787.6199999996</v>
      </c>
      <c r="J389" s="115">
        <v>14000</v>
      </c>
      <c r="K389" s="163">
        <f t="shared" si="110"/>
        <v>10653938.1</v>
      </c>
      <c r="L389" s="164"/>
    </row>
    <row r="390" spans="1:13" customFormat="1" x14ac:dyDescent="0.25">
      <c r="A390" s="117">
        <f t="shared" si="111"/>
        <v>13</v>
      </c>
      <c r="B390" s="283"/>
      <c r="C390" s="118">
        <f t="shared" si="112"/>
        <v>707</v>
      </c>
      <c r="D390" s="118" t="s">
        <v>100</v>
      </c>
      <c r="E390" s="119">
        <f>(40.573)*(10.764)</f>
        <v>436.72777199999996</v>
      </c>
      <c r="F390" s="119">
        <f t="shared" si="106"/>
        <v>524.07332639999993</v>
      </c>
      <c r="G390" s="120">
        <f t="shared" si="107"/>
        <v>218363.88599999997</v>
      </c>
      <c r="H390" s="120">
        <f t="shared" si="108"/>
        <v>6332552.6939999992</v>
      </c>
      <c r="I390" s="116">
        <f t="shared" si="109"/>
        <v>1310183.3159999999</v>
      </c>
      <c r="J390" s="115">
        <v>10000</v>
      </c>
      <c r="K390" s="163">
        <f t="shared" si="110"/>
        <v>6550916.5799999991</v>
      </c>
      <c r="L390" s="164"/>
    </row>
    <row r="391" spans="1:13" customFormat="1" x14ac:dyDescent="0.25">
      <c r="A391" s="117">
        <f t="shared" si="111"/>
        <v>14</v>
      </c>
      <c r="B391" s="284"/>
      <c r="C391" s="118">
        <f t="shared" si="112"/>
        <v>708</v>
      </c>
      <c r="D391" s="118" t="s">
        <v>100</v>
      </c>
      <c r="E391" s="119">
        <f>(38.215)*(10.764)</f>
        <v>411.34626000000003</v>
      </c>
      <c r="F391" s="119">
        <f t="shared" si="106"/>
        <v>493.61551200000002</v>
      </c>
      <c r="G391" s="120">
        <f t="shared" si="107"/>
        <v>205673.13</v>
      </c>
      <c r="H391" s="120">
        <f t="shared" si="108"/>
        <v>5964520.7700000005</v>
      </c>
      <c r="I391" s="116">
        <f t="shared" si="109"/>
        <v>1234038.78</v>
      </c>
      <c r="J391" s="115">
        <v>10000</v>
      </c>
      <c r="K391" s="163">
        <f t="shared" si="110"/>
        <v>6170193.9000000004</v>
      </c>
      <c r="L391" s="164"/>
    </row>
    <row r="392" spans="1:13" x14ac:dyDescent="0.25">
      <c r="A392" s="181" t="s">
        <v>75</v>
      </c>
      <c r="B392" s="182"/>
      <c r="C392" s="182"/>
      <c r="D392" s="182"/>
      <c r="E392" s="182"/>
      <c r="F392" s="182"/>
      <c r="G392" s="182"/>
      <c r="H392" s="182"/>
      <c r="I392" s="182"/>
      <c r="J392" s="182"/>
      <c r="K392" s="182"/>
      <c r="L392" s="183"/>
    </row>
    <row r="393" spans="1:13" s="57" customFormat="1" ht="47.25" customHeight="1" x14ac:dyDescent="0.25">
      <c r="A393" s="169" t="s">
        <v>240</v>
      </c>
      <c r="B393" s="170"/>
      <c r="C393" s="127" t="s">
        <v>46</v>
      </c>
      <c r="D393" s="125" t="s">
        <v>612</v>
      </c>
      <c r="E393" s="125" t="s">
        <v>241</v>
      </c>
      <c r="F393" s="161" t="s">
        <v>97</v>
      </c>
      <c r="G393" s="162"/>
      <c r="H393" s="126" t="s">
        <v>242</v>
      </c>
      <c r="I393" s="169" t="s">
        <v>438</v>
      </c>
      <c r="J393" s="170"/>
      <c r="K393" s="161" t="s">
        <v>602</v>
      </c>
      <c r="L393" s="162"/>
    </row>
    <row r="394" spans="1:13" x14ac:dyDescent="0.25">
      <c r="A394" s="410" t="s">
        <v>470</v>
      </c>
      <c r="B394" s="411"/>
      <c r="C394" s="411"/>
      <c r="D394" s="411"/>
      <c r="E394" s="411"/>
      <c r="F394" s="411"/>
      <c r="G394" s="411"/>
      <c r="H394" s="411"/>
      <c r="I394" s="411"/>
      <c r="J394" s="411"/>
      <c r="K394" s="411"/>
      <c r="L394" s="412"/>
    </row>
    <row r="395" spans="1:13" x14ac:dyDescent="0.25">
      <c r="A395" s="179" t="s">
        <v>424</v>
      </c>
      <c r="B395" s="180"/>
      <c r="C395" s="25" t="s">
        <v>427</v>
      </c>
      <c r="D395" s="58" t="s">
        <v>170</v>
      </c>
      <c r="E395" s="58">
        <f>D228</f>
        <v>13</v>
      </c>
      <c r="F395" s="405">
        <f>G228</f>
        <v>3797.1086399999999</v>
      </c>
      <c r="G395" s="405"/>
      <c r="H395" s="58">
        <f>J228</f>
        <v>4556.5303679999997</v>
      </c>
      <c r="I395" s="165">
        <v>0</v>
      </c>
      <c r="J395" s="166"/>
      <c r="K395" s="172">
        <f t="shared" ref="K395:K401" si="113">(F395*I395)</f>
        <v>0</v>
      </c>
      <c r="L395" s="173"/>
      <c r="M395" s="5">
        <f>2*6+24</f>
        <v>36</v>
      </c>
    </row>
    <row r="396" spans="1:13" x14ac:dyDescent="0.25">
      <c r="A396" s="179" t="s">
        <v>425</v>
      </c>
      <c r="B396" s="180"/>
      <c r="C396" s="25" t="s">
        <v>427</v>
      </c>
      <c r="D396" s="58" t="s">
        <v>170</v>
      </c>
      <c r="E396" s="58">
        <f>D229</f>
        <v>9</v>
      </c>
      <c r="F396" s="171">
        <f>G229</f>
        <v>3459.9801600000005</v>
      </c>
      <c r="G396" s="171"/>
      <c r="H396" s="58">
        <f>J229</f>
        <v>4151.9761920000001</v>
      </c>
      <c r="I396" s="165">
        <v>0</v>
      </c>
      <c r="J396" s="166"/>
      <c r="K396" s="172">
        <f t="shared" si="113"/>
        <v>0</v>
      </c>
      <c r="L396" s="173"/>
    </row>
    <row r="397" spans="1:13" x14ac:dyDescent="0.25">
      <c r="A397" s="179" t="s">
        <v>424</v>
      </c>
      <c r="B397" s="180"/>
      <c r="C397" s="150" t="s">
        <v>428</v>
      </c>
      <c r="D397" s="58" t="s">
        <v>100</v>
      </c>
      <c r="E397" s="58">
        <f>COUNT(E283,E288)+COUNT(E289,E294)+COUNT(E295,E300)+COUNT(E301,E306)+COUNT(E307,E312)+COUNT(E313,E318)</f>
        <v>12</v>
      </c>
      <c r="F397" s="171">
        <f>SUM(E283,E288)+SUM(E289,E294)+SUM(E295,E300)+SUM(E301,E306)+SUM(E307,E312)+SUM(E313,E318)</f>
        <v>4792.1844671999979</v>
      </c>
      <c r="G397" s="171"/>
      <c r="H397" s="58">
        <f>SUM(F283,F288)+SUM(F289,F294)+SUM(F295,F300)+SUM(F301,F306)+SUM(F307,F312)+SUM(F313,F318)</f>
        <v>5750.6213606399979</v>
      </c>
      <c r="I397" s="165">
        <v>15000</v>
      </c>
      <c r="J397" s="166"/>
      <c r="K397" s="172">
        <f t="shared" si="113"/>
        <v>71882767.007999972</v>
      </c>
      <c r="L397" s="173"/>
    </row>
    <row r="398" spans="1:13" x14ac:dyDescent="0.25">
      <c r="A398" s="179" t="s">
        <v>424</v>
      </c>
      <c r="B398" s="180"/>
      <c r="C398" s="150" t="s">
        <v>428</v>
      </c>
      <c r="D398" s="58" t="s">
        <v>104</v>
      </c>
      <c r="E398" s="58">
        <f>COUNT(E284:E287)+COUNT(E290:E293)+COUNT(E296:E299)+COUNT(E302:E305)+COUNT(E308:E311)+COUNT(E314:E317)</f>
        <v>24</v>
      </c>
      <c r="F398" s="171">
        <f>SUM(E284:E287)+SUM(E290:E293)+SUM(E296:E299)+SUM(E302:E305)+SUM(E308:E311)+SUM(E314:E317)</f>
        <v>15183.235009799999</v>
      </c>
      <c r="G398" s="171"/>
      <c r="H398" s="58">
        <f>SUM(F284:F287)+SUM(F290:F293)+SUM(F296:F299)+SUM(F302:F305)+SUM(F308:F311)+SUM(F314:F317)</f>
        <v>18219.882011760001</v>
      </c>
      <c r="I398" s="165">
        <v>15000</v>
      </c>
      <c r="J398" s="166"/>
      <c r="K398" s="172">
        <f t="shared" ref="K398:K399" si="114">(F398*I398)</f>
        <v>227748525.14699998</v>
      </c>
      <c r="L398" s="173"/>
    </row>
    <row r="399" spans="1:13" x14ac:dyDescent="0.25">
      <c r="A399" s="179" t="s">
        <v>425</v>
      </c>
      <c r="B399" s="180"/>
      <c r="C399" s="150" t="s">
        <v>428</v>
      </c>
      <c r="D399" s="58" t="s">
        <v>101</v>
      </c>
      <c r="E399" s="58">
        <f>COUNT(E323)+COUNT(E331)+COUNT(E339)+COUNT(E347)+COUNT(E355)</f>
        <v>5</v>
      </c>
      <c r="F399" s="171">
        <f>SUM(E323)+SUM(E331)+SUM(E339)+SUM(E347)+SUM(E355)</f>
        <v>1265.370093</v>
      </c>
      <c r="G399" s="171"/>
      <c r="H399" s="58">
        <f>SUM(F323)+SUM(F331)+SUM(F339)+SUM(F347)+SUM(F355)</f>
        <v>1518.4441115999998</v>
      </c>
      <c r="I399" s="165">
        <v>15000</v>
      </c>
      <c r="J399" s="166"/>
      <c r="K399" s="172">
        <f t="shared" si="114"/>
        <v>18980551.395</v>
      </c>
      <c r="L399" s="173"/>
    </row>
    <row r="400" spans="1:13" x14ac:dyDescent="0.25">
      <c r="A400" s="179" t="s">
        <v>425</v>
      </c>
      <c r="B400" s="180"/>
      <c r="C400" s="150" t="s">
        <v>428</v>
      </c>
      <c r="D400" s="58" t="s">
        <v>100</v>
      </c>
      <c r="E400" s="58">
        <f>COUNT(E321:E322,E324,E327:E328)+COUNT(E329:E330,E332,E335:E336)+COUNT(E337:E338,E340,E343:E344)+COUNT(E345:E346,E348,E351:E352)+COUNT(E353:E354,E356,E359:E360)</f>
        <v>25</v>
      </c>
      <c r="F400" s="171">
        <f>SUM(E321:E322,E324,E327:E328)+SUM(E329:E330,E332,E335:E336)+SUM(E337:E338,E340,E343:E344)+SUM(E345:E346,E348,E351:E352)+SUM(E353:E354,E356,E359:E360)</f>
        <v>10189.068388199999</v>
      </c>
      <c r="G400" s="171"/>
      <c r="H400" s="58">
        <f>SUM(F321:F322,F324,F327:F328)+SUM(F329:F330,F332,F335:F336)+SUM(F337:F338,F340,F343:F344)+SUM(F345:F346,F348,F351:F352)+SUM(F353:F354,F356,F359:F360)</f>
        <v>12226.882065839998</v>
      </c>
      <c r="I400" s="165">
        <v>15000</v>
      </c>
      <c r="J400" s="166"/>
      <c r="K400" s="172">
        <f t="shared" ref="K400" si="115">(F400*I400)</f>
        <v>152836025.82299998</v>
      </c>
      <c r="L400" s="173"/>
    </row>
    <row r="401" spans="1:14" x14ac:dyDescent="0.25">
      <c r="A401" s="179" t="s">
        <v>425</v>
      </c>
      <c r="B401" s="180"/>
      <c r="C401" s="150" t="s">
        <v>428</v>
      </c>
      <c r="D401" s="58" t="s">
        <v>104</v>
      </c>
      <c r="E401" s="58">
        <f>COUNT(E325:E326)+COUNT(E333:E334)+COUNT(E341:E342)+COUNT(E349:E350)+COUNT(E357:E358)+COUNT(E361:E362)</f>
        <v>12</v>
      </c>
      <c r="F401" s="171">
        <f>SUM(E325:E326)+SUM(E333:E334)+SUM(E341:E342)+SUM(E349:E350)+SUM(E357:E358)+SUM(E361:E362)</f>
        <v>8132.5055448000003</v>
      </c>
      <c r="G401" s="171"/>
      <c r="H401" s="58">
        <f>SUM(F325:F326)+SUM(F333:F334)+SUM(F341:F342)+SUM(F349:F350)+SUM(F357:F358)+SUM(F361:F362)</f>
        <v>9759.0066537599996</v>
      </c>
      <c r="I401" s="165">
        <v>15000</v>
      </c>
      <c r="J401" s="166"/>
      <c r="K401" s="172">
        <f t="shared" si="113"/>
        <v>121987583.17200001</v>
      </c>
      <c r="L401" s="173"/>
    </row>
    <row r="402" spans="1:14" x14ac:dyDescent="0.25">
      <c r="A402" s="288" t="s">
        <v>237</v>
      </c>
      <c r="B402" s="289"/>
      <c r="C402" s="39"/>
      <c r="D402" s="40"/>
      <c r="E402" s="40">
        <f>SUM(E395:E401)</f>
        <v>100</v>
      </c>
      <c r="F402" s="368">
        <f>SUM(F395:F401)</f>
        <v>46819.452302999998</v>
      </c>
      <c r="G402" s="369"/>
      <c r="H402" s="40">
        <f>SUM(H395:H401)</f>
        <v>56183.342763599998</v>
      </c>
      <c r="I402" s="406"/>
      <c r="J402" s="407"/>
      <c r="K402" s="413">
        <f>SUM(K395:K401)</f>
        <v>593435452.54499996</v>
      </c>
      <c r="L402" s="414"/>
      <c r="M402" s="155">
        <f>SUM(K397:L401)</f>
        <v>593435452.54499996</v>
      </c>
      <c r="N402" s="5">
        <v>2411860438.7280002</v>
      </c>
    </row>
    <row r="403" spans="1:14" x14ac:dyDescent="0.25">
      <c r="A403" s="410" t="s">
        <v>471</v>
      </c>
      <c r="B403" s="411"/>
      <c r="C403" s="411"/>
      <c r="D403" s="411"/>
      <c r="E403" s="411"/>
      <c r="F403" s="411"/>
      <c r="G403" s="411"/>
      <c r="H403" s="411"/>
      <c r="I403" s="411"/>
      <c r="J403" s="411"/>
      <c r="K403" s="411"/>
      <c r="L403" s="412"/>
    </row>
    <row r="404" spans="1:14" x14ac:dyDescent="0.25">
      <c r="A404" s="179" t="s">
        <v>424</v>
      </c>
      <c r="B404" s="180"/>
      <c r="C404" s="150" t="s">
        <v>428</v>
      </c>
      <c r="D404" s="58" t="s">
        <v>100</v>
      </c>
      <c r="E404" s="129">
        <f>COUNT(E376,E381)</f>
        <v>2</v>
      </c>
      <c r="F404" s="405">
        <f>SUM(E376,E381)</f>
        <v>856.26543600000002</v>
      </c>
      <c r="G404" s="405"/>
      <c r="H404" s="58">
        <f>SUM(F376,F381)</f>
        <v>1027.5185231999999</v>
      </c>
      <c r="I404" s="165">
        <v>15000</v>
      </c>
      <c r="J404" s="166"/>
      <c r="K404" s="172">
        <f t="shared" ref="K404:K406" si="116">(F404*I404)</f>
        <v>12843981.540000001</v>
      </c>
      <c r="L404" s="173"/>
    </row>
    <row r="405" spans="1:14" x14ac:dyDescent="0.25">
      <c r="A405" s="179" t="s">
        <v>424</v>
      </c>
      <c r="B405" s="180"/>
      <c r="C405" s="150" t="s">
        <v>428</v>
      </c>
      <c r="D405" s="58" t="s">
        <v>104</v>
      </c>
      <c r="E405" s="129">
        <f>COUNT(E377:E380)</f>
        <v>4</v>
      </c>
      <c r="F405" s="405">
        <f>SUM(E377:E380)</f>
        <v>2650.8718079999999</v>
      </c>
      <c r="G405" s="405"/>
      <c r="H405" s="58">
        <f>SUM(F377:F380)</f>
        <v>3181.0461695999998</v>
      </c>
      <c r="I405" s="165">
        <v>15000</v>
      </c>
      <c r="J405" s="166"/>
      <c r="K405" s="172">
        <f t="shared" ref="K405" si="117">(F405*I405)</f>
        <v>39763077.119999997</v>
      </c>
      <c r="L405" s="173"/>
    </row>
    <row r="406" spans="1:14" x14ac:dyDescent="0.25">
      <c r="A406" s="179" t="s">
        <v>425</v>
      </c>
      <c r="B406" s="180"/>
      <c r="C406" s="150" t="s">
        <v>428</v>
      </c>
      <c r="D406" s="58" t="s">
        <v>101</v>
      </c>
      <c r="E406" s="129">
        <f>COUNT(E386)</f>
        <v>1</v>
      </c>
      <c r="F406" s="405">
        <f>SUM(E386)</f>
        <v>248.08867199999997</v>
      </c>
      <c r="G406" s="405"/>
      <c r="H406" s="58">
        <f>SUM(F386)</f>
        <v>297.70640639999993</v>
      </c>
      <c r="I406" s="165">
        <v>15000</v>
      </c>
      <c r="J406" s="166"/>
      <c r="K406" s="172">
        <f t="shared" si="116"/>
        <v>3721330.0799999996</v>
      </c>
      <c r="L406" s="173"/>
    </row>
    <row r="407" spans="1:14" x14ac:dyDescent="0.25">
      <c r="A407" s="179" t="s">
        <v>425</v>
      </c>
      <c r="B407" s="180"/>
      <c r="C407" s="150" t="s">
        <v>428</v>
      </c>
      <c r="D407" s="58" t="s">
        <v>100</v>
      </c>
      <c r="E407" s="129">
        <f>COUNT(E384:E385,E387,E390:E391)</f>
        <v>5</v>
      </c>
      <c r="F407" s="405">
        <f>SUM(E384:E385,E387,E390:E391)</f>
        <v>2138.9359679999998</v>
      </c>
      <c r="G407" s="405"/>
      <c r="H407" s="58">
        <f>SUM(F384:F385,F387,F390:F391)</f>
        <v>2566.7231615999995</v>
      </c>
      <c r="I407" s="165">
        <v>15000</v>
      </c>
      <c r="J407" s="166"/>
      <c r="K407" s="172">
        <f t="shared" ref="K407" si="118">(F407*I407)</f>
        <v>32084039.519999996</v>
      </c>
      <c r="L407" s="173"/>
    </row>
    <row r="408" spans="1:14" x14ac:dyDescent="0.25">
      <c r="A408" s="179" t="s">
        <v>425</v>
      </c>
      <c r="B408" s="180"/>
      <c r="C408" s="150" t="s">
        <v>428</v>
      </c>
      <c r="D408" s="58" t="s">
        <v>104</v>
      </c>
      <c r="E408" s="129">
        <f>COUNT(E388:E389)</f>
        <v>2</v>
      </c>
      <c r="F408" s="405">
        <f>SUM(E388:E389)</f>
        <v>1432.9682640000001</v>
      </c>
      <c r="G408" s="405"/>
      <c r="H408" s="58">
        <f>SUM(F388:F389)</f>
        <v>1719.5619167999998</v>
      </c>
      <c r="I408" s="165">
        <v>15000</v>
      </c>
      <c r="J408" s="166"/>
      <c r="K408" s="172">
        <f t="shared" ref="K408" si="119">(F408*I408)</f>
        <v>21494523.960000001</v>
      </c>
      <c r="L408" s="173"/>
    </row>
    <row r="409" spans="1:14" x14ac:dyDescent="0.25">
      <c r="A409" s="288" t="s">
        <v>237</v>
      </c>
      <c r="B409" s="289"/>
      <c r="C409" s="39"/>
      <c r="D409" s="130"/>
      <c r="E409" s="124">
        <f>SUM(E404:E408)</f>
        <v>14</v>
      </c>
      <c r="F409" s="368">
        <f>SUM(F404:G408)</f>
        <v>7327.1301479999993</v>
      </c>
      <c r="G409" s="369"/>
      <c r="H409" s="40">
        <f>SUM(H404:H408)</f>
        <v>8792.5561775999977</v>
      </c>
      <c r="I409" s="167"/>
      <c r="J409" s="168"/>
      <c r="K409" s="413">
        <f>SUM(K404:L408)</f>
        <v>109906952.22</v>
      </c>
      <c r="L409" s="414"/>
      <c r="N409" s="5">
        <v>2411860438.7280002</v>
      </c>
    </row>
    <row r="410" spans="1:14" x14ac:dyDescent="0.25">
      <c r="A410" s="287"/>
      <c r="B410" s="287"/>
      <c r="C410" s="287"/>
      <c r="D410" s="287"/>
      <c r="E410" s="287"/>
      <c r="F410" s="287"/>
      <c r="G410" s="287"/>
      <c r="H410" s="287"/>
      <c r="I410" s="287"/>
      <c r="J410" s="287"/>
      <c r="K410" s="287"/>
      <c r="L410" s="287"/>
    </row>
    <row r="411" spans="1:14" x14ac:dyDescent="0.25">
      <c r="A411" s="263" t="s">
        <v>475</v>
      </c>
      <c r="B411" s="263"/>
      <c r="C411" s="263"/>
      <c r="D411" s="263"/>
      <c r="E411" s="263"/>
      <c r="F411" s="263"/>
      <c r="G411" s="264" t="s">
        <v>65</v>
      </c>
      <c r="H411" s="264"/>
      <c r="I411" s="264"/>
      <c r="J411" s="264"/>
      <c r="K411" s="264"/>
      <c r="L411" s="265"/>
    </row>
    <row r="412" spans="1:14" x14ac:dyDescent="0.25">
      <c r="A412" s="266" t="s">
        <v>244</v>
      </c>
      <c r="B412" s="266"/>
      <c r="C412" s="266"/>
      <c r="D412" s="266"/>
      <c r="E412" s="266"/>
      <c r="F412" s="266"/>
      <c r="G412" s="267">
        <f>K402</f>
        <v>593435452.54499996</v>
      </c>
      <c r="H412" s="267"/>
      <c r="I412" s="267"/>
      <c r="J412" s="267"/>
      <c r="K412" s="267"/>
      <c r="L412" s="268"/>
      <c r="M412" s="156">
        <f>G412/78</f>
        <v>7608146.8274999997</v>
      </c>
    </row>
    <row r="413" spans="1:14" ht="48.75" customHeight="1" x14ac:dyDescent="0.25">
      <c r="A413" s="269" t="s">
        <v>664</v>
      </c>
      <c r="B413" s="270"/>
      <c r="C413" s="270"/>
      <c r="D413" s="270"/>
      <c r="E413" s="270"/>
      <c r="F413" s="270"/>
      <c r="G413" s="271">
        <f>H402*2500</f>
        <v>140458356.90900001</v>
      </c>
      <c r="H413" s="271"/>
      <c r="I413" s="271"/>
      <c r="J413" s="271"/>
      <c r="K413" s="271"/>
      <c r="L413" s="272"/>
    </row>
    <row r="414" spans="1:14" x14ac:dyDescent="0.25">
      <c r="A414" s="279"/>
      <c r="B414" s="280"/>
      <c r="C414" s="280"/>
      <c r="D414" s="280"/>
      <c r="E414" s="280"/>
      <c r="F414" s="280"/>
      <c r="G414" s="280"/>
      <c r="H414" s="280"/>
      <c r="I414" s="280"/>
      <c r="J414" s="280"/>
      <c r="K414" s="280"/>
      <c r="L414" s="281"/>
    </row>
    <row r="415" spans="1:14" x14ac:dyDescent="0.25">
      <c r="A415" s="263" t="s">
        <v>476</v>
      </c>
      <c r="B415" s="263"/>
      <c r="C415" s="263"/>
      <c r="D415" s="263"/>
      <c r="E415" s="263"/>
      <c r="F415" s="263"/>
      <c r="G415" s="264" t="s">
        <v>65</v>
      </c>
      <c r="H415" s="264"/>
      <c r="I415" s="264"/>
      <c r="J415" s="264"/>
      <c r="K415" s="264"/>
      <c r="L415" s="265"/>
    </row>
    <row r="416" spans="1:14" x14ac:dyDescent="0.25">
      <c r="A416" s="266" t="s">
        <v>244</v>
      </c>
      <c r="B416" s="266"/>
      <c r="C416" s="266"/>
      <c r="D416" s="266"/>
      <c r="E416" s="266"/>
      <c r="F416" s="266"/>
      <c r="G416" s="267">
        <f>K409</f>
        <v>109906952.22</v>
      </c>
      <c r="H416" s="267"/>
      <c r="I416" s="267"/>
      <c r="J416" s="267"/>
      <c r="K416" s="267"/>
      <c r="L416" s="268"/>
    </row>
    <row r="417" spans="1:12" ht="51" customHeight="1" x14ac:dyDescent="0.25">
      <c r="A417" s="269" t="s">
        <v>664</v>
      </c>
      <c r="B417" s="270"/>
      <c r="C417" s="270"/>
      <c r="D417" s="270"/>
      <c r="E417" s="270"/>
      <c r="F417" s="270"/>
      <c r="G417" s="271">
        <f>H409*2500</f>
        <v>21981390.443999995</v>
      </c>
      <c r="H417" s="271"/>
      <c r="I417" s="271"/>
      <c r="J417" s="271"/>
      <c r="K417" s="271"/>
      <c r="L417" s="272"/>
    </row>
    <row r="418" spans="1:12" customFormat="1" x14ac:dyDescent="0.25">
      <c r="A418" s="278" t="s">
        <v>437</v>
      </c>
      <c r="B418" s="278"/>
      <c r="C418" s="278"/>
      <c r="D418" s="278"/>
      <c r="E418" s="278"/>
      <c r="F418" s="278"/>
      <c r="G418" s="278" t="s">
        <v>269</v>
      </c>
      <c r="H418" s="278"/>
      <c r="I418" s="278"/>
      <c r="J418" s="278"/>
      <c r="K418" s="278"/>
      <c r="L418" s="278"/>
    </row>
    <row r="419" spans="1:12" customFormat="1" x14ac:dyDescent="0.25">
      <c r="A419" s="174">
        <v>1</v>
      </c>
      <c r="B419" s="175"/>
      <c r="C419" s="176" t="s">
        <v>245</v>
      </c>
      <c r="D419" s="177"/>
      <c r="E419" s="177"/>
      <c r="F419" s="178"/>
      <c r="G419" s="228" t="s">
        <v>207</v>
      </c>
      <c r="H419" s="229"/>
      <c r="I419" s="229"/>
      <c r="J419" s="229"/>
      <c r="K419" s="229"/>
      <c r="L419" s="230"/>
    </row>
    <row r="420" spans="1:12" customFormat="1" x14ac:dyDescent="0.25">
      <c r="A420" s="174">
        <v>2</v>
      </c>
      <c r="B420" s="175"/>
      <c r="C420" s="176" t="s">
        <v>246</v>
      </c>
      <c r="D420" s="177"/>
      <c r="E420" s="177"/>
      <c r="F420" s="178"/>
      <c r="G420" s="231"/>
      <c r="H420" s="232"/>
      <c r="I420" s="232"/>
      <c r="J420" s="232"/>
      <c r="K420" s="232"/>
      <c r="L420" s="233"/>
    </row>
    <row r="421" spans="1:12" customFormat="1" x14ac:dyDescent="0.25">
      <c r="A421" s="174">
        <v>3</v>
      </c>
      <c r="B421" s="175"/>
      <c r="C421" s="176" t="s">
        <v>247</v>
      </c>
      <c r="D421" s="177"/>
      <c r="E421" s="177"/>
      <c r="F421" s="178"/>
      <c r="G421" s="231"/>
      <c r="H421" s="232"/>
      <c r="I421" s="232"/>
      <c r="J421" s="232"/>
      <c r="K421" s="232"/>
      <c r="L421" s="233"/>
    </row>
    <row r="422" spans="1:12" customFormat="1" x14ac:dyDescent="0.25">
      <c r="A422" s="174">
        <v>4</v>
      </c>
      <c r="B422" s="175"/>
      <c r="C422" s="176" t="s">
        <v>248</v>
      </c>
      <c r="D422" s="177"/>
      <c r="E422" s="177"/>
      <c r="F422" s="178"/>
      <c r="G422" s="231"/>
      <c r="H422" s="232"/>
      <c r="I422" s="232"/>
      <c r="J422" s="232"/>
      <c r="K422" s="232"/>
      <c r="L422" s="233"/>
    </row>
    <row r="423" spans="1:12" customFormat="1" x14ac:dyDescent="0.25">
      <c r="A423" s="174">
        <v>5</v>
      </c>
      <c r="B423" s="175"/>
      <c r="C423" s="176" t="s">
        <v>249</v>
      </c>
      <c r="D423" s="177"/>
      <c r="E423" s="177"/>
      <c r="F423" s="178"/>
      <c r="G423" s="234"/>
      <c r="H423" s="235"/>
      <c r="I423" s="235"/>
      <c r="J423" s="235"/>
      <c r="K423" s="235"/>
      <c r="L423" s="236"/>
    </row>
    <row r="424" spans="1:12" x14ac:dyDescent="0.25">
      <c r="A424" s="279"/>
      <c r="B424" s="280"/>
      <c r="C424" s="280"/>
      <c r="D424" s="280"/>
      <c r="E424" s="280"/>
      <c r="F424" s="280"/>
      <c r="G424" s="280"/>
      <c r="H424" s="280"/>
      <c r="I424" s="280"/>
      <c r="J424" s="280"/>
      <c r="K424" s="280"/>
      <c r="L424" s="281"/>
    </row>
    <row r="425" spans="1:12" customFormat="1" x14ac:dyDescent="0.25">
      <c r="A425" s="278" t="s">
        <v>436</v>
      </c>
      <c r="B425" s="278"/>
      <c r="C425" s="278"/>
      <c r="D425" s="278"/>
      <c r="E425" s="278"/>
      <c r="F425" s="278"/>
      <c r="G425" s="278" t="s">
        <v>269</v>
      </c>
      <c r="H425" s="278"/>
      <c r="I425" s="278"/>
      <c r="J425" s="278"/>
      <c r="K425" s="278"/>
      <c r="L425" s="278"/>
    </row>
    <row r="426" spans="1:12" customFormat="1" x14ac:dyDescent="0.25">
      <c r="A426" s="174">
        <v>1</v>
      </c>
      <c r="B426" s="175"/>
      <c r="C426" s="176" t="s">
        <v>250</v>
      </c>
      <c r="D426" s="177"/>
      <c r="E426" s="177"/>
      <c r="F426" s="178"/>
      <c r="G426" s="228" t="s">
        <v>207</v>
      </c>
      <c r="H426" s="229"/>
      <c r="I426" s="229"/>
      <c r="J426" s="229"/>
      <c r="K426" s="229"/>
      <c r="L426" s="230"/>
    </row>
    <row r="427" spans="1:12" customFormat="1" x14ac:dyDescent="0.25">
      <c r="A427" s="174">
        <v>2</v>
      </c>
      <c r="B427" s="175"/>
      <c r="C427" s="176" t="s">
        <v>251</v>
      </c>
      <c r="D427" s="177"/>
      <c r="E427" s="177"/>
      <c r="F427" s="178"/>
      <c r="G427" s="231"/>
      <c r="H427" s="232"/>
      <c r="I427" s="232"/>
      <c r="J427" s="232"/>
      <c r="K427" s="232"/>
      <c r="L427" s="233"/>
    </row>
    <row r="428" spans="1:12" customFormat="1" x14ac:dyDescent="0.25">
      <c r="A428" s="174">
        <v>3</v>
      </c>
      <c r="B428" s="175"/>
      <c r="C428" s="176" t="s">
        <v>252</v>
      </c>
      <c r="D428" s="177"/>
      <c r="E428" s="177"/>
      <c r="F428" s="178"/>
      <c r="G428" s="231"/>
      <c r="H428" s="232"/>
      <c r="I428" s="232"/>
      <c r="J428" s="232"/>
      <c r="K428" s="232"/>
      <c r="L428" s="233"/>
    </row>
    <row r="429" spans="1:12" customFormat="1" x14ac:dyDescent="0.25">
      <c r="A429" s="174">
        <v>4</v>
      </c>
      <c r="B429" s="175"/>
      <c r="C429" s="176" t="s">
        <v>253</v>
      </c>
      <c r="D429" s="177"/>
      <c r="E429" s="177"/>
      <c r="F429" s="178"/>
      <c r="G429" s="231"/>
      <c r="H429" s="232"/>
      <c r="I429" s="232"/>
      <c r="J429" s="232"/>
      <c r="K429" s="232"/>
      <c r="L429" s="233"/>
    </row>
    <row r="430" spans="1:12" customFormat="1" x14ac:dyDescent="0.25">
      <c r="A430" s="174">
        <v>5</v>
      </c>
      <c r="B430" s="175"/>
      <c r="C430" s="176" t="s">
        <v>254</v>
      </c>
      <c r="D430" s="177"/>
      <c r="E430" s="177"/>
      <c r="F430" s="178"/>
      <c r="G430" s="231"/>
      <c r="H430" s="232"/>
      <c r="I430" s="232"/>
      <c r="J430" s="232"/>
      <c r="K430" s="232"/>
      <c r="L430" s="233"/>
    </row>
    <row r="431" spans="1:12" customFormat="1" x14ac:dyDescent="0.25">
      <c r="A431" s="174">
        <v>6</v>
      </c>
      <c r="B431" s="175"/>
      <c r="C431" s="176" t="s">
        <v>255</v>
      </c>
      <c r="D431" s="177"/>
      <c r="E431" s="177"/>
      <c r="F431" s="178"/>
      <c r="G431" s="231"/>
      <c r="H431" s="232"/>
      <c r="I431" s="232"/>
      <c r="J431" s="232"/>
      <c r="K431" s="232"/>
      <c r="L431" s="233"/>
    </row>
    <row r="432" spans="1:12" customFormat="1" x14ac:dyDescent="0.25">
      <c r="A432" s="174">
        <v>7</v>
      </c>
      <c r="B432" s="175"/>
      <c r="C432" s="176" t="s">
        <v>256</v>
      </c>
      <c r="D432" s="177"/>
      <c r="E432" s="177"/>
      <c r="F432" s="178"/>
      <c r="G432" s="231"/>
      <c r="H432" s="232"/>
      <c r="I432" s="232"/>
      <c r="J432" s="232"/>
      <c r="K432" s="232"/>
      <c r="L432" s="233"/>
    </row>
    <row r="433" spans="1:12" customFormat="1" x14ac:dyDescent="0.25">
      <c r="A433" s="174">
        <v>8</v>
      </c>
      <c r="B433" s="175"/>
      <c r="C433" s="176" t="s">
        <v>257</v>
      </c>
      <c r="D433" s="177"/>
      <c r="E433" s="177"/>
      <c r="F433" s="178"/>
      <c r="G433" s="231"/>
      <c r="H433" s="232"/>
      <c r="I433" s="232"/>
      <c r="J433" s="232"/>
      <c r="K433" s="232"/>
      <c r="L433" s="233"/>
    </row>
    <row r="434" spans="1:12" customFormat="1" x14ac:dyDescent="0.25">
      <c r="A434" s="174">
        <v>9</v>
      </c>
      <c r="B434" s="175"/>
      <c r="C434" s="176" t="s">
        <v>258</v>
      </c>
      <c r="D434" s="177"/>
      <c r="E434" s="177"/>
      <c r="F434" s="178"/>
      <c r="G434" s="231"/>
      <c r="H434" s="232"/>
      <c r="I434" s="232"/>
      <c r="J434" s="232"/>
      <c r="K434" s="232"/>
      <c r="L434" s="233"/>
    </row>
    <row r="435" spans="1:12" customFormat="1" x14ac:dyDescent="0.25">
      <c r="A435" s="174">
        <v>10</v>
      </c>
      <c r="B435" s="175"/>
      <c r="C435" s="176" t="s">
        <v>259</v>
      </c>
      <c r="D435" s="177"/>
      <c r="E435" s="177"/>
      <c r="F435" s="178"/>
      <c r="G435" s="234"/>
      <c r="H435" s="235"/>
      <c r="I435" s="235"/>
      <c r="J435" s="235"/>
      <c r="K435" s="235"/>
      <c r="L435" s="236"/>
    </row>
    <row r="436" spans="1:12" x14ac:dyDescent="0.25">
      <c r="A436" s="279"/>
      <c r="B436" s="280"/>
      <c r="C436" s="280"/>
      <c r="D436" s="280"/>
      <c r="E436" s="280"/>
      <c r="F436" s="280"/>
      <c r="G436" s="280"/>
      <c r="H436" s="280"/>
      <c r="I436" s="280"/>
      <c r="J436" s="280"/>
      <c r="K436" s="280"/>
      <c r="L436" s="281"/>
    </row>
    <row r="437" spans="1:12" customFormat="1" x14ac:dyDescent="0.25">
      <c r="A437" s="278" t="s">
        <v>435</v>
      </c>
      <c r="B437" s="278"/>
      <c r="C437" s="278"/>
      <c r="D437" s="278"/>
      <c r="E437" s="278"/>
      <c r="F437" s="278"/>
      <c r="G437" s="278" t="s">
        <v>269</v>
      </c>
      <c r="H437" s="278"/>
      <c r="I437" s="278"/>
      <c r="J437" s="278"/>
      <c r="K437" s="278"/>
      <c r="L437" s="278"/>
    </row>
    <row r="438" spans="1:12" customFormat="1" x14ac:dyDescent="0.25">
      <c r="A438" s="174">
        <v>1</v>
      </c>
      <c r="B438" s="175"/>
      <c r="C438" s="176" t="s">
        <v>260</v>
      </c>
      <c r="D438" s="177"/>
      <c r="E438" s="177"/>
      <c r="F438" s="178"/>
      <c r="G438" s="228" t="s">
        <v>207</v>
      </c>
      <c r="H438" s="229"/>
      <c r="I438" s="229"/>
      <c r="J438" s="229"/>
      <c r="K438" s="229"/>
      <c r="L438" s="230"/>
    </row>
    <row r="439" spans="1:12" customFormat="1" x14ac:dyDescent="0.25">
      <c r="A439" s="174">
        <v>2</v>
      </c>
      <c r="B439" s="175"/>
      <c r="C439" s="176" t="s">
        <v>261</v>
      </c>
      <c r="D439" s="177"/>
      <c r="E439" s="177"/>
      <c r="F439" s="178"/>
      <c r="G439" s="231"/>
      <c r="H439" s="232"/>
      <c r="I439" s="232"/>
      <c r="J439" s="232"/>
      <c r="K439" s="232"/>
      <c r="L439" s="233"/>
    </row>
    <row r="440" spans="1:12" customFormat="1" x14ac:dyDescent="0.25">
      <c r="A440" s="174">
        <v>3</v>
      </c>
      <c r="B440" s="175"/>
      <c r="C440" s="176" t="s">
        <v>262</v>
      </c>
      <c r="D440" s="177"/>
      <c r="E440" s="177"/>
      <c r="F440" s="178"/>
      <c r="G440" s="231"/>
      <c r="H440" s="232"/>
      <c r="I440" s="232"/>
      <c r="J440" s="232"/>
      <c r="K440" s="232"/>
      <c r="L440" s="233"/>
    </row>
    <row r="441" spans="1:12" customFormat="1" x14ac:dyDescent="0.25">
      <c r="A441" s="174">
        <v>4</v>
      </c>
      <c r="B441" s="175"/>
      <c r="C441" s="176" t="s">
        <v>263</v>
      </c>
      <c r="D441" s="177"/>
      <c r="E441" s="177"/>
      <c r="F441" s="178"/>
      <c r="G441" s="234"/>
      <c r="H441" s="235"/>
      <c r="I441" s="235"/>
      <c r="J441" s="235"/>
      <c r="K441" s="235"/>
      <c r="L441" s="236"/>
    </row>
    <row r="442" spans="1:12" x14ac:dyDescent="0.25">
      <c r="A442" s="279"/>
      <c r="B442" s="280"/>
      <c r="C442" s="280"/>
      <c r="D442" s="280"/>
      <c r="E442" s="280"/>
      <c r="F442" s="280"/>
      <c r="G442" s="280"/>
      <c r="H442" s="280"/>
      <c r="I442" s="280"/>
      <c r="J442" s="280"/>
      <c r="K442" s="280"/>
      <c r="L442" s="281"/>
    </row>
    <row r="443" spans="1:12" customFormat="1" x14ac:dyDescent="0.25">
      <c r="A443" s="278" t="s">
        <v>434</v>
      </c>
      <c r="B443" s="278"/>
      <c r="C443" s="278"/>
      <c r="D443" s="278"/>
      <c r="E443" s="278"/>
      <c r="F443" s="278"/>
      <c r="G443" s="278" t="s">
        <v>269</v>
      </c>
      <c r="H443" s="278"/>
      <c r="I443" s="278"/>
      <c r="J443" s="278"/>
      <c r="K443" s="278"/>
      <c r="L443" s="278"/>
    </row>
    <row r="444" spans="1:12" customFormat="1" x14ac:dyDescent="0.25">
      <c r="A444" s="174">
        <v>1</v>
      </c>
      <c r="B444" s="175"/>
      <c r="C444" s="176" t="s">
        <v>264</v>
      </c>
      <c r="D444" s="177"/>
      <c r="E444" s="177"/>
      <c r="F444" s="178"/>
      <c r="G444" s="228" t="s">
        <v>207</v>
      </c>
      <c r="H444" s="229"/>
      <c r="I444" s="229"/>
      <c r="J444" s="229"/>
      <c r="K444" s="229"/>
      <c r="L444" s="230"/>
    </row>
    <row r="445" spans="1:12" customFormat="1" x14ac:dyDescent="0.25">
      <c r="A445" s="174">
        <v>2</v>
      </c>
      <c r="B445" s="175"/>
      <c r="C445" s="176" t="s">
        <v>265</v>
      </c>
      <c r="D445" s="177"/>
      <c r="E445" s="177"/>
      <c r="F445" s="178"/>
      <c r="G445" s="231"/>
      <c r="H445" s="232"/>
      <c r="I445" s="232"/>
      <c r="J445" s="232"/>
      <c r="K445" s="232"/>
      <c r="L445" s="233"/>
    </row>
    <row r="446" spans="1:12" customFormat="1" x14ac:dyDescent="0.25">
      <c r="A446" s="174">
        <v>3</v>
      </c>
      <c r="B446" s="175"/>
      <c r="C446" s="176" t="s">
        <v>266</v>
      </c>
      <c r="D446" s="177"/>
      <c r="E446" s="177"/>
      <c r="F446" s="178"/>
      <c r="G446" s="231"/>
      <c r="H446" s="232"/>
      <c r="I446" s="232"/>
      <c r="J446" s="232"/>
      <c r="K446" s="232"/>
      <c r="L446" s="233"/>
    </row>
    <row r="447" spans="1:12" customFormat="1" x14ac:dyDescent="0.25">
      <c r="A447" s="174">
        <v>4</v>
      </c>
      <c r="B447" s="175"/>
      <c r="C447" s="176" t="s">
        <v>268</v>
      </c>
      <c r="D447" s="177"/>
      <c r="E447" s="177"/>
      <c r="F447" s="178"/>
      <c r="G447" s="231"/>
      <c r="H447" s="232"/>
      <c r="I447" s="232"/>
      <c r="J447" s="232"/>
      <c r="K447" s="232"/>
      <c r="L447" s="233"/>
    </row>
    <row r="448" spans="1:12" customFormat="1" x14ac:dyDescent="0.25">
      <c r="A448" s="174">
        <v>5</v>
      </c>
      <c r="B448" s="175"/>
      <c r="C448" s="176" t="s">
        <v>267</v>
      </c>
      <c r="D448" s="177"/>
      <c r="E448" s="177"/>
      <c r="F448" s="178"/>
      <c r="G448" s="234"/>
      <c r="H448" s="235"/>
      <c r="I448" s="235"/>
      <c r="J448" s="235"/>
      <c r="K448" s="235"/>
      <c r="L448" s="236"/>
    </row>
    <row r="449" spans="1:14" customFormat="1" x14ac:dyDescent="0.25">
      <c r="A449" s="174"/>
      <c r="B449" s="390"/>
      <c r="C449" s="390"/>
      <c r="D449" s="390"/>
      <c r="E449" s="390"/>
      <c r="F449" s="390"/>
      <c r="G449" s="390"/>
      <c r="H449" s="390"/>
      <c r="I449" s="390"/>
      <c r="J449" s="390"/>
      <c r="K449" s="390"/>
      <c r="L449" s="175"/>
    </row>
    <row r="450" spans="1:14" customFormat="1" x14ac:dyDescent="0.25">
      <c r="A450" s="312" t="s">
        <v>270</v>
      </c>
      <c r="B450" s="313"/>
      <c r="C450" s="313"/>
      <c r="D450" s="313"/>
      <c r="E450" s="313"/>
      <c r="F450" s="313"/>
      <c r="G450" s="313"/>
      <c r="H450" s="313"/>
      <c r="I450" s="313"/>
      <c r="J450" s="313"/>
      <c r="K450" s="313"/>
      <c r="L450" s="314"/>
    </row>
    <row r="451" spans="1:14" customFormat="1" x14ac:dyDescent="0.25">
      <c r="A451" s="174" t="s">
        <v>271</v>
      </c>
      <c r="B451" s="175"/>
      <c r="C451" s="176" t="s">
        <v>277</v>
      </c>
      <c r="D451" s="177"/>
      <c r="E451" s="177"/>
      <c r="F451" s="178"/>
      <c r="G451" s="430" t="s">
        <v>429</v>
      </c>
      <c r="H451" s="430"/>
      <c r="I451" s="430"/>
      <c r="J451" s="430"/>
      <c r="K451" s="430"/>
      <c r="L451" s="430"/>
    </row>
    <row r="452" spans="1:14" customFormat="1" x14ac:dyDescent="0.25">
      <c r="A452" s="174" t="s">
        <v>272</v>
      </c>
      <c r="B452" s="175"/>
      <c r="C452" s="176" t="s">
        <v>278</v>
      </c>
      <c r="D452" s="177"/>
      <c r="E452" s="177"/>
      <c r="F452" s="178"/>
      <c r="G452" s="430" t="s">
        <v>429</v>
      </c>
      <c r="H452" s="430"/>
      <c r="I452" s="430"/>
      <c r="J452" s="430"/>
      <c r="K452" s="430"/>
      <c r="L452" s="430"/>
    </row>
    <row r="453" spans="1:14" customFormat="1" x14ac:dyDescent="0.25">
      <c r="A453" s="174" t="s">
        <v>273</v>
      </c>
      <c r="B453" s="175"/>
      <c r="C453" s="176" t="s">
        <v>279</v>
      </c>
      <c r="D453" s="177"/>
      <c r="E453" s="177"/>
      <c r="F453" s="178"/>
      <c r="G453" s="430" t="s">
        <v>429</v>
      </c>
      <c r="H453" s="430"/>
      <c r="I453" s="430"/>
      <c r="J453" s="430"/>
      <c r="K453" s="430"/>
      <c r="L453" s="430"/>
    </row>
    <row r="454" spans="1:14" customFormat="1" x14ac:dyDescent="0.25">
      <c r="A454" s="174" t="s">
        <v>274</v>
      </c>
      <c r="B454" s="175"/>
      <c r="C454" s="176" t="s">
        <v>280</v>
      </c>
      <c r="D454" s="177"/>
      <c r="E454" s="177"/>
      <c r="F454" s="178"/>
      <c r="G454" s="430" t="s">
        <v>429</v>
      </c>
      <c r="H454" s="430"/>
      <c r="I454" s="430"/>
      <c r="J454" s="430"/>
      <c r="K454" s="430"/>
      <c r="L454" s="430"/>
    </row>
    <row r="455" spans="1:14" customFormat="1" x14ac:dyDescent="0.25">
      <c r="A455" s="174" t="s">
        <v>275</v>
      </c>
      <c r="B455" s="175"/>
      <c r="C455" s="176" t="s">
        <v>281</v>
      </c>
      <c r="D455" s="177"/>
      <c r="E455" s="177"/>
      <c r="F455" s="178"/>
      <c r="G455" s="430" t="s">
        <v>429</v>
      </c>
      <c r="H455" s="430"/>
      <c r="I455" s="430"/>
      <c r="J455" s="430"/>
      <c r="K455" s="430"/>
      <c r="L455" s="430"/>
    </row>
    <row r="456" spans="1:14" customFormat="1" x14ac:dyDescent="0.25">
      <c r="A456" s="174" t="s">
        <v>276</v>
      </c>
      <c r="B456" s="175"/>
      <c r="C456" s="176" t="s">
        <v>282</v>
      </c>
      <c r="D456" s="177"/>
      <c r="E456" s="177"/>
      <c r="F456" s="178"/>
      <c r="G456" s="430" t="s">
        <v>429</v>
      </c>
      <c r="H456" s="430"/>
      <c r="I456" s="430"/>
      <c r="J456" s="430"/>
      <c r="K456" s="430"/>
      <c r="L456" s="430"/>
    </row>
    <row r="457" spans="1:14" s="60" customFormat="1" x14ac:dyDescent="0.25">
      <c r="A457" s="440" t="s">
        <v>439</v>
      </c>
      <c r="B457" s="440"/>
      <c r="C457" s="440"/>
      <c r="D457" s="440"/>
      <c r="E457" s="440"/>
      <c r="F457" s="440"/>
      <c r="G457" s="442">
        <f>G412+G416</f>
        <v>703342404.76499999</v>
      </c>
      <c r="H457" s="442"/>
      <c r="I457" s="442"/>
      <c r="J457" s="442"/>
      <c r="K457" s="442"/>
      <c r="L457" s="442"/>
      <c r="N457" s="62">
        <v>9126534271.6079903</v>
      </c>
    </row>
    <row r="458" spans="1:14" s="60" customFormat="1" ht="28.5" customHeight="1" x14ac:dyDescent="0.25">
      <c r="A458" s="440" t="s">
        <v>440</v>
      </c>
      <c r="B458" s="440"/>
      <c r="C458" s="440"/>
      <c r="D458" s="440"/>
      <c r="E458" s="440"/>
      <c r="F458" s="440"/>
      <c r="G458" s="441" t="s">
        <v>679</v>
      </c>
      <c r="H458" s="441"/>
      <c r="I458" s="441"/>
      <c r="J458" s="441"/>
      <c r="K458" s="441"/>
      <c r="L458" s="441"/>
    </row>
    <row r="459" spans="1:14" customFormat="1" x14ac:dyDescent="0.25">
      <c r="A459" s="174"/>
      <c r="B459" s="390"/>
      <c r="C459" s="390"/>
      <c r="D459" s="390"/>
      <c r="E459" s="390"/>
      <c r="F459" s="390"/>
      <c r="G459" s="390"/>
      <c r="H459" s="390"/>
      <c r="I459" s="390"/>
      <c r="J459" s="390"/>
      <c r="K459" s="390"/>
      <c r="L459" s="175"/>
    </row>
    <row r="460" spans="1:14" customFormat="1" ht="94.5" customHeight="1" x14ac:dyDescent="0.25">
      <c r="A460" s="240" t="s">
        <v>678</v>
      </c>
      <c r="B460" s="241"/>
      <c r="C460" s="241"/>
      <c r="D460" s="241"/>
      <c r="E460" s="241"/>
      <c r="F460" s="241"/>
      <c r="G460" s="241"/>
      <c r="H460" s="241"/>
      <c r="I460" s="241"/>
      <c r="J460" s="241"/>
      <c r="K460" s="241"/>
      <c r="L460" s="242"/>
    </row>
    <row r="461" spans="1:14" customFormat="1" ht="52.5" hidden="1" customHeight="1" x14ac:dyDescent="0.3">
      <c r="A461" s="240" t="s">
        <v>328</v>
      </c>
      <c r="B461" s="241"/>
      <c r="C461" s="241"/>
      <c r="D461" s="241"/>
      <c r="E461" s="241"/>
      <c r="F461" s="241"/>
      <c r="G461" s="241"/>
      <c r="H461" s="241"/>
      <c r="I461" s="241"/>
      <c r="J461" s="91"/>
      <c r="K461" s="280"/>
      <c r="L461" s="281"/>
    </row>
    <row r="462" spans="1:14" ht="15" customHeight="1" x14ac:dyDescent="0.25">
      <c r="A462" s="273" t="s">
        <v>57</v>
      </c>
      <c r="B462" s="274"/>
      <c r="C462" s="274"/>
      <c r="D462" s="274"/>
      <c r="E462" s="274"/>
      <c r="F462" s="274"/>
      <c r="G462" s="274"/>
      <c r="H462" s="274"/>
      <c r="I462" s="274"/>
      <c r="J462" s="274"/>
      <c r="K462" s="274"/>
      <c r="L462" s="275"/>
    </row>
    <row r="463" spans="1:14" x14ac:dyDescent="0.25">
      <c r="A463" s="123">
        <v>1</v>
      </c>
      <c r="B463" s="276" t="s">
        <v>430</v>
      </c>
      <c r="C463" s="277"/>
      <c r="D463" s="277"/>
      <c r="E463" s="277"/>
      <c r="F463" s="277"/>
      <c r="G463" s="277"/>
      <c r="H463" s="277"/>
      <c r="I463" s="277"/>
      <c r="J463" s="277"/>
      <c r="K463" s="277"/>
      <c r="L463" s="277"/>
    </row>
    <row r="464" spans="1:14" x14ac:dyDescent="0.25">
      <c r="A464" s="123">
        <f>A463+1</f>
        <v>2</v>
      </c>
      <c r="B464" s="276" t="s">
        <v>431</v>
      </c>
      <c r="C464" s="277"/>
      <c r="D464" s="277"/>
      <c r="E464" s="277"/>
      <c r="F464" s="277"/>
      <c r="G464" s="277"/>
      <c r="H464" s="277"/>
      <c r="I464" s="277"/>
      <c r="J464" s="277"/>
      <c r="K464" s="277"/>
      <c r="L464" s="277"/>
    </row>
    <row r="465" spans="1:12" x14ac:dyDescent="0.25">
      <c r="A465" s="123">
        <f t="shared" ref="A465:A472" si="120">A464+1</f>
        <v>3</v>
      </c>
      <c r="B465" s="436" t="s">
        <v>650</v>
      </c>
      <c r="C465" s="224"/>
      <c r="D465" s="224"/>
      <c r="E465" s="224"/>
      <c r="F465" s="224"/>
      <c r="G465" s="224"/>
      <c r="H465" s="224"/>
      <c r="I465" s="224"/>
      <c r="J465" s="224"/>
      <c r="K465" s="224"/>
      <c r="L465" s="224"/>
    </row>
    <row r="466" spans="1:12" x14ac:dyDescent="0.25">
      <c r="A466" s="123">
        <f t="shared" si="120"/>
        <v>4</v>
      </c>
      <c r="B466" s="277" t="s">
        <v>432</v>
      </c>
      <c r="C466" s="277"/>
      <c r="D466" s="277"/>
      <c r="E466" s="277"/>
      <c r="F466" s="277"/>
      <c r="G466" s="277"/>
      <c r="H466" s="277"/>
      <c r="I466" s="277"/>
      <c r="J466" s="277"/>
      <c r="K466" s="277"/>
      <c r="L466" s="277"/>
    </row>
    <row r="467" spans="1:12" x14ac:dyDescent="0.25">
      <c r="A467" s="123">
        <f t="shared" si="120"/>
        <v>5</v>
      </c>
      <c r="B467" s="277" t="s">
        <v>109</v>
      </c>
      <c r="C467" s="277"/>
      <c r="D467" s="277"/>
      <c r="E467" s="277"/>
      <c r="F467" s="277"/>
      <c r="G467" s="277"/>
      <c r="H467" s="277"/>
      <c r="I467" s="277"/>
      <c r="J467" s="277"/>
      <c r="K467" s="277"/>
      <c r="L467" s="277"/>
    </row>
    <row r="468" spans="1:12" ht="15" customHeight="1" x14ac:dyDescent="0.25">
      <c r="A468" s="123">
        <f t="shared" si="120"/>
        <v>6</v>
      </c>
      <c r="B468" s="437" t="s">
        <v>665</v>
      </c>
      <c r="C468" s="438"/>
      <c r="D468" s="438"/>
      <c r="E468" s="438"/>
      <c r="F468" s="438"/>
      <c r="G468" s="438"/>
      <c r="H468" s="438"/>
      <c r="I468" s="438"/>
      <c r="J468" s="438"/>
      <c r="K468" s="438"/>
      <c r="L468" s="439"/>
    </row>
    <row r="469" spans="1:12" ht="30.75" customHeight="1" x14ac:dyDescent="0.25">
      <c r="A469" s="123">
        <f t="shared" si="120"/>
        <v>7</v>
      </c>
      <c r="B469" s="276" t="s">
        <v>666</v>
      </c>
      <c r="C469" s="276"/>
      <c r="D469" s="276"/>
      <c r="E469" s="276"/>
      <c r="F469" s="276"/>
      <c r="G469" s="276"/>
      <c r="H469" s="276"/>
      <c r="I469" s="276"/>
      <c r="J469" s="276"/>
      <c r="K469" s="276"/>
      <c r="L469" s="276"/>
    </row>
    <row r="470" spans="1:12" ht="29.25" customHeight="1" x14ac:dyDescent="0.25">
      <c r="A470" s="123">
        <f t="shared" si="120"/>
        <v>8</v>
      </c>
      <c r="B470" s="436" t="s">
        <v>605</v>
      </c>
      <c r="C470" s="436"/>
      <c r="D470" s="436"/>
      <c r="E470" s="436"/>
      <c r="F470" s="436"/>
      <c r="G470" s="436"/>
      <c r="H470" s="436"/>
      <c r="I470" s="436"/>
      <c r="J470" s="436"/>
      <c r="K470" s="436"/>
      <c r="L470" s="436"/>
    </row>
    <row r="471" spans="1:12" x14ac:dyDescent="0.25">
      <c r="A471" s="123">
        <f t="shared" si="120"/>
        <v>9</v>
      </c>
      <c r="B471" s="276" t="s">
        <v>433</v>
      </c>
      <c r="C471" s="276"/>
      <c r="D471" s="276"/>
      <c r="E471" s="276"/>
      <c r="F471" s="276"/>
      <c r="G471" s="276"/>
      <c r="H471" s="276"/>
      <c r="I471" s="276"/>
      <c r="J471" s="276"/>
      <c r="K471" s="276"/>
      <c r="L471" s="276"/>
    </row>
    <row r="472" spans="1:12" x14ac:dyDescent="0.25">
      <c r="A472" s="123">
        <f t="shared" si="120"/>
        <v>10</v>
      </c>
      <c r="B472" s="277" t="s">
        <v>651</v>
      </c>
      <c r="C472" s="277"/>
      <c r="D472" s="277"/>
      <c r="E472" s="277"/>
      <c r="F472" s="277"/>
      <c r="G472" s="277"/>
      <c r="H472" s="277"/>
      <c r="I472" s="277"/>
      <c r="J472" s="277"/>
      <c r="K472" s="277"/>
      <c r="L472" s="277"/>
    </row>
    <row r="473" spans="1:12" x14ac:dyDescent="0.25">
      <c r="A473" s="13" t="s">
        <v>58</v>
      </c>
      <c r="B473" s="10"/>
      <c r="C473" s="4"/>
      <c r="D473" s="4"/>
      <c r="E473" s="4"/>
      <c r="F473" s="36" t="str">
        <f>G49</f>
        <v>Neelkanth Complex</v>
      </c>
      <c r="G473" s="2"/>
      <c r="H473" s="2"/>
      <c r="I473" s="2"/>
      <c r="J473" s="2"/>
      <c r="K473" s="2"/>
      <c r="L473" s="2"/>
    </row>
    <row r="474" spans="1:12" x14ac:dyDescent="0.25">
      <c r="A474" s="4"/>
      <c r="B474" s="10"/>
      <c r="C474" s="4"/>
      <c r="D474" s="4"/>
      <c r="E474" s="4"/>
      <c r="F474" s="4"/>
      <c r="G474" s="4"/>
      <c r="H474" s="4"/>
      <c r="I474" s="4"/>
      <c r="J474" s="4"/>
      <c r="K474" s="4"/>
      <c r="L474" s="4"/>
    </row>
    <row r="475" spans="1:12" x14ac:dyDescent="0.25">
      <c r="A475" s="4"/>
      <c r="B475" s="10"/>
      <c r="C475" s="4"/>
      <c r="D475" s="4"/>
      <c r="E475" s="4"/>
      <c r="F475" s="4"/>
      <c r="G475" s="4"/>
      <c r="H475" s="4"/>
      <c r="I475" s="4"/>
      <c r="J475" s="4"/>
      <c r="K475" s="4"/>
      <c r="L475" s="4"/>
    </row>
    <row r="519" spans="1:2" ht="18.75" x14ac:dyDescent="0.25">
      <c r="A519" s="429" t="s">
        <v>283</v>
      </c>
      <c r="B519" s="429"/>
    </row>
    <row r="565" spans="1:1" x14ac:dyDescent="0.25">
      <c r="A565" s="3" t="s">
        <v>0</v>
      </c>
    </row>
    <row r="611" spans="1:12" x14ac:dyDescent="0.25">
      <c r="A611" s="21" t="s">
        <v>329</v>
      </c>
      <c r="B611" s="21"/>
      <c r="C611" s="21"/>
      <c r="D611" s="21"/>
      <c r="E611" s="21"/>
      <c r="F611" s="21"/>
      <c r="G611" s="21"/>
      <c r="H611" s="21"/>
      <c r="I611" s="21"/>
      <c r="J611" s="21"/>
      <c r="K611" s="21"/>
      <c r="L611" s="21"/>
    </row>
    <row r="612" spans="1:12" ht="15" customHeight="1" x14ac:dyDescent="0.25">
      <c r="A612" s="157"/>
      <c r="B612" s="157"/>
      <c r="C612" s="157"/>
      <c r="D612" s="157"/>
      <c r="E612" s="55"/>
      <c r="F612" s="55"/>
      <c r="G612" s="55"/>
      <c r="H612" s="55"/>
      <c r="I612" s="55"/>
      <c r="J612" s="55"/>
      <c r="K612" s="157"/>
      <c r="L612" s="157"/>
    </row>
    <row r="613" spans="1:12" ht="15" customHeight="1" x14ac:dyDescent="0.25">
      <c r="A613" s="157"/>
      <c r="B613" s="157"/>
      <c r="C613" s="157"/>
      <c r="D613" s="157"/>
      <c r="E613" s="55"/>
      <c r="F613" s="57"/>
      <c r="G613" s="11"/>
      <c r="H613" s="11"/>
      <c r="I613" s="50"/>
      <c r="J613" s="50"/>
      <c r="K613" s="157"/>
      <c r="L613" s="157"/>
    </row>
    <row r="614" spans="1:12" ht="15" customHeight="1" x14ac:dyDescent="0.25">
      <c r="A614" s="157"/>
      <c r="B614" s="157"/>
      <c r="C614" s="157"/>
      <c r="D614" s="157"/>
      <c r="E614" s="55"/>
      <c r="F614" s="57"/>
      <c r="G614" s="11"/>
      <c r="H614" s="11"/>
      <c r="I614" s="50"/>
      <c r="J614" s="50"/>
      <c r="K614" s="157"/>
      <c r="L614" s="157"/>
    </row>
    <row r="615" spans="1:12" ht="15" customHeight="1" x14ac:dyDescent="0.25">
      <c r="A615" s="157"/>
      <c r="B615" s="157"/>
      <c r="C615" s="157"/>
      <c r="D615" s="157"/>
      <c r="E615" s="55"/>
      <c r="F615" s="57"/>
      <c r="G615" s="11"/>
      <c r="H615" s="11"/>
      <c r="I615" s="50"/>
      <c r="J615" s="50"/>
      <c r="K615" s="157"/>
      <c r="L615" s="157"/>
    </row>
    <row r="616" spans="1:12" ht="15" customHeight="1" x14ac:dyDescent="0.25">
      <c r="A616" s="157"/>
      <c r="B616" s="157"/>
      <c r="C616" s="157"/>
      <c r="D616" s="157"/>
      <c r="E616" s="55"/>
      <c r="F616" s="57"/>
      <c r="G616" s="50"/>
      <c r="H616" s="11"/>
      <c r="I616" s="50"/>
      <c r="J616" s="50"/>
      <c r="K616" s="157"/>
      <c r="L616" s="157"/>
    </row>
    <row r="617" spans="1:12" ht="15" customHeight="1" x14ac:dyDescent="0.25">
      <c r="A617" s="157"/>
      <c r="B617" s="157"/>
      <c r="C617" s="157"/>
      <c r="D617" s="157"/>
      <c r="E617" s="55"/>
      <c r="F617" s="57"/>
      <c r="G617" s="11"/>
      <c r="H617" s="11"/>
      <c r="I617" s="50"/>
      <c r="J617" s="50"/>
      <c r="K617" s="157"/>
      <c r="L617" s="157"/>
    </row>
    <row r="618" spans="1:12" ht="15" customHeight="1" x14ac:dyDescent="0.25">
      <c r="A618" s="157"/>
      <c r="B618" s="157"/>
      <c r="C618" s="157"/>
      <c r="D618" s="157"/>
      <c r="E618" s="55"/>
      <c r="F618" s="57"/>
      <c r="G618" s="11"/>
      <c r="H618" s="11"/>
      <c r="I618" s="50"/>
      <c r="J618" s="50"/>
      <c r="K618" s="157"/>
      <c r="L618" s="157"/>
    </row>
    <row r="619" spans="1:12" ht="15" customHeight="1" x14ac:dyDescent="0.25">
      <c r="A619" s="157"/>
      <c r="B619" s="157"/>
      <c r="C619" s="157"/>
      <c r="D619" s="157"/>
      <c r="E619" s="55"/>
      <c r="F619" s="57"/>
      <c r="G619" s="50"/>
      <c r="H619" s="11"/>
      <c r="I619" s="50"/>
      <c r="J619" s="50"/>
      <c r="K619" s="157"/>
      <c r="L619" s="157"/>
    </row>
    <row r="620" spans="1:12" ht="15" customHeight="1" x14ac:dyDescent="0.25">
      <c r="A620" s="157"/>
      <c r="B620" s="157"/>
      <c r="C620" s="157"/>
      <c r="D620" s="157"/>
      <c r="E620" s="157"/>
      <c r="F620" s="157"/>
      <c r="G620" s="157"/>
      <c r="H620" s="157"/>
      <c r="I620" s="51"/>
      <c r="J620" s="51"/>
      <c r="K620" s="157"/>
      <c r="L620" s="157"/>
    </row>
    <row r="621" spans="1:12" x14ac:dyDescent="0.25">
      <c r="A621" s="262"/>
      <c r="B621" s="262"/>
      <c r="C621" s="262"/>
      <c r="D621" s="262"/>
      <c r="E621" s="262"/>
      <c r="F621" s="262"/>
      <c r="G621" s="262"/>
      <c r="H621" s="262"/>
      <c r="I621" s="54"/>
      <c r="J621" s="54"/>
      <c r="K621" s="157"/>
      <c r="L621" s="157"/>
    </row>
    <row r="657" spans="1:1" x14ac:dyDescent="0.25">
      <c r="A657" s="21" t="s">
        <v>59</v>
      </c>
    </row>
    <row r="703" spans="1:12" ht="53.25" customHeight="1" x14ac:dyDescent="0.25">
      <c r="A703" s="194" t="s">
        <v>443</v>
      </c>
      <c r="B703" s="194"/>
      <c r="C703" s="194"/>
      <c r="D703" s="194"/>
      <c r="E703" s="194"/>
      <c r="F703" s="194"/>
      <c r="G703" s="194"/>
      <c r="H703" s="194"/>
      <c r="I703" s="194"/>
      <c r="J703" s="194"/>
      <c r="K703" s="194"/>
      <c r="L703" s="194"/>
    </row>
    <row r="707" spans="1:12" x14ac:dyDescent="0.25">
      <c r="A707" s="415" t="s">
        <v>330</v>
      </c>
      <c r="B707" s="415"/>
    </row>
    <row r="709" spans="1:12" x14ac:dyDescent="0.25">
      <c r="A709" s="415" t="s">
        <v>331</v>
      </c>
      <c r="B709" s="415"/>
    </row>
    <row r="712" spans="1:12" x14ac:dyDescent="0.25">
      <c r="I712" s="415" t="s">
        <v>332</v>
      </c>
      <c r="J712" s="415"/>
      <c r="K712" s="415"/>
    </row>
    <row r="713" spans="1:12" x14ac:dyDescent="0.25">
      <c r="H713" s="415" t="s">
        <v>333</v>
      </c>
      <c r="I713" s="415"/>
      <c r="J713" s="415"/>
      <c r="K713" s="415"/>
      <c r="L713" s="415"/>
    </row>
    <row r="716" spans="1:12" ht="60" customHeight="1" x14ac:dyDescent="0.25">
      <c r="A716" s="194" t="s">
        <v>441</v>
      </c>
      <c r="B716" s="194"/>
      <c r="C716" s="194"/>
      <c r="D716" s="194"/>
      <c r="E716" s="194"/>
      <c r="F716" s="194"/>
      <c r="G716" s="194"/>
      <c r="H716" s="194"/>
      <c r="I716" s="194"/>
      <c r="J716" s="194"/>
      <c r="K716" s="194"/>
      <c r="L716" s="194"/>
    </row>
    <row r="718" spans="1:12" x14ac:dyDescent="0.25">
      <c r="I718" s="415" t="s">
        <v>332</v>
      </c>
      <c r="J718" s="415"/>
      <c r="K718" s="415"/>
    </row>
    <row r="719" spans="1:12" x14ac:dyDescent="0.25">
      <c r="H719" s="415" t="s">
        <v>334</v>
      </c>
      <c r="I719" s="415"/>
      <c r="J719" s="415"/>
      <c r="K719" s="415"/>
      <c r="L719" s="415"/>
    </row>
    <row r="722" spans="1:12" x14ac:dyDescent="0.25">
      <c r="A722" s="415"/>
      <c r="B722" s="415"/>
      <c r="C722" s="415"/>
      <c r="D722" s="415"/>
      <c r="E722" s="415"/>
      <c r="F722" s="415"/>
      <c r="G722" s="415"/>
      <c r="H722" s="415"/>
      <c r="I722" s="415"/>
      <c r="J722" s="415"/>
      <c r="K722" s="415"/>
      <c r="L722" s="415"/>
    </row>
    <row r="723" spans="1:12" x14ac:dyDescent="0.25">
      <c r="A723" s="56"/>
      <c r="L723" s="35"/>
    </row>
    <row r="724" spans="1:12" x14ac:dyDescent="0.25">
      <c r="A724" s="56"/>
      <c r="L724" s="35"/>
    </row>
    <row r="725" spans="1:12" x14ac:dyDescent="0.25">
      <c r="B725" s="59" t="s">
        <v>336</v>
      </c>
      <c r="C725" s="203" t="s">
        <v>335</v>
      </c>
      <c r="D725" s="203"/>
      <c r="E725" s="203"/>
      <c r="F725" s="203"/>
      <c r="G725" s="203"/>
      <c r="H725" s="203"/>
      <c r="I725" s="290" t="s">
        <v>338</v>
      </c>
      <c r="J725" s="290"/>
      <c r="K725" s="290"/>
    </row>
    <row r="726" spans="1:12" x14ac:dyDescent="0.25">
      <c r="B726" s="20" t="s">
        <v>336</v>
      </c>
      <c r="C726" s="202" t="s">
        <v>337</v>
      </c>
      <c r="D726" s="202"/>
      <c r="E726" s="202"/>
      <c r="F726" s="202"/>
      <c r="G726" s="202"/>
      <c r="H726" s="202"/>
      <c r="I726" s="290" t="s">
        <v>338</v>
      </c>
      <c r="J726" s="290"/>
      <c r="K726" s="290"/>
    </row>
    <row r="728" spans="1:12" ht="15.75" customHeight="1" x14ac:dyDescent="0.25"/>
    <row r="729" spans="1:12" customFormat="1" ht="15" customHeight="1" x14ac:dyDescent="0.25">
      <c r="A729" s="425" t="s">
        <v>286</v>
      </c>
      <c r="B729" s="425"/>
      <c r="C729" s="425"/>
      <c r="D729" s="425"/>
      <c r="E729" s="425"/>
      <c r="F729" s="425"/>
      <c r="G729" s="425"/>
      <c r="H729" s="425"/>
      <c r="I729" s="425"/>
      <c r="J729" s="425"/>
      <c r="K729" s="425"/>
      <c r="L729" s="425"/>
    </row>
    <row r="730" spans="1:12" customFormat="1" ht="15" customHeight="1" x14ac:dyDescent="0.25">
      <c r="A730" s="426" t="s">
        <v>339</v>
      </c>
      <c r="B730" s="426"/>
      <c r="C730" s="426"/>
      <c r="D730" s="426"/>
      <c r="E730" s="426"/>
      <c r="F730" s="426"/>
      <c r="G730" s="426"/>
      <c r="H730" s="426"/>
      <c r="I730" s="426"/>
      <c r="J730" s="426"/>
      <c r="K730" s="426"/>
      <c r="L730" s="426"/>
    </row>
    <row r="731" spans="1:12" customFormat="1" ht="15" customHeight="1" x14ac:dyDescent="0.25">
      <c r="A731" s="427" t="s">
        <v>287</v>
      </c>
      <c r="B731" s="427"/>
      <c r="C731" s="427"/>
      <c r="D731" s="427"/>
      <c r="E731" s="427"/>
      <c r="F731" s="427"/>
      <c r="G731" s="427"/>
      <c r="H731" s="427"/>
      <c r="I731" s="427"/>
      <c r="J731" s="427"/>
      <c r="K731" s="427"/>
      <c r="L731" s="427"/>
    </row>
    <row r="732" spans="1:12" customFormat="1" x14ac:dyDescent="0.25">
      <c r="A732" s="41">
        <v>1</v>
      </c>
      <c r="B732" s="203" t="s">
        <v>288</v>
      </c>
      <c r="C732" s="203"/>
      <c r="D732" s="203"/>
      <c r="E732" s="203"/>
      <c r="F732" s="203"/>
      <c r="G732" s="203"/>
      <c r="H732" s="203"/>
      <c r="I732" s="203"/>
      <c r="J732" s="203"/>
      <c r="K732" s="203"/>
      <c r="L732" s="203"/>
    </row>
    <row r="733" spans="1:12" customFormat="1" ht="46.5" customHeight="1" x14ac:dyDescent="0.25">
      <c r="A733" s="41">
        <v>2</v>
      </c>
      <c r="B733" s="203" t="s">
        <v>289</v>
      </c>
      <c r="C733" s="203"/>
      <c r="D733" s="203"/>
      <c r="E733" s="203"/>
      <c r="F733" s="203"/>
      <c r="G733" s="203"/>
      <c r="H733" s="203"/>
      <c r="I733" s="203"/>
      <c r="J733" s="203"/>
      <c r="K733" s="203"/>
      <c r="L733" s="203"/>
    </row>
    <row r="734" spans="1:12" customFormat="1" ht="30" customHeight="1" x14ac:dyDescent="0.25">
      <c r="A734" s="41">
        <v>3</v>
      </c>
      <c r="B734" s="220" t="s">
        <v>668</v>
      </c>
      <c r="C734" s="220"/>
      <c r="D734" s="220"/>
      <c r="E734" s="220"/>
      <c r="F734" s="220"/>
      <c r="G734" s="220"/>
      <c r="H734" s="220"/>
      <c r="I734" s="220"/>
      <c r="J734" s="220"/>
      <c r="K734" s="220"/>
      <c r="L734" s="220"/>
    </row>
    <row r="735" spans="1:12" customFormat="1" ht="33" customHeight="1" x14ac:dyDescent="0.25">
      <c r="A735" s="41">
        <v>4</v>
      </c>
      <c r="B735" s="220" t="s">
        <v>669</v>
      </c>
      <c r="C735" s="220"/>
      <c r="D735" s="220"/>
      <c r="E735" s="220"/>
      <c r="F735" s="220"/>
      <c r="G735" s="220"/>
      <c r="H735" s="220"/>
      <c r="I735" s="220"/>
      <c r="J735" s="220"/>
      <c r="K735" s="220"/>
      <c r="L735" s="220"/>
    </row>
    <row r="736" spans="1:12" customFormat="1" ht="15" customHeight="1" x14ac:dyDescent="0.25">
      <c r="A736" s="41">
        <v>5</v>
      </c>
      <c r="B736" s="203" t="s">
        <v>290</v>
      </c>
      <c r="C736" s="203"/>
      <c r="D736" s="203"/>
      <c r="E736" s="203"/>
      <c r="F736" s="203"/>
      <c r="G736" s="203"/>
      <c r="H736" s="203"/>
      <c r="I736" s="203"/>
      <c r="J736" s="203"/>
      <c r="K736" s="203"/>
      <c r="L736" s="203"/>
    </row>
    <row r="737" spans="1:12" customFormat="1" ht="32.25" customHeight="1" x14ac:dyDescent="0.25">
      <c r="A737" s="41">
        <v>6</v>
      </c>
      <c r="B737" s="203" t="s">
        <v>291</v>
      </c>
      <c r="C737" s="203"/>
      <c r="D737" s="203"/>
      <c r="E737" s="203"/>
      <c r="F737" s="203"/>
      <c r="G737" s="203"/>
      <c r="H737" s="203"/>
      <c r="I737" s="203"/>
      <c r="J737" s="203"/>
      <c r="K737" s="203"/>
      <c r="L737" s="203"/>
    </row>
    <row r="738" spans="1:12" customFormat="1" ht="15" customHeight="1" x14ac:dyDescent="0.25">
      <c r="A738" s="41">
        <v>7</v>
      </c>
      <c r="B738" s="203" t="s">
        <v>292</v>
      </c>
      <c r="C738" s="203"/>
      <c r="D738" s="203"/>
      <c r="E738" s="203"/>
      <c r="F738" s="203"/>
      <c r="G738" s="203"/>
      <c r="H738" s="203"/>
      <c r="I738" s="203"/>
      <c r="J738" s="203"/>
      <c r="K738" s="203"/>
      <c r="L738" s="203"/>
    </row>
    <row r="739" spans="1:12" customFormat="1" ht="15" customHeight="1" x14ac:dyDescent="0.25">
      <c r="A739" s="41">
        <v>8</v>
      </c>
      <c r="B739" s="203" t="s">
        <v>293</v>
      </c>
      <c r="C739" s="203"/>
      <c r="D739" s="203"/>
      <c r="E739" s="203"/>
      <c r="F739" s="203"/>
      <c r="G739" s="203"/>
      <c r="H739" s="203"/>
      <c r="I739" s="203"/>
      <c r="J739" s="203"/>
      <c r="K739" s="203"/>
      <c r="L739" s="203"/>
    </row>
    <row r="740" spans="1:12" customFormat="1" ht="15" customHeight="1" x14ac:dyDescent="0.25">
      <c r="A740" s="41">
        <v>9</v>
      </c>
      <c r="B740" s="203" t="s">
        <v>294</v>
      </c>
      <c r="C740" s="203"/>
      <c r="D740" s="203"/>
      <c r="E740" s="203"/>
      <c r="F740" s="203"/>
      <c r="G740" s="203"/>
      <c r="H740" s="203"/>
      <c r="I740" s="203"/>
      <c r="J740" s="203"/>
      <c r="K740" s="203"/>
      <c r="L740" s="203"/>
    </row>
    <row r="741" spans="1:12" customFormat="1" ht="15" customHeight="1" x14ac:dyDescent="0.25">
      <c r="A741" s="41">
        <v>10</v>
      </c>
      <c r="B741" s="203" t="s">
        <v>295</v>
      </c>
      <c r="C741" s="203"/>
      <c r="D741" s="203"/>
      <c r="E741" s="203"/>
      <c r="F741" s="203"/>
      <c r="G741" s="203"/>
      <c r="H741" s="203"/>
      <c r="I741" s="203"/>
      <c r="J741" s="203"/>
      <c r="K741" s="203"/>
      <c r="L741" s="203"/>
    </row>
    <row r="742" spans="1:12" customFormat="1" ht="15" customHeight="1" x14ac:dyDescent="0.25">
      <c r="A742" s="41">
        <v>11</v>
      </c>
      <c r="B742" s="203" t="s">
        <v>296</v>
      </c>
      <c r="C742" s="203"/>
      <c r="D742" s="203"/>
      <c r="E742" s="203"/>
      <c r="F742" s="203"/>
      <c r="G742" s="203"/>
      <c r="H742" s="203"/>
      <c r="I742" s="203"/>
      <c r="J742" s="203"/>
      <c r="K742" s="203"/>
      <c r="L742" s="203"/>
    </row>
    <row r="743" spans="1:12" customFormat="1" ht="15" customHeight="1" x14ac:dyDescent="0.25">
      <c r="A743" s="41">
        <v>12</v>
      </c>
      <c r="B743" s="203" t="s">
        <v>297</v>
      </c>
      <c r="C743" s="203"/>
      <c r="D743" s="203"/>
      <c r="E743" s="203"/>
      <c r="F743" s="203"/>
      <c r="G743" s="203"/>
      <c r="H743" s="203"/>
      <c r="I743" s="203"/>
      <c r="J743" s="203"/>
      <c r="K743" s="203"/>
      <c r="L743" s="203"/>
    </row>
    <row r="744" spans="1:12" customFormat="1" ht="61.5" customHeight="1" x14ac:dyDescent="0.25">
      <c r="A744" s="41">
        <v>13</v>
      </c>
      <c r="B744" s="203" t="s">
        <v>298</v>
      </c>
      <c r="C744" s="203"/>
      <c r="D744" s="203"/>
      <c r="E744" s="203"/>
      <c r="F744" s="203"/>
      <c r="G744" s="203"/>
      <c r="H744" s="203"/>
      <c r="I744" s="203"/>
      <c r="J744" s="203"/>
      <c r="K744" s="203"/>
      <c r="L744" s="203"/>
    </row>
    <row r="745" spans="1:12" customFormat="1" ht="31.5" customHeight="1" x14ac:dyDescent="0.25">
      <c r="A745" s="41">
        <v>14</v>
      </c>
      <c r="B745" s="220" t="s">
        <v>444</v>
      </c>
      <c r="C745" s="220"/>
      <c r="D745" s="220"/>
      <c r="E745" s="220"/>
      <c r="F745" s="220"/>
      <c r="G745" s="220"/>
      <c r="H745" s="220"/>
      <c r="I745" s="220"/>
      <c r="J745" s="220"/>
      <c r="K745" s="220"/>
      <c r="L745" s="220"/>
    </row>
    <row r="746" spans="1:12" customFormat="1" ht="15" customHeight="1" x14ac:dyDescent="0.25">
      <c r="A746" s="41">
        <v>15</v>
      </c>
      <c r="B746" s="203" t="s">
        <v>419</v>
      </c>
      <c r="C746" s="203"/>
      <c r="D746" s="203"/>
      <c r="E746" s="203"/>
      <c r="F746" s="203"/>
      <c r="G746" s="203"/>
      <c r="H746" s="203"/>
      <c r="I746" s="203"/>
      <c r="J746" s="203"/>
      <c r="K746" s="203"/>
      <c r="L746" s="203"/>
    </row>
    <row r="747" spans="1:12" customFormat="1" ht="30.75" customHeight="1" x14ac:dyDescent="0.25">
      <c r="A747" s="41">
        <v>16</v>
      </c>
      <c r="B747" s="203" t="s">
        <v>299</v>
      </c>
      <c r="C747" s="203"/>
      <c r="D747" s="203"/>
      <c r="E747" s="203"/>
      <c r="F747" s="203"/>
      <c r="G747" s="203"/>
      <c r="H747" s="203"/>
      <c r="I747" s="203"/>
      <c r="J747" s="203"/>
      <c r="K747" s="203"/>
      <c r="L747" s="203"/>
    </row>
    <row r="748" spans="1:12" customFormat="1" ht="30.75" customHeight="1" x14ac:dyDescent="0.25">
      <c r="A748" s="41">
        <v>17</v>
      </c>
      <c r="B748" s="203" t="s">
        <v>300</v>
      </c>
      <c r="C748" s="203"/>
      <c r="D748" s="203"/>
      <c r="E748" s="203"/>
      <c r="F748" s="203"/>
      <c r="G748" s="203"/>
      <c r="H748" s="203"/>
      <c r="I748" s="203"/>
      <c r="J748" s="203"/>
      <c r="K748" s="203"/>
      <c r="L748" s="203"/>
    </row>
    <row r="749" spans="1:12" customFormat="1" ht="48.75" customHeight="1" x14ac:dyDescent="0.25">
      <c r="A749" s="41">
        <v>18</v>
      </c>
      <c r="B749" s="203" t="s">
        <v>301</v>
      </c>
      <c r="C749" s="203"/>
      <c r="D749" s="203"/>
      <c r="E749" s="203"/>
      <c r="F749" s="203"/>
      <c r="G749" s="203"/>
      <c r="H749" s="203"/>
      <c r="I749" s="203"/>
      <c r="J749" s="203"/>
      <c r="K749" s="203"/>
      <c r="L749" s="203"/>
    </row>
    <row r="750" spans="1:12" customFormat="1" ht="48.75" customHeight="1" x14ac:dyDescent="0.25">
      <c r="A750" s="41">
        <v>19</v>
      </c>
      <c r="B750" s="203" t="s">
        <v>302</v>
      </c>
      <c r="C750" s="203"/>
      <c r="D750" s="203"/>
      <c r="E750" s="203"/>
      <c r="F750" s="203"/>
      <c r="G750" s="203"/>
      <c r="H750" s="203"/>
      <c r="I750" s="203"/>
      <c r="J750" s="203"/>
      <c r="K750" s="203"/>
      <c r="L750" s="203"/>
    </row>
    <row r="751" spans="1:12" customFormat="1" ht="30.75" customHeight="1" x14ac:dyDescent="0.25">
      <c r="A751" s="41">
        <v>20</v>
      </c>
      <c r="B751" s="203" t="s">
        <v>303</v>
      </c>
      <c r="C751" s="203"/>
      <c r="D751" s="203"/>
      <c r="E751" s="203"/>
      <c r="F751" s="203"/>
      <c r="G751" s="203"/>
      <c r="H751" s="203"/>
      <c r="I751" s="203"/>
      <c r="J751" s="203"/>
      <c r="K751" s="203"/>
      <c r="L751" s="203"/>
    </row>
    <row r="752" spans="1:12" customFormat="1" x14ac:dyDescent="0.25">
      <c r="A752" s="41">
        <v>21</v>
      </c>
      <c r="B752" s="203" t="s">
        <v>304</v>
      </c>
      <c r="C752" s="203"/>
      <c r="D752" s="203"/>
      <c r="E752" s="203"/>
      <c r="F752" s="203"/>
      <c r="G752" s="203"/>
      <c r="H752" s="203"/>
      <c r="I752" s="203"/>
      <c r="J752" s="203"/>
      <c r="K752" s="203"/>
      <c r="L752" s="203"/>
    </row>
    <row r="753" spans="1:12" customFormat="1" x14ac:dyDescent="0.25">
      <c r="A753" s="41">
        <v>22</v>
      </c>
      <c r="B753" s="203" t="s">
        <v>305</v>
      </c>
      <c r="C753" s="203"/>
      <c r="D753" s="203"/>
      <c r="E753" s="203"/>
      <c r="F753" s="203"/>
      <c r="G753" s="203"/>
      <c r="H753" s="203"/>
      <c r="I753" s="203"/>
      <c r="J753" s="203"/>
      <c r="K753" s="203"/>
      <c r="L753" s="203"/>
    </row>
    <row r="754" spans="1:12" customFormat="1" ht="15" customHeight="1" x14ac:dyDescent="0.25">
      <c r="A754" s="41">
        <v>23</v>
      </c>
      <c r="B754" s="203" t="s">
        <v>306</v>
      </c>
      <c r="C754" s="203"/>
      <c r="D754" s="203"/>
      <c r="E754" s="203"/>
      <c r="F754" s="203"/>
      <c r="G754" s="203"/>
      <c r="H754" s="203"/>
      <c r="I754" s="203"/>
      <c r="J754" s="203"/>
      <c r="K754" s="203"/>
      <c r="L754" s="203"/>
    </row>
    <row r="755" spans="1:12" customFormat="1" ht="31.5" customHeight="1" x14ac:dyDescent="0.25">
      <c r="A755" s="41">
        <v>24</v>
      </c>
      <c r="B755" s="203" t="s">
        <v>307</v>
      </c>
      <c r="C755" s="203"/>
      <c r="D755" s="203"/>
      <c r="E755" s="203"/>
      <c r="F755" s="203"/>
      <c r="G755" s="203"/>
      <c r="H755" s="203"/>
      <c r="I755" s="203"/>
      <c r="J755" s="203"/>
      <c r="K755" s="203"/>
      <c r="L755" s="203"/>
    </row>
    <row r="756" spans="1:12" customFormat="1" ht="33" customHeight="1" x14ac:dyDescent="0.25">
      <c r="A756" s="41">
        <v>25</v>
      </c>
      <c r="B756" s="203" t="s">
        <v>308</v>
      </c>
      <c r="C756" s="203"/>
      <c r="D756" s="203"/>
      <c r="E756" s="203"/>
      <c r="F756" s="203"/>
      <c r="G756" s="203"/>
      <c r="H756" s="203"/>
      <c r="I756" s="203"/>
      <c r="J756" s="203"/>
      <c r="K756" s="203"/>
      <c r="L756" s="203"/>
    </row>
    <row r="757" spans="1:12" customFormat="1" ht="15" customHeight="1" x14ac:dyDescent="0.25">
      <c r="A757" s="41">
        <v>26</v>
      </c>
      <c r="B757" s="203" t="s">
        <v>420</v>
      </c>
      <c r="C757" s="203"/>
      <c r="D757" s="203"/>
      <c r="E757" s="203"/>
      <c r="F757" s="203"/>
      <c r="G757" s="203"/>
      <c r="H757" s="203"/>
      <c r="I757" s="203"/>
      <c r="J757" s="203"/>
      <c r="K757" s="203"/>
      <c r="L757" s="203"/>
    </row>
    <row r="758" spans="1:12" customFormat="1" ht="15" customHeight="1" x14ac:dyDescent="0.25">
      <c r="A758" s="52" t="s">
        <v>309</v>
      </c>
      <c r="B758" s="431" t="s">
        <v>14</v>
      </c>
      <c r="C758" s="431"/>
      <c r="D758" s="431"/>
      <c r="E758" s="431"/>
      <c r="F758" s="431"/>
      <c r="G758" s="431" t="s">
        <v>310</v>
      </c>
      <c r="H758" s="431"/>
      <c r="I758" s="431"/>
      <c r="J758" s="431"/>
      <c r="K758" s="431"/>
      <c r="L758" s="431"/>
    </row>
    <row r="759" spans="1:12" customFormat="1" ht="32.25" customHeight="1" x14ac:dyDescent="0.25">
      <c r="A759" s="41">
        <v>1</v>
      </c>
      <c r="B759" s="203" t="s">
        <v>311</v>
      </c>
      <c r="C759" s="203"/>
      <c r="D759" s="203"/>
      <c r="E759" s="203"/>
      <c r="F759" s="203"/>
      <c r="G759" s="220" t="s">
        <v>652</v>
      </c>
      <c r="H759" s="220"/>
      <c r="I759" s="220"/>
      <c r="J759" s="220"/>
      <c r="K759" s="220"/>
      <c r="L759" s="220"/>
    </row>
    <row r="760" spans="1:12" customFormat="1" ht="15" customHeight="1" x14ac:dyDescent="0.25">
      <c r="A760" s="41">
        <v>2</v>
      </c>
      <c r="B760" s="203" t="s">
        <v>312</v>
      </c>
      <c r="C760" s="203"/>
      <c r="D760" s="203"/>
      <c r="E760" s="203"/>
      <c r="F760" s="203"/>
      <c r="G760" s="220" t="s">
        <v>653</v>
      </c>
      <c r="H760" s="220"/>
      <c r="I760" s="220"/>
      <c r="J760" s="220"/>
      <c r="K760" s="220"/>
      <c r="L760" s="220"/>
    </row>
    <row r="761" spans="1:12" customFormat="1" ht="15" customHeight="1" x14ac:dyDescent="0.25">
      <c r="A761" s="290">
        <v>3</v>
      </c>
      <c r="B761" s="203" t="s">
        <v>313</v>
      </c>
      <c r="C761" s="203"/>
      <c r="D761" s="203"/>
      <c r="E761" s="203"/>
      <c r="F761" s="203"/>
      <c r="G761" s="203" t="s">
        <v>340</v>
      </c>
      <c r="H761" s="203"/>
      <c r="I761" s="203"/>
      <c r="J761" s="203"/>
      <c r="K761" s="203"/>
      <c r="L761" s="203"/>
    </row>
    <row r="762" spans="1:12" customFormat="1" ht="15" customHeight="1" x14ac:dyDescent="0.25">
      <c r="A762" s="290"/>
      <c r="B762" s="203"/>
      <c r="C762" s="203"/>
      <c r="D762" s="203"/>
      <c r="E762" s="203"/>
      <c r="F762" s="203"/>
      <c r="G762" s="220" t="s">
        <v>654</v>
      </c>
      <c r="H762" s="220"/>
      <c r="I762" s="220"/>
      <c r="J762" s="220"/>
      <c r="K762" s="220"/>
      <c r="L762" s="220"/>
    </row>
    <row r="763" spans="1:12" customFormat="1" ht="15" customHeight="1" x14ac:dyDescent="0.25">
      <c r="A763" s="290"/>
      <c r="B763" s="203"/>
      <c r="C763" s="203"/>
      <c r="D763" s="203"/>
      <c r="E763" s="203"/>
      <c r="F763" s="203"/>
      <c r="G763" s="220" t="s">
        <v>341</v>
      </c>
      <c r="H763" s="220"/>
      <c r="I763" s="220"/>
      <c r="J763" s="220"/>
      <c r="K763" s="220"/>
      <c r="L763" s="220"/>
    </row>
    <row r="764" spans="1:12" customFormat="1" ht="15" customHeight="1" x14ac:dyDescent="0.25">
      <c r="A764" s="41">
        <v>4</v>
      </c>
      <c r="B764" s="203" t="s">
        <v>314</v>
      </c>
      <c r="C764" s="203"/>
      <c r="D764" s="203"/>
      <c r="E764" s="203"/>
      <c r="F764" s="203"/>
      <c r="G764" s="203" t="s">
        <v>54</v>
      </c>
      <c r="H764" s="203"/>
      <c r="I764" s="203"/>
      <c r="J764" s="203"/>
      <c r="K764" s="203"/>
      <c r="L764" s="203"/>
    </row>
    <row r="765" spans="1:12" customFormat="1" x14ac:dyDescent="0.25">
      <c r="A765" s="290">
        <v>5</v>
      </c>
      <c r="B765" s="203" t="s">
        <v>315</v>
      </c>
      <c r="C765" s="203"/>
      <c r="D765" s="203"/>
      <c r="E765" s="203"/>
      <c r="F765" s="203"/>
      <c r="G765" s="276" t="s">
        <v>316</v>
      </c>
      <c r="H765" s="276"/>
      <c r="I765" s="276"/>
      <c r="J765" s="432">
        <v>45859</v>
      </c>
      <c r="K765" s="433"/>
      <c r="L765" s="434"/>
    </row>
    <row r="766" spans="1:12" customFormat="1" x14ac:dyDescent="0.25">
      <c r="A766" s="290"/>
      <c r="B766" s="203"/>
      <c r="C766" s="203"/>
      <c r="D766" s="203"/>
      <c r="E766" s="203"/>
      <c r="F766" s="203"/>
      <c r="G766" s="276" t="s">
        <v>317</v>
      </c>
      <c r="H766" s="276"/>
      <c r="I766" s="276"/>
      <c r="J766" s="432">
        <v>45860</v>
      </c>
      <c r="K766" s="433"/>
      <c r="L766" s="434"/>
    </row>
    <row r="767" spans="1:12" customFormat="1" ht="15" customHeight="1" x14ac:dyDescent="0.25">
      <c r="A767" s="290"/>
      <c r="B767" s="203"/>
      <c r="C767" s="203"/>
      <c r="D767" s="203"/>
      <c r="E767" s="203"/>
      <c r="F767" s="203"/>
      <c r="G767" s="276" t="s">
        <v>318</v>
      </c>
      <c r="H767" s="276"/>
      <c r="I767" s="276"/>
      <c r="J767" s="432">
        <v>45862</v>
      </c>
      <c r="K767" s="433"/>
      <c r="L767" s="434"/>
    </row>
    <row r="768" spans="1:12" customFormat="1" ht="15" customHeight="1" x14ac:dyDescent="0.25">
      <c r="A768" s="41">
        <v>6</v>
      </c>
      <c r="B768" s="203" t="s">
        <v>319</v>
      </c>
      <c r="C768" s="203"/>
      <c r="D768" s="203"/>
      <c r="E768" s="203"/>
      <c r="F768" s="203"/>
      <c r="G768" s="203" t="s">
        <v>320</v>
      </c>
      <c r="H768" s="203"/>
      <c r="I768" s="203"/>
      <c r="J768" s="203"/>
      <c r="K768" s="203"/>
      <c r="L768" s="203"/>
    </row>
    <row r="769" spans="1:12" customFormat="1" ht="96.75" customHeight="1" x14ac:dyDescent="0.25">
      <c r="A769" s="41">
        <v>7</v>
      </c>
      <c r="B769" s="203" t="s">
        <v>321</v>
      </c>
      <c r="C769" s="203"/>
      <c r="D769" s="203"/>
      <c r="E769" s="203"/>
      <c r="F769" s="203"/>
      <c r="G769" s="203" t="s">
        <v>342</v>
      </c>
      <c r="H769" s="203"/>
      <c r="I769" s="203"/>
      <c r="J769" s="203"/>
      <c r="K769" s="203"/>
      <c r="L769" s="203"/>
    </row>
    <row r="770" spans="1:12" customFormat="1" ht="33.75" customHeight="1" x14ac:dyDescent="0.25">
      <c r="A770" s="41">
        <v>8</v>
      </c>
      <c r="B770" s="203" t="s">
        <v>322</v>
      </c>
      <c r="C770" s="203"/>
      <c r="D770" s="203"/>
      <c r="E770" s="203"/>
      <c r="F770" s="203"/>
      <c r="G770" s="203" t="s">
        <v>323</v>
      </c>
      <c r="H770" s="203"/>
      <c r="I770" s="203"/>
      <c r="J770" s="203"/>
      <c r="K770" s="203"/>
      <c r="L770" s="203"/>
    </row>
    <row r="771" spans="1:12" customFormat="1" x14ac:dyDescent="0.25">
      <c r="A771" s="41">
        <v>9</v>
      </c>
      <c r="B771" s="203" t="s">
        <v>324</v>
      </c>
      <c r="C771" s="203"/>
      <c r="D771" s="203"/>
      <c r="E771" s="203"/>
      <c r="F771" s="203"/>
      <c r="G771" s="203" t="s">
        <v>54</v>
      </c>
      <c r="H771" s="203"/>
      <c r="I771" s="203"/>
      <c r="J771" s="203"/>
      <c r="K771" s="203"/>
      <c r="L771" s="203"/>
    </row>
    <row r="772" spans="1:12" customFormat="1" ht="33.75" customHeight="1" x14ac:dyDescent="0.25">
      <c r="A772" s="41">
        <v>10</v>
      </c>
      <c r="B772" s="203" t="s">
        <v>325</v>
      </c>
      <c r="C772" s="203"/>
      <c r="D772" s="203"/>
      <c r="E772" s="203"/>
      <c r="F772" s="203"/>
      <c r="G772" s="203" t="s">
        <v>343</v>
      </c>
      <c r="H772" s="203"/>
      <c r="I772" s="203"/>
      <c r="J772" s="203"/>
      <c r="K772" s="203"/>
      <c r="L772" s="203"/>
    </row>
    <row r="773" spans="1:12" customFormat="1" ht="30" customHeight="1" x14ac:dyDescent="0.25">
      <c r="A773" s="41">
        <v>11</v>
      </c>
      <c r="B773" s="203" t="s">
        <v>326</v>
      </c>
      <c r="C773" s="203"/>
      <c r="D773" s="203"/>
      <c r="E773" s="203"/>
      <c r="F773" s="203"/>
      <c r="G773" s="203" t="s">
        <v>170</v>
      </c>
      <c r="H773" s="203"/>
      <c r="I773" s="203"/>
      <c r="J773" s="203"/>
      <c r="K773" s="203"/>
      <c r="L773" s="203"/>
    </row>
    <row r="774" spans="1:12" customFormat="1" ht="79.5" customHeight="1" x14ac:dyDescent="0.25">
      <c r="A774" s="41">
        <v>12</v>
      </c>
      <c r="B774" s="240" t="s">
        <v>327</v>
      </c>
      <c r="C774" s="241"/>
      <c r="D774" s="241"/>
      <c r="E774" s="241"/>
      <c r="F774" s="242"/>
      <c r="G774" s="240" t="s">
        <v>338</v>
      </c>
      <c r="H774" s="241"/>
      <c r="I774" s="241"/>
      <c r="J774" s="241"/>
      <c r="K774" s="241"/>
      <c r="L774" s="242"/>
    </row>
    <row r="775" spans="1:12" customFormat="1" x14ac:dyDescent="0.25">
      <c r="A775" s="435" t="s">
        <v>385</v>
      </c>
      <c r="B775" s="435"/>
      <c r="C775" s="435"/>
      <c r="D775" s="435"/>
      <c r="E775" s="435"/>
      <c r="F775" s="435"/>
      <c r="G775" s="435"/>
      <c r="H775" s="435"/>
      <c r="I775" s="435"/>
      <c r="J775" s="435"/>
      <c r="K775" s="435"/>
      <c r="L775" s="435"/>
    </row>
    <row r="776" spans="1:12" customFormat="1" ht="45.75" customHeight="1" x14ac:dyDescent="0.25">
      <c r="A776" s="61" t="s">
        <v>462</v>
      </c>
      <c r="B776" s="203" t="s">
        <v>670</v>
      </c>
      <c r="C776" s="203"/>
      <c r="D776" s="203"/>
      <c r="E776" s="203"/>
      <c r="F776" s="203"/>
      <c r="G776" s="203"/>
      <c r="H776" s="203"/>
      <c r="I776" s="203"/>
      <c r="J776" s="203"/>
      <c r="K776" s="203"/>
      <c r="L776" s="203"/>
    </row>
    <row r="777" spans="1:12" customFormat="1" ht="78" customHeight="1" x14ac:dyDescent="0.25">
      <c r="A777" s="61" t="s">
        <v>462</v>
      </c>
      <c r="B777" s="203" t="s">
        <v>447</v>
      </c>
      <c r="C777" s="203"/>
      <c r="D777" s="203"/>
      <c r="E777" s="203"/>
      <c r="F777" s="203"/>
      <c r="G777" s="203"/>
      <c r="H777" s="203"/>
      <c r="I777" s="203"/>
      <c r="J777" s="203"/>
      <c r="K777" s="203"/>
      <c r="L777" s="203"/>
    </row>
    <row r="778" spans="1:12" customFormat="1" ht="91.5" customHeight="1" x14ac:dyDescent="0.25">
      <c r="A778" s="61" t="s">
        <v>462</v>
      </c>
      <c r="B778" s="203" t="s">
        <v>448</v>
      </c>
      <c r="C778" s="203"/>
      <c r="D778" s="203"/>
      <c r="E778" s="203"/>
      <c r="F778" s="203"/>
      <c r="G778" s="203"/>
      <c r="H778" s="203"/>
      <c r="I778" s="203"/>
      <c r="J778" s="203"/>
      <c r="K778" s="203"/>
      <c r="L778" s="203"/>
    </row>
    <row r="779" spans="1:12" customFormat="1" ht="75" customHeight="1" x14ac:dyDescent="0.25">
      <c r="A779" s="61" t="s">
        <v>462</v>
      </c>
      <c r="B779" s="203" t="s">
        <v>449</v>
      </c>
      <c r="C779" s="203"/>
      <c r="D779" s="203"/>
      <c r="E779" s="203"/>
      <c r="F779" s="203"/>
      <c r="G779" s="203"/>
      <c r="H779" s="203"/>
      <c r="I779" s="203"/>
      <c r="J779" s="203"/>
      <c r="K779" s="203"/>
      <c r="L779" s="203"/>
    </row>
    <row r="780" spans="1:12" customFormat="1" ht="61.5" customHeight="1" x14ac:dyDescent="0.25">
      <c r="A780" s="61" t="s">
        <v>462</v>
      </c>
      <c r="B780" s="203" t="s">
        <v>450</v>
      </c>
      <c r="C780" s="203"/>
      <c r="D780" s="203"/>
      <c r="E780" s="203"/>
      <c r="F780" s="203"/>
      <c r="G780" s="203"/>
      <c r="H780" s="203"/>
      <c r="I780" s="203"/>
      <c r="J780" s="203"/>
      <c r="K780" s="203"/>
      <c r="L780" s="203"/>
    </row>
    <row r="781" spans="1:12" customFormat="1" ht="45" customHeight="1" x14ac:dyDescent="0.25">
      <c r="A781" s="61" t="s">
        <v>462</v>
      </c>
      <c r="B781" s="203" t="s">
        <v>451</v>
      </c>
      <c r="C781" s="203"/>
      <c r="D781" s="203"/>
      <c r="E781" s="203"/>
      <c r="F781" s="203"/>
      <c r="G781" s="203"/>
      <c r="H781" s="203"/>
      <c r="I781" s="203"/>
      <c r="J781" s="203"/>
      <c r="K781" s="203"/>
      <c r="L781" s="203"/>
    </row>
    <row r="782" spans="1:12" customFormat="1" ht="92.25" customHeight="1" x14ac:dyDescent="0.25">
      <c r="A782" s="61" t="s">
        <v>462</v>
      </c>
      <c r="B782" s="203" t="s">
        <v>452</v>
      </c>
      <c r="C782" s="203"/>
      <c r="D782" s="203"/>
      <c r="E782" s="203"/>
      <c r="F782" s="203"/>
      <c r="G782" s="203"/>
      <c r="H782" s="203"/>
      <c r="I782" s="203"/>
      <c r="J782" s="203"/>
      <c r="K782" s="203"/>
      <c r="L782" s="203"/>
    </row>
    <row r="783" spans="1:12" customFormat="1" ht="105.75" customHeight="1" x14ac:dyDescent="0.25">
      <c r="A783" s="61" t="s">
        <v>462</v>
      </c>
      <c r="B783" s="203" t="s">
        <v>453</v>
      </c>
      <c r="C783" s="203"/>
      <c r="D783" s="203"/>
      <c r="E783" s="203"/>
      <c r="F783" s="203"/>
      <c r="G783" s="203"/>
      <c r="H783" s="203"/>
      <c r="I783" s="203"/>
      <c r="J783" s="203"/>
      <c r="K783" s="203"/>
      <c r="L783" s="203"/>
    </row>
    <row r="784" spans="1:12" customFormat="1" ht="61.5" customHeight="1" x14ac:dyDescent="0.25">
      <c r="A784" s="61" t="s">
        <v>462</v>
      </c>
      <c r="B784" s="203" t="s">
        <v>455</v>
      </c>
      <c r="C784" s="203"/>
      <c r="D784" s="203"/>
      <c r="E784" s="203"/>
      <c r="F784" s="203"/>
      <c r="G784" s="203"/>
      <c r="H784" s="203"/>
      <c r="I784" s="203"/>
      <c r="J784" s="203"/>
      <c r="K784" s="203"/>
      <c r="L784" s="203"/>
    </row>
    <row r="785" spans="1:12" customFormat="1" ht="61.5" customHeight="1" x14ac:dyDescent="0.25">
      <c r="A785" s="61" t="s">
        <v>462</v>
      </c>
      <c r="B785" s="203" t="s">
        <v>456</v>
      </c>
      <c r="C785" s="203"/>
      <c r="D785" s="203"/>
      <c r="E785" s="203"/>
      <c r="F785" s="203"/>
      <c r="G785" s="203"/>
      <c r="H785" s="203"/>
      <c r="I785" s="203"/>
      <c r="J785" s="203"/>
      <c r="K785" s="203"/>
      <c r="L785" s="203"/>
    </row>
    <row r="786" spans="1:12" customFormat="1" ht="60.75" customHeight="1" x14ac:dyDescent="0.25">
      <c r="A786" s="61" t="s">
        <v>462</v>
      </c>
      <c r="B786" s="203" t="s">
        <v>454</v>
      </c>
      <c r="C786" s="203"/>
      <c r="D786" s="203"/>
      <c r="E786" s="203"/>
      <c r="F786" s="203"/>
      <c r="G786" s="203"/>
      <c r="H786" s="203"/>
      <c r="I786" s="203"/>
      <c r="J786" s="203"/>
      <c r="K786" s="203"/>
      <c r="L786" s="203"/>
    </row>
    <row r="787" spans="1:12" customFormat="1" ht="123.75" customHeight="1" x14ac:dyDescent="0.25">
      <c r="A787" s="61" t="s">
        <v>462</v>
      </c>
      <c r="B787" s="203" t="s">
        <v>463</v>
      </c>
      <c r="C787" s="203"/>
      <c r="D787" s="203"/>
      <c r="E787" s="203"/>
      <c r="F787" s="203"/>
      <c r="G787" s="203"/>
      <c r="H787" s="203"/>
      <c r="I787" s="203"/>
      <c r="J787" s="203"/>
      <c r="K787" s="203"/>
      <c r="L787" s="203"/>
    </row>
    <row r="788" spans="1:12" customFormat="1" ht="290.25" customHeight="1" x14ac:dyDescent="0.25">
      <c r="A788" s="61" t="s">
        <v>462</v>
      </c>
      <c r="B788" s="203" t="s">
        <v>457</v>
      </c>
      <c r="C788" s="203"/>
      <c r="D788" s="203"/>
      <c r="E788" s="203"/>
      <c r="F788" s="203"/>
      <c r="G788" s="203"/>
      <c r="H788" s="203"/>
      <c r="I788" s="203"/>
      <c r="J788" s="203"/>
      <c r="K788" s="203"/>
      <c r="L788" s="203"/>
    </row>
    <row r="789" spans="1:12" customFormat="1" ht="33" customHeight="1" x14ac:dyDescent="0.25">
      <c r="A789" s="61" t="s">
        <v>462</v>
      </c>
      <c r="B789" s="203" t="s">
        <v>458</v>
      </c>
      <c r="C789" s="203"/>
      <c r="D789" s="203"/>
      <c r="E789" s="203"/>
      <c r="F789" s="203"/>
      <c r="G789" s="203"/>
      <c r="H789" s="203"/>
      <c r="I789" s="203"/>
      <c r="J789" s="203"/>
      <c r="K789" s="203"/>
      <c r="L789" s="203"/>
    </row>
    <row r="790" spans="1:12" customFormat="1" ht="31.5" customHeight="1" x14ac:dyDescent="0.25">
      <c r="A790" s="61" t="s">
        <v>462</v>
      </c>
      <c r="B790" s="203" t="s">
        <v>459</v>
      </c>
      <c r="C790" s="203"/>
      <c r="D790" s="203"/>
      <c r="E790" s="203"/>
      <c r="F790" s="203"/>
      <c r="G790" s="203"/>
      <c r="H790" s="203"/>
      <c r="I790" s="203"/>
      <c r="J790" s="203"/>
      <c r="K790" s="203"/>
      <c r="L790" s="203"/>
    </row>
    <row r="791" spans="1:12" customFormat="1" ht="77.25" customHeight="1" x14ac:dyDescent="0.25">
      <c r="A791" s="61" t="s">
        <v>462</v>
      </c>
      <c r="B791" s="203" t="s">
        <v>460</v>
      </c>
      <c r="C791" s="203"/>
      <c r="D791" s="203"/>
      <c r="E791" s="203"/>
      <c r="F791" s="203"/>
      <c r="G791" s="203"/>
      <c r="H791" s="203"/>
      <c r="I791" s="203"/>
      <c r="J791" s="203"/>
      <c r="K791" s="203"/>
      <c r="L791" s="203"/>
    </row>
    <row r="792" spans="1:12" customFormat="1" ht="63" customHeight="1" x14ac:dyDescent="0.25">
      <c r="A792" s="61" t="s">
        <v>462</v>
      </c>
      <c r="B792" s="203" t="s">
        <v>461</v>
      </c>
      <c r="C792" s="203"/>
      <c r="D792" s="203"/>
      <c r="E792" s="203"/>
      <c r="F792" s="203"/>
      <c r="G792" s="203"/>
      <c r="H792" s="203"/>
      <c r="I792" s="203"/>
      <c r="J792" s="203"/>
      <c r="K792" s="203"/>
      <c r="L792" s="203"/>
    </row>
    <row r="793" spans="1:12" customFormat="1" x14ac:dyDescent="0.25">
      <c r="A793" s="415"/>
      <c r="B793" s="415"/>
      <c r="C793" s="415"/>
      <c r="D793" s="415"/>
      <c r="E793" s="415"/>
      <c r="F793" s="415"/>
      <c r="G793" s="415"/>
      <c r="H793" s="415"/>
      <c r="I793" s="415"/>
      <c r="J793" s="415"/>
      <c r="K793" s="415"/>
      <c r="L793" s="415"/>
    </row>
    <row r="794" spans="1:12" customFormat="1" ht="15" customHeight="1" x14ac:dyDescent="0.25">
      <c r="A794" s="349" t="s">
        <v>386</v>
      </c>
      <c r="B794" s="350"/>
      <c r="C794" s="350"/>
      <c r="D794" s="350"/>
      <c r="E794" s="350"/>
      <c r="F794" s="350"/>
      <c r="G794" s="350"/>
      <c r="H794" s="350"/>
      <c r="I794" s="350"/>
      <c r="J794" s="350"/>
      <c r="K794" s="350"/>
      <c r="L794" s="351"/>
    </row>
    <row r="795" spans="1:12" customFormat="1" ht="15" customHeight="1" x14ac:dyDescent="0.25">
      <c r="A795" s="20">
        <v>1</v>
      </c>
      <c r="B795" s="203" t="s">
        <v>387</v>
      </c>
      <c r="C795" s="203"/>
      <c r="D795" s="203"/>
      <c r="E795" s="203"/>
      <c r="F795" s="203"/>
      <c r="G795" s="203"/>
      <c r="H795" s="203"/>
      <c r="I795" s="203"/>
      <c r="J795" s="203"/>
      <c r="K795" s="203"/>
      <c r="L795" s="203"/>
    </row>
    <row r="796" spans="1:12" customFormat="1" ht="15" customHeight="1" x14ac:dyDescent="0.25">
      <c r="A796" s="20">
        <f>A795+1</f>
        <v>2</v>
      </c>
      <c r="B796" s="203" t="s">
        <v>391</v>
      </c>
      <c r="C796" s="203"/>
      <c r="D796" s="203"/>
      <c r="E796" s="203"/>
      <c r="F796" s="203"/>
      <c r="G796" s="203"/>
      <c r="H796" s="203"/>
      <c r="I796" s="203"/>
      <c r="J796" s="203"/>
      <c r="K796" s="203"/>
      <c r="L796" s="203"/>
    </row>
    <row r="797" spans="1:12" customFormat="1" ht="15" customHeight="1" x14ac:dyDescent="0.25">
      <c r="A797" s="20">
        <f t="shared" ref="A797:A800" si="121">A796+1</f>
        <v>3</v>
      </c>
      <c r="B797" s="203" t="s">
        <v>392</v>
      </c>
      <c r="C797" s="203"/>
      <c r="D797" s="203"/>
      <c r="E797" s="203"/>
      <c r="F797" s="203"/>
      <c r="G797" s="203"/>
      <c r="H797" s="203"/>
      <c r="I797" s="203"/>
      <c r="J797" s="203"/>
      <c r="K797" s="203"/>
      <c r="L797" s="203"/>
    </row>
    <row r="798" spans="1:12" customFormat="1" ht="45" customHeight="1" x14ac:dyDescent="0.25">
      <c r="A798" s="20">
        <f t="shared" si="121"/>
        <v>4</v>
      </c>
      <c r="B798" s="203" t="s">
        <v>388</v>
      </c>
      <c r="C798" s="203"/>
      <c r="D798" s="203"/>
      <c r="E798" s="203"/>
      <c r="F798" s="203"/>
      <c r="G798" s="203"/>
      <c r="H798" s="203"/>
      <c r="I798" s="203"/>
      <c r="J798" s="203"/>
      <c r="K798" s="203"/>
      <c r="L798" s="203"/>
    </row>
    <row r="799" spans="1:12" customFormat="1" x14ac:dyDescent="0.25">
      <c r="A799" s="20">
        <f t="shared" si="121"/>
        <v>5</v>
      </c>
      <c r="B799" s="203" t="s">
        <v>389</v>
      </c>
      <c r="C799" s="203"/>
      <c r="D799" s="203"/>
      <c r="E799" s="203"/>
      <c r="F799" s="203"/>
      <c r="G799" s="203"/>
      <c r="H799" s="203"/>
      <c r="I799" s="203"/>
      <c r="J799" s="203"/>
      <c r="K799" s="203"/>
      <c r="L799" s="203"/>
    </row>
    <row r="800" spans="1:12" customFormat="1" x14ac:dyDescent="0.25">
      <c r="A800" s="20">
        <f t="shared" si="121"/>
        <v>6</v>
      </c>
      <c r="B800" s="203" t="s">
        <v>390</v>
      </c>
      <c r="C800" s="203"/>
      <c r="D800" s="203"/>
      <c r="E800" s="203"/>
      <c r="F800" s="203"/>
      <c r="G800" s="203"/>
      <c r="H800" s="203"/>
      <c r="I800" s="203"/>
      <c r="J800" s="203"/>
      <c r="K800" s="203"/>
      <c r="L800" s="203"/>
    </row>
    <row r="801" spans="1:13" customFormat="1" x14ac:dyDescent="0.25">
      <c r="A801" s="428" t="s">
        <v>344</v>
      </c>
      <c r="B801" s="428"/>
      <c r="C801" s="428"/>
      <c r="D801" s="428"/>
      <c r="E801" s="428"/>
      <c r="F801" s="428"/>
      <c r="G801" s="428"/>
      <c r="H801" s="428"/>
      <c r="I801" s="428"/>
      <c r="J801" s="428"/>
      <c r="K801" s="428"/>
      <c r="L801" s="428"/>
    </row>
    <row r="802" spans="1:13" customFormat="1" x14ac:dyDescent="0.25">
      <c r="A802" s="423" t="s">
        <v>345</v>
      </c>
      <c r="B802" s="423"/>
      <c r="C802" s="423"/>
      <c r="D802" s="423"/>
      <c r="E802" s="423"/>
      <c r="F802" s="423"/>
      <c r="G802" s="423"/>
      <c r="H802" s="423"/>
      <c r="I802" s="423"/>
      <c r="J802" s="423"/>
      <c r="K802" s="423"/>
      <c r="L802" s="423"/>
    </row>
    <row r="803" spans="1:13" customFormat="1" x14ac:dyDescent="0.25">
      <c r="A803" s="61" t="s">
        <v>462</v>
      </c>
      <c r="B803" s="416" t="s">
        <v>346</v>
      </c>
      <c r="C803" s="416"/>
      <c r="D803" s="416"/>
      <c r="E803" s="416"/>
      <c r="F803" s="416"/>
      <c r="G803" s="416"/>
      <c r="H803" s="416"/>
      <c r="I803" s="416"/>
      <c r="J803" s="416"/>
      <c r="K803" s="416"/>
      <c r="L803" s="416"/>
    </row>
    <row r="804" spans="1:13" customFormat="1" ht="31.5" customHeight="1" x14ac:dyDescent="0.25">
      <c r="A804" s="43">
        <v>1</v>
      </c>
      <c r="B804" s="203" t="s">
        <v>347</v>
      </c>
      <c r="C804" s="203"/>
      <c r="D804" s="203"/>
      <c r="E804" s="203"/>
      <c r="F804" s="203"/>
      <c r="G804" s="203"/>
      <c r="H804" s="203"/>
      <c r="I804" s="203"/>
      <c r="J804" s="203"/>
      <c r="K804" s="203"/>
      <c r="L804" s="203"/>
      <c r="M804" s="46"/>
    </row>
    <row r="805" spans="1:13" customFormat="1" ht="31.5" customHeight="1" x14ac:dyDescent="0.25">
      <c r="A805" s="43">
        <v>2</v>
      </c>
      <c r="B805" s="276" t="s">
        <v>421</v>
      </c>
      <c r="C805" s="276"/>
      <c r="D805" s="276"/>
      <c r="E805" s="276"/>
      <c r="F805" s="276"/>
      <c r="G805" s="276"/>
      <c r="H805" s="276"/>
      <c r="I805" s="276"/>
      <c r="J805" s="276"/>
      <c r="K805" s="276"/>
      <c r="L805" s="276"/>
      <c r="M805" s="46"/>
    </row>
    <row r="806" spans="1:13" customFormat="1" ht="31.5" customHeight="1" x14ac:dyDescent="0.25">
      <c r="A806" s="43">
        <v>3</v>
      </c>
      <c r="B806" s="276" t="s">
        <v>422</v>
      </c>
      <c r="C806" s="276"/>
      <c r="D806" s="276"/>
      <c r="E806" s="276"/>
      <c r="F806" s="276"/>
      <c r="G806" s="276"/>
      <c r="H806" s="276"/>
      <c r="I806" s="276"/>
      <c r="J806" s="276"/>
      <c r="K806" s="276"/>
      <c r="L806" s="276"/>
      <c r="M806" s="46"/>
    </row>
    <row r="807" spans="1:13" customFormat="1" x14ac:dyDescent="0.25">
      <c r="A807" s="43">
        <v>4</v>
      </c>
      <c r="B807" s="203" t="s">
        <v>364</v>
      </c>
      <c r="C807" s="276"/>
      <c r="D807" s="276"/>
      <c r="E807" s="276"/>
      <c r="F807" s="276"/>
      <c r="G807" s="276"/>
      <c r="H807" s="276"/>
      <c r="I807" s="276"/>
      <c r="J807" s="276"/>
      <c r="K807" s="276"/>
      <c r="L807" s="276"/>
      <c r="M807" s="46"/>
    </row>
    <row r="808" spans="1:13" customFormat="1" x14ac:dyDescent="0.25">
      <c r="A808" s="43">
        <v>5</v>
      </c>
      <c r="B808" s="203" t="s">
        <v>365</v>
      </c>
      <c r="C808" s="276"/>
      <c r="D808" s="276"/>
      <c r="E808" s="276"/>
      <c r="F808" s="276"/>
      <c r="G808" s="276"/>
      <c r="H808" s="276"/>
      <c r="I808" s="276"/>
      <c r="J808" s="276"/>
      <c r="K808" s="276"/>
      <c r="L808" s="276"/>
      <c r="M808" s="46"/>
    </row>
    <row r="809" spans="1:13" customFormat="1" ht="15" customHeight="1" x14ac:dyDescent="0.25">
      <c r="A809" s="61" t="s">
        <v>462</v>
      </c>
      <c r="B809" s="416" t="s">
        <v>348</v>
      </c>
      <c r="C809" s="416"/>
      <c r="D809" s="416"/>
      <c r="E809" s="416"/>
      <c r="F809" s="416"/>
      <c r="G809" s="416"/>
      <c r="H809" s="416"/>
      <c r="I809" s="416"/>
      <c r="J809" s="416"/>
      <c r="K809" s="416"/>
      <c r="L809" s="416"/>
      <c r="M809" s="46"/>
    </row>
    <row r="810" spans="1:13" customFormat="1" ht="32.25" customHeight="1" x14ac:dyDescent="0.25">
      <c r="A810" s="43">
        <v>6</v>
      </c>
      <c r="B810" s="203" t="s">
        <v>349</v>
      </c>
      <c r="C810" s="203"/>
      <c r="D810" s="203"/>
      <c r="E810" s="203"/>
      <c r="F810" s="203"/>
      <c r="G810" s="203"/>
      <c r="H810" s="203"/>
      <c r="I810" s="203"/>
      <c r="J810" s="203"/>
      <c r="K810" s="203"/>
      <c r="L810" s="203"/>
      <c r="M810" s="37"/>
    </row>
    <row r="811" spans="1:13" customFormat="1" ht="32.25" customHeight="1" x14ac:dyDescent="0.25">
      <c r="A811" s="43">
        <v>7</v>
      </c>
      <c r="B811" s="203" t="s">
        <v>350</v>
      </c>
      <c r="C811" s="203"/>
      <c r="D811" s="203"/>
      <c r="E811" s="203"/>
      <c r="F811" s="203"/>
      <c r="G811" s="203"/>
      <c r="H811" s="203"/>
      <c r="I811" s="203"/>
      <c r="J811" s="203"/>
      <c r="K811" s="203"/>
      <c r="L811" s="203"/>
      <c r="M811" s="37"/>
    </row>
    <row r="812" spans="1:13" customFormat="1" ht="34.5" customHeight="1" x14ac:dyDescent="0.25">
      <c r="A812" s="43">
        <v>8</v>
      </c>
      <c r="B812" s="203" t="s">
        <v>361</v>
      </c>
      <c r="C812" s="203"/>
      <c r="D812" s="203"/>
      <c r="E812" s="203"/>
      <c r="F812" s="203"/>
      <c r="G812" s="203"/>
      <c r="H812" s="203"/>
      <c r="I812" s="203"/>
      <c r="J812" s="203"/>
      <c r="K812" s="203"/>
      <c r="L812" s="203"/>
      <c r="M812" s="37"/>
    </row>
    <row r="813" spans="1:13" customFormat="1" ht="63.75" customHeight="1" x14ac:dyDescent="0.25">
      <c r="A813" s="43">
        <v>9</v>
      </c>
      <c r="B813" s="203" t="s">
        <v>362</v>
      </c>
      <c r="C813" s="203"/>
      <c r="D813" s="203"/>
      <c r="E813" s="203"/>
      <c r="F813" s="203"/>
      <c r="G813" s="203"/>
      <c r="H813" s="203"/>
      <c r="I813" s="203"/>
      <c r="J813" s="203"/>
      <c r="K813" s="203"/>
      <c r="L813" s="203"/>
      <c r="M813" s="37"/>
    </row>
    <row r="814" spans="1:13" customFormat="1" ht="33" customHeight="1" x14ac:dyDescent="0.25">
      <c r="A814" s="43">
        <v>10</v>
      </c>
      <c r="B814" s="203" t="s">
        <v>371</v>
      </c>
      <c r="C814" s="203"/>
      <c r="D814" s="203"/>
      <c r="E814" s="203"/>
      <c r="F814" s="203"/>
      <c r="G814" s="203"/>
      <c r="H814" s="203"/>
      <c r="I814" s="203"/>
      <c r="J814" s="203"/>
      <c r="K814" s="203"/>
      <c r="L814" s="203"/>
      <c r="M814" s="37"/>
    </row>
    <row r="815" spans="1:13" customFormat="1" ht="47.25" customHeight="1" x14ac:dyDescent="0.25">
      <c r="A815" s="43">
        <v>11</v>
      </c>
      <c r="B815" s="203" t="s">
        <v>372</v>
      </c>
      <c r="C815" s="203"/>
      <c r="D815" s="203"/>
      <c r="E815" s="203"/>
      <c r="F815" s="203"/>
      <c r="G815" s="203"/>
      <c r="H815" s="203"/>
      <c r="I815" s="203"/>
      <c r="J815" s="203"/>
      <c r="K815" s="203"/>
      <c r="L815" s="203"/>
      <c r="M815" s="37"/>
    </row>
    <row r="816" spans="1:13" customFormat="1" ht="15" customHeight="1" x14ac:dyDescent="0.25">
      <c r="A816" s="61" t="s">
        <v>462</v>
      </c>
      <c r="B816" s="416" t="s">
        <v>351</v>
      </c>
      <c r="C816" s="416"/>
      <c r="D816" s="416"/>
      <c r="E816" s="416"/>
      <c r="F816" s="416"/>
      <c r="G816" s="416"/>
      <c r="H816" s="416"/>
      <c r="I816" s="416"/>
      <c r="J816" s="416"/>
      <c r="K816" s="416"/>
      <c r="L816" s="416"/>
      <c r="M816" s="46"/>
    </row>
    <row r="817" spans="1:13" customFormat="1" ht="51" customHeight="1" x14ac:dyDescent="0.25">
      <c r="A817" s="43">
        <v>12</v>
      </c>
      <c r="B817" s="203" t="s">
        <v>373</v>
      </c>
      <c r="C817" s="203"/>
      <c r="D817" s="203"/>
      <c r="E817" s="203"/>
      <c r="F817" s="203"/>
      <c r="G817" s="203"/>
      <c r="H817" s="203"/>
      <c r="I817" s="203"/>
      <c r="J817" s="203"/>
      <c r="K817" s="203"/>
      <c r="L817" s="203"/>
      <c r="M817" s="46"/>
    </row>
    <row r="818" spans="1:13" customFormat="1" ht="33" customHeight="1" x14ac:dyDescent="0.25">
      <c r="A818" s="43">
        <v>13</v>
      </c>
      <c r="B818" s="203" t="s">
        <v>374</v>
      </c>
      <c r="C818" s="203"/>
      <c r="D818" s="203"/>
      <c r="E818" s="203"/>
      <c r="F818" s="203"/>
      <c r="G818" s="203"/>
      <c r="H818" s="203"/>
      <c r="I818" s="203"/>
      <c r="J818" s="203"/>
      <c r="K818" s="203"/>
      <c r="L818" s="203"/>
      <c r="M818" s="46"/>
    </row>
    <row r="819" spans="1:13" customFormat="1" ht="33" customHeight="1" x14ac:dyDescent="0.25">
      <c r="A819" s="43">
        <v>14</v>
      </c>
      <c r="B819" s="203" t="s">
        <v>376</v>
      </c>
      <c r="C819" s="203"/>
      <c r="D819" s="203"/>
      <c r="E819" s="203"/>
      <c r="F819" s="203"/>
      <c r="G819" s="203"/>
      <c r="H819" s="203"/>
      <c r="I819" s="203"/>
      <c r="J819" s="203"/>
      <c r="K819" s="203"/>
      <c r="L819" s="203"/>
      <c r="M819" s="46"/>
    </row>
    <row r="820" spans="1:13" customFormat="1" ht="33" customHeight="1" x14ac:dyDescent="0.25">
      <c r="A820" s="43">
        <v>15</v>
      </c>
      <c r="B820" s="203" t="s">
        <v>375</v>
      </c>
      <c r="C820" s="203"/>
      <c r="D820" s="203"/>
      <c r="E820" s="203"/>
      <c r="F820" s="203"/>
      <c r="G820" s="203"/>
      <c r="H820" s="203"/>
      <c r="I820" s="203"/>
      <c r="J820" s="203"/>
      <c r="K820" s="203"/>
      <c r="L820" s="203"/>
      <c r="M820" s="46"/>
    </row>
    <row r="821" spans="1:13" customFormat="1" ht="63" customHeight="1" x14ac:dyDescent="0.25">
      <c r="A821" s="43">
        <v>16</v>
      </c>
      <c r="B821" s="203" t="s">
        <v>377</v>
      </c>
      <c r="C821" s="203"/>
      <c r="D821" s="203"/>
      <c r="E821" s="203"/>
      <c r="F821" s="203"/>
      <c r="G821" s="203"/>
      <c r="H821" s="203"/>
      <c r="I821" s="203"/>
      <c r="J821" s="203"/>
      <c r="K821" s="203"/>
      <c r="L821" s="203"/>
      <c r="M821" s="46"/>
    </row>
    <row r="822" spans="1:13" customFormat="1" ht="33" customHeight="1" x14ac:dyDescent="0.25">
      <c r="A822" s="43">
        <v>17</v>
      </c>
      <c r="B822" s="203" t="s">
        <v>363</v>
      </c>
      <c r="C822" s="203"/>
      <c r="D822" s="203"/>
      <c r="E822" s="203"/>
      <c r="F822" s="203"/>
      <c r="G822" s="203"/>
      <c r="H822" s="203"/>
      <c r="I822" s="203"/>
      <c r="J822" s="203"/>
      <c r="K822" s="203"/>
      <c r="L822" s="203"/>
      <c r="M822" s="46"/>
    </row>
    <row r="823" spans="1:13" customFormat="1" x14ac:dyDescent="0.25">
      <c r="A823" s="43">
        <v>18</v>
      </c>
      <c r="B823" s="203" t="s">
        <v>366</v>
      </c>
      <c r="C823" s="203"/>
      <c r="D823" s="203"/>
      <c r="E823" s="203"/>
      <c r="F823" s="203"/>
      <c r="G823" s="203"/>
      <c r="H823" s="203"/>
      <c r="I823" s="203"/>
      <c r="J823" s="203"/>
      <c r="K823" s="203"/>
      <c r="L823" s="203"/>
      <c r="M823" s="46"/>
    </row>
    <row r="824" spans="1:13" customFormat="1" ht="32.25" customHeight="1" x14ac:dyDescent="0.25">
      <c r="A824" s="43">
        <v>19</v>
      </c>
      <c r="B824" s="203" t="s">
        <v>352</v>
      </c>
      <c r="C824" s="203"/>
      <c r="D824" s="203"/>
      <c r="E824" s="203"/>
      <c r="F824" s="203"/>
      <c r="G824" s="203"/>
      <c r="H824" s="203"/>
      <c r="I824" s="203"/>
      <c r="J824" s="203"/>
      <c r="K824" s="203"/>
      <c r="L824" s="203"/>
      <c r="M824" s="46"/>
    </row>
    <row r="825" spans="1:13" customFormat="1" ht="15" customHeight="1" x14ac:dyDescent="0.25">
      <c r="A825" s="61" t="s">
        <v>462</v>
      </c>
      <c r="B825" s="416" t="s">
        <v>353</v>
      </c>
      <c r="C825" s="416"/>
      <c r="D825" s="416"/>
      <c r="E825" s="416"/>
      <c r="F825" s="416"/>
      <c r="G825" s="416"/>
      <c r="H825" s="416"/>
      <c r="I825" s="416"/>
      <c r="J825" s="416"/>
      <c r="K825" s="416"/>
      <c r="L825" s="416"/>
      <c r="M825" s="46"/>
    </row>
    <row r="826" spans="1:13" customFormat="1" ht="48" customHeight="1" x14ac:dyDescent="0.25">
      <c r="A826" s="43">
        <v>20</v>
      </c>
      <c r="B826" s="203" t="s">
        <v>367</v>
      </c>
      <c r="C826" s="276"/>
      <c r="D826" s="276"/>
      <c r="E826" s="276"/>
      <c r="F826" s="276"/>
      <c r="G826" s="276"/>
      <c r="H826" s="276"/>
      <c r="I826" s="276"/>
      <c r="J826" s="276"/>
      <c r="K826" s="276"/>
      <c r="L826" s="276"/>
      <c r="M826" s="46"/>
    </row>
    <row r="827" spans="1:13" customFormat="1" ht="15" customHeight="1" x14ac:dyDescent="0.25">
      <c r="A827" s="61" t="s">
        <v>462</v>
      </c>
      <c r="B827" s="277" t="s">
        <v>354</v>
      </c>
      <c r="C827" s="277"/>
      <c r="D827" s="277"/>
      <c r="E827" s="277"/>
      <c r="F827" s="277"/>
      <c r="G827" s="277"/>
      <c r="H827" s="277"/>
      <c r="I827" s="277"/>
      <c r="J827" s="277"/>
      <c r="K827" s="277"/>
      <c r="L827" s="277"/>
      <c r="M827" s="46"/>
    </row>
    <row r="828" spans="1:13" customFormat="1" ht="46.5" customHeight="1" x14ac:dyDescent="0.25">
      <c r="A828" s="43">
        <v>21</v>
      </c>
      <c r="B828" s="203" t="s">
        <v>368</v>
      </c>
      <c r="C828" s="203"/>
      <c r="D828" s="203"/>
      <c r="E828" s="203"/>
      <c r="F828" s="203"/>
      <c r="G828" s="203"/>
      <c r="H828" s="203"/>
      <c r="I828" s="203"/>
      <c r="J828" s="203"/>
      <c r="K828" s="203"/>
      <c r="L828" s="203"/>
      <c r="M828" s="46"/>
    </row>
    <row r="829" spans="1:13" customFormat="1" ht="49.5" customHeight="1" x14ac:dyDescent="0.25">
      <c r="A829" s="43">
        <v>22</v>
      </c>
      <c r="B829" s="203" t="s">
        <v>369</v>
      </c>
      <c r="C829" s="203"/>
      <c r="D829" s="203"/>
      <c r="E829" s="203"/>
      <c r="F829" s="203"/>
      <c r="G829" s="203"/>
      <c r="H829" s="203"/>
      <c r="I829" s="203"/>
      <c r="J829" s="203"/>
      <c r="K829" s="203"/>
      <c r="L829" s="203"/>
      <c r="M829" s="46"/>
    </row>
    <row r="830" spans="1:13" customFormat="1" ht="31.5" customHeight="1" x14ac:dyDescent="0.25">
      <c r="A830" s="43">
        <v>23</v>
      </c>
      <c r="B830" s="203" t="s">
        <v>370</v>
      </c>
      <c r="C830" s="203"/>
      <c r="D830" s="203"/>
      <c r="E830" s="203"/>
      <c r="F830" s="203"/>
      <c r="G830" s="203"/>
      <c r="H830" s="203"/>
      <c r="I830" s="203"/>
      <c r="J830" s="203"/>
      <c r="K830" s="203"/>
      <c r="L830" s="203"/>
      <c r="M830" s="46"/>
    </row>
    <row r="831" spans="1:13" customFormat="1" ht="65.25" customHeight="1" x14ac:dyDescent="0.25">
      <c r="A831" s="43">
        <v>24</v>
      </c>
      <c r="B831" s="203" t="s">
        <v>355</v>
      </c>
      <c r="C831" s="203"/>
      <c r="D831" s="203"/>
      <c r="E831" s="203"/>
      <c r="F831" s="203"/>
      <c r="G831" s="203"/>
      <c r="H831" s="203"/>
      <c r="I831" s="203"/>
      <c r="J831" s="203"/>
      <c r="K831" s="203"/>
      <c r="L831" s="203"/>
      <c r="M831" s="46"/>
    </row>
    <row r="832" spans="1:13" customFormat="1" ht="15" customHeight="1" x14ac:dyDescent="0.25">
      <c r="A832" s="61" t="s">
        <v>462</v>
      </c>
      <c r="B832" s="416" t="s">
        <v>356</v>
      </c>
      <c r="C832" s="416"/>
      <c r="D832" s="416"/>
      <c r="E832" s="416"/>
      <c r="F832" s="416"/>
      <c r="G832" s="416"/>
      <c r="H832" s="416"/>
      <c r="I832" s="416"/>
      <c r="J832" s="416"/>
      <c r="K832" s="416"/>
      <c r="L832" s="416"/>
      <c r="M832" s="46"/>
    </row>
    <row r="833" spans="1:13" customFormat="1" ht="64.5" customHeight="1" x14ac:dyDescent="0.25">
      <c r="A833" s="43">
        <v>25</v>
      </c>
      <c r="B833" s="203" t="s">
        <v>378</v>
      </c>
      <c r="C833" s="276"/>
      <c r="D833" s="276"/>
      <c r="E833" s="276"/>
      <c r="F833" s="276"/>
      <c r="G833" s="276"/>
      <c r="H833" s="276"/>
      <c r="I833" s="276"/>
      <c r="J833" s="276"/>
      <c r="K833" s="276"/>
      <c r="L833" s="276"/>
      <c r="M833" s="46"/>
    </row>
    <row r="834" spans="1:13" customFormat="1" ht="46.5" customHeight="1" x14ac:dyDescent="0.25">
      <c r="A834" s="43">
        <v>26</v>
      </c>
      <c r="B834" s="203" t="s">
        <v>379</v>
      </c>
      <c r="C834" s="276"/>
      <c r="D834" s="276"/>
      <c r="E834" s="276"/>
      <c r="F834" s="276"/>
      <c r="G834" s="276"/>
      <c r="H834" s="276"/>
      <c r="I834" s="276"/>
      <c r="J834" s="276"/>
      <c r="K834" s="276"/>
      <c r="L834" s="276"/>
      <c r="M834" s="46"/>
    </row>
    <row r="835" spans="1:13" customFormat="1" ht="15" customHeight="1" x14ac:dyDescent="0.25">
      <c r="A835" s="61" t="s">
        <v>462</v>
      </c>
      <c r="B835" s="416" t="s">
        <v>357</v>
      </c>
      <c r="C835" s="416"/>
      <c r="D835" s="416"/>
      <c r="E835" s="416"/>
      <c r="F835" s="416"/>
      <c r="G835" s="416"/>
      <c r="H835" s="416"/>
      <c r="I835" s="416"/>
      <c r="J835" s="416"/>
      <c r="K835" s="416"/>
      <c r="L835" s="416"/>
      <c r="M835" s="46"/>
    </row>
    <row r="836" spans="1:13" customFormat="1" ht="33.75" customHeight="1" x14ac:dyDescent="0.25">
      <c r="A836" s="43">
        <v>27</v>
      </c>
      <c r="B836" s="203" t="s">
        <v>380</v>
      </c>
      <c r="C836" s="276"/>
      <c r="D836" s="276"/>
      <c r="E836" s="276"/>
      <c r="F836" s="276"/>
      <c r="G836" s="276"/>
      <c r="H836" s="276"/>
      <c r="I836" s="276"/>
      <c r="J836" s="276"/>
      <c r="K836" s="276"/>
      <c r="L836" s="276"/>
      <c r="M836" s="46"/>
    </row>
    <row r="837" spans="1:13" customFormat="1" ht="32.25" customHeight="1" x14ac:dyDescent="0.25">
      <c r="A837" s="43">
        <v>28</v>
      </c>
      <c r="B837" s="276" t="s">
        <v>423</v>
      </c>
      <c r="C837" s="276"/>
      <c r="D837" s="276"/>
      <c r="E837" s="276"/>
      <c r="F837" s="276"/>
      <c r="G837" s="276"/>
      <c r="H837" s="276"/>
      <c r="I837" s="276"/>
      <c r="J837" s="276"/>
      <c r="K837" s="276"/>
      <c r="L837" s="276"/>
      <c r="M837" s="46"/>
    </row>
    <row r="838" spans="1:13" customFormat="1" ht="30.75" customHeight="1" x14ac:dyDescent="0.25">
      <c r="A838" s="43">
        <v>29</v>
      </c>
      <c r="B838" s="203" t="s">
        <v>381</v>
      </c>
      <c r="C838" s="276"/>
      <c r="D838" s="276"/>
      <c r="E838" s="276"/>
      <c r="F838" s="276"/>
      <c r="G838" s="276"/>
      <c r="H838" s="276"/>
      <c r="I838" s="276"/>
      <c r="J838" s="276"/>
      <c r="K838" s="276"/>
      <c r="L838" s="276"/>
      <c r="M838" s="46"/>
    </row>
    <row r="839" spans="1:13" customFormat="1" ht="32.25" customHeight="1" x14ac:dyDescent="0.25">
      <c r="A839" s="43">
        <v>30</v>
      </c>
      <c r="B839" s="203" t="s">
        <v>382</v>
      </c>
      <c r="C839" s="276"/>
      <c r="D839" s="276"/>
      <c r="E839" s="276"/>
      <c r="F839" s="276"/>
      <c r="G839" s="276"/>
      <c r="H839" s="276"/>
      <c r="I839" s="276"/>
      <c r="J839" s="276"/>
      <c r="K839" s="276"/>
      <c r="L839" s="276"/>
      <c r="M839" s="46"/>
    </row>
    <row r="840" spans="1:13" customFormat="1" x14ac:dyDescent="0.25">
      <c r="A840" s="61" t="s">
        <v>462</v>
      </c>
      <c r="B840" s="416" t="s">
        <v>281</v>
      </c>
      <c r="C840" s="416"/>
      <c r="D840" s="416"/>
      <c r="E840" s="416"/>
      <c r="F840" s="416"/>
      <c r="G840" s="416"/>
      <c r="H840" s="416"/>
      <c r="I840" s="416"/>
      <c r="J840" s="416"/>
      <c r="K840" s="416"/>
      <c r="L840" s="416"/>
      <c r="M840" s="46"/>
    </row>
    <row r="841" spans="1:13" customFormat="1" ht="33.75" customHeight="1" x14ac:dyDescent="0.25">
      <c r="A841" s="43">
        <v>31</v>
      </c>
      <c r="B841" s="203" t="s">
        <v>383</v>
      </c>
      <c r="C841" s="276"/>
      <c r="D841" s="276"/>
      <c r="E841" s="276"/>
      <c r="F841" s="276"/>
      <c r="G841" s="276"/>
      <c r="H841" s="276"/>
      <c r="I841" s="276"/>
      <c r="J841" s="276"/>
      <c r="K841" s="276"/>
      <c r="L841" s="276"/>
      <c r="M841" s="46"/>
    </row>
    <row r="842" spans="1:13" customFormat="1" x14ac:dyDescent="0.25">
      <c r="A842" s="43">
        <v>32</v>
      </c>
      <c r="B842" s="203" t="s">
        <v>384</v>
      </c>
      <c r="C842" s="276"/>
      <c r="D842" s="276"/>
      <c r="E842" s="276"/>
      <c r="F842" s="276"/>
      <c r="G842" s="276"/>
      <c r="H842" s="276"/>
      <c r="I842" s="276"/>
      <c r="J842" s="276"/>
      <c r="K842" s="276"/>
      <c r="L842" s="276"/>
      <c r="M842" s="46"/>
    </row>
    <row r="843" spans="1:13" customFormat="1" ht="59.25" customHeight="1" x14ac:dyDescent="0.25">
      <c r="A843" s="189"/>
      <c r="B843" s="217" t="s">
        <v>358</v>
      </c>
      <c r="C843" s="218"/>
      <c r="D843" s="218"/>
      <c r="E843" s="218"/>
      <c r="F843" s="219"/>
      <c r="G843" s="237"/>
      <c r="H843" s="238"/>
      <c r="I843" s="238"/>
      <c r="J843" s="238"/>
      <c r="K843" s="238"/>
      <c r="L843" s="239"/>
    </row>
    <row r="844" spans="1:13" customFormat="1" x14ac:dyDescent="0.25">
      <c r="A844" s="290"/>
      <c r="B844" s="321" t="s">
        <v>359</v>
      </c>
      <c r="C844" s="322"/>
      <c r="D844" s="322"/>
      <c r="E844" s="322"/>
      <c r="F844" s="323"/>
      <c r="G844" s="417" t="s">
        <v>360</v>
      </c>
      <c r="H844" s="418"/>
      <c r="I844" s="418"/>
      <c r="J844" s="418"/>
      <c r="K844" s="418"/>
      <c r="L844" s="419"/>
    </row>
    <row r="845" spans="1:13" customFormat="1" ht="85.5" customHeight="1" x14ac:dyDescent="0.25">
      <c r="A845" s="290"/>
      <c r="B845" s="327"/>
      <c r="C845" s="328"/>
      <c r="D845" s="328"/>
      <c r="E845" s="328"/>
      <c r="F845" s="329"/>
      <c r="G845" s="420" t="s">
        <v>442</v>
      </c>
      <c r="H845" s="421"/>
      <c r="I845" s="421"/>
      <c r="J845" s="421"/>
      <c r="K845" s="421"/>
      <c r="L845" s="422"/>
    </row>
    <row r="846" spans="1:13" s="38" customFormat="1" ht="31.5" customHeight="1" x14ac:dyDescent="0.25">
      <c r="A846" s="290"/>
      <c r="B846" s="423" t="s">
        <v>284</v>
      </c>
      <c r="C846" s="423"/>
      <c r="D846" s="423" t="s">
        <v>285</v>
      </c>
      <c r="E846" s="423"/>
      <c r="F846" s="423"/>
      <c r="G846" s="423" t="s">
        <v>231</v>
      </c>
      <c r="H846" s="423"/>
      <c r="I846" s="424" t="str">
        <f ca="1">TEXT(TODAY(),"DD/MM/YYYY")</f>
        <v>24/07/2025</v>
      </c>
      <c r="J846" s="424"/>
      <c r="K846" s="424"/>
      <c r="L846" s="424"/>
    </row>
    <row r="847" spans="1:13" ht="15" customHeight="1" x14ac:dyDescent="0.25">
      <c r="A847" s="11"/>
    </row>
    <row r="848" spans="1:13" x14ac:dyDescent="0.25">
      <c r="A848" s="11"/>
      <c r="B848" s="44"/>
      <c r="C848" s="44"/>
      <c r="D848" s="44"/>
      <c r="E848" s="44"/>
      <c r="F848" s="44"/>
      <c r="G848" s="44"/>
      <c r="H848" s="44"/>
      <c r="I848" s="44"/>
      <c r="J848" s="44"/>
      <c r="K848" s="44"/>
      <c r="L848" s="44"/>
    </row>
  </sheetData>
  <mergeCells count="1006">
    <mergeCell ref="K364:L364"/>
    <mergeCell ref="K365:L365"/>
    <mergeCell ref="K366:L366"/>
    <mergeCell ref="K367:L367"/>
    <mergeCell ref="K368:L368"/>
    <mergeCell ref="D363:H368"/>
    <mergeCell ref="B361:B368"/>
    <mergeCell ref="A265:L265"/>
    <mergeCell ref="K313:L313"/>
    <mergeCell ref="K314:L314"/>
    <mergeCell ref="K315:L315"/>
    <mergeCell ref="K316:L316"/>
    <mergeCell ref="K317:L317"/>
    <mergeCell ref="K318:L318"/>
    <mergeCell ref="K363:L363"/>
    <mergeCell ref="F407:G407"/>
    <mergeCell ref="I407:J407"/>
    <mergeCell ref="K407:L407"/>
    <mergeCell ref="K389:L389"/>
    <mergeCell ref="K390:L390"/>
    <mergeCell ref="K391:L391"/>
    <mergeCell ref="A383:L383"/>
    <mergeCell ref="B384:B391"/>
    <mergeCell ref="K362:L362"/>
    <mergeCell ref="B353:B360"/>
    <mergeCell ref="K353:L353"/>
    <mergeCell ref="K354:L354"/>
    <mergeCell ref="K355:L355"/>
    <mergeCell ref="K356:L356"/>
    <mergeCell ref="K357:L357"/>
    <mergeCell ref="K358:L358"/>
    <mergeCell ref="K359:L359"/>
    <mergeCell ref="A188:A189"/>
    <mergeCell ref="B188:D189"/>
    <mergeCell ref="E188:I188"/>
    <mergeCell ref="K188:L188"/>
    <mergeCell ref="E189:L189"/>
    <mergeCell ref="A190:A192"/>
    <mergeCell ref="B190:D192"/>
    <mergeCell ref="E190:I191"/>
    <mergeCell ref="K190:L190"/>
    <mergeCell ref="K191:L191"/>
    <mergeCell ref="E192:L192"/>
    <mergeCell ref="K384:L384"/>
    <mergeCell ref="K385:L385"/>
    <mergeCell ref="K386:L386"/>
    <mergeCell ref="K387:L387"/>
    <mergeCell ref="K388:L388"/>
    <mergeCell ref="A225:C225"/>
    <mergeCell ref="D225:E225"/>
    <mergeCell ref="F225:G225"/>
    <mergeCell ref="F217:G217"/>
    <mergeCell ref="A218:C218"/>
    <mergeCell ref="A222:C222"/>
    <mergeCell ref="D222:E222"/>
    <mergeCell ref="F222:G222"/>
    <mergeCell ref="A223:C223"/>
    <mergeCell ref="D223:E223"/>
    <mergeCell ref="F223:G223"/>
    <mergeCell ref="D218:E218"/>
    <mergeCell ref="F218:G218"/>
    <mergeCell ref="A219:C219"/>
    <mergeCell ref="D219:E219"/>
    <mergeCell ref="F219:G219"/>
    <mergeCell ref="A375:L375"/>
    <mergeCell ref="B376:B381"/>
    <mergeCell ref="K376:L376"/>
    <mergeCell ref="K377:L377"/>
    <mergeCell ref="K378:L378"/>
    <mergeCell ref="K379:L379"/>
    <mergeCell ref="K380:L380"/>
    <mergeCell ref="K381:L381"/>
    <mergeCell ref="A400:B400"/>
    <mergeCell ref="F400:G400"/>
    <mergeCell ref="I400:J400"/>
    <mergeCell ref="K400:L400"/>
    <mergeCell ref="A405:B405"/>
    <mergeCell ref="F405:G405"/>
    <mergeCell ref="I405:J405"/>
    <mergeCell ref="K405:L405"/>
    <mergeCell ref="A407:B407"/>
    <mergeCell ref="I404:J404"/>
    <mergeCell ref="I399:J399"/>
    <mergeCell ref="K399:L399"/>
    <mergeCell ref="K342:L342"/>
    <mergeCell ref="K343:L343"/>
    <mergeCell ref="K344:L344"/>
    <mergeCell ref="A212:C212"/>
    <mergeCell ref="D212:L212"/>
    <mergeCell ref="M212:N212"/>
    <mergeCell ref="A213:B213"/>
    <mergeCell ref="D213:E213"/>
    <mergeCell ref="G213:H213"/>
    <mergeCell ref="J213:K213"/>
    <mergeCell ref="A214:C214"/>
    <mergeCell ref="D214:L214"/>
    <mergeCell ref="A215:C215"/>
    <mergeCell ref="D215:E215"/>
    <mergeCell ref="F215:G215"/>
    <mergeCell ref="H215:I215"/>
    <mergeCell ref="J215:L215"/>
    <mergeCell ref="A216:C216"/>
    <mergeCell ref="D216:E216"/>
    <mergeCell ref="F216:G216"/>
    <mergeCell ref="H216:I225"/>
    <mergeCell ref="J216:L225"/>
    <mergeCell ref="A217:C217"/>
    <mergeCell ref="D217:E217"/>
    <mergeCell ref="K304:L304"/>
    <mergeCell ref="B307:B312"/>
    <mergeCell ref="A276:L276"/>
    <mergeCell ref="K360:L360"/>
    <mergeCell ref="B313:B318"/>
    <mergeCell ref="K307:L307"/>
    <mergeCell ref="K308:L308"/>
    <mergeCell ref="K309:L309"/>
    <mergeCell ref="K311:L311"/>
    <mergeCell ref="A224:C224"/>
    <mergeCell ref="D224:E224"/>
    <mergeCell ref="F224:G224"/>
    <mergeCell ref="K361:L361"/>
    <mergeCell ref="B345:B352"/>
    <mergeCell ref="K345:L345"/>
    <mergeCell ref="K346:L346"/>
    <mergeCell ref="K347:L347"/>
    <mergeCell ref="K348:L348"/>
    <mergeCell ref="K349:L349"/>
    <mergeCell ref="K350:L350"/>
    <mergeCell ref="K351:L351"/>
    <mergeCell ref="K352:L352"/>
    <mergeCell ref="B337:B344"/>
    <mergeCell ref="K337:L337"/>
    <mergeCell ref="K338:L338"/>
    <mergeCell ref="K339:L339"/>
    <mergeCell ref="K340:L340"/>
    <mergeCell ref="K341:L341"/>
    <mergeCell ref="K297:L297"/>
    <mergeCell ref="K298:L298"/>
    <mergeCell ref="K299:L299"/>
    <mergeCell ref="K300:L300"/>
    <mergeCell ref="K301:L301"/>
    <mergeCell ref="K302:L302"/>
    <mergeCell ref="K303:L303"/>
    <mergeCell ref="A369:L369"/>
    <mergeCell ref="J240:L240"/>
    <mergeCell ref="A241:C241"/>
    <mergeCell ref="D241:F241"/>
    <mergeCell ref="G241:I241"/>
    <mergeCell ref="J241:L241"/>
    <mergeCell ref="B245:B247"/>
    <mergeCell ref="C245:C247"/>
    <mergeCell ref="D245:D247"/>
    <mergeCell ref="E245:E247"/>
    <mergeCell ref="K312:L312"/>
    <mergeCell ref="G233:I233"/>
    <mergeCell ref="J233:L233"/>
    <mergeCell ref="G229:I229"/>
    <mergeCell ref="A230:C230"/>
    <mergeCell ref="D230:F230"/>
    <mergeCell ref="D239:F239"/>
    <mergeCell ref="I245:I246"/>
    <mergeCell ref="B329:B336"/>
    <mergeCell ref="K329:L329"/>
    <mergeCell ref="K330:L330"/>
    <mergeCell ref="K331:L331"/>
    <mergeCell ref="K332:L332"/>
    <mergeCell ref="K333:L333"/>
    <mergeCell ref="K334:L334"/>
    <mergeCell ref="K335:L335"/>
    <mergeCell ref="K336:L336"/>
    <mergeCell ref="A249:L249"/>
    <mergeCell ref="B251:B263"/>
    <mergeCell ref="B283:B288"/>
    <mergeCell ref="B321:B328"/>
    <mergeCell ref="B289:B294"/>
    <mergeCell ref="F210:G210"/>
    <mergeCell ref="G239:I239"/>
    <mergeCell ref="J239:L239"/>
    <mergeCell ref="K321:L321"/>
    <mergeCell ref="K322:L322"/>
    <mergeCell ref="A250:L250"/>
    <mergeCell ref="K283:L283"/>
    <mergeCell ref="K284:L284"/>
    <mergeCell ref="K285:L285"/>
    <mergeCell ref="K286:L286"/>
    <mergeCell ref="K287:L287"/>
    <mergeCell ref="K288:L288"/>
    <mergeCell ref="K289:L289"/>
    <mergeCell ref="K290:L290"/>
    <mergeCell ref="K291:L291"/>
    <mergeCell ref="A233:C233"/>
    <mergeCell ref="D233:F233"/>
    <mergeCell ref="B295:B300"/>
    <mergeCell ref="K295:L295"/>
    <mergeCell ref="K296:L296"/>
    <mergeCell ref="H245:H247"/>
    <mergeCell ref="K278:L280"/>
    <mergeCell ref="A220:C220"/>
    <mergeCell ref="D220:E220"/>
    <mergeCell ref="F220:G220"/>
    <mergeCell ref="A221:C221"/>
    <mergeCell ref="D221:E221"/>
    <mergeCell ref="F221:G221"/>
    <mergeCell ref="D228:F228"/>
    <mergeCell ref="G228:I228"/>
    <mergeCell ref="K310:L310"/>
    <mergeCell ref="D229:F229"/>
    <mergeCell ref="C278:C280"/>
    <mergeCell ref="D278:D280"/>
    <mergeCell ref="F278:F280"/>
    <mergeCell ref="A282:L282"/>
    <mergeCell ref="B242:F242"/>
    <mergeCell ref="D237:F237"/>
    <mergeCell ref="G237:I237"/>
    <mergeCell ref="K184:L184"/>
    <mergeCell ref="K185:L185"/>
    <mergeCell ref="K186:L186"/>
    <mergeCell ref="E184:I184"/>
    <mergeCell ref="E185:I185"/>
    <mergeCell ref="E186:I186"/>
    <mergeCell ref="D201:E201"/>
    <mergeCell ref="D202:E202"/>
    <mergeCell ref="D203:E203"/>
    <mergeCell ref="B194:F194"/>
    <mergeCell ref="G194:L194"/>
    <mergeCell ref="A201:C201"/>
    <mergeCell ref="G196:L196"/>
    <mergeCell ref="G195:L195"/>
    <mergeCell ref="E193:H193"/>
    <mergeCell ref="B193:D193"/>
    <mergeCell ref="A197:L197"/>
    <mergeCell ref="J245:J247"/>
    <mergeCell ref="L245:L247"/>
    <mergeCell ref="D210:E210"/>
    <mergeCell ref="D211:E211"/>
    <mergeCell ref="M198:N198"/>
    <mergeCell ref="F202:G202"/>
    <mergeCell ref="H202:I211"/>
    <mergeCell ref="F203:G203"/>
    <mergeCell ref="F204:G204"/>
    <mergeCell ref="F205:G205"/>
    <mergeCell ref="D198:L198"/>
    <mergeCell ref="A198:C198"/>
    <mergeCell ref="F206:G206"/>
    <mergeCell ref="F207:G207"/>
    <mergeCell ref="F208:G208"/>
    <mergeCell ref="F209:G209"/>
    <mergeCell ref="F201:G201"/>
    <mergeCell ref="H201:I201"/>
    <mergeCell ref="D199:E199"/>
    <mergeCell ref="A199:B199"/>
    <mergeCell ref="G199:H199"/>
    <mergeCell ref="A203:C203"/>
    <mergeCell ref="J199:K199"/>
    <mergeCell ref="D200:L200"/>
    <mergeCell ref="D204:E204"/>
    <mergeCell ref="D205:E205"/>
    <mergeCell ref="D206:E206"/>
    <mergeCell ref="A200:C200"/>
    <mergeCell ref="D208:E208"/>
    <mergeCell ref="D207:E207"/>
    <mergeCell ref="A202:C202"/>
    <mergeCell ref="A204:C204"/>
    <mergeCell ref="A205:C205"/>
    <mergeCell ref="A206:C206"/>
    <mergeCell ref="A207:C207"/>
    <mergeCell ref="A208:C208"/>
    <mergeCell ref="B469:L469"/>
    <mergeCell ref="B470:L470"/>
    <mergeCell ref="A449:L449"/>
    <mergeCell ref="G453:L453"/>
    <mergeCell ref="G456:L456"/>
    <mergeCell ref="G454:L454"/>
    <mergeCell ref="G455:L455"/>
    <mergeCell ref="G451:L451"/>
    <mergeCell ref="A437:F437"/>
    <mergeCell ref="G437:L437"/>
    <mergeCell ref="C444:F444"/>
    <mergeCell ref="A445:B445"/>
    <mergeCell ref="C445:F445"/>
    <mergeCell ref="A460:L460"/>
    <mergeCell ref="A457:F457"/>
    <mergeCell ref="G457:L457"/>
    <mergeCell ref="A450:L450"/>
    <mergeCell ref="A775:L775"/>
    <mergeCell ref="B792:L792"/>
    <mergeCell ref="B774:F774"/>
    <mergeCell ref="G774:L774"/>
    <mergeCell ref="B768:F768"/>
    <mergeCell ref="G768:L768"/>
    <mergeCell ref="B769:F769"/>
    <mergeCell ref="G769:L769"/>
    <mergeCell ref="B770:F770"/>
    <mergeCell ref="G770:L770"/>
    <mergeCell ref="B771:F771"/>
    <mergeCell ref="G771:L771"/>
    <mergeCell ref="B772:F772"/>
    <mergeCell ref="G772:L772"/>
    <mergeCell ref="B773:F773"/>
    <mergeCell ref="G773:L773"/>
    <mergeCell ref="B780:L780"/>
    <mergeCell ref="B781:L781"/>
    <mergeCell ref="B782:L782"/>
    <mergeCell ref="B783:L783"/>
    <mergeCell ref="B784:L784"/>
    <mergeCell ref="B785:L785"/>
    <mergeCell ref="B786:L786"/>
    <mergeCell ref="B787:L787"/>
    <mergeCell ref="G766:I766"/>
    <mergeCell ref="G767:I767"/>
    <mergeCell ref="B760:F760"/>
    <mergeCell ref="G760:L760"/>
    <mergeCell ref="A761:A763"/>
    <mergeCell ref="B761:F761"/>
    <mergeCell ref="G761:L761"/>
    <mergeCell ref="B762:F762"/>
    <mergeCell ref="G762:L762"/>
    <mergeCell ref="B763:F763"/>
    <mergeCell ref="J765:L765"/>
    <mergeCell ref="J766:L766"/>
    <mergeCell ref="J767:L767"/>
    <mergeCell ref="G763:L763"/>
    <mergeCell ref="B764:F764"/>
    <mergeCell ref="G764:L764"/>
    <mergeCell ref="A765:A767"/>
    <mergeCell ref="B765:F767"/>
    <mergeCell ref="G765:I765"/>
    <mergeCell ref="B757:L757"/>
    <mergeCell ref="B758:F758"/>
    <mergeCell ref="G758:L758"/>
    <mergeCell ref="B759:F759"/>
    <mergeCell ref="G759:L759"/>
    <mergeCell ref="B744:L744"/>
    <mergeCell ref="B745:L745"/>
    <mergeCell ref="B746:L746"/>
    <mergeCell ref="B747:L747"/>
    <mergeCell ref="B748:L748"/>
    <mergeCell ref="B749:L749"/>
    <mergeCell ref="B750:L750"/>
    <mergeCell ref="B751:L751"/>
    <mergeCell ref="B752:L752"/>
    <mergeCell ref="B754:L754"/>
    <mergeCell ref="B755:L755"/>
    <mergeCell ref="B756:L756"/>
    <mergeCell ref="A703:L703"/>
    <mergeCell ref="A461:I461"/>
    <mergeCell ref="A401:B401"/>
    <mergeCell ref="F401:G401"/>
    <mergeCell ref="K401:L401"/>
    <mergeCell ref="B753:L753"/>
    <mergeCell ref="B741:L741"/>
    <mergeCell ref="B742:L742"/>
    <mergeCell ref="B743:L743"/>
    <mergeCell ref="B732:L732"/>
    <mergeCell ref="B733:L733"/>
    <mergeCell ref="B738:L738"/>
    <mergeCell ref="B739:L739"/>
    <mergeCell ref="B740:L740"/>
    <mergeCell ref="A459:L459"/>
    <mergeCell ref="B734:L734"/>
    <mergeCell ref="B735:L735"/>
    <mergeCell ref="B736:L736"/>
    <mergeCell ref="B737:L737"/>
    <mergeCell ref="A519:B519"/>
    <mergeCell ref="G452:L452"/>
    <mergeCell ref="A454:B454"/>
    <mergeCell ref="C454:F454"/>
    <mergeCell ref="A455:B455"/>
    <mergeCell ref="A615:B615"/>
    <mergeCell ref="K615:L615"/>
    <mergeCell ref="A616:B616"/>
    <mergeCell ref="H713:L713"/>
    <mergeCell ref="A619:B619"/>
    <mergeCell ref="A614:B614"/>
    <mergeCell ref="K617:L617"/>
    <mergeCell ref="A707:B707"/>
    <mergeCell ref="B799:L799"/>
    <mergeCell ref="B800:L800"/>
    <mergeCell ref="B790:L790"/>
    <mergeCell ref="B791:L791"/>
    <mergeCell ref="A794:L794"/>
    <mergeCell ref="B796:L796"/>
    <mergeCell ref="B797:L797"/>
    <mergeCell ref="B798:L798"/>
    <mergeCell ref="B795:L795"/>
    <mergeCell ref="A793:L793"/>
    <mergeCell ref="B820:L820"/>
    <mergeCell ref="B821:L821"/>
    <mergeCell ref="B822:L822"/>
    <mergeCell ref="B824:L824"/>
    <mergeCell ref="A802:L802"/>
    <mergeCell ref="B803:L803"/>
    <mergeCell ref="B804:L804"/>
    <mergeCell ref="B805:L805"/>
    <mergeCell ref="B806:L806"/>
    <mergeCell ref="B807:L807"/>
    <mergeCell ref="B808:L808"/>
    <mergeCell ref="B809:L809"/>
    <mergeCell ref="B810:L810"/>
    <mergeCell ref="B819:L819"/>
    <mergeCell ref="B838:L838"/>
    <mergeCell ref="B829:L829"/>
    <mergeCell ref="B830:L830"/>
    <mergeCell ref="B831:L831"/>
    <mergeCell ref="B832:L832"/>
    <mergeCell ref="B833:L833"/>
    <mergeCell ref="B834:L834"/>
    <mergeCell ref="B835:L835"/>
    <mergeCell ref="B836:L836"/>
    <mergeCell ref="B837:L837"/>
    <mergeCell ref="B823:L823"/>
    <mergeCell ref="B825:L825"/>
    <mergeCell ref="B826:L826"/>
    <mergeCell ref="B827:L827"/>
    <mergeCell ref="A716:L716"/>
    <mergeCell ref="H719:L719"/>
    <mergeCell ref="A722:L722"/>
    <mergeCell ref="A729:L729"/>
    <mergeCell ref="A730:L730"/>
    <mergeCell ref="A731:L731"/>
    <mergeCell ref="A801:L801"/>
    <mergeCell ref="B776:L776"/>
    <mergeCell ref="B777:L777"/>
    <mergeCell ref="B778:L778"/>
    <mergeCell ref="B779:L779"/>
    <mergeCell ref="B828:L828"/>
    <mergeCell ref="B811:L811"/>
    <mergeCell ref="B812:L812"/>
    <mergeCell ref="B788:L788"/>
    <mergeCell ref="B789:L789"/>
    <mergeCell ref="B839:L839"/>
    <mergeCell ref="B840:L840"/>
    <mergeCell ref="B841:L841"/>
    <mergeCell ref="B842:L842"/>
    <mergeCell ref="A843:A846"/>
    <mergeCell ref="B843:F843"/>
    <mergeCell ref="G843:L843"/>
    <mergeCell ref="B844:F845"/>
    <mergeCell ref="G844:L844"/>
    <mergeCell ref="G845:L845"/>
    <mergeCell ref="B846:C846"/>
    <mergeCell ref="D846:F846"/>
    <mergeCell ref="G846:H846"/>
    <mergeCell ref="I846:L846"/>
    <mergeCell ref="B813:L813"/>
    <mergeCell ref="B814:L814"/>
    <mergeCell ref="B815:L815"/>
    <mergeCell ref="B816:L816"/>
    <mergeCell ref="B817:L817"/>
    <mergeCell ref="B818:L818"/>
    <mergeCell ref="A709:B709"/>
    <mergeCell ref="I725:K725"/>
    <mergeCell ref="C725:H725"/>
    <mergeCell ref="C617:D617"/>
    <mergeCell ref="C618:D618"/>
    <mergeCell ref="C619:D619"/>
    <mergeCell ref="K616:L616"/>
    <mergeCell ref="A617:B617"/>
    <mergeCell ref="K619:L619"/>
    <mergeCell ref="K614:L614"/>
    <mergeCell ref="I726:K726"/>
    <mergeCell ref="C726:H726"/>
    <mergeCell ref="I712:K712"/>
    <mergeCell ref="I718:K718"/>
    <mergeCell ref="A446:B446"/>
    <mergeCell ref="C446:F446"/>
    <mergeCell ref="G438:L441"/>
    <mergeCell ref="G444:L448"/>
    <mergeCell ref="A443:F443"/>
    <mergeCell ref="C612:D612"/>
    <mergeCell ref="A618:B618"/>
    <mergeCell ref="K618:L618"/>
    <mergeCell ref="K613:L613"/>
    <mergeCell ref="C455:F455"/>
    <mergeCell ref="A456:B456"/>
    <mergeCell ref="K461:L461"/>
    <mergeCell ref="C439:F439"/>
    <mergeCell ref="A440:B440"/>
    <mergeCell ref="C440:F440"/>
    <mergeCell ref="A441:B441"/>
    <mergeCell ref="C441:F441"/>
    <mergeCell ref="A444:B444"/>
    <mergeCell ref="A439:B439"/>
    <mergeCell ref="G443:L443"/>
    <mergeCell ref="A426:B426"/>
    <mergeCell ref="C426:F426"/>
    <mergeCell ref="C371:C373"/>
    <mergeCell ref="D371:D373"/>
    <mergeCell ref="A374:L374"/>
    <mergeCell ref="A382:L382"/>
    <mergeCell ref="A394:L394"/>
    <mergeCell ref="F409:G409"/>
    <mergeCell ref="K409:L409"/>
    <mergeCell ref="A403:L403"/>
    <mergeCell ref="A406:B406"/>
    <mergeCell ref="F406:G406"/>
    <mergeCell ref="K406:L406"/>
    <mergeCell ref="K402:L402"/>
    <mergeCell ref="A411:F411"/>
    <mergeCell ref="G411:L411"/>
    <mergeCell ref="F395:G395"/>
    <mergeCell ref="K395:L395"/>
    <mergeCell ref="A395:B395"/>
    <mergeCell ref="A397:B397"/>
    <mergeCell ref="F397:G397"/>
    <mergeCell ref="K397:L397"/>
    <mergeCell ref="G419:L423"/>
    <mergeCell ref="A432:B432"/>
    <mergeCell ref="C432:F432"/>
    <mergeCell ref="K371:L373"/>
    <mergeCell ref="A408:B408"/>
    <mergeCell ref="F408:G408"/>
    <mergeCell ref="I408:J408"/>
    <mergeCell ref="K408:L408"/>
    <mergeCell ref="B172:F172"/>
    <mergeCell ref="B173:F173"/>
    <mergeCell ref="A239:C239"/>
    <mergeCell ref="A393:B393"/>
    <mergeCell ref="K324:L324"/>
    <mergeCell ref="K325:L325"/>
    <mergeCell ref="K326:L326"/>
    <mergeCell ref="K327:L327"/>
    <mergeCell ref="K328:L328"/>
    <mergeCell ref="G242:L242"/>
    <mergeCell ref="A240:C240"/>
    <mergeCell ref="D240:F240"/>
    <mergeCell ref="G240:I240"/>
    <mergeCell ref="C427:F427"/>
    <mergeCell ref="A428:B428"/>
    <mergeCell ref="C428:F428"/>
    <mergeCell ref="A429:B429"/>
    <mergeCell ref="C429:F429"/>
    <mergeCell ref="A210:C210"/>
    <mergeCell ref="A320:L320"/>
    <mergeCell ref="D209:E209"/>
    <mergeCell ref="A231:L231"/>
    <mergeCell ref="A209:C209"/>
    <mergeCell ref="A232:C232"/>
    <mergeCell ref="D232:F232"/>
    <mergeCell ref="G232:I232"/>
    <mergeCell ref="J232:L232"/>
    <mergeCell ref="J202:L211"/>
    <mergeCell ref="A229:C229"/>
    <mergeCell ref="A211:C211"/>
    <mergeCell ref="F211:G211"/>
    <mergeCell ref="A228:C228"/>
    <mergeCell ref="I138:J138"/>
    <mergeCell ref="B154:F154"/>
    <mergeCell ref="G154:L154"/>
    <mergeCell ref="A319:L319"/>
    <mergeCell ref="A248:L248"/>
    <mergeCell ref="A245:A247"/>
    <mergeCell ref="A243:L243"/>
    <mergeCell ref="A234:C234"/>
    <mergeCell ref="D234:F234"/>
    <mergeCell ref="G234:I234"/>
    <mergeCell ref="J234:L234"/>
    <mergeCell ref="A235:C235"/>
    <mergeCell ref="D235:F235"/>
    <mergeCell ref="G235:I235"/>
    <mergeCell ref="A237:C237"/>
    <mergeCell ref="A278:A280"/>
    <mergeCell ref="B278:B280"/>
    <mergeCell ref="B180:F180"/>
    <mergeCell ref="B181:F181"/>
    <mergeCell ref="B177:F177"/>
    <mergeCell ref="B178:F178"/>
    <mergeCell ref="B179:F179"/>
    <mergeCell ref="B148:F148"/>
    <mergeCell ref="B165:F165"/>
    <mergeCell ref="B166:F166"/>
    <mergeCell ref="B167:F167"/>
    <mergeCell ref="G167:L167"/>
    <mergeCell ref="G165:L166"/>
    <mergeCell ref="J235:L235"/>
    <mergeCell ref="J201:L201"/>
    <mergeCell ref="B174:F174"/>
    <mergeCell ref="B176:F176"/>
    <mergeCell ref="A2:L2"/>
    <mergeCell ref="A4:L4"/>
    <mergeCell ref="A6:L6"/>
    <mergeCell ref="A8:L8"/>
    <mergeCell ref="A39:L39"/>
    <mergeCell ref="A37:L37"/>
    <mergeCell ref="A30:L30"/>
    <mergeCell ref="B56:F56"/>
    <mergeCell ref="A43:L44"/>
    <mergeCell ref="A31:L31"/>
    <mergeCell ref="A33:L33"/>
    <mergeCell ref="A34:L34"/>
    <mergeCell ref="A35:L35"/>
    <mergeCell ref="G47:L47"/>
    <mergeCell ref="G49:L49"/>
    <mergeCell ref="A42:L42"/>
    <mergeCell ref="A32:L32"/>
    <mergeCell ref="A10:L10"/>
    <mergeCell ref="A9:L9"/>
    <mergeCell ref="B49:D49"/>
    <mergeCell ref="K45:L45"/>
    <mergeCell ref="B47:D47"/>
    <mergeCell ref="A133:A138"/>
    <mergeCell ref="B63:F63"/>
    <mergeCell ref="F402:G402"/>
    <mergeCell ref="F393:G393"/>
    <mergeCell ref="B65:F65"/>
    <mergeCell ref="G65:L65"/>
    <mergeCell ref="B67:F67"/>
    <mergeCell ref="G67:L67"/>
    <mergeCell ref="B68:F68"/>
    <mergeCell ref="G68:L68"/>
    <mergeCell ref="B70:F70"/>
    <mergeCell ref="G70:L70"/>
    <mergeCell ref="B71:F71"/>
    <mergeCell ref="G71:L71"/>
    <mergeCell ref="B80:F80"/>
    <mergeCell ref="G80:L80"/>
    <mergeCell ref="B158:F158"/>
    <mergeCell ref="B159:F159"/>
    <mergeCell ref="G129:L129"/>
    <mergeCell ref="B132:F132"/>
    <mergeCell ref="G132:L132"/>
    <mergeCell ref="B126:F126"/>
    <mergeCell ref="B175:L175"/>
    <mergeCell ref="B168:L168"/>
    <mergeCell ref="B164:L164"/>
    <mergeCell ref="A57:A58"/>
    <mergeCell ref="A93:A94"/>
    <mergeCell ref="B93:F94"/>
    <mergeCell ref="B79:F79"/>
    <mergeCell ref="G79:L79"/>
    <mergeCell ref="B99:F99"/>
    <mergeCell ref="G99:L99"/>
    <mergeCell ref="B100:F100"/>
    <mergeCell ref="G100:L100"/>
    <mergeCell ref="J94:L94"/>
    <mergeCell ref="J95:L95"/>
    <mergeCell ref="B149:F149"/>
    <mergeCell ref="B152:L152"/>
    <mergeCell ref="A86:A90"/>
    <mergeCell ref="G84:H84"/>
    <mergeCell ref="G126:L126"/>
    <mergeCell ref="B127:F127"/>
    <mergeCell ref="A124:A127"/>
    <mergeCell ref="G136:L136"/>
    <mergeCell ref="B139:L139"/>
    <mergeCell ref="A146:A147"/>
    <mergeCell ref="A51:L51"/>
    <mergeCell ref="A53:A54"/>
    <mergeCell ref="B55:F55"/>
    <mergeCell ref="G55:L55"/>
    <mergeCell ref="G56:L56"/>
    <mergeCell ref="B60:F60"/>
    <mergeCell ref="G60:L60"/>
    <mergeCell ref="G57:L58"/>
    <mergeCell ref="A71:A74"/>
    <mergeCell ref="B72:F72"/>
    <mergeCell ref="G64:L64"/>
    <mergeCell ref="B66:F66"/>
    <mergeCell ref="G66:L66"/>
    <mergeCell ref="B69:F69"/>
    <mergeCell ref="G72:L72"/>
    <mergeCell ref="B73:F73"/>
    <mergeCell ref="B54:F54"/>
    <mergeCell ref="G63:L63"/>
    <mergeCell ref="A95:A96"/>
    <mergeCell ref="I83:J83"/>
    <mergeCell ref="B95:F96"/>
    <mergeCell ref="B64:F64"/>
    <mergeCell ref="B62:F62"/>
    <mergeCell ref="G62:L62"/>
    <mergeCell ref="G54:L54"/>
    <mergeCell ref="B57:F58"/>
    <mergeCell ref="B52:F52"/>
    <mergeCell ref="G52:L52"/>
    <mergeCell ref="B53:F53"/>
    <mergeCell ref="G53:L53"/>
    <mergeCell ref="A75:A77"/>
    <mergeCell ref="K83:L83"/>
    <mergeCell ref="K84:L84"/>
    <mergeCell ref="G82:H82"/>
    <mergeCell ref="I82:J82"/>
    <mergeCell ref="G83:H83"/>
    <mergeCell ref="I84:J84"/>
    <mergeCell ref="G85:H85"/>
    <mergeCell ref="B76:F76"/>
    <mergeCell ref="B59:F59"/>
    <mergeCell ref="G59:L59"/>
    <mergeCell ref="A61:L61"/>
    <mergeCell ref="B75:L75"/>
    <mergeCell ref="B81:L81"/>
    <mergeCell ref="B77:F77"/>
    <mergeCell ref="B97:F97"/>
    <mergeCell ref="G97:L97"/>
    <mergeCell ref="E85:F85"/>
    <mergeCell ref="A82:D82"/>
    <mergeCell ref="A83:D83"/>
    <mergeCell ref="A84:D84"/>
    <mergeCell ref="A85:D85"/>
    <mergeCell ref="G86:I86"/>
    <mergeCell ref="G87:I87"/>
    <mergeCell ref="G88:I88"/>
    <mergeCell ref="B92:F92"/>
    <mergeCell ref="G92:L92"/>
    <mergeCell ref="B86:F86"/>
    <mergeCell ref="B87:F87"/>
    <mergeCell ref="B88:F88"/>
    <mergeCell ref="B89:F89"/>
    <mergeCell ref="B90:F90"/>
    <mergeCell ref="K85:L85"/>
    <mergeCell ref="B91:F91"/>
    <mergeCell ref="G91:L91"/>
    <mergeCell ref="J90:L90"/>
    <mergeCell ref="K82:L82"/>
    <mergeCell ref="B101:F101"/>
    <mergeCell ref="G101:L101"/>
    <mergeCell ref="B111:F111"/>
    <mergeCell ref="G111:L111"/>
    <mergeCell ref="B108:F108"/>
    <mergeCell ref="G108:L108"/>
    <mergeCell ref="B109:F109"/>
    <mergeCell ref="G109:L109"/>
    <mergeCell ref="B110:F110"/>
    <mergeCell ref="G102:L102"/>
    <mergeCell ref="B106:F106"/>
    <mergeCell ref="G106:L106"/>
    <mergeCell ref="B107:F107"/>
    <mergeCell ref="G107:L107"/>
    <mergeCell ref="G105:L105"/>
    <mergeCell ref="B112:F112"/>
    <mergeCell ref="G112:L112"/>
    <mergeCell ref="A122:L122"/>
    <mergeCell ref="G137:H137"/>
    <mergeCell ref="J147:L147"/>
    <mergeCell ref="B145:F145"/>
    <mergeCell ref="B146:F147"/>
    <mergeCell ref="B133:F138"/>
    <mergeCell ref="G134:H134"/>
    <mergeCell ref="K137:L137"/>
    <mergeCell ref="G138:H138"/>
    <mergeCell ref="K138:L138"/>
    <mergeCell ref="B115:F115"/>
    <mergeCell ref="G115:L115"/>
    <mergeCell ref="G125:L125"/>
    <mergeCell ref="G133:L133"/>
    <mergeCell ref="B129:F129"/>
    <mergeCell ref="B125:F125"/>
    <mergeCell ref="G127:L127"/>
    <mergeCell ref="B128:F128"/>
    <mergeCell ref="G128:L128"/>
    <mergeCell ref="G130:H130"/>
    <mergeCell ref="G131:H131"/>
    <mergeCell ref="I134:J134"/>
    <mergeCell ref="B140:L140"/>
    <mergeCell ref="G146:I146"/>
    <mergeCell ref="B143:F143"/>
    <mergeCell ref="G143:L143"/>
    <mergeCell ref="G147:I147"/>
    <mergeCell ref="G144:L144"/>
    <mergeCell ref="G145:L145"/>
    <mergeCell ref="B141:F141"/>
    <mergeCell ref="G141:L141"/>
    <mergeCell ref="B142:F142"/>
    <mergeCell ref="B163:F163"/>
    <mergeCell ref="B124:F124"/>
    <mergeCell ref="G124:L124"/>
    <mergeCell ref="B151:F151"/>
    <mergeCell ref="J230:L230"/>
    <mergeCell ref="G227:I227"/>
    <mergeCell ref="D227:F227"/>
    <mergeCell ref="A227:C227"/>
    <mergeCell ref="G157:L157"/>
    <mergeCell ref="G158:L158"/>
    <mergeCell ref="G159:L159"/>
    <mergeCell ref="A226:L226"/>
    <mergeCell ref="J227:L227"/>
    <mergeCell ref="B196:F196"/>
    <mergeCell ref="J193:L193"/>
    <mergeCell ref="B161:F161"/>
    <mergeCell ref="G176:L181"/>
    <mergeCell ref="A130:A131"/>
    <mergeCell ref="B130:F131"/>
    <mergeCell ref="I130:L130"/>
    <mergeCell ref="I131:L131"/>
    <mergeCell ref="G148:L148"/>
    <mergeCell ref="G142:L142"/>
    <mergeCell ref="G155:L155"/>
    <mergeCell ref="G156:L156"/>
    <mergeCell ref="G162:L162"/>
    <mergeCell ref="G163:L163"/>
    <mergeCell ref="B162:F162"/>
    <mergeCell ref="G160:L160"/>
    <mergeCell ref="G161:L161"/>
    <mergeCell ref="I135:J135"/>
    <mergeCell ref="I137:J137"/>
    <mergeCell ref="G77:L77"/>
    <mergeCell ref="B78:F78"/>
    <mergeCell ref="G78:L78"/>
    <mergeCell ref="J96:L96"/>
    <mergeCell ref="G69:L69"/>
    <mergeCell ref="G89:I89"/>
    <mergeCell ref="G90:I90"/>
    <mergeCell ref="G76:L76"/>
    <mergeCell ref="J93:L93"/>
    <mergeCell ref="G93:I93"/>
    <mergeCell ref="G94:I94"/>
    <mergeCell ref="G95:I95"/>
    <mergeCell ref="G96:I96"/>
    <mergeCell ref="E84:F84"/>
    <mergeCell ref="I85:J85"/>
    <mergeCell ref="E82:F82"/>
    <mergeCell ref="E83:F83"/>
    <mergeCell ref="G73:L73"/>
    <mergeCell ref="B74:F74"/>
    <mergeCell ref="G74:L74"/>
    <mergeCell ref="K620:L620"/>
    <mergeCell ref="A414:L414"/>
    <mergeCell ref="A436:L436"/>
    <mergeCell ref="A424:L424"/>
    <mergeCell ref="A442:L442"/>
    <mergeCell ref="A418:F418"/>
    <mergeCell ref="G418:L418"/>
    <mergeCell ref="A412:F412"/>
    <mergeCell ref="J86:L86"/>
    <mergeCell ref="J87:L87"/>
    <mergeCell ref="J88:L88"/>
    <mergeCell ref="J89:L89"/>
    <mergeCell ref="J229:L229"/>
    <mergeCell ref="B160:F160"/>
    <mergeCell ref="B157:F157"/>
    <mergeCell ref="B155:F155"/>
    <mergeCell ref="B156:F156"/>
    <mergeCell ref="G230:I230"/>
    <mergeCell ref="A164:A167"/>
    <mergeCell ref="A186:A187"/>
    <mergeCell ref="B267:B275"/>
    <mergeCell ref="A264:L264"/>
    <mergeCell ref="A266:L266"/>
    <mergeCell ref="A244:L244"/>
    <mergeCell ref="B464:L464"/>
    <mergeCell ref="A410:L410"/>
    <mergeCell ref="A425:F425"/>
    <mergeCell ref="G412:L412"/>
    <mergeCell ref="A413:F413"/>
    <mergeCell ref="G413:L413"/>
    <mergeCell ref="A281:L281"/>
    <mergeCell ref="A409:B409"/>
    <mergeCell ref="A621:H621"/>
    <mergeCell ref="K621:L621"/>
    <mergeCell ref="A620:H620"/>
    <mergeCell ref="C613:D613"/>
    <mergeCell ref="A415:F415"/>
    <mergeCell ref="G415:L415"/>
    <mergeCell ref="A416:F416"/>
    <mergeCell ref="G416:L416"/>
    <mergeCell ref="A417:F417"/>
    <mergeCell ref="G417:L417"/>
    <mergeCell ref="C419:F419"/>
    <mergeCell ref="C420:F420"/>
    <mergeCell ref="C421:F421"/>
    <mergeCell ref="C422:F422"/>
    <mergeCell ref="C423:F423"/>
    <mergeCell ref="A419:B419"/>
    <mergeCell ref="A420:B420"/>
    <mergeCell ref="A462:L462"/>
    <mergeCell ref="B463:L463"/>
    <mergeCell ref="A423:B423"/>
    <mergeCell ref="A433:B433"/>
    <mergeCell ref="C433:F433"/>
    <mergeCell ref="A434:B434"/>
    <mergeCell ref="C434:F434"/>
    <mergeCell ref="A435:B435"/>
    <mergeCell ref="C435:F435"/>
    <mergeCell ref="A427:B427"/>
    <mergeCell ref="G425:L425"/>
    <mergeCell ref="G426:L435"/>
    <mergeCell ref="K612:L612"/>
    <mergeCell ref="A612:B612"/>
    <mergeCell ref="A613:B613"/>
    <mergeCell ref="B114:F114"/>
    <mergeCell ref="G114:L114"/>
    <mergeCell ref="B116:F116"/>
    <mergeCell ref="A370:L370"/>
    <mergeCell ref="A371:A373"/>
    <mergeCell ref="B371:B373"/>
    <mergeCell ref="G169:L174"/>
    <mergeCell ref="B119:F119"/>
    <mergeCell ref="G119:L119"/>
    <mergeCell ref="B121:F121"/>
    <mergeCell ref="G121:L121"/>
    <mergeCell ref="B120:F120"/>
    <mergeCell ref="G120:L120"/>
    <mergeCell ref="J146:L146"/>
    <mergeCell ref="B144:F144"/>
    <mergeCell ref="B123:L123"/>
    <mergeCell ref="A277:L277"/>
    <mergeCell ref="B169:F169"/>
    <mergeCell ref="B170:F170"/>
    <mergeCell ref="B171:F171"/>
    <mergeCell ref="A175:A181"/>
    <mergeCell ref="F245:F247"/>
    <mergeCell ref="G245:G247"/>
    <mergeCell ref="B195:F195"/>
    <mergeCell ref="A236:L236"/>
    <mergeCell ref="J228:L228"/>
    <mergeCell ref="K323:L323"/>
    <mergeCell ref="E187:L187"/>
    <mergeCell ref="B182:L182"/>
    <mergeCell ref="B301:B306"/>
    <mergeCell ref="E278:E280"/>
    <mergeCell ref="K245:K247"/>
    <mergeCell ref="A98:L98"/>
    <mergeCell ref="A102:A105"/>
    <mergeCell ref="B102:F105"/>
    <mergeCell ref="A168:A174"/>
    <mergeCell ref="G116:L116"/>
    <mergeCell ref="B117:F117"/>
    <mergeCell ref="G117:L117"/>
    <mergeCell ref="B118:F118"/>
    <mergeCell ref="B113:F113"/>
    <mergeCell ref="G110:L110"/>
    <mergeCell ref="G103:L103"/>
    <mergeCell ref="G104:L104"/>
    <mergeCell ref="G113:L113"/>
    <mergeCell ref="J237:L237"/>
    <mergeCell ref="A238:C238"/>
    <mergeCell ref="D238:F238"/>
    <mergeCell ref="G238:I238"/>
    <mergeCell ref="J238:L238"/>
    <mergeCell ref="G118:L118"/>
    <mergeCell ref="B153:L153"/>
    <mergeCell ref="G149:L149"/>
    <mergeCell ref="G150:L150"/>
    <mergeCell ref="G151:L151"/>
    <mergeCell ref="B150:F150"/>
    <mergeCell ref="K134:L134"/>
    <mergeCell ref="G135:H135"/>
    <mergeCell ref="K135:L135"/>
    <mergeCell ref="B183:D183"/>
    <mergeCell ref="E183:L183"/>
    <mergeCell ref="B184:D184"/>
    <mergeCell ref="B185:D185"/>
    <mergeCell ref="B186:D187"/>
    <mergeCell ref="A447:B447"/>
    <mergeCell ref="C447:F447"/>
    <mergeCell ref="A448:B448"/>
    <mergeCell ref="C448:F448"/>
    <mergeCell ref="A451:B451"/>
    <mergeCell ref="C451:F451"/>
    <mergeCell ref="A452:B452"/>
    <mergeCell ref="C452:F452"/>
    <mergeCell ref="A453:B453"/>
    <mergeCell ref="C453:F453"/>
    <mergeCell ref="A421:B421"/>
    <mergeCell ref="A398:B398"/>
    <mergeCell ref="A399:B399"/>
    <mergeCell ref="A392:L392"/>
    <mergeCell ref="A422:B422"/>
    <mergeCell ref="C614:D614"/>
    <mergeCell ref="C615:D615"/>
    <mergeCell ref="A402:B402"/>
    <mergeCell ref="A404:B404"/>
    <mergeCell ref="F404:G404"/>
    <mergeCell ref="K404:L404"/>
    <mergeCell ref="A396:B396"/>
    <mergeCell ref="F396:G396"/>
    <mergeCell ref="K396:L396"/>
    <mergeCell ref="I397:J397"/>
    <mergeCell ref="I401:J401"/>
    <mergeCell ref="I402:J402"/>
    <mergeCell ref="A430:B430"/>
    <mergeCell ref="C430:F430"/>
    <mergeCell ref="A431:B431"/>
    <mergeCell ref="C431:F431"/>
    <mergeCell ref="A438:B438"/>
    <mergeCell ref="C616:D616"/>
    <mergeCell ref="J278:J280"/>
    <mergeCell ref="I278:I279"/>
    <mergeCell ref="K393:L393"/>
    <mergeCell ref="K305:L305"/>
    <mergeCell ref="K306:L306"/>
    <mergeCell ref="I371:I372"/>
    <mergeCell ref="E371:E373"/>
    <mergeCell ref="J371:J373"/>
    <mergeCell ref="F371:F373"/>
    <mergeCell ref="I406:J406"/>
    <mergeCell ref="I409:J409"/>
    <mergeCell ref="I393:J393"/>
    <mergeCell ref="I395:J395"/>
    <mergeCell ref="I396:J396"/>
    <mergeCell ref="K292:L292"/>
    <mergeCell ref="K293:L293"/>
    <mergeCell ref="K294:L294"/>
    <mergeCell ref="F398:G398"/>
    <mergeCell ref="I398:J398"/>
    <mergeCell ref="K398:L398"/>
    <mergeCell ref="F399:G399"/>
    <mergeCell ref="C438:F438"/>
    <mergeCell ref="B465:L465"/>
    <mergeCell ref="B468:L468"/>
    <mergeCell ref="B466:L466"/>
    <mergeCell ref="B467:L467"/>
    <mergeCell ref="B472:L472"/>
    <mergeCell ref="C456:F456"/>
    <mergeCell ref="A458:F458"/>
    <mergeCell ref="G458:L458"/>
    <mergeCell ref="B471:L471"/>
  </mergeCells>
  <dataValidations count="16">
    <dataValidation type="list" allowBlank="1" showInputMessage="1" showErrorMessage="1" sqref="G79:L79 G72:L74 G101:L101 G110:L110 G112:L112 G115:L115 G118:L118 G150:L151 G121:L121">
      <formula1>"Yes,No"</formula1>
    </dataValidation>
    <dataValidation type="list" allowBlank="1" showInputMessage="1" showErrorMessage="1" sqref="B62">
      <formula1>"CTS No,Survey No,Plot No,Gut No,FP No,"</formula1>
    </dataValidation>
    <dataValidation type="list" allowBlank="1" showInputMessage="1" showErrorMessage="1" sqref="G77:L77">
      <formula1>"Urban,Semi Urban,Rural"</formula1>
    </dataValidation>
    <dataValidation type="list" allowBlank="1" showInputMessage="1" showErrorMessage="1" sqref="G80:L80">
      <formula1>"Yes,NA"</formula1>
    </dataValidation>
    <dataValidation type="list" allowBlank="1" showInputMessage="1" showErrorMessage="1" sqref="G100:L100">
      <formula1>"Good,Average,Slow,Very Slow"</formula1>
    </dataValidation>
    <dataValidation type="list" allowBlank="1" showInputMessage="1" showErrorMessage="1" sqref="G106:L106">
      <formula1>"Mountains,Valley,Plain,Bodies of Water"</formula1>
    </dataValidation>
    <dataValidation type="list" allowBlank="1" showInputMessage="1" showErrorMessage="1" sqref="G107:L107">
      <formula1>"Regular,Irregular"</formula1>
    </dataValidation>
    <dataValidation type="list" allowBlank="1" showInputMessage="1" showErrorMessage="1" sqref="G111:L111">
      <formula1>"Corner plot,Intermittent plot"</formula1>
    </dataValidation>
    <dataValidation type="list" allowBlank="1" showInputMessage="1" showErrorMessage="1" sqref="G147:J147">
      <formula1>"Excellent,Good,Normal,Poor,N.A. Building Construction Work in process"</formula1>
    </dataValidation>
    <dataValidation type="list" allowBlank="1" showInputMessage="1" showErrorMessage="1" sqref="G142:L142">
      <formula1>"Load bearing,RCC,Steel Framed"</formula1>
    </dataValidation>
    <dataValidation type="list" allowBlank="1" showInputMessage="1" showErrorMessage="1" sqref="G167:L167">
      <formula1>"Traditional Technology,Mivan Technology,Precast Technology"</formula1>
    </dataValidation>
    <dataValidation type="list" allowBlank="1" showInputMessage="1" showErrorMessage="1" sqref="G68:L68">
      <formula1>$O$62:$S$62</formula1>
    </dataValidation>
    <dataValidation type="list" allowBlank="1" showInputMessage="1" showErrorMessage="1" sqref="G67:L67">
      <formula1>OFFSET($O$62,1,MATCH($G68,$O$62:$S$62,0)-1,15,1)</formula1>
    </dataValidation>
    <dataValidation type="list" allowBlank="1" showInputMessage="1" showErrorMessage="1" sqref="G78:L78">
      <formula1>OFFSET($O$78,1,MATCH($G68,$O$78:$S$78,0)-1,15,1)</formula1>
    </dataValidation>
    <dataValidation type="list" allowBlank="1" showInputMessage="1" showErrorMessage="1" sqref="G113:L113">
      <formula1>"Flexible Pavement,Rigid Pavement"</formula1>
    </dataValidation>
    <dataValidation type="list" allowBlank="1" showInputMessage="1" showErrorMessage="1" sqref="G154:L154">
      <formula1>"Proposed RCC Footing,Raft Foundation, Piling"</formula1>
    </dataValidation>
  </dataValidations>
  <hyperlinks>
    <hyperlink ref="G92" r:id="rId1"/>
  </hyperlinks>
  <printOptions horizontalCentered="1"/>
  <pageMargins left="0.19685039370078741" right="0.19685039370078741" top="0.78740157480314965" bottom="0.59055118110236227" header="0.19685039370078741" footer="0.19685039370078741"/>
  <pageSetup scale="99" fitToHeight="0" orientation="portrait" r:id="rId2"/>
  <headerFooter>
    <oddHeader>&amp;C&amp;"Times New Roman,Bold"&amp;20&amp;G</oddHeader>
    <oddFooter>&amp;L&amp;"Times New Roman,Bold"&amp;F&amp;R&amp;"Times New Roman,Bold"&amp;P</oddFooter>
  </headerFooter>
  <rowBreaks count="20" manualBreakCount="20">
    <brk id="41" max="16383" man="1"/>
    <brk id="60" max="16383" man="1"/>
    <brk id="97" max="16383" man="1"/>
    <brk id="121" max="16383" man="1"/>
    <brk id="151" max="16383" man="1"/>
    <brk id="196" max="16383" man="1"/>
    <brk id="242" max="11" man="1"/>
    <brk id="276" max="11" man="1"/>
    <brk id="369" max="11" man="1"/>
    <brk id="410" max="11" man="1"/>
    <brk id="449" max="16383" man="1"/>
    <brk id="472" max="16383" man="1"/>
    <brk id="517" max="16383" man="1"/>
    <brk id="563" max="16383" man="1"/>
    <brk id="609" max="16383" man="1"/>
    <brk id="655" max="16383" man="1"/>
    <brk id="701" max="16383" man="1"/>
    <brk id="727" max="16383" man="1"/>
    <brk id="800" max="16383" man="1"/>
    <brk id="83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N20"/>
  <sheetViews>
    <sheetView workbookViewId="0">
      <selection activeCell="D18" sqref="D18"/>
    </sheetView>
  </sheetViews>
  <sheetFormatPr defaultRowHeight="15" x14ac:dyDescent="0.25"/>
  <cols>
    <col min="2" max="2" width="10.28515625" customWidth="1"/>
  </cols>
  <sheetData>
    <row r="2" spans="1:14" x14ac:dyDescent="0.25">
      <c r="A2" t="s">
        <v>14</v>
      </c>
      <c r="B2" s="6" t="s">
        <v>39</v>
      </c>
      <c r="C2" s="6">
        <v>7</v>
      </c>
    </row>
    <row r="3" spans="1:14" x14ac:dyDescent="0.25">
      <c r="B3" t="s">
        <v>15</v>
      </c>
      <c r="C3" t="s">
        <v>16</v>
      </c>
    </row>
    <row r="4" spans="1:14" x14ac:dyDescent="0.25">
      <c r="A4" t="s">
        <v>17</v>
      </c>
      <c r="B4" s="1">
        <v>10</v>
      </c>
      <c r="C4" s="1">
        <v>0</v>
      </c>
    </row>
    <row r="5" spans="1:14" x14ac:dyDescent="0.25">
      <c r="A5" t="s">
        <v>18</v>
      </c>
      <c r="B5" t="s">
        <v>19</v>
      </c>
      <c r="C5" t="s">
        <v>20</v>
      </c>
      <c r="H5" s="1" t="s">
        <v>21</v>
      </c>
      <c r="I5" s="1" t="s">
        <v>22</v>
      </c>
      <c r="J5" s="1" t="s">
        <v>23</v>
      </c>
      <c r="K5" s="1" t="s">
        <v>24</v>
      </c>
      <c r="L5" s="1" t="s">
        <v>25</v>
      </c>
      <c r="M5" s="1" t="s">
        <v>26</v>
      </c>
      <c r="N5" s="1" t="s">
        <v>27</v>
      </c>
    </row>
    <row r="6" spans="1:14" x14ac:dyDescent="0.25">
      <c r="B6" s="1">
        <v>1</v>
      </c>
      <c r="C6" s="1">
        <v>0</v>
      </c>
      <c r="E6" s="7" t="s">
        <v>28</v>
      </c>
      <c r="H6" s="7">
        <f>C4</f>
        <v>0</v>
      </c>
      <c r="I6" s="7">
        <f>40/B6*C6</f>
        <v>0</v>
      </c>
      <c r="J6" s="7">
        <f>15/B8*C8</f>
        <v>0</v>
      </c>
      <c r="K6" s="7">
        <f>10/B10*C10</f>
        <v>0</v>
      </c>
      <c r="L6" s="7">
        <f>10/B12*C12</f>
        <v>0</v>
      </c>
      <c r="M6" s="7">
        <f>5/B14*C14</f>
        <v>0</v>
      </c>
      <c r="N6" s="7">
        <f>5/B16*C16</f>
        <v>0</v>
      </c>
    </row>
    <row r="7" spans="1:14" x14ac:dyDescent="0.25">
      <c r="A7" t="s">
        <v>29</v>
      </c>
      <c r="B7" t="s">
        <v>30</v>
      </c>
      <c r="C7" t="s">
        <v>31</v>
      </c>
      <c r="E7" s="1" t="s">
        <v>32</v>
      </c>
      <c r="F7" s="1"/>
      <c r="G7" s="1"/>
      <c r="H7" s="1">
        <f>H6+20</f>
        <v>20</v>
      </c>
      <c r="I7" s="1">
        <f>30/B6*C6</f>
        <v>0</v>
      </c>
      <c r="J7" s="1">
        <f>15/B8*C8</f>
        <v>0</v>
      </c>
      <c r="K7" s="1">
        <f>10/B10*C10</f>
        <v>0</v>
      </c>
      <c r="L7" s="1">
        <f>5/B12*C12</f>
        <v>0</v>
      </c>
      <c r="M7" s="1">
        <f>5/B14*C14</f>
        <v>0</v>
      </c>
      <c r="N7" s="1">
        <f>5/B16*C16</f>
        <v>0</v>
      </c>
    </row>
    <row r="8" spans="1:14" x14ac:dyDescent="0.25">
      <c r="B8" s="1">
        <f>C2</f>
        <v>7</v>
      </c>
      <c r="C8" s="1">
        <v>0</v>
      </c>
    </row>
    <row r="9" spans="1:14" x14ac:dyDescent="0.25">
      <c r="A9" t="s">
        <v>33</v>
      </c>
      <c r="B9" t="s">
        <v>30</v>
      </c>
      <c r="C9" t="s">
        <v>31</v>
      </c>
    </row>
    <row r="10" spans="1:14" x14ac:dyDescent="0.25">
      <c r="B10" s="1">
        <f>C2</f>
        <v>7</v>
      </c>
      <c r="C10" s="1">
        <v>0</v>
      </c>
    </row>
    <row r="11" spans="1:14" x14ac:dyDescent="0.25">
      <c r="A11" t="s">
        <v>25</v>
      </c>
      <c r="B11" t="s">
        <v>30</v>
      </c>
      <c r="C11" t="s">
        <v>31</v>
      </c>
    </row>
    <row r="12" spans="1:14" x14ac:dyDescent="0.25">
      <c r="B12" s="1">
        <f>C2</f>
        <v>7</v>
      </c>
      <c r="C12" s="1">
        <v>0</v>
      </c>
      <c r="H12" s="1"/>
      <c r="I12" s="1" t="s">
        <v>28</v>
      </c>
      <c r="J12" s="1" t="s">
        <v>34</v>
      </c>
      <c r="K12" t="s">
        <v>35</v>
      </c>
    </row>
    <row r="13" spans="1:14" ht="30" x14ac:dyDescent="0.25">
      <c r="A13" s="8" t="s">
        <v>26</v>
      </c>
      <c r="B13" t="s">
        <v>30</v>
      </c>
      <c r="C13" t="s">
        <v>31</v>
      </c>
      <c r="H13" s="1" t="s">
        <v>36</v>
      </c>
      <c r="I13" s="1">
        <f>H6</f>
        <v>0</v>
      </c>
      <c r="J13" s="1">
        <f>H7</f>
        <v>20</v>
      </c>
      <c r="K13" t="s">
        <v>35</v>
      </c>
    </row>
    <row r="14" spans="1:14" x14ac:dyDescent="0.25">
      <c r="B14" s="1">
        <f>C2</f>
        <v>7</v>
      </c>
      <c r="C14" s="1">
        <v>0</v>
      </c>
      <c r="H14" s="1" t="s">
        <v>37</v>
      </c>
      <c r="I14" s="1">
        <f>I6</f>
        <v>0</v>
      </c>
      <c r="J14" s="1">
        <f>I7</f>
        <v>0</v>
      </c>
    </row>
    <row r="15" spans="1:14" x14ac:dyDescent="0.25">
      <c r="A15" t="s">
        <v>27</v>
      </c>
      <c r="B15" t="s">
        <v>30</v>
      </c>
      <c r="H15" s="1" t="s">
        <v>23</v>
      </c>
      <c r="I15" s="1">
        <f>J6</f>
        <v>0</v>
      </c>
      <c r="J15" s="1">
        <f>J7</f>
        <v>0</v>
      </c>
    </row>
    <row r="16" spans="1:14" x14ac:dyDescent="0.25">
      <c r="B16" s="1">
        <f>C2</f>
        <v>7</v>
      </c>
      <c r="C16" s="1">
        <v>0</v>
      </c>
      <c r="H16" s="1" t="s">
        <v>24</v>
      </c>
      <c r="I16" s="1">
        <f>K6</f>
        <v>0</v>
      </c>
      <c r="J16" s="1">
        <f>K7</f>
        <v>0</v>
      </c>
    </row>
    <row r="17" spans="8:10" x14ac:dyDescent="0.25">
      <c r="H17" s="1" t="s">
        <v>25</v>
      </c>
      <c r="I17" s="1">
        <f>L6</f>
        <v>0</v>
      </c>
      <c r="J17" s="1">
        <f>L7</f>
        <v>0</v>
      </c>
    </row>
    <row r="18" spans="8:10" ht="30" x14ac:dyDescent="0.25">
      <c r="H18" s="9" t="s">
        <v>26</v>
      </c>
      <c r="I18" s="1">
        <f>M6</f>
        <v>0</v>
      </c>
      <c r="J18" s="1">
        <f>M7</f>
        <v>0</v>
      </c>
    </row>
    <row r="19" spans="8:10" x14ac:dyDescent="0.25">
      <c r="H19" s="1" t="s">
        <v>27</v>
      </c>
      <c r="I19" s="1">
        <f>N6</f>
        <v>0</v>
      </c>
      <c r="J19" s="1">
        <f>N7</f>
        <v>0</v>
      </c>
    </row>
    <row r="20" spans="8:10" x14ac:dyDescent="0.25">
      <c r="H20" s="1" t="s">
        <v>38</v>
      </c>
      <c r="I20" s="1">
        <f>I13+I14+I15+I16+I17+I18+I19</f>
        <v>0</v>
      </c>
      <c r="J20" s="1">
        <f>J13+J14+J15+J16+J17+J18+J19</f>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61"/>
  <sheetViews>
    <sheetView workbookViewId="0">
      <selection activeCell="J161" sqref="A1:J161"/>
    </sheetView>
  </sheetViews>
  <sheetFormatPr defaultColWidth="9.28515625" defaultRowHeight="15" x14ac:dyDescent="0.25"/>
  <cols>
    <col min="1" max="1" width="9.28515625" style="5"/>
    <col min="2" max="2" width="15.28515625" style="5" customWidth="1"/>
    <col min="3" max="3" width="12.7109375" style="5" customWidth="1"/>
    <col min="4" max="7" width="15.28515625" style="5" customWidth="1"/>
    <col min="8" max="8" width="13.28515625" style="5" customWidth="1"/>
    <col min="9" max="16384" width="9.28515625" style="5"/>
  </cols>
  <sheetData>
    <row r="1" spans="1:10" ht="39.75" customHeight="1" x14ac:dyDescent="0.25">
      <c r="A1" s="29" t="s">
        <v>67</v>
      </c>
      <c r="B1" s="18" t="s">
        <v>68</v>
      </c>
      <c r="C1" s="18" t="s">
        <v>95</v>
      </c>
      <c r="D1" s="18" t="s">
        <v>69</v>
      </c>
      <c r="E1" s="18" t="s">
        <v>70</v>
      </c>
      <c r="F1" s="18" t="s">
        <v>83</v>
      </c>
      <c r="G1" s="18" t="s">
        <v>91</v>
      </c>
      <c r="H1" s="18" t="s">
        <v>90</v>
      </c>
      <c r="I1" s="18" t="s">
        <v>110</v>
      </c>
      <c r="J1" s="18" t="s">
        <v>114</v>
      </c>
    </row>
    <row r="2" spans="1:10" x14ac:dyDescent="0.25">
      <c r="A2" s="286" t="s">
        <v>93</v>
      </c>
      <c r="B2" s="286"/>
      <c r="C2" s="286"/>
      <c r="D2" s="286"/>
      <c r="E2" s="286"/>
      <c r="F2" s="286"/>
      <c r="G2" s="286"/>
      <c r="H2" s="286"/>
      <c r="I2" s="286"/>
      <c r="J2" s="286"/>
    </row>
    <row r="3" spans="1:10" x14ac:dyDescent="0.25">
      <c r="A3" s="286" t="s">
        <v>81</v>
      </c>
      <c r="B3" s="286"/>
      <c r="C3" s="286"/>
      <c r="D3" s="286"/>
      <c r="E3" s="286"/>
      <c r="F3" s="286"/>
      <c r="G3" s="286"/>
      <c r="H3" s="286"/>
      <c r="I3" s="286"/>
      <c r="J3" s="286"/>
    </row>
    <row r="4" spans="1:10" x14ac:dyDescent="0.25">
      <c r="A4" s="12">
        <v>1</v>
      </c>
      <c r="B4" s="199" t="s">
        <v>82</v>
      </c>
      <c r="C4" s="28" t="s">
        <v>111</v>
      </c>
      <c r="D4" s="12">
        <v>101</v>
      </c>
      <c r="E4" s="12" t="s">
        <v>72</v>
      </c>
      <c r="F4" s="19">
        <f>(30.562+13.425)*10.764</f>
        <v>473.476068</v>
      </c>
      <c r="G4" s="20">
        <v>0</v>
      </c>
      <c r="H4" s="25">
        <v>735</v>
      </c>
      <c r="I4" s="12">
        <v>4800</v>
      </c>
      <c r="J4" s="12">
        <f>H4*I4</f>
        <v>3528000</v>
      </c>
    </row>
    <row r="5" spans="1:10" x14ac:dyDescent="0.25">
      <c r="A5" s="12">
        <v>2</v>
      </c>
      <c r="B5" s="200"/>
      <c r="C5" s="28" t="s">
        <v>111</v>
      </c>
      <c r="D5" s="12">
        <v>102</v>
      </c>
      <c r="E5" s="12" t="s">
        <v>72</v>
      </c>
      <c r="F5" s="19">
        <f>(32.727+6.63)*10.764</f>
        <v>423.63874799999996</v>
      </c>
      <c r="G5" s="19">
        <f>5.063*10.764</f>
        <v>54.498131999999991</v>
      </c>
      <c r="H5" s="25">
        <v>750</v>
      </c>
      <c r="I5" s="12">
        <v>4800</v>
      </c>
      <c r="J5" s="12">
        <f t="shared" ref="J5:J24" si="0">H5*I5</f>
        <v>3600000</v>
      </c>
    </row>
    <row r="6" spans="1:10" x14ac:dyDescent="0.25">
      <c r="A6" s="12">
        <v>3</v>
      </c>
      <c r="B6" s="201"/>
      <c r="C6" s="28" t="s">
        <v>111</v>
      </c>
      <c r="D6" s="12">
        <v>103</v>
      </c>
      <c r="E6" s="12" t="s">
        <v>72</v>
      </c>
      <c r="F6" s="19">
        <f>(32.727+6.435)*10.764</f>
        <v>421.53976799999998</v>
      </c>
      <c r="G6" s="19">
        <f>4.86*10.764</f>
        <v>52.313040000000001</v>
      </c>
      <c r="H6" s="25">
        <v>745</v>
      </c>
      <c r="I6" s="12">
        <v>4800</v>
      </c>
      <c r="J6" s="12">
        <f t="shared" si="0"/>
        <v>3576000</v>
      </c>
    </row>
    <row r="7" spans="1:10" x14ac:dyDescent="0.25">
      <c r="A7" s="12">
        <v>4</v>
      </c>
      <c r="B7" s="199" t="s">
        <v>84</v>
      </c>
      <c r="C7" s="28" t="s">
        <v>111</v>
      </c>
      <c r="D7" s="12">
        <f t="shared" ref="D7:D24" si="1">D4+100</f>
        <v>201</v>
      </c>
      <c r="E7" s="12" t="s">
        <v>72</v>
      </c>
      <c r="F7" s="19">
        <f t="shared" ref="F7:F9" si="2">(30.562+13.425)*10.764</f>
        <v>473.476068</v>
      </c>
      <c r="G7" s="20">
        <v>0</v>
      </c>
      <c r="H7" s="25">
        <v>735</v>
      </c>
      <c r="I7" s="12">
        <v>4800</v>
      </c>
      <c r="J7" s="12">
        <f t="shared" si="0"/>
        <v>3528000</v>
      </c>
    </row>
    <row r="8" spans="1:10" x14ac:dyDescent="0.25">
      <c r="A8" s="12">
        <v>5</v>
      </c>
      <c r="B8" s="200"/>
      <c r="C8" s="28" t="s">
        <v>111</v>
      </c>
      <c r="D8" s="12">
        <f t="shared" si="1"/>
        <v>202</v>
      </c>
      <c r="E8" s="12" t="s">
        <v>72</v>
      </c>
      <c r="F8" s="19">
        <f t="shared" si="2"/>
        <v>473.476068</v>
      </c>
      <c r="G8" s="20">
        <v>0</v>
      </c>
      <c r="H8" s="25">
        <v>670</v>
      </c>
      <c r="I8" s="12">
        <v>4800</v>
      </c>
      <c r="J8" s="12">
        <f t="shared" si="0"/>
        <v>3216000</v>
      </c>
    </row>
    <row r="9" spans="1:10" x14ac:dyDescent="0.25">
      <c r="A9" s="12">
        <v>6</v>
      </c>
      <c r="B9" s="201"/>
      <c r="C9" s="28" t="s">
        <v>111</v>
      </c>
      <c r="D9" s="12">
        <f t="shared" si="1"/>
        <v>203</v>
      </c>
      <c r="E9" s="12" t="s">
        <v>72</v>
      </c>
      <c r="F9" s="19">
        <f t="shared" si="2"/>
        <v>473.476068</v>
      </c>
      <c r="G9" s="20">
        <v>0</v>
      </c>
      <c r="H9" s="25">
        <v>665</v>
      </c>
      <c r="I9" s="12">
        <v>4800</v>
      </c>
      <c r="J9" s="12">
        <f t="shared" si="0"/>
        <v>3192000</v>
      </c>
    </row>
    <row r="10" spans="1:10" x14ac:dyDescent="0.25">
      <c r="A10" s="12">
        <v>7</v>
      </c>
      <c r="B10" s="199" t="s">
        <v>85</v>
      </c>
      <c r="C10" s="28" t="s">
        <v>111</v>
      </c>
      <c r="D10" s="12">
        <f t="shared" si="1"/>
        <v>301</v>
      </c>
      <c r="E10" s="12" t="s">
        <v>72</v>
      </c>
      <c r="F10" s="19">
        <f>(30.562+13.425)*10.764</f>
        <v>473.476068</v>
      </c>
      <c r="G10" s="20">
        <v>0</v>
      </c>
      <c r="H10" s="25">
        <v>735</v>
      </c>
      <c r="I10" s="12">
        <v>4800</v>
      </c>
      <c r="J10" s="12">
        <f t="shared" si="0"/>
        <v>3528000</v>
      </c>
    </row>
    <row r="11" spans="1:10" x14ac:dyDescent="0.25">
      <c r="A11" s="12">
        <v>8</v>
      </c>
      <c r="B11" s="200"/>
      <c r="C11" s="28" t="s">
        <v>111</v>
      </c>
      <c r="D11" s="12">
        <f t="shared" si="1"/>
        <v>302</v>
      </c>
      <c r="E11" s="12" t="s">
        <v>72</v>
      </c>
      <c r="F11" s="19">
        <f>(32.727+6.63)*10.764</f>
        <v>423.63874799999996</v>
      </c>
      <c r="G11" s="19">
        <f>5.063*10.764</f>
        <v>54.498131999999991</v>
      </c>
      <c r="H11" s="25">
        <v>750</v>
      </c>
      <c r="I11" s="12">
        <v>4800</v>
      </c>
      <c r="J11" s="12">
        <f t="shared" si="0"/>
        <v>3600000</v>
      </c>
    </row>
    <row r="12" spans="1:10" x14ac:dyDescent="0.25">
      <c r="A12" s="12">
        <v>9</v>
      </c>
      <c r="B12" s="201"/>
      <c r="C12" s="28" t="s">
        <v>111</v>
      </c>
      <c r="D12" s="12">
        <f t="shared" si="1"/>
        <v>303</v>
      </c>
      <c r="E12" s="12" t="s">
        <v>72</v>
      </c>
      <c r="F12" s="19">
        <f>(32.727+6.435)*10.764</f>
        <v>421.53976799999998</v>
      </c>
      <c r="G12" s="19">
        <f>4.86*10.764</f>
        <v>52.313040000000001</v>
      </c>
      <c r="H12" s="25">
        <v>745</v>
      </c>
      <c r="I12" s="12">
        <v>4800</v>
      </c>
      <c r="J12" s="12">
        <f t="shared" si="0"/>
        <v>3576000</v>
      </c>
    </row>
    <row r="13" spans="1:10" x14ac:dyDescent="0.25">
      <c r="A13" s="12">
        <v>10</v>
      </c>
      <c r="B13" s="199" t="s">
        <v>86</v>
      </c>
      <c r="C13" s="28" t="s">
        <v>111</v>
      </c>
      <c r="D13" s="12">
        <f t="shared" si="1"/>
        <v>401</v>
      </c>
      <c r="E13" s="12" t="s">
        <v>72</v>
      </c>
      <c r="F13" s="19">
        <f t="shared" ref="F13:F15" si="3">(30.562+13.425)*10.764</f>
        <v>473.476068</v>
      </c>
      <c r="G13" s="20">
        <v>0</v>
      </c>
      <c r="H13" s="25">
        <v>735</v>
      </c>
      <c r="I13" s="12">
        <v>4800</v>
      </c>
      <c r="J13" s="12">
        <f t="shared" si="0"/>
        <v>3528000</v>
      </c>
    </row>
    <row r="14" spans="1:10" x14ac:dyDescent="0.25">
      <c r="A14" s="12">
        <v>11</v>
      </c>
      <c r="B14" s="200"/>
      <c r="C14" s="28" t="s">
        <v>111</v>
      </c>
      <c r="D14" s="12">
        <f t="shared" si="1"/>
        <v>402</v>
      </c>
      <c r="E14" s="12" t="s">
        <v>72</v>
      </c>
      <c r="F14" s="19">
        <f t="shared" si="3"/>
        <v>473.476068</v>
      </c>
      <c r="G14" s="20">
        <v>0</v>
      </c>
      <c r="H14" s="25">
        <v>670</v>
      </c>
      <c r="I14" s="12">
        <v>4800</v>
      </c>
      <c r="J14" s="12">
        <f t="shared" si="0"/>
        <v>3216000</v>
      </c>
    </row>
    <row r="15" spans="1:10" x14ac:dyDescent="0.25">
      <c r="A15" s="12">
        <v>12</v>
      </c>
      <c r="B15" s="201"/>
      <c r="C15" s="28" t="s">
        <v>111</v>
      </c>
      <c r="D15" s="12">
        <f t="shared" si="1"/>
        <v>403</v>
      </c>
      <c r="E15" s="12" t="s">
        <v>72</v>
      </c>
      <c r="F15" s="19">
        <f t="shared" si="3"/>
        <v>473.476068</v>
      </c>
      <c r="G15" s="20">
        <v>0</v>
      </c>
      <c r="H15" s="25">
        <v>665</v>
      </c>
      <c r="I15" s="12">
        <v>4800</v>
      </c>
      <c r="J15" s="12">
        <f t="shared" si="0"/>
        <v>3192000</v>
      </c>
    </row>
    <row r="16" spans="1:10" x14ac:dyDescent="0.25">
      <c r="A16" s="12">
        <v>13</v>
      </c>
      <c r="B16" s="199" t="s">
        <v>87</v>
      </c>
      <c r="C16" s="28" t="s">
        <v>111</v>
      </c>
      <c r="D16" s="12">
        <f t="shared" si="1"/>
        <v>501</v>
      </c>
      <c r="E16" s="12" t="s">
        <v>72</v>
      </c>
      <c r="F16" s="19">
        <f>(30.562+13.425)*10.764</f>
        <v>473.476068</v>
      </c>
      <c r="G16" s="20">
        <v>0</v>
      </c>
      <c r="H16" s="25">
        <v>735</v>
      </c>
      <c r="I16" s="12">
        <v>4800</v>
      </c>
      <c r="J16" s="12">
        <f t="shared" si="0"/>
        <v>3528000</v>
      </c>
    </row>
    <row r="17" spans="1:10" x14ac:dyDescent="0.25">
      <c r="A17" s="12">
        <v>14</v>
      </c>
      <c r="B17" s="200"/>
      <c r="C17" s="28" t="s">
        <v>111</v>
      </c>
      <c r="D17" s="12">
        <f t="shared" si="1"/>
        <v>502</v>
      </c>
      <c r="E17" s="12" t="s">
        <v>72</v>
      </c>
      <c r="F17" s="19">
        <f>(32.727+6.63)*10.764</f>
        <v>423.63874799999996</v>
      </c>
      <c r="G17" s="19">
        <f>5.063*10.764</f>
        <v>54.498131999999991</v>
      </c>
      <c r="H17" s="25">
        <v>750</v>
      </c>
      <c r="I17" s="12">
        <v>4800</v>
      </c>
      <c r="J17" s="12">
        <f t="shared" si="0"/>
        <v>3600000</v>
      </c>
    </row>
    <row r="18" spans="1:10" x14ac:dyDescent="0.25">
      <c r="A18" s="12">
        <v>15</v>
      </c>
      <c r="B18" s="201"/>
      <c r="C18" s="28" t="s">
        <v>111</v>
      </c>
      <c r="D18" s="12">
        <f t="shared" si="1"/>
        <v>503</v>
      </c>
      <c r="E18" s="12" t="s">
        <v>72</v>
      </c>
      <c r="F18" s="19">
        <f>(32.727+6.435)*10.764</f>
        <v>421.53976799999998</v>
      </c>
      <c r="G18" s="19">
        <f>4.86*10.764</f>
        <v>52.313040000000001</v>
      </c>
      <c r="H18" s="25">
        <v>745</v>
      </c>
      <c r="I18" s="12">
        <v>4800</v>
      </c>
      <c r="J18" s="12">
        <f t="shared" si="0"/>
        <v>3576000</v>
      </c>
    </row>
    <row r="19" spans="1:10" x14ac:dyDescent="0.25">
      <c r="A19" s="12">
        <v>16</v>
      </c>
      <c r="B19" s="199" t="s">
        <v>88</v>
      </c>
      <c r="C19" s="28" t="s">
        <v>111</v>
      </c>
      <c r="D19" s="12">
        <f t="shared" si="1"/>
        <v>601</v>
      </c>
      <c r="E19" s="12" t="s">
        <v>72</v>
      </c>
      <c r="F19" s="19">
        <f t="shared" ref="F19:F21" si="4">(30.562+13.425)*10.764</f>
        <v>473.476068</v>
      </c>
      <c r="G19" s="20">
        <v>0</v>
      </c>
      <c r="H19" s="25">
        <v>735</v>
      </c>
      <c r="I19" s="12">
        <v>4800</v>
      </c>
      <c r="J19" s="12">
        <f t="shared" si="0"/>
        <v>3528000</v>
      </c>
    </row>
    <row r="20" spans="1:10" x14ac:dyDescent="0.25">
      <c r="A20" s="12">
        <v>17</v>
      </c>
      <c r="B20" s="200"/>
      <c r="C20" s="28" t="s">
        <v>111</v>
      </c>
      <c r="D20" s="12">
        <f t="shared" si="1"/>
        <v>602</v>
      </c>
      <c r="E20" s="12" t="s">
        <v>72</v>
      </c>
      <c r="F20" s="19">
        <f t="shared" si="4"/>
        <v>473.476068</v>
      </c>
      <c r="G20" s="20">
        <v>0</v>
      </c>
      <c r="H20" s="25">
        <v>670</v>
      </c>
      <c r="I20" s="12">
        <v>4800</v>
      </c>
      <c r="J20" s="12">
        <f t="shared" si="0"/>
        <v>3216000</v>
      </c>
    </row>
    <row r="21" spans="1:10" x14ac:dyDescent="0.25">
      <c r="A21" s="12">
        <v>18</v>
      </c>
      <c r="B21" s="201"/>
      <c r="C21" s="28" t="s">
        <v>111</v>
      </c>
      <c r="D21" s="12">
        <f t="shared" si="1"/>
        <v>603</v>
      </c>
      <c r="E21" s="12" t="s">
        <v>72</v>
      </c>
      <c r="F21" s="19">
        <f t="shared" si="4"/>
        <v>473.476068</v>
      </c>
      <c r="G21" s="20">
        <v>0</v>
      </c>
      <c r="H21" s="25">
        <v>665</v>
      </c>
      <c r="I21" s="12">
        <v>4800</v>
      </c>
      <c r="J21" s="12">
        <f t="shared" si="0"/>
        <v>3192000</v>
      </c>
    </row>
    <row r="22" spans="1:10" x14ac:dyDescent="0.25">
      <c r="A22" s="12">
        <v>19</v>
      </c>
      <c r="B22" s="199" t="s">
        <v>89</v>
      </c>
      <c r="C22" s="28" t="s">
        <v>111</v>
      </c>
      <c r="D22" s="12">
        <f t="shared" si="1"/>
        <v>701</v>
      </c>
      <c r="E22" s="12" t="s">
        <v>72</v>
      </c>
      <c r="F22" s="19">
        <f>(30.562+13.425)*10.764</f>
        <v>473.476068</v>
      </c>
      <c r="G22" s="20">
        <v>0</v>
      </c>
      <c r="H22" s="25">
        <v>735</v>
      </c>
      <c r="I22" s="12">
        <v>4800</v>
      </c>
      <c r="J22" s="12">
        <f t="shared" si="0"/>
        <v>3528000</v>
      </c>
    </row>
    <row r="23" spans="1:10" x14ac:dyDescent="0.25">
      <c r="A23" s="12">
        <v>20</v>
      </c>
      <c r="B23" s="200"/>
      <c r="C23" s="28" t="s">
        <v>111</v>
      </c>
      <c r="D23" s="12">
        <f t="shared" si="1"/>
        <v>702</v>
      </c>
      <c r="E23" s="12" t="s">
        <v>72</v>
      </c>
      <c r="F23" s="19">
        <f>(32.727+6.63)*10.764</f>
        <v>423.63874799999996</v>
      </c>
      <c r="G23" s="19">
        <f>5.063*10.764</f>
        <v>54.498131999999991</v>
      </c>
      <c r="H23" s="25">
        <v>750</v>
      </c>
      <c r="I23" s="12">
        <v>4800</v>
      </c>
      <c r="J23" s="12">
        <f t="shared" si="0"/>
        <v>3600000</v>
      </c>
    </row>
    <row r="24" spans="1:10" x14ac:dyDescent="0.25">
      <c r="A24" s="12">
        <v>21</v>
      </c>
      <c r="B24" s="201"/>
      <c r="C24" s="28" t="s">
        <v>111</v>
      </c>
      <c r="D24" s="12">
        <f t="shared" si="1"/>
        <v>703</v>
      </c>
      <c r="E24" s="12" t="s">
        <v>72</v>
      </c>
      <c r="F24" s="19">
        <f>(32.727+6.435)*10.764</f>
        <v>421.53976799999998</v>
      </c>
      <c r="G24" s="19">
        <f>4.86*10.764</f>
        <v>52.313040000000001</v>
      </c>
      <c r="H24" s="25">
        <v>745</v>
      </c>
      <c r="I24" s="12">
        <v>4800</v>
      </c>
      <c r="J24" s="12">
        <f t="shared" si="0"/>
        <v>3576000</v>
      </c>
    </row>
    <row r="25" spans="1:10" x14ac:dyDescent="0.25">
      <c r="A25" s="286" t="s">
        <v>92</v>
      </c>
      <c r="B25" s="286"/>
      <c r="C25" s="286"/>
      <c r="D25" s="286"/>
      <c r="E25" s="286"/>
      <c r="F25" s="286"/>
      <c r="G25" s="286"/>
      <c r="H25" s="286"/>
      <c r="I25" s="286"/>
      <c r="J25" s="286"/>
    </row>
    <row r="26" spans="1:10" x14ac:dyDescent="0.25">
      <c r="A26" s="286" t="s">
        <v>81</v>
      </c>
      <c r="B26" s="286"/>
      <c r="C26" s="286"/>
      <c r="D26" s="286"/>
      <c r="E26" s="286"/>
      <c r="F26" s="286"/>
      <c r="G26" s="286"/>
      <c r="H26" s="286"/>
      <c r="I26" s="286"/>
      <c r="J26" s="286"/>
    </row>
    <row r="27" spans="1:10" x14ac:dyDescent="0.25">
      <c r="A27" s="12">
        <v>1</v>
      </c>
      <c r="B27" s="199" t="s">
        <v>82</v>
      </c>
      <c r="C27" s="28" t="s">
        <v>112</v>
      </c>
      <c r="D27" s="12">
        <v>101</v>
      </c>
      <c r="E27" s="12" t="s">
        <v>72</v>
      </c>
      <c r="F27" s="19">
        <f>34.505*10.764</f>
        <v>371.41181999999998</v>
      </c>
      <c r="G27" s="19">
        <f>4.32*10.764</f>
        <v>46.500480000000003</v>
      </c>
      <c r="H27" s="25">
        <v>655</v>
      </c>
      <c r="I27" s="12">
        <v>4800</v>
      </c>
      <c r="J27" s="12">
        <f t="shared" ref="J27:J89" si="5">H27*I27</f>
        <v>3144000</v>
      </c>
    </row>
    <row r="28" spans="1:10" x14ac:dyDescent="0.25">
      <c r="A28" s="12">
        <v>2</v>
      </c>
      <c r="B28" s="200"/>
      <c r="C28" s="28" t="s">
        <v>112</v>
      </c>
      <c r="D28" s="12">
        <v>102</v>
      </c>
      <c r="E28" s="12" t="s">
        <v>94</v>
      </c>
      <c r="F28" s="19">
        <f>(39.567+11.158)*10.764</f>
        <v>546.00389999999993</v>
      </c>
      <c r="G28" s="19">
        <f>4.95*10.764</f>
        <v>53.281799999999997</v>
      </c>
      <c r="H28" s="25">
        <v>935</v>
      </c>
      <c r="I28" s="12">
        <v>4800</v>
      </c>
      <c r="J28" s="12">
        <f t="shared" si="5"/>
        <v>4488000</v>
      </c>
    </row>
    <row r="29" spans="1:10" x14ac:dyDescent="0.25">
      <c r="A29" s="12">
        <v>3</v>
      </c>
      <c r="B29" s="200"/>
      <c r="C29" s="28" t="s">
        <v>112</v>
      </c>
      <c r="D29" s="12">
        <v>103</v>
      </c>
      <c r="E29" s="12" t="s">
        <v>73</v>
      </c>
      <c r="F29" s="19">
        <f>(20.719+6.275)*10.764</f>
        <v>290.56341599999996</v>
      </c>
      <c r="G29" s="19">
        <v>0</v>
      </c>
      <c r="H29" s="25">
        <v>455</v>
      </c>
      <c r="I29" s="12">
        <v>4800</v>
      </c>
      <c r="J29" s="12">
        <f t="shared" si="5"/>
        <v>2184000</v>
      </c>
    </row>
    <row r="30" spans="1:10" x14ac:dyDescent="0.25">
      <c r="A30" s="12">
        <v>4</v>
      </c>
      <c r="B30" s="200"/>
      <c r="C30" s="28" t="s">
        <v>112</v>
      </c>
      <c r="D30" s="12">
        <v>104</v>
      </c>
      <c r="E30" s="12" t="s">
        <v>72</v>
      </c>
      <c r="F30" s="19">
        <f>(31.447+5.955)*10.764</f>
        <v>402.59512799999999</v>
      </c>
      <c r="G30" s="19">
        <f>5.55*10.764</f>
        <v>59.740199999999994</v>
      </c>
      <c r="H30" s="25">
        <v>715</v>
      </c>
      <c r="I30" s="12">
        <v>4800</v>
      </c>
      <c r="J30" s="12">
        <f t="shared" si="5"/>
        <v>3432000</v>
      </c>
    </row>
    <row r="31" spans="1:10" x14ac:dyDescent="0.25">
      <c r="A31" s="12">
        <v>5</v>
      </c>
      <c r="B31" s="200"/>
      <c r="C31" s="28" t="s">
        <v>112</v>
      </c>
      <c r="D31" s="12">
        <v>105</v>
      </c>
      <c r="E31" s="12" t="s">
        <v>72</v>
      </c>
      <c r="F31" s="19">
        <f>(32.062+6.825)*10.764</f>
        <v>418.57966799999997</v>
      </c>
      <c r="G31" s="19">
        <f>5.55*10.764</f>
        <v>59.740199999999994</v>
      </c>
      <c r="H31" s="25">
        <v>750</v>
      </c>
      <c r="I31" s="12">
        <v>4800</v>
      </c>
      <c r="J31" s="12">
        <f t="shared" si="5"/>
        <v>3600000</v>
      </c>
    </row>
    <row r="32" spans="1:10" x14ac:dyDescent="0.25">
      <c r="A32" s="12">
        <v>6</v>
      </c>
      <c r="B32" s="200"/>
      <c r="C32" s="28" t="s">
        <v>112</v>
      </c>
      <c r="D32" s="12">
        <v>106</v>
      </c>
      <c r="E32" s="12" t="s">
        <v>72</v>
      </c>
      <c r="F32" s="19">
        <f>(30.317+6.025)*10.764</f>
        <v>391.18528799999996</v>
      </c>
      <c r="G32" s="19">
        <f>4.301*10.764</f>
        <v>46.295963999999998</v>
      </c>
      <c r="H32" s="25">
        <v>675</v>
      </c>
      <c r="I32" s="12">
        <v>4800</v>
      </c>
      <c r="J32" s="12">
        <f t="shared" si="5"/>
        <v>3240000</v>
      </c>
    </row>
    <row r="33" spans="1:10" x14ac:dyDescent="0.25">
      <c r="A33" s="12">
        <v>7</v>
      </c>
      <c r="B33" s="200"/>
      <c r="C33" s="28" t="s">
        <v>112</v>
      </c>
      <c r="D33" s="12">
        <v>107</v>
      </c>
      <c r="E33" s="12" t="s">
        <v>72</v>
      </c>
      <c r="F33" s="19">
        <f>(29.392+5.25)*10.764</f>
        <v>372.88648799999993</v>
      </c>
      <c r="G33" s="19">
        <f>4.301*10.764</f>
        <v>46.295963999999998</v>
      </c>
      <c r="H33" s="25">
        <v>645</v>
      </c>
      <c r="I33" s="12">
        <v>4800</v>
      </c>
      <c r="J33" s="12">
        <f t="shared" si="5"/>
        <v>3096000</v>
      </c>
    </row>
    <row r="34" spans="1:10" x14ac:dyDescent="0.25">
      <c r="A34" s="12">
        <v>8</v>
      </c>
      <c r="B34" s="200"/>
      <c r="C34" s="28" t="s">
        <v>112</v>
      </c>
      <c r="D34" s="12">
        <v>108</v>
      </c>
      <c r="E34" s="12" t="s">
        <v>72</v>
      </c>
      <c r="F34" s="19">
        <f>(32.962+6.63)*10.764</f>
        <v>426.16828800000002</v>
      </c>
      <c r="G34" s="19">
        <f>4.185*10.764</f>
        <v>45.047339999999991</v>
      </c>
      <c r="H34" s="25">
        <v>740</v>
      </c>
      <c r="I34" s="12">
        <v>4800</v>
      </c>
      <c r="J34" s="12">
        <f t="shared" si="5"/>
        <v>3552000</v>
      </c>
    </row>
    <row r="35" spans="1:10" x14ac:dyDescent="0.25">
      <c r="A35" s="12">
        <v>9</v>
      </c>
      <c r="B35" s="201"/>
      <c r="C35" s="28" t="s">
        <v>112</v>
      </c>
      <c r="D35" s="12">
        <v>109</v>
      </c>
      <c r="E35" s="12" t="s">
        <v>72</v>
      </c>
      <c r="F35" s="19">
        <f>(35.312+3.624)*10.764</f>
        <v>419.10710399999999</v>
      </c>
      <c r="G35" s="19">
        <f>3.135*10.764</f>
        <v>33.745139999999992</v>
      </c>
      <c r="H35" s="25">
        <v>715</v>
      </c>
      <c r="I35" s="12">
        <v>4800</v>
      </c>
      <c r="J35" s="12">
        <f t="shared" si="5"/>
        <v>3432000</v>
      </c>
    </row>
    <row r="36" spans="1:10" x14ac:dyDescent="0.25">
      <c r="A36" s="12">
        <v>10</v>
      </c>
      <c r="B36" s="199" t="s">
        <v>84</v>
      </c>
      <c r="C36" s="28" t="s">
        <v>112</v>
      </c>
      <c r="D36" s="12">
        <f>D27+100</f>
        <v>201</v>
      </c>
      <c r="E36" s="12" t="s">
        <v>72</v>
      </c>
      <c r="F36" s="19">
        <f>34.505*10.764</f>
        <v>371.41181999999998</v>
      </c>
      <c r="G36" s="19">
        <v>0</v>
      </c>
      <c r="H36" s="25">
        <v>585</v>
      </c>
      <c r="I36" s="12">
        <v>4800</v>
      </c>
      <c r="J36" s="12">
        <f t="shared" si="5"/>
        <v>2808000</v>
      </c>
    </row>
    <row r="37" spans="1:10" x14ac:dyDescent="0.25">
      <c r="A37" s="12">
        <v>11</v>
      </c>
      <c r="B37" s="200"/>
      <c r="C37" s="28" t="s">
        <v>112</v>
      </c>
      <c r="D37" s="12">
        <f>D28+100</f>
        <v>202</v>
      </c>
      <c r="E37" s="12" t="s">
        <v>94</v>
      </c>
      <c r="F37" s="19">
        <f>(39.567+11.158)*10.764</f>
        <v>546.00389999999993</v>
      </c>
      <c r="G37" s="19">
        <v>0</v>
      </c>
      <c r="H37" s="25">
        <v>850</v>
      </c>
      <c r="I37" s="12">
        <v>4800</v>
      </c>
      <c r="J37" s="12">
        <f t="shared" si="5"/>
        <v>4080000</v>
      </c>
    </row>
    <row r="38" spans="1:10" x14ac:dyDescent="0.25">
      <c r="A38" s="12">
        <v>12</v>
      </c>
      <c r="B38" s="200"/>
      <c r="C38" s="28" t="s">
        <v>112</v>
      </c>
      <c r="D38" s="12">
        <f t="shared" ref="D38:D44" si="6">D29+100</f>
        <v>203</v>
      </c>
      <c r="E38" s="12" t="s">
        <v>73</v>
      </c>
      <c r="F38" s="19">
        <f>(20.719+6.275)*10.764</f>
        <v>290.56341599999996</v>
      </c>
      <c r="G38" s="19">
        <v>0</v>
      </c>
      <c r="H38" s="25">
        <v>455</v>
      </c>
      <c r="I38" s="12">
        <v>4800</v>
      </c>
      <c r="J38" s="12">
        <f t="shared" si="5"/>
        <v>2184000</v>
      </c>
    </row>
    <row r="39" spans="1:10" x14ac:dyDescent="0.25">
      <c r="A39" s="12">
        <v>13</v>
      </c>
      <c r="B39" s="200"/>
      <c r="C39" s="28" t="s">
        <v>112</v>
      </c>
      <c r="D39" s="12">
        <f t="shared" si="6"/>
        <v>204</v>
      </c>
      <c r="E39" s="12" t="s">
        <v>72</v>
      </c>
      <c r="F39" s="19">
        <f>(31.447+5.955)*10.764</f>
        <v>402.59512799999999</v>
      </c>
      <c r="G39" s="19">
        <v>0</v>
      </c>
      <c r="H39" s="25">
        <v>625</v>
      </c>
      <c r="I39" s="12">
        <v>4800</v>
      </c>
      <c r="J39" s="12">
        <f t="shared" si="5"/>
        <v>3000000</v>
      </c>
    </row>
    <row r="40" spans="1:10" x14ac:dyDescent="0.25">
      <c r="A40" s="12">
        <v>14</v>
      </c>
      <c r="B40" s="200"/>
      <c r="C40" s="28" t="s">
        <v>112</v>
      </c>
      <c r="D40" s="12">
        <f t="shared" si="6"/>
        <v>205</v>
      </c>
      <c r="E40" s="12" t="s">
        <v>72</v>
      </c>
      <c r="F40" s="19">
        <f>(32.062+6.825)*10.764</f>
        <v>418.57966799999997</v>
      </c>
      <c r="G40" s="19">
        <v>0</v>
      </c>
      <c r="H40" s="25">
        <v>660</v>
      </c>
      <c r="I40" s="12">
        <v>4800</v>
      </c>
      <c r="J40" s="12">
        <f t="shared" si="5"/>
        <v>3168000</v>
      </c>
    </row>
    <row r="41" spans="1:10" x14ac:dyDescent="0.25">
      <c r="A41" s="12">
        <v>15</v>
      </c>
      <c r="B41" s="200"/>
      <c r="C41" s="28" t="s">
        <v>112</v>
      </c>
      <c r="D41" s="12">
        <f t="shared" si="6"/>
        <v>206</v>
      </c>
      <c r="E41" s="12" t="s">
        <v>72</v>
      </c>
      <c r="F41" s="19">
        <f>(30.317+6.025)*10.764</f>
        <v>391.18528799999996</v>
      </c>
      <c r="G41" s="19">
        <v>0</v>
      </c>
      <c r="H41" s="25">
        <v>605</v>
      </c>
      <c r="I41" s="12">
        <v>4800</v>
      </c>
      <c r="J41" s="12">
        <f t="shared" si="5"/>
        <v>2904000</v>
      </c>
    </row>
    <row r="42" spans="1:10" x14ac:dyDescent="0.25">
      <c r="A42" s="12">
        <v>16</v>
      </c>
      <c r="B42" s="200"/>
      <c r="C42" s="28" t="s">
        <v>112</v>
      </c>
      <c r="D42" s="12">
        <f t="shared" si="6"/>
        <v>207</v>
      </c>
      <c r="E42" s="12" t="s">
        <v>72</v>
      </c>
      <c r="F42" s="19">
        <f>(29.392+5.25)*10.764</f>
        <v>372.88648799999993</v>
      </c>
      <c r="G42" s="19">
        <v>0</v>
      </c>
      <c r="H42" s="25">
        <v>570</v>
      </c>
      <c r="I42" s="12">
        <v>4800</v>
      </c>
      <c r="J42" s="12">
        <f t="shared" si="5"/>
        <v>2736000</v>
      </c>
    </row>
    <row r="43" spans="1:10" x14ac:dyDescent="0.25">
      <c r="A43" s="12">
        <v>17</v>
      </c>
      <c r="B43" s="200"/>
      <c r="C43" s="28" t="s">
        <v>112</v>
      </c>
      <c r="D43" s="12">
        <f t="shared" si="6"/>
        <v>208</v>
      </c>
      <c r="E43" s="12" t="s">
        <v>72</v>
      </c>
      <c r="F43" s="19">
        <f>(32.962+6.63)*10.764</f>
        <v>426.16828800000002</v>
      </c>
      <c r="G43" s="19">
        <v>0</v>
      </c>
      <c r="H43" s="25">
        <v>670</v>
      </c>
      <c r="I43" s="12">
        <v>4800</v>
      </c>
      <c r="J43" s="12">
        <f t="shared" si="5"/>
        <v>3216000</v>
      </c>
    </row>
    <row r="44" spans="1:10" x14ac:dyDescent="0.25">
      <c r="A44" s="12">
        <v>18</v>
      </c>
      <c r="B44" s="201"/>
      <c r="C44" s="28" t="s">
        <v>112</v>
      </c>
      <c r="D44" s="12">
        <f t="shared" si="6"/>
        <v>209</v>
      </c>
      <c r="E44" s="12" t="s">
        <v>72</v>
      </c>
      <c r="F44" s="19">
        <f>(35.312+3.624)*10.764</f>
        <v>419.10710399999999</v>
      </c>
      <c r="G44" s="19">
        <f>3.85*10.764</f>
        <v>41.441400000000002</v>
      </c>
      <c r="H44" s="25">
        <v>725</v>
      </c>
      <c r="I44" s="12">
        <v>4800</v>
      </c>
      <c r="J44" s="12">
        <f t="shared" si="5"/>
        <v>3480000</v>
      </c>
    </row>
    <row r="45" spans="1:10" x14ac:dyDescent="0.25">
      <c r="A45" s="12">
        <v>19</v>
      </c>
      <c r="B45" s="199" t="s">
        <v>85</v>
      </c>
      <c r="C45" s="28" t="s">
        <v>112</v>
      </c>
      <c r="D45" s="12">
        <f>D36+100</f>
        <v>301</v>
      </c>
      <c r="E45" s="12" t="s">
        <v>72</v>
      </c>
      <c r="F45" s="19">
        <f>34.505*10.764</f>
        <v>371.41181999999998</v>
      </c>
      <c r="G45" s="19">
        <f>4.32*10.764</f>
        <v>46.500480000000003</v>
      </c>
      <c r="H45" s="25">
        <v>655</v>
      </c>
      <c r="I45" s="12">
        <v>4800</v>
      </c>
      <c r="J45" s="12">
        <f t="shared" si="5"/>
        <v>3144000</v>
      </c>
    </row>
    <row r="46" spans="1:10" x14ac:dyDescent="0.25">
      <c r="A46" s="12">
        <v>20</v>
      </c>
      <c r="B46" s="200"/>
      <c r="C46" s="28" t="s">
        <v>112</v>
      </c>
      <c r="D46" s="12">
        <f>D37+100</f>
        <v>302</v>
      </c>
      <c r="E46" s="12" t="s">
        <v>94</v>
      </c>
      <c r="F46" s="19">
        <f>(39.567+11.158)*10.764</f>
        <v>546.00389999999993</v>
      </c>
      <c r="G46" s="19">
        <f>4.95*10.764</f>
        <v>53.281799999999997</v>
      </c>
      <c r="H46" s="25">
        <v>935</v>
      </c>
      <c r="I46" s="12">
        <v>4800</v>
      </c>
      <c r="J46" s="12">
        <f t="shared" si="5"/>
        <v>4488000</v>
      </c>
    </row>
    <row r="47" spans="1:10" x14ac:dyDescent="0.25">
      <c r="A47" s="12">
        <v>21</v>
      </c>
      <c r="B47" s="200"/>
      <c r="C47" s="28" t="s">
        <v>112</v>
      </c>
      <c r="D47" s="12">
        <f t="shared" ref="D47:D53" si="7">D38+100</f>
        <v>303</v>
      </c>
      <c r="E47" s="12" t="s">
        <v>73</v>
      </c>
      <c r="F47" s="19">
        <f>(20.719+6.275)*10.764</f>
        <v>290.56341599999996</v>
      </c>
      <c r="G47" s="19">
        <v>0</v>
      </c>
      <c r="H47" s="25">
        <v>455</v>
      </c>
      <c r="I47" s="12">
        <v>4800</v>
      </c>
      <c r="J47" s="12">
        <f t="shared" si="5"/>
        <v>2184000</v>
      </c>
    </row>
    <row r="48" spans="1:10" x14ac:dyDescent="0.25">
      <c r="A48" s="12">
        <v>22</v>
      </c>
      <c r="B48" s="200"/>
      <c r="C48" s="28" t="s">
        <v>112</v>
      </c>
      <c r="D48" s="12">
        <f t="shared" si="7"/>
        <v>304</v>
      </c>
      <c r="E48" s="12" t="s">
        <v>72</v>
      </c>
      <c r="F48" s="19">
        <f>(31.447+5.955)*10.764</f>
        <v>402.59512799999999</v>
      </c>
      <c r="G48" s="19">
        <f>5.55*10.764</f>
        <v>59.740199999999994</v>
      </c>
      <c r="H48" s="25">
        <v>715</v>
      </c>
      <c r="I48" s="12">
        <v>4800</v>
      </c>
      <c r="J48" s="12">
        <f t="shared" si="5"/>
        <v>3432000</v>
      </c>
    </row>
    <row r="49" spans="1:10" x14ac:dyDescent="0.25">
      <c r="A49" s="12">
        <v>23</v>
      </c>
      <c r="B49" s="200"/>
      <c r="C49" s="28" t="s">
        <v>112</v>
      </c>
      <c r="D49" s="12">
        <f t="shared" si="7"/>
        <v>305</v>
      </c>
      <c r="E49" s="12" t="s">
        <v>72</v>
      </c>
      <c r="F49" s="19">
        <f>(32.062+6.825)*10.764</f>
        <v>418.57966799999997</v>
      </c>
      <c r="G49" s="19">
        <f>5.55*10.764</f>
        <v>59.740199999999994</v>
      </c>
      <c r="H49" s="25">
        <v>750</v>
      </c>
      <c r="I49" s="12">
        <v>4800</v>
      </c>
      <c r="J49" s="12">
        <f t="shared" si="5"/>
        <v>3600000</v>
      </c>
    </row>
    <row r="50" spans="1:10" x14ac:dyDescent="0.25">
      <c r="A50" s="12">
        <v>24</v>
      </c>
      <c r="B50" s="200"/>
      <c r="C50" s="28" t="s">
        <v>112</v>
      </c>
      <c r="D50" s="12">
        <f t="shared" si="7"/>
        <v>306</v>
      </c>
      <c r="E50" s="12" t="s">
        <v>72</v>
      </c>
      <c r="F50" s="19">
        <f>(30.317+6.025)*10.764</f>
        <v>391.18528799999996</v>
      </c>
      <c r="G50" s="19">
        <f>4.301*10.764</f>
        <v>46.295963999999998</v>
      </c>
      <c r="H50" s="25">
        <v>675</v>
      </c>
      <c r="I50" s="12">
        <v>4800</v>
      </c>
      <c r="J50" s="12">
        <f t="shared" si="5"/>
        <v>3240000</v>
      </c>
    </row>
    <row r="51" spans="1:10" x14ac:dyDescent="0.25">
      <c r="A51" s="12">
        <v>25</v>
      </c>
      <c r="B51" s="200"/>
      <c r="C51" s="28" t="s">
        <v>112</v>
      </c>
      <c r="D51" s="12">
        <f t="shared" si="7"/>
        <v>307</v>
      </c>
      <c r="E51" s="12" t="s">
        <v>72</v>
      </c>
      <c r="F51" s="19">
        <f>(29.392+5.25)*10.764</f>
        <v>372.88648799999993</v>
      </c>
      <c r="G51" s="19">
        <f>4.301*10.764</f>
        <v>46.295963999999998</v>
      </c>
      <c r="H51" s="25">
        <v>645</v>
      </c>
      <c r="I51" s="12">
        <v>4800</v>
      </c>
      <c r="J51" s="12">
        <f t="shared" si="5"/>
        <v>3096000</v>
      </c>
    </row>
    <row r="52" spans="1:10" x14ac:dyDescent="0.25">
      <c r="A52" s="12">
        <v>26</v>
      </c>
      <c r="B52" s="200"/>
      <c r="C52" s="28" t="s">
        <v>112</v>
      </c>
      <c r="D52" s="12">
        <f t="shared" si="7"/>
        <v>308</v>
      </c>
      <c r="E52" s="12" t="s">
        <v>72</v>
      </c>
      <c r="F52" s="19">
        <f>(32.962+6.63)*10.764</f>
        <v>426.16828800000002</v>
      </c>
      <c r="G52" s="19">
        <f>4.185*10.764</f>
        <v>45.047339999999991</v>
      </c>
      <c r="H52" s="25">
        <v>740</v>
      </c>
      <c r="I52" s="12">
        <v>4800</v>
      </c>
      <c r="J52" s="12">
        <f t="shared" si="5"/>
        <v>3552000</v>
      </c>
    </row>
    <row r="53" spans="1:10" x14ac:dyDescent="0.25">
      <c r="A53" s="12">
        <v>27</v>
      </c>
      <c r="B53" s="201"/>
      <c r="C53" s="28" t="s">
        <v>112</v>
      </c>
      <c r="D53" s="12">
        <f t="shared" si="7"/>
        <v>309</v>
      </c>
      <c r="E53" s="12" t="s">
        <v>72</v>
      </c>
      <c r="F53" s="19">
        <f>(35.312+3.624)*10.764</f>
        <v>419.10710399999999</v>
      </c>
      <c r="G53" s="19">
        <f>3.135*10.764</f>
        <v>33.745139999999992</v>
      </c>
      <c r="H53" s="25">
        <v>715</v>
      </c>
      <c r="I53" s="12">
        <v>4800</v>
      </c>
      <c r="J53" s="12">
        <f t="shared" si="5"/>
        <v>3432000</v>
      </c>
    </row>
    <row r="54" spans="1:10" x14ac:dyDescent="0.25">
      <c r="A54" s="12">
        <v>28</v>
      </c>
      <c r="B54" s="199" t="s">
        <v>86</v>
      </c>
      <c r="C54" s="28" t="s">
        <v>112</v>
      </c>
      <c r="D54" s="12">
        <f>D45+100</f>
        <v>401</v>
      </c>
      <c r="E54" s="12" t="s">
        <v>72</v>
      </c>
      <c r="F54" s="19">
        <f>34.505*10.764</f>
        <v>371.41181999999998</v>
      </c>
      <c r="G54" s="19">
        <v>0</v>
      </c>
      <c r="H54" s="25">
        <v>585</v>
      </c>
      <c r="I54" s="12">
        <v>4800</v>
      </c>
      <c r="J54" s="12">
        <f t="shared" si="5"/>
        <v>2808000</v>
      </c>
    </row>
    <row r="55" spans="1:10" x14ac:dyDescent="0.25">
      <c r="A55" s="12">
        <v>29</v>
      </c>
      <c r="B55" s="200"/>
      <c r="C55" s="28" t="s">
        <v>112</v>
      </c>
      <c r="D55" s="12">
        <f>D46+100</f>
        <v>402</v>
      </c>
      <c r="E55" s="12" t="s">
        <v>94</v>
      </c>
      <c r="F55" s="19">
        <f>(39.567+11.158)*10.764</f>
        <v>546.00389999999993</v>
      </c>
      <c r="G55" s="19">
        <v>0</v>
      </c>
      <c r="H55" s="25">
        <v>850</v>
      </c>
      <c r="I55" s="12">
        <v>4800</v>
      </c>
      <c r="J55" s="12">
        <f t="shared" si="5"/>
        <v>4080000</v>
      </c>
    </row>
    <row r="56" spans="1:10" x14ac:dyDescent="0.25">
      <c r="A56" s="12">
        <v>30</v>
      </c>
      <c r="B56" s="200"/>
      <c r="C56" s="28" t="s">
        <v>112</v>
      </c>
      <c r="D56" s="12">
        <f t="shared" ref="D56:D62" si="8">D47+100</f>
        <v>403</v>
      </c>
      <c r="E56" s="12" t="s">
        <v>73</v>
      </c>
      <c r="F56" s="19">
        <f>(20.719+6.275)*10.764</f>
        <v>290.56341599999996</v>
      </c>
      <c r="G56" s="19">
        <v>0</v>
      </c>
      <c r="H56" s="25">
        <v>455</v>
      </c>
      <c r="I56" s="12">
        <v>4800</v>
      </c>
      <c r="J56" s="12">
        <f t="shared" si="5"/>
        <v>2184000</v>
      </c>
    </row>
    <row r="57" spans="1:10" x14ac:dyDescent="0.25">
      <c r="A57" s="12">
        <v>31</v>
      </c>
      <c r="B57" s="200"/>
      <c r="C57" s="28" t="s">
        <v>112</v>
      </c>
      <c r="D57" s="12">
        <f t="shared" si="8"/>
        <v>404</v>
      </c>
      <c r="E57" s="12" t="s">
        <v>72</v>
      </c>
      <c r="F57" s="19">
        <f>(31.447+5.955)*10.764</f>
        <v>402.59512799999999</v>
      </c>
      <c r="G57" s="19">
        <v>0</v>
      </c>
      <c r="H57" s="25">
        <v>625</v>
      </c>
      <c r="I57" s="12">
        <v>4800</v>
      </c>
      <c r="J57" s="12">
        <f t="shared" si="5"/>
        <v>3000000</v>
      </c>
    </row>
    <row r="58" spans="1:10" x14ac:dyDescent="0.25">
      <c r="A58" s="12">
        <v>32</v>
      </c>
      <c r="B58" s="200"/>
      <c r="C58" s="28" t="s">
        <v>112</v>
      </c>
      <c r="D58" s="12">
        <f t="shared" si="8"/>
        <v>405</v>
      </c>
      <c r="E58" s="12" t="s">
        <v>72</v>
      </c>
      <c r="F58" s="19">
        <f>(32.062+6.825)*10.764</f>
        <v>418.57966799999997</v>
      </c>
      <c r="G58" s="19">
        <v>0</v>
      </c>
      <c r="H58" s="25">
        <v>660</v>
      </c>
      <c r="I58" s="12">
        <v>4800</v>
      </c>
      <c r="J58" s="12">
        <f t="shared" si="5"/>
        <v>3168000</v>
      </c>
    </row>
    <row r="59" spans="1:10" x14ac:dyDescent="0.25">
      <c r="A59" s="12">
        <v>33</v>
      </c>
      <c r="B59" s="200"/>
      <c r="C59" s="28" t="s">
        <v>112</v>
      </c>
      <c r="D59" s="12">
        <f t="shared" si="8"/>
        <v>406</v>
      </c>
      <c r="E59" s="12" t="s">
        <v>72</v>
      </c>
      <c r="F59" s="19">
        <f>(30.317+6.025)*10.764</f>
        <v>391.18528799999996</v>
      </c>
      <c r="G59" s="19">
        <v>0</v>
      </c>
      <c r="H59" s="25">
        <v>605</v>
      </c>
      <c r="I59" s="12">
        <v>4800</v>
      </c>
      <c r="J59" s="12">
        <f t="shared" si="5"/>
        <v>2904000</v>
      </c>
    </row>
    <row r="60" spans="1:10" x14ac:dyDescent="0.25">
      <c r="A60" s="12">
        <v>34</v>
      </c>
      <c r="B60" s="200"/>
      <c r="C60" s="28" t="s">
        <v>112</v>
      </c>
      <c r="D60" s="12">
        <f t="shared" si="8"/>
        <v>407</v>
      </c>
      <c r="E60" s="12" t="s">
        <v>72</v>
      </c>
      <c r="F60" s="19">
        <f>(29.392+5.25)*10.764</f>
        <v>372.88648799999993</v>
      </c>
      <c r="G60" s="19">
        <v>0</v>
      </c>
      <c r="H60" s="25">
        <v>570</v>
      </c>
      <c r="I60" s="12">
        <v>4800</v>
      </c>
      <c r="J60" s="12">
        <f t="shared" si="5"/>
        <v>2736000</v>
      </c>
    </row>
    <row r="61" spans="1:10" x14ac:dyDescent="0.25">
      <c r="A61" s="12">
        <v>35</v>
      </c>
      <c r="B61" s="200"/>
      <c r="C61" s="28" t="s">
        <v>112</v>
      </c>
      <c r="D61" s="12">
        <f t="shared" si="8"/>
        <v>408</v>
      </c>
      <c r="E61" s="12" t="s">
        <v>72</v>
      </c>
      <c r="F61" s="19">
        <f>(32.962+6.63)*10.764</f>
        <v>426.16828800000002</v>
      </c>
      <c r="G61" s="19">
        <v>0</v>
      </c>
      <c r="H61" s="25">
        <v>670</v>
      </c>
      <c r="I61" s="12">
        <v>4800</v>
      </c>
      <c r="J61" s="12">
        <f t="shared" si="5"/>
        <v>3216000</v>
      </c>
    </row>
    <row r="62" spans="1:10" x14ac:dyDescent="0.25">
      <c r="A62" s="12">
        <v>36</v>
      </c>
      <c r="B62" s="201"/>
      <c r="C62" s="28" t="s">
        <v>112</v>
      </c>
      <c r="D62" s="12">
        <f t="shared" si="8"/>
        <v>409</v>
      </c>
      <c r="E62" s="12" t="s">
        <v>72</v>
      </c>
      <c r="F62" s="19">
        <f>(35.312+3.624)*10.764</f>
        <v>419.10710399999999</v>
      </c>
      <c r="G62" s="19">
        <f>3.85*10.764</f>
        <v>41.441400000000002</v>
      </c>
      <c r="H62" s="25">
        <v>725</v>
      </c>
      <c r="I62" s="12">
        <v>4800</v>
      </c>
      <c r="J62" s="12">
        <f t="shared" si="5"/>
        <v>3480000</v>
      </c>
    </row>
    <row r="63" spans="1:10" x14ac:dyDescent="0.25">
      <c r="A63" s="12">
        <v>37</v>
      </c>
      <c r="B63" s="199" t="s">
        <v>87</v>
      </c>
      <c r="C63" s="28" t="s">
        <v>112</v>
      </c>
      <c r="D63" s="12">
        <f>D54+100</f>
        <v>501</v>
      </c>
      <c r="E63" s="12" t="s">
        <v>72</v>
      </c>
      <c r="F63" s="19">
        <f>34.505*10.764</f>
        <v>371.41181999999998</v>
      </c>
      <c r="G63" s="19">
        <f>4.32*10.764</f>
        <v>46.500480000000003</v>
      </c>
      <c r="H63" s="25">
        <v>655</v>
      </c>
      <c r="I63" s="12">
        <v>4800</v>
      </c>
      <c r="J63" s="12">
        <f t="shared" si="5"/>
        <v>3144000</v>
      </c>
    </row>
    <row r="64" spans="1:10" x14ac:dyDescent="0.25">
      <c r="A64" s="12">
        <v>38</v>
      </c>
      <c r="B64" s="200"/>
      <c r="C64" s="28" t="s">
        <v>112</v>
      </c>
      <c r="D64" s="12">
        <f>D55+100</f>
        <v>502</v>
      </c>
      <c r="E64" s="12" t="s">
        <v>94</v>
      </c>
      <c r="F64" s="19">
        <f>(39.567+11.158)*10.764</f>
        <v>546.00389999999993</v>
      </c>
      <c r="G64" s="19">
        <f>4.95*10.764</f>
        <v>53.281799999999997</v>
      </c>
      <c r="H64" s="25">
        <v>935</v>
      </c>
      <c r="I64" s="12">
        <v>4800</v>
      </c>
      <c r="J64" s="12">
        <f t="shared" si="5"/>
        <v>4488000</v>
      </c>
    </row>
    <row r="65" spans="1:10" x14ac:dyDescent="0.25">
      <c r="A65" s="12">
        <v>39</v>
      </c>
      <c r="B65" s="200"/>
      <c r="C65" s="28" t="s">
        <v>112</v>
      </c>
      <c r="D65" s="12">
        <f t="shared" ref="D65:D71" si="9">D56+100</f>
        <v>503</v>
      </c>
      <c r="E65" s="12" t="s">
        <v>73</v>
      </c>
      <c r="F65" s="19">
        <f>(20.719+6.275)*10.764</f>
        <v>290.56341599999996</v>
      </c>
      <c r="G65" s="19">
        <v>0</v>
      </c>
      <c r="H65" s="25">
        <v>455</v>
      </c>
      <c r="I65" s="12">
        <v>4800</v>
      </c>
      <c r="J65" s="12">
        <f t="shared" si="5"/>
        <v>2184000</v>
      </c>
    </row>
    <row r="66" spans="1:10" x14ac:dyDescent="0.25">
      <c r="A66" s="12">
        <v>40</v>
      </c>
      <c r="B66" s="200"/>
      <c r="C66" s="28" t="s">
        <v>112</v>
      </c>
      <c r="D66" s="12">
        <f t="shared" si="9"/>
        <v>504</v>
      </c>
      <c r="E66" s="12" t="s">
        <v>72</v>
      </c>
      <c r="F66" s="19">
        <f>(31.447+5.955)*10.764</f>
        <v>402.59512799999999</v>
      </c>
      <c r="G66" s="19">
        <f>5.55*10.764</f>
        <v>59.740199999999994</v>
      </c>
      <c r="H66" s="25">
        <v>715</v>
      </c>
      <c r="I66" s="12">
        <v>4800</v>
      </c>
      <c r="J66" s="12">
        <f t="shared" si="5"/>
        <v>3432000</v>
      </c>
    </row>
    <row r="67" spans="1:10" x14ac:dyDescent="0.25">
      <c r="A67" s="12">
        <v>41</v>
      </c>
      <c r="B67" s="200"/>
      <c r="C67" s="28" t="s">
        <v>112</v>
      </c>
      <c r="D67" s="12">
        <f t="shared" si="9"/>
        <v>505</v>
      </c>
      <c r="E67" s="12" t="s">
        <v>72</v>
      </c>
      <c r="F67" s="19">
        <f>(32.062+6.825)*10.764</f>
        <v>418.57966799999997</v>
      </c>
      <c r="G67" s="19">
        <f>5.55*10.764</f>
        <v>59.740199999999994</v>
      </c>
      <c r="H67" s="25">
        <v>750</v>
      </c>
      <c r="I67" s="12">
        <v>4800</v>
      </c>
      <c r="J67" s="12">
        <f t="shared" si="5"/>
        <v>3600000</v>
      </c>
    </row>
    <row r="68" spans="1:10" x14ac:dyDescent="0.25">
      <c r="A68" s="12">
        <v>42</v>
      </c>
      <c r="B68" s="200"/>
      <c r="C68" s="28" t="s">
        <v>112</v>
      </c>
      <c r="D68" s="12">
        <f t="shared" si="9"/>
        <v>506</v>
      </c>
      <c r="E68" s="12" t="s">
        <v>72</v>
      </c>
      <c r="F68" s="19">
        <f>(30.317+6.025)*10.764</f>
        <v>391.18528799999996</v>
      </c>
      <c r="G68" s="19">
        <f>4.301*10.764</f>
        <v>46.295963999999998</v>
      </c>
      <c r="H68" s="25">
        <v>675</v>
      </c>
      <c r="I68" s="12">
        <v>4800</v>
      </c>
      <c r="J68" s="12">
        <f t="shared" si="5"/>
        <v>3240000</v>
      </c>
    </row>
    <row r="69" spans="1:10" x14ac:dyDescent="0.25">
      <c r="A69" s="12">
        <v>43</v>
      </c>
      <c r="B69" s="200"/>
      <c r="C69" s="28" t="s">
        <v>112</v>
      </c>
      <c r="D69" s="12">
        <f t="shared" si="9"/>
        <v>507</v>
      </c>
      <c r="E69" s="12" t="s">
        <v>72</v>
      </c>
      <c r="F69" s="19">
        <f>(29.392+5.25)*10.764</f>
        <v>372.88648799999993</v>
      </c>
      <c r="G69" s="19">
        <f>4.301*10.764</f>
        <v>46.295963999999998</v>
      </c>
      <c r="H69" s="25">
        <v>645</v>
      </c>
      <c r="I69" s="12">
        <v>4800</v>
      </c>
      <c r="J69" s="12">
        <f t="shared" si="5"/>
        <v>3096000</v>
      </c>
    </row>
    <row r="70" spans="1:10" x14ac:dyDescent="0.25">
      <c r="A70" s="12">
        <v>44</v>
      </c>
      <c r="B70" s="200"/>
      <c r="C70" s="28" t="s">
        <v>112</v>
      </c>
      <c r="D70" s="12">
        <f t="shared" si="9"/>
        <v>508</v>
      </c>
      <c r="E70" s="12" t="s">
        <v>72</v>
      </c>
      <c r="F70" s="19">
        <f>(32.962+6.63)*10.764</f>
        <v>426.16828800000002</v>
      </c>
      <c r="G70" s="19">
        <f>4.185*10.764</f>
        <v>45.047339999999991</v>
      </c>
      <c r="H70" s="25">
        <v>740</v>
      </c>
      <c r="I70" s="12">
        <v>4800</v>
      </c>
      <c r="J70" s="12">
        <f t="shared" si="5"/>
        <v>3552000</v>
      </c>
    </row>
    <row r="71" spans="1:10" x14ac:dyDescent="0.25">
      <c r="A71" s="12">
        <v>45</v>
      </c>
      <c r="B71" s="201"/>
      <c r="C71" s="28" t="s">
        <v>112</v>
      </c>
      <c r="D71" s="12">
        <f t="shared" si="9"/>
        <v>509</v>
      </c>
      <c r="E71" s="12" t="s">
        <v>72</v>
      </c>
      <c r="F71" s="19">
        <f>(35.312+3.624)*10.764</f>
        <v>419.10710399999999</v>
      </c>
      <c r="G71" s="19">
        <f>3.135*10.764</f>
        <v>33.745139999999992</v>
      </c>
      <c r="H71" s="25">
        <v>715</v>
      </c>
      <c r="I71" s="12">
        <v>4800</v>
      </c>
      <c r="J71" s="12">
        <f t="shared" si="5"/>
        <v>3432000</v>
      </c>
    </row>
    <row r="72" spans="1:10" x14ac:dyDescent="0.25">
      <c r="A72" s="12">
        <v>46</v>
      </c>
      <c r="B72" s="199" t="s">
        <v>88</v>
      </c>
      <c r="C72" s="28" t="s">
        <v>112</v>
      </c>
      <c r="D72" s="12">
        <f>D63+100</f>
        <v>601</v>
      </c>
      <c r="E72" s="12" t="s">
        <v>72</v>
      </c>
      <c r="F72" s="19">
        <f>34.505*10.764</f>
        <v>371.41181999999998</v>
      </c>
      <c r="G72" s="19">
        <v>0</v>
      </c>
      <c r="H72" s="25">
        <v>585</v>
      </c>
      <c r="I72" s="12">
        <v>4800</v>
      </c>
      <c r="J72" s="12">
        <f t="shared" si="5"/>
        <v>2808000</v>
      </c>
    </row>
    <row r="73" spans="1:10" x14ac:dyDescent="0.25">
      <c r="A73" s="12">
        <v>47</v>
      </c>
      <c r="B73" s="200"/>
      <c r="C73" s="28" t="s">
        <v>112</v>
      </c>
      <c r="D73" s="12">
        <f>D64+100</f>
        <v>602</v>
      </c>
      <c r="E73" s="12" t="s">
        <v>94</v>
      </c>
      <c r="F73" s="19">
        <f>(39.567+11.158)*10.764</f>
        <v>546.00389999999993</v>
      </c>
      <c r="G73" s="19">
        <v>0</v>
      </c>
      <c r="H73" s="25">
        <v>850</v>
      </c>
      <c r="I73" s="12">
        <v>4800</v>
      </c>
      <c r="J73" s="12">
        <f t="shared" si="5"/>
        <v>4080000</v>
      </c>
    </row>
    <row r="74" spans="1:10" x14ac:dyDescent="0.25">
      <c r="A74" s="12">
        <v>48</v>
      </c>
      <c r="B74" s="200"/>
      <c r="C74" s="28" t="s">
        <v>112</v>
      </c>
      <c r="D74" s="12">
        <f t="shared" ref="D74:D80" si="10">D65+100</f>
        <v>603</v>
      </c>
      <c r="E74" s="12" t="s">
        <v>73</v>
      </c>
      <c r="F74" s="19">
        <f>(20.719+6.275)*10.764</f>
        <v>290.56341599999996</v>
      </c>
      <c r="G74" s="19">
        <v>0</v>
      </c>
      <c r="H74" s="25">
        <v>455</v>
      </c>
      <c r="I74" s="12">
        <v>4800</v>
      </c>
      <c r="J74" s="12">
        <f t="shared" si="5"/>
        <v>2184000</v>
      </c>
    </row>
    <row r="75" spans="1:10" x14ac:dyDescent="0.25">
      <c r="A75" s="12">
        <v>49</v>
      </c>
      <c r="B75" s="200"/>
      <c r="C75" s="28" t="s">
        <v>112</v>
      </c>
      <c r="D75" s="12">
        <f t="shared" si="10"/>
        <v>604</v>
      </c>
      <c r="E75" s="12" t="s">
        <v>72</v>
      </c>
      <c r="F75" s="19">
        <f>(31.447+5.955)*10.764</f>
        <v>402.59512799999999</v>
      </c>
      <c r="G75" s="19">
        <v>0</v>
      </c>
      <c r="H75" s="25">
        <v>625</v>
      </c>
      <c r="I75" s="12">
        <v>4800</v>
      </c>
      <c r="J75" s="12">
        <f t="shared" si="5"/>
        <v>3000000</v>
      </c>
    </row>
    <row r="76" spans="1:10" x14ac:dyDescent="0.25">
      <c r="A76" s="12">
        <v>50</v>
      </c>
      <c r="B76" s="200"/>
      <c r="C76" s="28" t="s">
        <v>112</v>
      </c>
      <c r="D76" s="12">
        <f t="shared" si="10"/>
        <v>605</v>
      </c>
      <c r="E76" s="12" t="s">
        <v>72</v>
      </c>
      <c r="F76" s="19">
        <f>(32.062+6.825)*10.764</f>
        <v>418.57966799999997</v>
      </c>
      <c r="G76" s="19">
        <v>0</v>
      </c>
      <c r="H76" s="25">
        <v>660</v>
      </c>
      <c r="I76" s="12">
        <v>4800</v>
      </c>
      <c r="J76" s="12">
        <f t="shared" si="5"/>
        <v>3168000</v>
      </c>
    </row>
    <row r="77" spans="1:10" x14ac:dyDescent="0.25">
      <c r="A77" s="12">
        <v>51</v>
      </c>
      <c r="B77" s="200"/>
      <c r="C77" s="28" t="s">
        <v>112</v>
      </c>
      <c r="D77" s="12">
        <f t="shared" si="10"/>
        <v>606</v>
      </c>
      <c r="E77" s="12" t="s">
        <v>72</v>
      </c>
      <c r="F77" s="19">
        <f>(30.317+6.025)*10.764</f>
        <v>391.18528799999996</v>
      </c>
      <c r="G77" s="19">
        <v>0</v>
      </c>
      <c r="H77" s="25">
        <v>605</v>
      </c>
      <c r="I77" s="12">
        <v>4800</v>
      </c>
      <c r="J77" s="12">
        <f t="shared" si="5"/>
        <v>2904000</v>
      </c>
    </row>
    <row r="78" spans="1:10" x14ac:dyDescent="0.25">
      <c r="A78" s="12">
        <v>52</v>
      </c>
      <c r="B78" s="200"/>
      <c r="C78" s="28" t="s">
        <v>112</v>
      </c>
      <c r="D78" s="12">
        <f t="shared" si="10"/>
        <v>607</v>
      </c>
      <c r="E78" s="12" t="s">
        <v>72</v>
      </c>
      <c r="F78" s="19">
        <f>(29.392+5.25)*10.764</f>
        <v>372.88648799999993</v>
      </c>
      <c r="G78" s="19">
        <v>0</v>
      </c>
      <c r="H78" s="25">
        <v>570</v>
      </c>
      <c r="I78" s="12">
        <v>4800</v>
      </c>
      <c r="J78" s="12">
        <f t="shared" si="5"/>
        <v>2736000</v>
      </c>
    </row>
    <row r="79" spans="1:10" x14ac:dyDescent="0.25">
      <c r="A79" s="12">
        <v>53</v>
      </c>
      <c r="B79" s="200"/>
      <c r="C79" s="28" t="s">
        <v>112</v>
      </c>
      <c r="D79" s="12">
        <f t="shared" si="10"/>
        <v>608</v>
      </c>
      <c r="E79" s="12" t="s">
        <v>72</v>
      </c>
      <c r="F79" s="19">
        <f>(32.962+6.63)*10.764</f>
        <v>426.16828800000002</v>
      </c>
      <c r="G79" s="19">
        <v>0</v>
      </c>
      <c r="H79" s="25">
        <v>670</v>
      </c>
      <c r="I79" s="12">
        <v>4800</v>
      </c>
      <c r="J79" s="12">
        <f t="shared" si="5"/>
        <v>3216000</v>
      </c>
    </row>
    <row r="80" spans="1:10" x14ac:dyDescent="0.25">
      <c r="A80" s="12">
        <v>54</v>
      </c>
      <c r="B80" s="201"/>
      <c r="C80" s="28" t="s">
        <v>112</v>
      </c>
      <c r="D80" s="12">
        <f t="shared" si="10"/>
        <v>609</v>
      </c>
      <c r="E80" s="12" t="s">
        <v>72</v>
      </c>
      <c r="F80" s="19">
        <f>(35.312+3.624)*10.764</f>
        <v>419.10710399999999</v>
      </c>
      <c r="G80" s="19">
        <f>3.85*10.764</f>
        <v>41.441400000000002</v>
      </c>
      <c r="H80" s="25">
        <v>725</v>
      </c>
      <c r="I80" s="12">
        <v>4800</v>
      </c>
      <c r="J80" s="12">
        <f t="shared" si="5"/>
        <v>3480000</v>
      </c>
    </row>
    <row r="81" spans="1:10" x14ac:dyDescent="0.25">
      <c r="A81" s="12">
        <v>55</v>
      </c>
      <c r="B81" s="199" t="s">
        <v>89</v>
      </c>
      <c r="C81" s="28" t="s">
        <v>112</v>
      </c>
      <c r="D81" s="12">
        <f>D72+100</f>
        <v>701</v>
      </c>
      <c r="E81" s="12" t="s">
        <v>72</v>
      </c>
      <c r="F81" s="19">
        <f>34.505*10.764</f>
        <v>371.41181999999998</v>
      </c>
      <c r="G81" s="19">
        <f>4.32*10.764</f>
        <v>46.500480000000003</v>
      </c>
      <c r="H81" s="25">
        <v>655</v>
      </c>
      <c r="I81" s="12">
        <v>4800</v>
      </c>
      <c r="J81" s="12">
        <f t="shared" si="5"/>
        <v>3144000</v>
      </c>
    </row>
    <row r="82" spans="1:10" x14ac:dyDescent="0.25">
      <c r="A82" s="12">
        <v>56</v>
      </c>
      <c r="B82" s="200"/>
      <c r="C82" s="28" t="s">
        <v>112</v>
      </c>
      <c r="D82" s="12">
        <f>D73+100</f>
        <v>702</v>
      </c>
      <c r="E82" s="12" t="s">
        <v>94</v>
      </c>
      <c r="F82" s="19">
        <f>(39.567+11.158)*10.764</f>
        <v>546.00389999999993</v>
      </c>
      <c r="G82" s="19">
        <f>4.95*10.764</f>
        <v>53.281799999999997</v>
      </c>
      <c r="H82" s="25">
        <v>935</v>
      </c>
      <c r="I82" s="12">
        <v>4800</v>
      </c>
      <c r="J82" s="12">
        <f t="shared" si="5"/>
        <v>4488000</v>
      </c>
    </row>
    <row r="83" spans="1:10" x14ac:dyDescent="0.25">
      <c r="A83" s="12">
        <v>57</v>
      </c>
      <c r="B83" s="200"/>
      <c r="C83" s="28" t="s">
        <v>112</v>
      </c>
      <c r="D83" s="12">
        <f t="shared" ref="D83:D89" si="11">D74+100</f>
        <v>703</v>
      </c>
      <c r="E83" s="12" t="s">
        <v>73</v>
      </c>
      <c r="F83" s="19">
        <f>(20.719+6.275)*10.764</f>
        <v>290.56341599999996</v>
      </c>
      <c r="G83" s="19">
        <v>0</v>
      </c>
      <c r="H83" s="25">
        <v>455</v>
      </c>
      <c r="I83" s="12">
        <v>4800</v>
      </c>
      <c r="J83" s="12">
        <f t="shared" si="5"/>
        <v>2184000</v>
      </c>
    </row>
    <row r="84" spans="1:10" x14ac:dyDescent="0.25">
      <c r="A84" s="12">
        <v>58</v>
      </c>
      <c r="B84" s="200"/>
      <c r="C84" s="28" t="s">
        <v>112</v>
      </c>
      <c r="D84" s="12">
        <f t="shared" si="11"/>
        <v>704</v>
      </c>
      <c r="E84" s="12" t="s">
        <v>72</v>
      </c>
      <c r="F84" s="19">
        <f>(31.447+5.955)*10.764</f>
        <v>402.59512799999999</v>
      </c>
      <c r="G84" s="19">
        <f>5.55*10.764</f>
        <v>59.740199999999994</v>
      </c>
      <c r="H84" s="25">
        <v>715</v>
      </c>
      <c r="I84" s="12">
        <v>4800</v>
      </c>
      <c r="J84" s="12">
        <f t="shared" si="5"/>
        <v>3432000</v>
      </c>
    </row>
    <row r="85" spans="1:10" x14ac:dyDescent="0.25">
      <c r="A85" s="12">
        <v>59</v>
      </c>
      <c r="B85" s="200"/>
      <c r="C85" s="28" t="s">
        <v>112</v>
      </c>
      <c r="D85" s="12">
        <f t="shared" si="11"/>
        <v>705</v>
      </c>
      <c r="E85" s="12" t="s">
        <v>72</v>
      </c>
      <c r="F85" s="19">
        <f>(32.062+6.825)*10.764</f>
        <v>418.57966799999997</v>
      </c>
      <c r="G85" s="19">
        <f>5.55*10.764</f>
        <v>59.740199999999994</v>
      </c>
      <c r="H85" s="25">
        <v>750</v>
      </c>
      <c r="I85" s="12">
        <v>4800</v>
      </c>
      <c r="J85" s="12">
        <f t="shared" si="5"/>
        <v>3600000</v>
      </c>
    </row>
    <row r="86" spans="1:10" x14ac:dyDescent="0.25">
      <c r="A86" s="12">
        <v>60</v>
      </c>
      <c r="B86" s="200"/>
      <c r="C86" s="28" t="s">
        <v>112</v>
      </c>
      <c r="D86" s="12">
        <f t="shared" si="11"/>
        <v>706</v>
      </c>
      <c r="E86" s="12" t="s">
        <v>72</v>
      </c>
      <c r="F86" s="19">
        <f>(30.317+6.025)*10.764</f>
        <v>391.18528799999996</v>
      </c>
      <c r="G86" s="19">
        <f>4.301*10.764</f>
        <v>46.295963999999998</v>
      </c>
      <c r="H86" s="25">
        <v>675</v>
      </c>
      <c r="I86" s="12">
        <v>4800</v>
      </c>
      <c r="J86" s="12">
        <f t="shared" si="5"/>
        <v>3240000</v>
      </c>
    </row>
    <row r="87" spans="1:10" x14ac:dyDescent="0.25">
      <c r="A87" s="12">
        <v>61</v>
      </c>
      <c r="B87" s="200"/>
      <c r="C87" s="28" t="s">
        <v>112</v>
      </c>
      <c r="D87" s="12">
        <f t="shared" si="11"/>
        <v>707</v>
      </c>
      <c r="E87" s="12" t="s">
        <v>72</v>
      </c>
      <c r="F87" s="19">
        <f>(29.392+5.25)*10.764</f>
        <v>372.88648799999993</v>
      </c>
      <c r="G87" s="19">
        <f>4.301*10.764</f>
        <v>46.295963999999998</v>
      </c>
      <c r="H87" s="25">
        <v>645</v>
      </c>
      <c r="I87" s="12">
        <v>4800</v>
      </c>
      <c r="J87" s="12">
        <f t="shared" si="5"/>
        <v>3096000</v>
      </c>
    </row>
    <row r="88" spans="1:10" x14ac:dyDescent="0.25">
      <c r="A88" s="12">
        <v>62</v>
      </c>
      <c r="B88" s="200"/>
      <c r="C88" s="28" t="s">
        <v>112</v>
      </c>
      <c r="D88" s="12">
        <f t="shared" si="11"/>
        <v>708</v>
      </c>
      <c r="E88" s="12" t="s">
        <v>72</v>
      </c>
      <c r="F88" s="19">
        <f>(32.962+6.63)*10.764</f>
        <v>426.16828800000002</v>
      </c>
      <c r="G88" s="19">
        <f>4.185*10.764</f>
        <v>45.047339999999991</v>
      </c>
      <c r="H88" s="25">
        <v>740</v>
      </c>
      <c r="I88" s="12">
        <v>4800</v>
      </c>
      <c r="J88" s="12">
        <f t="shared" si="5"/>
        <v>3552000</v>
      </c>
    </row>
    <row r="89" spans="1:10" x14ac:dyDescent="0.25">
      <c r="A89" s="12">
        <v>63</v>
      </c>
      <c r="B89" s="201"/>
      <c r="C89" s="28" t="s">
        <v>112</v>
      </c>
      <c r="D89" s="12">
        <f t="shared" si="11"/>
        <v>709</v>
      </c>
      <c r="E89" s="12" t="s">
        <v>72</v>
      </c>
      <c r="F89" s="19">
        <f>(35.312+3.624)*10.764</f>
        <v>419.10710399999999</v>
      </c>
      <c r="G89" s="19">
        <f>3.135*10.764</f>
        <v>33.745139999999992</v>
      </c>
      <c r="H89" s="25">
        <v>715</v>
      </c>
      <c r="I89" s="12">
        <v>4800</v>
      </c>
      <c r="J89" s="12">
        <f t="shared" si="5"/>
        <v>3432000</v>
      </c>
    </row>
    <row r="90" spans="1:10" x14ac:dyDescent="0.25">
      <c r="A90" s="286" t="s">
        <v>96</v>
      </c>
      <c r="B90" s="286"/>
      <c r="C90" s="286"/>
      <c r="D90" s="286"/>
      <c r="E90" s="286"/>
      <c r="F90" s="286"/>
      <c r="G90" s="286"/>
      <c r="H90" s="286"/>
      <c r="I90" s="286"/>
      <c r="J90" s="286"/>
    </row>
    <row r="91" spans="1:10" x14ac:dyDescent="0.25">
      <c r="A91" s="286" t="s">
        <v>81</v>
      </c>
      <c r="B91" s="286"/>
      <c r="C91" s="286"/>
      <c r="D91" s="286"/>
      <c r="E91" s="286"/>
      <c r="F91" s="286"/>
      <c r="G91" s="286"/>
      <c r="H91" s="286"/>
      <c r="I91" s="286"/>
      <c r="J91" s="286"/>
    </row>
    <row r="92" spans="1:10" x14ac:dyDescent="0.25">
      <c r="A92" s="12">
        <v>1</v>
      </c>
      <c r="B92" s="199" t="s">
        <v>82</v>
      </c>
      <c r="C92" s="28" t="s">
        <v>113</v>
      </c>
      <c r="D92" s="12">
        <v>101</v>
      </c>
      <c r="E92" s="12" t="s">
        <v>94</v>
      </c>
      <c r="F92" s="19">
        <f>(41.081+11.114)*10.764</f>
        <v>561.82698000000005</v>
      </c>
      <c r="G92" s="19">
        <f>5.896*10.764</f>
        <v>63.464543999999997</v>
      </c>
      <c r="H92" s="25">
        <v>980</v>
      </c>
      <c r="I92" s="12">
        <v>4800</v>
      </c>
      <c r="J92" s="12">
        <f t="shared" ref="J92:J155" si="12">H92*I92</f>
        <v>4704000</v>
      </c>
    </row>
    <row r="93" spans="1:10" x14ac:dyDescent="0.25">
      <c r="A93" s="12">
        <v>2</v>
      </c>
      <c r="B93" s="200"/>
      <c r="C93" s="28" t="s">
        <v>113</v>
      </c>
      <c r="D93" s="12">
        <v>102</v>
      </c>
      <c r="E93" s="12" t="s">
        <v>73</v>
      </c>
      <c r="F93" s="19">
        <f>(18.012+6.59)*10.764</f>
        <v>264.81592799999999</v>
      </c>
      <c r="G93" s="19">
        <v>0</v>
      </c>
      <c r="H93" s="25">
        <v>405</v>
      </c>
      <c r="I93" s="12">
        <v>4800</v>
      </c>
      <c r="J93" s="12">
        <f t="shared" si="12"/>
        <v>1944000</v>
      </c>
    </row>
    <row r="94" spans="1:10" x14ac:dyDescent="0.25">
      <c r="A94" s="12">
        <v>3</v>
      </c>
      <c r="B94" s="200"/>
      <c r="C94" s="28" t="s">
        <v>113</v>
      </c>
      <c r="D94" s="12">
        <v>103</v>
      </c>
      <c r="E94" s="12" t="s">
        <v>72</v>
      </c>
      <c r="F94" s="19">
        <f>(29.805+7.205)*10.764</f>
        <v>398.37563999999998</v>
      </c>
      <c r="G94" s="19">
        <f>5.7*10.764</f>
        <v>61.354799999999997</v>
      </c>
      <c r="H94" s="25">
        <v>720</v>
      </c>
      <c r="I94" s="12">
        <v>4800</v>
      </c>
      <c r="J94" s="12">
        <f t="shared" si="12"/>
        <v>3456000</v>
      </c>
    </row>
    <row r="95" spans="1:10" x14ac:dyDescent="0.25">
      <c r="A95" s="12">
        <v>4</v>
      </c>
      <c r="B95" s="200"/>
      <c r="C95" s="28" t="s">
        <v>113</v>
      </c>
      <c r="D95" s="12">
        <v>104</v>
      </c>
      <c r="E95" s="12" t="s">
        <v>72</v>
      </c>
      <c r="F95" s="19">
        <f>(31.83)*10.764</f>
        <v>342.61811999999998</v>
      </c>
      <c r="G95" s="19">
        <f>6.383*10.764</f>
        <v>68.706611999999993</v>
      </c>
      <c r="H95" s="25">
        <v>650</v>
      </c>
      <c r="I95" s="12">
        <v>4800</v>
      </c>
      <c r="J95" s="12">
        <f t="shared" si="12"/>
        <v>3120000</v>
      </c>
    </row>
    <row r="96" spans="1:10" x14ac:dyDescent="0.25">
      <c r="A96" s="12">
        <v>5</v>
      </c>
      <c r="B96" s="200"/>
      <c r="C96" s="28" t="s">
        <v>113</v>
      </c>
      <c r="D96" s="12">
        <v>105</v>
      </c>
      <c r="E96" s="12" t="s">
        <v>72</v>
      </c>
      <c r="F96" s="19">
        <f>(32.089+6.728)*10.764</f>
        <v>417.826188</v>
      </c>
      <c r="G96" s="19">
        <f>6.383*10.764</f>
        <v>68.706611999999993</v>
      </c>
      <c r="H96" s="25">
        <v>765</v>
      </c>
      <c r="I96" s="12">
        <v>4800</v>
      </c>
      <c r="J96" s="12">
        <f t="shared" si="12"/>
        <v>3672000</v>
      </c>
    </row>
    <row r="97" spans="1:10" x14ac:dyDescent="0.25">
      <c r="A97" s="12">
        <v>6</v>
      </c>
      <c r="B97" s="200"/>
      <c r="C97" s="28" t="s">
        <v>113</v>
      </c>
      <c r="D97" s="12">
        <v>106</v>
      </c>
      <c r="E97" s="12" t="s">
        <v>72</v>
      </c>
      <c r="F97" s="19">
        <f>(31.884+6.728)*10.764</f>
        <v>415.61956800000002</v>
      </c>
      <c r="G97" s="19">
        <f>4.093*10.764</f>
        <v>44.057051999999999</v>
      </c>
      <c r="H97" s="25">
        <v>725</v>
      </c>
      <c r="I97" s="12">
        <v>4800</v>
      </c>
      <c r="J97" s="12">
        <f t="shared" si="12"/>
        <v>3480000</v>
      </c>
    </row>
    <row r="98" spans="1:10" x14ac:dyDescent="0.25">
      <c r="A98" s="12">
        <v>7</v>
      </c>
      <c r="B98" s="200"/>
      <c r="C98" s="28" t="s">
        <v>113</v>
      </c>
      <c r="D98" s="12">
        <v>107</v>
      </c>
      <c r="E98" s="12" t="s">
        <v>72</v>
      </c>
      <c r="F98" s="19">
        <f>(32.144+7.085)*10.764</f>
        <v>422.26095599999996</v>
      </c>
      <c r="G98" s="19">
        <f>4.093*10.764</f>
        <v>44.057051999999999</v>
      </c>
      <c r="H98" s="25">
        <v>735</v>
      </c>
      <c r="I98" s="12">
        <v>4800</v>
      </c>
      <c r="J98" s="12">
        <f t="shared" si="12"/>
        <v>3528000</v>
      </c>
    </row>
    <row r="99" spans="1:10" x14ac:dyDescent="0.25">
      <c r="A99" s="12">
        <v>8</v>
      </c>
      <c r="B99" s="200"/>
      <c r="C99" s="28" t="s">
        <v>113</v>
      </c>
      <c r="D99" s="12">
        <v>108</v>
      </c>
      <c r="E99" s="12" t="s">
        <v>72</v>
      </c>
      <c r="F99" s="19">
        <f>(31.468+6.89)*10.764</f>
        <v>412.88551199999995</v>
      </c>
      <c r="G99" s="19">
        <f>5.059*10.764</f>
        <v>54.455075999999998</v>
      </c>
      <c r="H99" s="25">
        <v>735</v>
      </c>
      <c r="I99" s="12">
        <v>4800</v>
      </c>
      <c r="J99" s="12">
        <f t="shared" si="12"/>
        <v>3528000</v>
      </c>
    </row>
    <row r="100" spans="1:10" x14ac:dyDescent="0.25">
      <c r="A100" s="12">
        <v>9</v>
      </c>
      <c r="B100" s="200"/>
      <c r="C100" s="28" t="s">
        <v>113</v>
      </c>
      <c r="D100" s="12">
        <v>109</v>
      </c>
      <c r="E100" s="12" t="s">
        <v>72</v>
      </c>
      <c r="F100" s="19">
        <f>(28.608+5.955)*10.764</f>
        <v>372.03613200000001</v>
      </c>
      <c r="G100" s="19">
        <f>3.983*10.764</f>
        <v>42.873011999999996</v>
      </c>
      <c r="H100" s="25">
        <v>645</v>
      </c>
      <c r="I100" s="12">
        <v>4800</v>
      </c>
      <c r="J100" s="12">
        <f t="shared" si="12"/>
        <v>3096000</v>
      </c>
    </row>
    <row r="101" spans="1:10" x14ac:dyDescent="0.25">
      <c r="A101" s="12">
        <v>10</v>
      </c>
      <c r="B101" s="201"/>
      <c r="C101" s="28" t="s">
        <v>113</v>
      </c>
      <c r="D101" s="12">
        <v>110</v>
      </c>
      <c r="E101" s="12" t="s">
        <v>72</v>
      </c>
      <c r="F101" s="19">
        <f>(28.608+2.9)*10.764</f>
        <v>339.15211199999999</v>
      </c>
      <c r="G101" s="19">
        <f>3.173*10.764</f>
        <v>34.154171999999996</v>
      </c>
      <c r="H101" s="25">
        <v>580</v>
      </c>
      <c r="I101" s="12">
        <v>4800</v>
      </c>
      <c r="J101" s="12">
        <f t="shared" si="12"/>
        <v>2784000</v>
      </c>
    </row>
    <row r="102" spans="1:10" x14ac:dyDescent="0.25">
      <c r="A102" s="12">
        <v>11</v>
      </c>
      <c r="B102" s="199" t="s">
        <v>84</v>
      </c>
      <c r="C102" s="28" t="s">
        <v>113</v>
      </c>
      <c r="D102" s="12">
        <f>D92+100</f>
        <v>201</v>
      </c>
      <c r="E102" s="12" t="s">
        <v>94</v>
      </c>
      <c r="F102" s="19">
        <f>(41.081+11.114)*10.764</f>
        <v>561.82698000000005</v>
      </c>
      <c r="G102" s="19">
        <v>0</v>
      </c>
      <c r="H102" s="25">
        <v>880</v>
      </c>
      <c r="I102" s="12">
        <v>4800</v>
      </c>
      <c r="J102" s="12">
        <f t="shared" si="12"/>
        <v>4224000</v>
      </c>
    </row>
    <row r="103" spans="1:10" x14ac:dyDescent="0.25">
      <c r="A103" s="12">
        <v>12</v>
      </c>
      <c r="B103" s="200"/>
      <c r="C103" s="28" t="s">
        <v>113</v>
      </c>
      <c r="D103" s="12">
        <f>D93+100</f>
        <v>202</v>
      </c>
      <c r="E103" s="12" t="s">
        <v>73</v>
      </c>
      <c r="F103" s="19">
        <f>(18.012+6.59)*10.764</f>
        <v>264.81592799999999</v>
      </c>
      <c r="G103" s="19">
        <v>0</v>
      </c>
      <c r="H103" s="25">
        <v>405</v>
      </c>
      <c r="I103" s="12">
        <v>4800</v>
      </c>
      <c r="J103" s="12">
        <f t="shared" si="12"/>
        <v>1944000</v>
      </c>
    </row>
    <row r="104" spans="1:10" x14ac:dyDescent="0.25">
      <c r="A104" s="12">
        <v>13</v>
      </c>
      <c r="B104" s="200"/>
      <c r="C104" s="28" t="s">
        <v>113</v>
      </c>
      <c r="D104" s="12">
        <f t="shared" ref="D104:D111" si="13">D94+100</f>
        <v>203</v>
      </c>
      <c r="E104" s="12" t="s">
        <v>72</v>
      </c>
      <c r="F104" s="19">
        <f>(29.805+7.205)*10.764</f>
        <v>398.37563999999998</v>
      </c>
      <c r="G104" s="19">
        <v>0</v>
      </c>
      <c r="H104" s="25">
        <v>625</v>
      </c>
      <c r="I104" s="12">
        <v>4800</v>
      </c>
      <c r="J104" s="12">
        <f t="shared" si="12"/>
        <v>3000000</v>
      </c>
    </row>
    <row r="105" spans="1:10" x14ac:dyDescent="0.25">
      <c r="A105" s="12">
        <v>14</v>
      </c>
      <c r="B105" s="200"/>
      <c r="C105" s="28" t="s">
        <v>113</v>
      </c>
      <c r="D105" s="12">
        <f t="shared" si="13"/>
        <v>204</v>
      </c>
      <c r="E105" s="12" t="s">
        <v>72</v>
      </c>
      <c r="F105" s="19">
        <f>(31.83)*10.764</f>
        <v>342.61811999999998</v>
      </c>
      <c r="G105" s="19">
        <v>0</v>
      </c>
      <c r="H105" s="25">
        <v>545</v>
      </c>
      <c r="I105" s="12">
        <v>4800</v>
      </c>
      <c r="J105" s="12">
        <f t="shared" si="12"/>
        <v>2616000</v>
      </c>
    </row>
    <row r="106" spans="1:10" x14ac:dyDescent="0.25">
      <c r="A106" s="12">
        <v>15</v>
      </c>
      <c r="B106" s="200"/>
      <c r="C106" s="28" t="s">
        <v>113</v>
      </c>
      <c r="D106" s="12">
        <f t="shared" si="13"/>
        <v>205</v>
      </c>
      <c r="E106" s="12" t="s">
        <v>72</v>
      </c>
      <c r="F106" s="19">
        <f>(32.089+6.728)*10.764</f>
        <v>417.826188</v>
      </c>
      <c r="G106" s="19">
        <v>0</v>
      </c>
      <c r="H106" s="25">
        <v>655</v>
      </c>
      <c r="I106" s="12">
        <v>4800</v>
      </c>
      <c r="J106" s="12">
        <f t="shared" si="12"/>
        <v>3144000</v>
      </c>
    </row>
    <row r="107" spans="1:10" x14ac:dyDescent="0.25">
      <c r="A107" s="12">
        <v>16</v>
      </c>
      <c r="B107" s="200"/>
      <c r="C107" s="28" t="s">
        <v>113</v>
      </c>
      <c r="D107" s="12">
        <f t="shared" si="13"/>
        <v>206</v>
      </c>
      <c r="E107" s="12" t="s">
        <v>72</v>
      </c>
      <c r="F107" s="19">
        <f>(31.884+6.728)*10.764</f>
        <v>415.61956800000002</v>
      </c>
      <c r="G107" s="19">
        <v>0</v>
      </c>
      <c r="H107" s="25">
        <v>655</v>
      </c>
      <c r="I107" s="12">
        <v>4800</v>
      </c>
      <c r="J107" s="12">
        <f t="shared" si="12"/>
        <v>3144000</v>
      </c>
    </row>
    <row r="108" spans="1:10" x14ac:dyDescent="0.25">
      <c r="A108" s="12">
        <v>17</v>
      </c>
      <c r="B108" s="200"/>
      <c r="C108" s="28" t="s">
        <v>113</v>
      </c>
      <c r="D108" s="12">
        <f t="shared" si="13"/>
        <v>207</v>
      </c>
      <c r="E108" s="12" t="s">
        <v>72</v>
      </c>
      <c r="F108" s="19">
        <f>(32.144+7.085)*10.764</f>
        <v>422.26095599999996</v>
      </c>
      <c r="G108" s="19">
        <v>0</v>
      </c>
      <c r="H108" s="25">
        <v>780</v>
      </c>
      <c r="I108" s="12">
        <v>4800</v>
      </c>
      <c r="J108" s="12">
        <f t="shared" si="12"/>
        <v>3744000</v>
      </c>
    </row>
    <row r="109" spans="1:10" x14ac:dyDescent="0.25">
      <c r="A109" s="12">
        <v>18</v>
      </c>
      <c r="B109" s="200"/>
      <c r="C109" s="28" t="s">
        <v>113</v>
      </c>
      <c r="D109" s="12">
        <f t="shared" si="13"/>
        <v>208</v>
      </c>
      <c r="E109" s="12" t="s">
        <v>72</v>
      </c>
      <c r="F109" s="19">
        <f>(31.468+6.89)*10.764</f>
        <v>412.88551199999995</v>
      </c>
      <c r="G109" s="19">
        <f>6.97*10.764</f>
        <v>75.025079999999988</v>
      </c>
      <c r="H109" s="25">
        <v>650</v>
      </c>
      <c r="I109" s="12">
        <v>4800</v>
      </c>
      <c r="J109" s="12">
        <f t="shared" si="12"/>
        <v>3120000</v>
      </c>
    </row>
    <row r="110" spans="1:10" x14ac:dyDescent="0.25">
      <c r="A110" s="12">
        <v>19</v>
      </c>
      <c r="B110" s="200"/>
      <c r="C110" s="28" t="s">
        <v>113</v>
      </c>
      <c r="D110" s="12">
        <f t="shared" si="13"/>
        <v>209</v>
      </c>
      <c r="E110" s="12" t="s">
        <v>72</v>
      </c>
      <c r="F110" s="19">
        <f>(28.608+5.955)*10.764</f>
        <v>372.03613200000001</v>
      </c>
      <c r="G110" s="19">
        <f>2.625*10.764</f>
        <v>28.255499999999998</v>
      </c>
      <c r="H110" s="25">
        <v>580</v>
      </c>
      <c r="I110" s="12">
        <v>4800</v>
      </c>
      <c r="J110" s="12">
        <f t="shared" si="12"/>
        <v>2784000</v>
      </c>
    </row>
    <row r="111" spans="1:10" x14ac:dyDescent="0.25">
      <c r="A111" s="12">
        <v>20</v>
      </c>
      <c r="B111" s="201"/>
      <c r="C111" s="28" t="s">
        <v>113</v>
      </c>
      <c r="D111" s="12">
        <f t="shared" si="13"/>
        <v>210</v>
      </c>
      <c r="E111" s="12" t="s">
        <v>72</v>
      </c>
      <c r="F111" s="19">
        <f>(28.608+2.9)*10.764</f>
        <v>339.15211199999999</v>
      </c>
      <c r="G111" s="19">
        <f>2.625*10.764</f>
        <v>28.255499999999998</v>
      </c>
      <c r="H111" s="25">
        <v>525</v>
      </c>
      <c r="I111" s="12">
        <v>4800</v>
      </c>
      <c r="J111" s="12">
        <f t="shared" si="12"/>
        <v>2520000</v>
      </c>
    </row>
    <row r="112" spans="1:10" x14ac:dyDescent="0.25">
      <c r="A112" s="12">
        <v>21</v>
      </c>
      <c r="B112" s="199" t="s">
        <v>85</v>
      </c>
      <c r="C112" s="28" t="s">
        <v>113</v>
      </c>
      <c r="D112" s="12">
        <f>D102+100</f>
        <v>301</v>
      </c>
      <c r="E112" s="12" t="s">
        <v>94</v>
      </c>
      <c r="F112" s="19">
        <f>(41.081+11.114)*10.764</f>
        <v>561.82698000000005</v>
      </c>
      <c r="G112" s="19">
        <f>5.896*10.764</f>
        <v>63.464543999999997</v>
      </c>
      <c r="H112" s="25">
        <v>980</v>
      </c>
      <c r="I112" s="12">
        <v>4800</v>
      </c>
      <c r="J112" s="12">
        <f t="shared" si="12"/>
        <v>4704000</v>
      </c>
    </row>
    <row r="113" spans="1:10" x14ac:dyDescent="0.25">
      <c r="A113" s="12">
        <v>22</v>
      </c>
      <c r="B113" s="200"/>
      <c r="C113" s="28" t="s">
        <v>113</v>
      </c>
      <c r="D113" s="12">
        <f>D103+100</f>
        <v>302</v>
      </c>
      <c r="E113" s="12" t="s">
        <v>73</v>
      </c>
      <c r="F113" s="19">
        <f>(18.012+6.59)*10.764</f>
        <v>264.81592799999999</v>
      </c>
      <c r="G113" s="19">
        <v>0</v>
      </c>
      <c r="H113" s="25">
        <v>405</v>
      </c>
      <c r="I113" s="12">
        <v>4800</v>
      </c>
      <c r="J113" s="12">
        <f t="shared" si="12"/>
        <v>1944000</v>
      </c>
    </row>
    <row r="114" spans="1:10" x14ac:dyDescent="0.25">
      <c r="A114" s="12">
        <v>23</v>
      </c>
      <c r="B114" s="200"/>
      <c r="C114" s="28" t="s">
        <v>113</v>
      </c>
      <c r="D114" s="12">
        <f t="shared" ref="D114:D121" si="14">D104+100</f>
        <v>303</v>
      </c>
      <c r="E114" s="12" t="s">
        <v>72</v>
      </c>
      <c r="F114" s="19">
        <f>(29.805+7.205)*10.764</f>
        <v>398.37563999999998</v>
      </c>
      <c r="G114" s="19">
        <f>5.7*10.764</f>
        <v>61.354799999999997</v>
      </c>
      <c r="H114" s="25">
        <v>720</v>
      </c>
      <c r="I114" s="12">
        <v>4800</v>
      </c>
      <c r="J114" s="12">
        <f t="shared" si="12"/>
        <v>3456000</v>
      </c>
    </row>
    <row r="115" spans="1:10" x14ac:dyDescent="0.25">
      <c r="A115" s="12">
        <v>24</v>
      </c>
      <c r="B115" s="200"/>
      <c r="C115" s="28" t="s">
        <v>113</v>
      </c>
      <c r="D115" s="12">
        <f t="shared" si="14"/>
        <v>304</v>
      </c>
      <c r="E115" s="12" t="s">
        <v>72</v>
      </c>
      <c r="F115" s="19">
        <f>(31.83)*10.764</f>
        <v>342.61811999999998</v>
      </c>
      <c r="G115" s="19">
        <f>6.383*10.764</f>
        <v>68.706611999999993</v>
      </c>
      <c r="H115" s="25">
        <v>650</v>
      </c>
      <c r="I115" s="12">
        <v>4800</v>
      </c>
      <c r="J115" s="12">
        <f t="shared" si="12"/>
        <v>3120000</v>
      </c>
    </row>
    <row r="116" spans="1:10" x14ac:dyDescent="0.25">
      <c r="A116" s="12">
        <v>25</v>
      </c>
      <c r="B116" s="200"/>
      <c r="C116" s="28" t="s">
        <v>113</v>
      </c>
      <c r="D116" s="12">
        <f t="shared" si="14"/>
        <v>305</v>
      </c>
      <c r="E116" s="12" t="s">
        <v>72</v>
      </c>
      <c r="F116" s="19">
        <f>(32.089+6.728)*10.764</f>
        <v>417.826188</v>
      </c>
      <c r="G116" s="19">
        <f>6.383*10.764</f>
        <v>68.706611999999993</v>
      </c>
      <c r="H116" s="25">
        <v>765</v>
      </c>
      <c r="I116" s="12">
        <v>4800</v>
      </c>
      <c r="J116" s="12">
        <f t="shared" si="12"/>
        <v>3672000</v>
      </c>
    </row>
    <row r="117" spans="1:10" x14ac:dyDescent="0.25">
      <c r="A117" s="12">
        <v>26</v>
      </c>
      <c r="B117" s="200"/>
      <c r="C117" s="28" t="s">
        <v>113</v>
      </c>
      <c r="D117" s="12">
        <f t="shared" si="14"/>
        <v>306</v>
      </c>
      <c r="E117" s="12" t="s">
        <v>72</v>
      </c>
      <c r="F117" s="19">
        <f>(31.884+6.728)*10.764</f>
        <v>415.61956800000002</v>
      </c>
      <c r="G117" s="19">
        <f>4.093*10.764</f>
        <v>44.057051999999999</v>
      </c>
      <c r="H117" s="25">
        <v>725</v>
      </c>
      <c r="I117" s="12">
        <v>4800</v>
      </c>
      <c r="J117" s="12">
        <f t="shared" si="12"/>
        <v>3480000</v>
      </c>
    </row>
    <row r="118" spans="1:10" x14ac:dyDescent="0.25">
      <c r="A118" s="12">
        <v>27</v>
      </c>
      <c r="B118" s="200"/>
      <c r="C118" s="28" t="s">
        <v>113</v>
      </c>
      <c r="D118" s="12">
        <f t="shared" si="14"/>
        <v>307</v>
      </c>
      <c r="E118" s="12" t="s">
        <v>72</v>
      </c>
      <c r="F118" s="19">
        <f>(32.144+7.085)*10.764</f>
        <v>422.26095599999996</v>
      </c>
      <c r="G118" s="19">
        <f>4.093*10.764</f>
        <v>44.057051999999999</v>
      </c>
      <c r="H118" s="25">
        <v>735</v>
      </c>
      <c r="I118" s="12">
        <v>4800</v>
      </c>
      <c r="J118" s="12">
        <f t="shared" si="12"/>
        <v>3528000</v>
      </c>
    </row>
    <row r="119" spans="1:10" x14ac:dyDescent="0.25">
      <c r="A119" s="12">
        <v>28</v>
      </c>
      <c r="B119" s="200"/>
      <c r="C119" s="28" t="s">
        <v>113</v>
      </c>
      <c r="D119" s="12">
        <f t="shared" si="14"/>
        <v>308</v>
      </c>
      <c r="E119" s="12" t="s">
        <v>72</v>
      </c>
      <c r="F119" s="19">
        <f>(31.468+6.89)*10.764</f>
        <v>412.88551199999995</v>
      </c>
      <c r="G119" s="19">
        <f>5.059*10.764</f>
        <v>54.455075999999998</v>
      </c>
      <c r="H119" s="25">
        <v>735</v>
      </c>
      <c r="I119" s="12">
        <v>4800</v>
      </c>
      <c r="J119" s="12">
        <f t="shared" si="12"/>
        <v>3528000</v>
      </c>
    </row>
    <row r="120" spans="1:10" x14ac:dyDescent="0.25">
      <c r="A120" s="12">
        <v>29</v>
      </c>
      <c r="B120" s="200"/>
      <c r="C120" s="28" t="s">
        <v>113</v>
      </c>
      <c r="D120" s="12">
        <f t="shared" si="14"/>
        <v>309</v>
      </c>
      <c r="E120" s="12" t="s">
        <v>72</v>
      </c>
      <c r="F120" s="19">
        <f>(28.608+5.955)*10.764</f>
        <v>372.03613200000001</v>
      </c>
      <c r="G120" s="19">
        <f>3.983*10.764</f>
        <v>42.873011999999996</v>
      </c>
      <c r="H120" s="25">
        <v>645</v>
      </c>
      <c r="I120" s="12">
        <v>4800</v>
      </c>
      <c r="J120" s="12">
        <f t="shared" si="12"/>
        <v>3096000</v>
      </c>
    </row>
    <row r="121" spans="1:10" x14ac:dyDescent="0.25">
      <c r="A121" s="12">
        <v>30</v>
      </c>
      <c r="B121" s="201"/>
      <c r="C121" s="28" t="s">
        <v>113</v>
      </c>
      <c r="D121" s="12">
        <f t="shared" si="14"/>
        <v>310</v>
      </c>
      <c r="E121" s="12" t="s">
        <v>72</v>
      </c>
      <c r="F121" s="19">
        <f>(28.608+2.9)*10.764</f>
        <v>339.15211199999999</v>
      </c>
      <c r="G121" s="19">
        <f>3.173*10.764</f>
        <v>34.154171999999996</v>
      </c>
      <c r="H121" s="25">
        <v>580</v>
      </c>
      <c r="I121" s="12">
        <v>4800</v>
      </c>
      <c r="J121" s="12">
        <f t="shared" si="12"/>
        <v>2784000</v>
      </c>
    </row>
    <row r="122" spans="1:10" x14ac:dyDescent="0.25">
      <c r="A122" s="12">
        <v>31</v>
      </c>
      <c r="B122" s="199" t="s">
        <v>86</v>
      </c>
      <c r="C122" s="28" t="s">
        <v>113</v>
      </c>
      <c r="D122" s="12">
        <f>D112+100</f>
        <v>401</v>
      </c>
      <c r="E122" s="12" t="s">
        <v>94</v>
      </c>
      <c r="F122" s="19">
        <f>(41.081+11.114)*10.764</f>
        <v>561.82698000000005</v>
      </c>
      <c r="G122" s="19">
        <v>0</v>
      </c>
      <c r="H122" s="25">
        <v>880</v>
      </c>
      <c r="I122" s="12">
        <v>4800</v>
      </c>
      <c r="J122" s="12">
        <f t="shared" si="12"/>
        <v>4224000</v>
      </c>
    </row>
    <row r="123" spans="1:10" x14ac:dyDescent="0.25">
      <c r="A123" s="12">
        <v>32</v>
      </c>
      <c r="B123" s="200"/>
      <c r="C123" s="28" t="s">
        <v>113</v>
      </c>
      <c r="D123" s="12">
        <f>D113+100</f>
        <v>402</v>
      </c>
      <c r="E123" s="12" t="s">
        <v>73</v>
      </c>
      <c r="F123" s="19">
        <f>(18.012+6.59)*10.764</f>
        <v>264.81592799999999</v>
      </c>
      <c r="G123" s="19">
        <v>0</v>
      </c>
      <c r="H123" s="25">
        <v>405</v>
      </c>
      <c r="I123" s="12">
        <v>4800</v>
      </c>
      <c r="J123" s="12">
        <f t="shared" si="12"/>
        <v>1944000</v>
      </c>
    </row>
    <row r="124" spans="1:10" x14ac:dyDescent="0.25">
      <c r="A124" s="12">
        <v>33</v>
      </c>
      <c r="B124" s="200"/>
      <c r="C124" s="28" t="s">
        <v>113</v>
      </c>
      <c r="D124" s="12">
        <f t="shared" ref="D124:D131" si="15">D114+100</f>
        <v>403</v>
      </c>
      <c r="E124" s="12" t="s">
        <v>72</v>
      </c>
      <c r="F124" s="19">
        <f>(29.805+7.205)*10.764</f>
        <v>398.37563999999998</v>
      </c>
      <c r="G124" s="19">
        <v>0</v>
      </c>
      <c r="H124" s="25">
        <v>625</v>
      </c>
      <c r="I124" s="12">
        <v>4800</v>
      </c>
      <c r="J124" s="12">
        <f t="shared" si="12"/>
        <v>3000000</v>
      </c>
    </row>
    <row r="125" spans="1:10" x14ac:dyDescent="0.25">
      <c r="A125" s="12">
        <v>34</v>
      </c>
      <c r="B125" s="200"/>
      <c r="C125" s="28" t="s">
        <v>113</v>
      </c>
      <c r="D125" s="12">
        <f t="shared" si="15"/>
        <v>404</v>
      </c>
      <c r="E125" s="12" t="s">
        <v>72</v>
      </c>
      <c r="F125" s="19">
        <f>(31.83)*10.764</f>
        <v>342.61811999999998</v>
      </c>
      <c r="G125" s="19">
        <v>0</v>
      </c>
      <c r="H125" s="25">
        <v>545</v>
      </c>
      <c r="I125" s="12">
        <v>4800</v>
      </c>
      <c r="J125" s="12">
        <f t="shared" si="12"/>
        <v>2616000</v>
      </c>
    </row>
    <row r="126" spans="1:10" x14ac:dyDescent="0.25">
      <c r="A126" s="12">
        <v>35</v>
      </c>
      <c r="B126" s="200"/>
      <c r="C126" s="28" t="s">
        <v>113</v>
      </c>
      <c r="D126" s="12">
        <f t="shared" si="15"/>
        <v>405</v>
      </c>
      <c r="E126" s="12" t="s">
        <v>72</v>
      </c>
      <c r="F126" s="19">
        <f>(32.089+6.728)*10.764</f>
        <v>417.826188</v>
      </c>
      <c r="G126" s="19">
        <v>0</v>
      </c>
      <c r="H126" s="25">
        <v>655</v>
      </c>
      <c r="I126" s="12">
        <v>4800</v>
      </c>
      <c r="J126" s="12">
        <f t="shared" si="12"/>
        <v>3144000</v>
      </c>
    </row>
    <row r="127" spans="1:10" x14ac:dyDescent="0.25">
      <c r="A127" s="12">
        <v>36</v>
      </c>
      <c r="B127" s="200"/>
      <c r="C127" s="28" t="s">
        <v>113</v>
      </c>
      <c r="D127" s="12">
        <f t="shared" si="15"/>
        <v>406</v>
      </c>
      <c r="E127" s="12" t="s">
        <v>72</v>
      </c>
      <c r="F127" s="19">
        <f>(31.884+6.728)*10.764</f>
        <v>415.61956800000002</v>
      </c>
      <c r="G127" s="19">
        <v>0</v>
      </c>
      <c r="H127" s="25">
        <v>655</v>
      </c>
      <c r="I127" s="12">
        <v>4800</v>
      </c>
      <c r="J127" s="12">
        <f t="shared" si="12"/>
        <v>3144000</v>
      </c>
    </row>
    <row r="128" spans="1:10" x14ac:dyDescent="0.25">
      <c r="A128" s="12">
        <v>37</v>
      </c>
      <c r="B128" s="200"/>
      <c r="C128" s="28" t="s">
        <v>113</v>
      </c>
      <c r="D128" s="12">
        <f t="shared" si="15"/>
        <v>407</v>
      </c>
      <c r="E128" s="12" t="s">
        <v>72</v>
      </c>
      <c r="F128" s="19">
        <f>(32.144+7.085)*10.764</f>
        <v>422.26095599999996</v>
      </c>
      <c r="G128" s="19">
        <v>0</v>
      </c>
      <c r="H128" s="25">
        <v>780</v>
      </c>
      <c r="I128" s="12">
        <v>4800</v>
      </c>
      <c r="J128" s="12">
        <f t="shared" si="12"/>
        <v>3744000</v>
      </c>
    </row>
    <row r="129" spans="1:10" x14ac:dyDescent="0.25">
      <c r="A129" s="12">
        <v>38</v>
      </c>
      <c r="B129" s="200"/>
      <c r="C129" s="28" t="s">
        <v>113</v>
      </c>
      <c r="D129" s="12">
        <f t="shared" si="15"/>
        <v>408</v>
      </c>
      <c r="E129" s="12" t="s">
        <v>72</v>
      </c>
      <c r="F129" s="19">
        <f>(31.468+6.89)*10.764</f>
        <v>412.88551199999995</v>
      </c>
      <c r="G129" s="19">
        <f>6.97*10.764</f>
        <v>75.025079999999988</v>
      </c>
      <c r="H129" s="25">
        <v>650</v>
      </c>
      <c r="I129" s="12">
        <v>4800</v>
      </c>
      <c r="J129" s="12">
        <f t="shared" si="12"/>
        <v>3120000</v>
      </c>
    </row>
    <row r="130" spans="1:10" x14ac:dyDescent="0.25">
      <c r="A130" s="12">
        <v>39</v>
      </c>
      <c r="B130" s="200"/>
      <c r="C130" s="28" t="s">
        <v>113</v>
      </c>
      <c r="D130" s="12">
        <f t="shared" si="15"/>
        <v>409</v>
      </c>
      <c r="E130" s="12" t="s">
        <v>72</v>
      </c>
      <c r="F130" s="19">
        <f>(28.608+5.955)*10.764</f>
        <v>372.03613200000001</v>
      </c>
      <c r="G130" s="19">
        <f>2.625*10.764</f>
        <v>28.255499999999998</v>
      </c>
      <c r="H130" s="25">
        <v>580</v>
      </c>
      <c r="I130" s="12">
        <v>4800</v>
      </c>
      <c r="J130" s="12">
        <f t="shared" si="12"/>
        <v>2784000</v>
      </c>
    </row>
    <row r="131" spans="1:10" x14ac:dyDescent="0.25">
      <c r="A131" s="12">
        <v>40</v>
      </c>
      <c r="B131" s="201"/>
      <c r="C131" s="28" t="s">
        <v>113</v>
      </c>
      <c r="D131" s="12">
        <f t="shared" si="15"/>
        <v>410</v>
      </c>
      <c r="E131" s="12" t="s">
        <v>72</v>
      </c>
      <c r="F131" s="19">
        <f>(28.608+2.9)*10.764</f>
        <v>339.15211199999999</v>
      </c>
      <c r="G131" s="19">
        <f>2.625*10.764</f>
        <v>28.255499999999998</v>
      </c>
      <c r="H131" s="25">
        <v>525</v>
      </c>
      <c r="I131" s="12">
        <v>4800</v>
      </c>
      <c r="J131" s="12">
        <f t="shared" si="12"/>
        <v>2520000</v>
      </c>
    </row>
    <row r="132" spans="1:10" x14ac:dyDescent="0.25">
      <c r="A132" s="12">
        <v>41</v>
      </c>
      <c r="B132" s="199" t="s">
        <v>87</v>
      </c>
      <c r="C132" s="28" t="s">
        <v>113</v>
      </c>
      <c r="D132" s="12">
        <f>D122+100</f>
        <v>501</v>
      </c>
      <c r="E132" s="12" t="s">
        <v>94</v>
      </c>
      <c r="F132" s="19">
        <f>(41.081+11.114)*10.764</f>
        <v>561.82698000000005</v>
      </c>
      <c r="G132" s="19">
        <f>5.896*10.764</f>
        <v>63.464543999999997</v>
      </c>
      <c r="H132" s="25">
        <v>980</v>
      </c>
      <c r="I132" s="12">
        <v>4800</v>
      </c>
      <c r="J132" s="12">
        <f t="shared" si="12"/>
        <v>4704000</v>
      </c>
    </row>
    <row r="133" spans="1:10" x14ac:dyDescent="0.25">
      <c r="A133" s="12">
        <v>42</v>
      </c>
      <c r="B133" s="200"/>
      <c r="C133" s="28" t="s">
        <v>113</v>
      </c>
      <c r="D133" s="12">
        <f>D123+100</f>
        <v>502</v>
      </c>
      <c r="E133" s="12" t="s">
        <v>73</v>
      </c>
      <c r="F133" s="19">
        <f>(18.012+6.59)*10.764</f>
        <v>264.81592799999999</v>
      </c>
      <c r="G133" s="19">
        <v>0</v>
      </c>
      <c r="H133" s="25">
        <v>405</v>
      </c>
      <c r="I133" s="12">
        <v>4800</v>
      </c>
      <c r="J133" s="12">
        <f t="shared" si="12"/>
        <v>1944000</v>
      </c>
    </row>
    <row r="134" spans="1:10" x14ac:dyDescent="0.25">
      <c r="A134" s="12">
        <v>43</v>
      </c>
      <c r="B134" s="200"/>
      <c r="C134" s="28" t="s">
        <v>113</v>
      </c>
      <c r="D134" s="12">
        <f t="shared" ref="D134:D141" si="16">D124+100</f>
        <v>503</v>
      </c>
      <c r="E134" s="12" t="s">
        <v>72</v>
      </c>
      <c r="F134" s="19">
        <f>(29.805+7.205)*10.764</f>
        <v>398.37563999999998</v>
      </c>
      <c r="G134" s="19">
        <f>5.7*10.764</f>
        <v>61.354799999999997</v>
      </c>
      <c r="H134" s="25">
        <v>720</v>
      </c>
      <c r="I134" s="12">
        <v>4800</v>
      </c>
      <c r="J134" s="12">
        <f t="shared" si="12"/>
        <v>3456000</v>
      </c>
    </row>
    <row r="135" spans="1:10" x14ac:dyDescent="0.25">
      <c r="A135" s="12">
        <v>44</v>
      </c>
      <c r="B135" s="200"/>
      <c r="C135" s="28" t="s">
        <v>113</v>
      </c>
      <c r="D135" s="12">
        <f t="shared" si="16"/>
        <v>504</v>
      </c>
      <c r="E135" s="12" t="s">
        <v>72</v>
      </c>
      <c r="F135" s="19">
        <f>(31.83)*10.764</f>
        <v>342.61811999999998</v>
      </c>
      <c r="G135" s="19">
        <f>6.383*10.764</f>
        <v>68.706611999999993</v>
      </c>
      <c r="H135" s="25">
        <v>650</v>
      </c>
      <c r="I135" s="12">
        <v>4800</v>
      </c>
      <c r="J135" s="12">
        <f t="shared" si="12"/>
        <v>3120000</v>
      </c>
    </row>
    <row r="136" spans="1:10" x14ac:dyDescent="0.25">
      <c r="A136" s="12">
        <v>45</v>
      </c>
      <c r="B136" s="200"/>
      <c r="C136" s="28" t="s">
        <v>113</v>
      </c>
      <c r="D136" s="12">
        <f t="shared" si="16"/>
        <v>505</v>
      </c>
      <c r="E136" s="12" t="s">
        <v>72</v>
      </c>
      <c r="F136" s="19">
        <f>(32.089+6.728)*10.764</f>
        <v>417.826188</v>
      </c>
      <c r="G136" s="19">
        <f>6.383*10.764</f>
        <v>68.706611999999993</v>
      </c>
      <c r="H136" s="25">
        <v>765</v>
      </c>
      <c r="I136" s="12">
        <v>4800</v>
      </c>
      <c r="J136" s="12">
        <f t="shared" si="12"/>
        <v>3672000</v>
      </c>
    </row>
    <row r="137" spans="1:10" x14ac:dyDescent="0.25">
      <c r="A137" s="12">
        <v>46</v>
      </c>
      <c r="B137" s="200"/>
      <c r="C137" s="28" t="s">
        <v>113</v>
      </c>
      <c r="D137" s="12">
        <f t="shared" si="16"/>
        <v>506</v>
      </c>
      <c r="E137" s="12" t="s">
        <v>72</v>
      </c>
      <c r="F137" s="19">
        <f>(31.884+6.728)*10.764</f>
        <v>415.61956800000002</v>
      </c>
      <c r="G137" s="19">
        <f>4.093*10.764</f>
        <v>44.057051999999999</v>
      </c>
      <c r="H137" s="25">
        <v>725</v>
      </c>
      <c r="I137" s="12">
        <v>4800</v>
      </c>
      <c r="J137" s="12">
        <f t="shared" si="12"/>
        <v>3480000</v>
      </c>
    </row>
    <row r="138" spans="1:10" x14ac:dyDescent="0.25">
      <c r="A138" s="12">
        <v>47</v>
      </c>
      <c r="B138" s="200"/>
      <c r="C138" s="28" t="s">
        <v>113</v>
      </c>
      <c r="D138" s="12">
        <f t="shared" si="16"/>
        <v>507</v>
      </c>
      <c r="E138" s="12" t="s">
        <v>72</v>
      </c>
      <c r="F138" s="19">
        <f>(32.144+7.085)*10.764</f>
        <v>422.26095599999996</v>
      </c>
      <c r="G138" s="19">
        <f>4.093*10.764</f>
        <v>44.057051999999999</v>
      </c>
      <c r="H138" s="25">
        <v>735</v>
      </c>
      <c r="I138" s="12">
        <v>4800</v>
      </c>
      <c r="J138" s="12">
        <f t="shared" si="12"/>
        <v>3528000</v>
      </c>
    </row>
    <row r="139" spans="1:10" x14ac:dyDescent="0.25">
      <c r="A139" s="12">
        <v>48</v>
      </c>
      <c r="B139" s="200"/>
      <c r="C139" s="28" t="s">
        <v>113</v>
      </c>
      <c r="D139" s="12">
        <f t="shared" si="16"/>
        <v>508</v>
      </c>
      <c r="E139" s="12" t="s">
        <v>72</v>
      </c>
      <c r="F139" s="19">
        <f>(31.468+6.89)*10.764</f>
        <v>412.88551199999995</v>
      </c>
      <c r="G139" s="19">
        <f>5.059*10.764</f>
        <v>54.455075999999998</v>
      </c>
      <c r="H139" s="25">
        <v>735</v>
      </c>
      <c r="I139" s="12">
        <v>4800</v>
      </c>
      <c r="J139" s="12">
        <f t="shared" si="12"/>
        <v>3528000</v>
      </c>
    </row>
    <row r="140" spans="1:10" x14ac:dyDescent="0.25">
      <c r="A140" s="12">
        <v>49</v>
      </c>
      <c r="B140" s="200"/>
      <c r="C140" s="28" t="s">
        <v>113</v>
      </c>
      <c r="D140" s="12">
        <f t="shared" si="16"/>
        <v>509</v>
      </c>
      <c r="E140" s="12" t="s">
        <v>72</v>
      </c>
      <c r="F140" s="19">
        <f>(28.608+5.955)*10.764</f>
        <v>372.03613200000001</v>
      </c>
      <c r="G140" s="19">
        <f>3.983*10.764</f>
        <v>42.873011999999996</v>
      </c>
      <c r="H140" s="25">
        <v>645</v>
      </c>
      <c r="I140" s="12">
        <v>4800</v>
      </c>
      <c r="J140" s="12">
        <f t="shared" si="12"/>
        <v>3096000</v>
      </c>
    </row>
    <row r="141" spans="1:10" x14ac:dyDescent="0.25">
      <c r="A141" s="12">
        <v>50</v>
      </c>
      <c r="B141" s="201"/>
      <c r="C141" s="28" t="s">
        <v>113</v>
      </c>
      <c r="D141" s="12">
        <f t="shared" si="16"/>
        <v>510</v>
      </c>
      <c r="E141" s="12" t="s">
        <v>72</v>
      </c>
      <c r="F141" s="19">
        <f>(28.608+2.9)*10.764</f>
        <v>339.15211199999999</v>
      </c>
      <c r="G141" s="19">
        <f>3.173*10.764</f>
        <v>34.154171999999996</v>
      </c>
      <c r="H141" s="25">
        <v>580</v>
      </c>
      <c r="I141" s="12">
        <v>4800</v>
      </c>
      <c r="J141" s="12">
        <f t="shared" si="12"/>
        <v>2784000</v>
      </c>
    </row>
    <row r="142" spans="1:10" x14ac:dyDescent="0.25">
      <c r="A142" s="12">
        <v>51</v>
      </c>
      <c r="B142" s="199" t="s">
        <v>88</v>
      </c>
      <c r="C142" s="28" t="s">
        <v>113</v>
      </c>
      <c r="D142" s="12">
        <f>D132+100</f>
        <v>601</v>
      </c>
      <c r="E142" s="12" t="s">
        <v>94</v>
      </c>
      <c r="F142" s="19">
        <f>(41.081+11.114)*10.764</f>
        <v>561.82698000000005</v>
      </c>
      <c r="G142" s="19">
        <v>0</v>
      </c>
      <c r="H142" s="25">
        <v>880</v>
      </c>
      <c r="I142" s="12">
        <v>4800</v>
      </c>
      <c r="J142" s="12">
        <f t="shared" si="12"/>
        <v>4224000</v>
      </c>
    </row>
    <row r="143" spans="1:10" x14ac:dyDescent="0.25">
      <c r="A143" s="12">
        <v>52</v>
      </c>
      <c r="B143" s="200"/>
      <c r="C143" s="28" t="s">
        <v>113</v>
      </c>
      <c r="D143" s="12">
        <f>D133+100</f>
        <v>602</v>
      </c>
      <c r="E143" s="12" t="s">
        <v>73</v>
      </c>
      <c r="F143" s="19">
        <f>(18.012+6.59)*10.764</f>
        <v>264.81592799999999</v>
      </c>
      <c r="G143" s="19">
        <v>0</v>
      </c>
      <c r="H143" s="25">
        <v>405</v>
      </c>
      <c r="I143" s="12">
        <v>4800</v>
      </c>
      <c r="J143" s="12">
        <f t="shared" si="12"/>
        <v>1944000</v>
      </c>
    </row>
    <row r="144" spans="1:10" x14ac:dyDescent="0.25">
      <c r="A144" s="12">
        <v>53</v>
      </c>
      <c r="B144" s="200"/>
      <c r="C144" s="28" t="s">
        <v>113</v>
      </c>
      <c r="D144" s="12">
        <f t="shared" ref="D144:D151" si="17">D134+100</f>
        <v>603</v>
      </c>
      <c r="E144" s="12" t="s">
        <v>72</v>
      </c>
      <c r="F144" s="19">
        <f>(29.805+7.205)*10.764</f>
        <v>398.37563999999998</v>
      </c>
      <c r="G144" s="19">
        <v>0</v>
      </c>
      <c r="H144" s="25">
        <v>625</v>
      </c>
      <c r="I144" s="12">
        <v>4800</v>
      </c>
      <c r="J144" s="12">
        <f t="shared" si="12"/>
        <v>3000000</v>
      </c>
    </row>
    <row r="145" spans="1:10" x14ac:dyDescent="0.25">
      <c r="A145" s="12">
        <v>54</v>
      </c>
      <c r="B145" s="200"/>
      <c r="C145" s="28" t="s">
        <v>113</v>
      </c>
      <c r="D145" s="12">
        <f t="shared" si="17"/>
        <v>604</v>
      </c>
      <c r="E145" s="12" t="s">
        <v>72</v>
      </c>
      <c r="F145" s="19">
        <f>(31.83)*10.764</f>
        <v>342.61811999999998</v>
      </c>
      <c r="G145" s="19">
        <v>0</v>
      </c>
      <c r="H145" s="25">
        <v>545</v>
      </c>
      <c r="I145" s="12">
        <v>4800</v>
      </c>
      <c r="J145" s="12">
        <f t="shared" si="12"/>
        <v>2616000</v>
      </c>
    </row>
    <row r="146" spans="1:10" x14ac:dyDescent="0.25">
      <c r="A146" s="12">
        <v>55</v>
      </c>
      <c r="B146" s="200"/>
      <c r="C146" s="28" t="s">
        <v>113</v>
      </c>
      <c r="D146" s="12">
        <f t="shared" si="17"/>
        <v>605</v>
      </c>
      <c r="E146" s="12" t="s">
        <v>72</v>
      </c>
      <c r="F146" s="19">
        <f>(32.089+6.728)*10.764</f>
        <v>417.826188</v>
      </c>
      <c r="G146" s="19">
        <v>0</v>
      </c>
      <c r="H146" s="25">
        <v>655</v>
      </c>
      <c r="I146" s="12">
        <v>4800</v>
      </c>
      <c r="J146" s="12">
        <f t="shared" si="12"/>
        <v>3144000</v>
      </c>
    </row>
    <row r="147" spans="1:10" x14ac:dyDescent="0.25">
      <c r="A147" s="12">
        <v>56</v>
      </c>
      <c r="B147" s="200"/>
      <c r="C147" s="28" t="s">
        <v>113</v>
      </c>
      <c r="D147" s="12">
        <f t="shared" si="17"/>
        <v>606</v>
      </c>
      <c r="E147" s="12" t="s">
        <v>72</v>
      </c>
      <c r="F147" s="19">
        <f>(31.884+6.728)*10.764</f>
        <v>415.61956800000002</v>
      </c>
      <c r="G147" s="19">
        <v>0</v>
      </c>
      <c r="H147" s="25">
        <v>655</v>
      </c>
      <c r="I147" s="12">
        <v>4800</v>
      </c>
      <c r="J147" s="12">
        <f t="shared" si="12"/>
        <v>3144000</v>
      </c>
    </row>
    <row r="148" spans="1:10" x14ac:dyDescent="0.25">
      <c r="A148" s="12">
        <v>57</v>
      </c>
      <c r="B148" s="200"/>
      <c r="C148" s="28" t="s">
        <v>113</v>
      </c>
      <c r="D148" s="12">
        <f t="shared" si="17"/>
        <v>607</v>
      </c>
      <c r="E148" s="12" t="s">
        <v>72</v>
      </c>
      <c r="F148" s="19">
        <f>(32.144+7.085)*10.764</f>
        <v>422.26095599999996</v>
      </c>
      <c r="G148" s="19">
        <v>0</v>
      </c>
      <c r="H148" s="25">
        <v>780</v>
      </c>
      <c r="I148" s="12">
        <v>4800</v>
      </c>
      <c r="J148" s="12">
        <f t="shared" si="12"/>
        <v>3744000</v>
      </c>
    </row>
    <row r="149" spans="1:10" x14ac:dyDescent="0.25">
      <c r="A149" s="12">
        <v>58</v>
      </c>
      <c r="B149" s="200"/>
      <c r="C149" s="28" t="s">
        <v>113</v>
      </c>
      <c r="D149" s="12">
        <f t="shared" si="17"/>
        <v>608</v>
      </c>
      <c r="E149" s="12" t="s">
        <v>72</v>
      </c>
      <c r="F149" s="19">
        <f>(31.468+6.89)*10.764</f>
        <v>412.88551199999995</v>
      </c>
      <c r="G149" s="19">
        <f>6.97*10.764</f>
        <v>75.025079999999988</v>
      </c>
      <c r="H149" s="25">
        <v>650</v>
      </c>
      <c r="I149" s="12">
        <v>4800</v>
      </c>
      <c r="J149" s="12">
        <f t="shared" si="12"/>
        <v>3120000</v>
      </c>
    </row>
    <row r="150" spans="1:10" x14ac:dyDescent="0.25">
      <c r="A150" s="12">
        <v>59</v>
      </c>
      <c r="B150" s="200"/>
      <c r="C150" s="28" t="s">
        <v>113</v>
      </c>
      <c r="D150" s="12">
        <f t="shared" si="17"/>
        <v>609</v>
      </c>
      <c r="E150" s="12" t="s">
        <v>72</v>
      </c>
      <c r="F150" s="19">
        <f>(28.608+5.955)*10.764</f>
        <v>372.03613200000001</v>
      </c>
      <c r="G150" s="19">
        <f>2.625*10.764</f>
        <v>28.255499999999998</v>
      </c>
      <c r="H150" s="25">
        <v>580</v>
      </c>
      <c r="I150" s="12">
        <v>4800</v>
      </c>
      <c r="J150" s="12">
        <f t="shared" si="12"/>
        <v>2784000</v>
      </c>
    </row>
    <row r="151" spans="1:10" x14ac:dyDescent="0.25">
      <c r="A151" s="12">
        <v>60</v>
      </c>
      <c r="B151" s="201"/>
      <c r="C151" s="28" t="s">
        <v>113</v>
      </c>
      <c r="D151" s="12">
        <f t="shared" si="17"/>
        <v>610</v>
      </c>
      <c r="E151" s="12" t="s">
        <v>72</v>
      </c>
      <c r="F151" s="19">
        <f>(28.608+2.9)*10.764</f>
        <v>339.15211199999999</v>
      </c>
      <c r="G151" s="19">
        <f>2.625*10.764</f>
        <v>28.255499999999998</v>
      </c>
      <c r="H151" s="25">
        <v>525</v>
      </c>
      <c r="I151" s="12">
        <v>4800</v>
      </c>
      <c r="J151" s="12">
        <f t="shared" si="12"/>
        <v>2520000</v>
      </c>
    </row>
    <row r="152" spans="1:10" x14ac:dyDescent="0.25">
      <c r="A152" s="12">
        <v>61</v>
      </c>
      <c r="B152" s="430" t="s">
        <v>89</v>
      </c>
      <c r="C152" s="28" t="s">
        <v>113</v>
      </c>
      <c r="D152" s="12">
        <f>D142+100</f>
        <v>701</v>
      </c>
      <c r="E152" s="12" t="s">
        <v>94</v>
      </c>
      <c r="F152" s="19">
        <f>(41.081+11.114)*10.764</f>
        <v>561.82698000000005</v>
      </c>
      <c r="G152" s="19">
        <f>5.896*10.764</f>
        <v>63.464543999999997</v>
      </c>
      <c r="H152" s="25">
        <v>980</v>
      </c>
      <c r="I152" s="12">
        <v>4800</v>
      </c>
      <c r="J152" s="12">
        <f t="shared" si="12"/>
        <v>4704000</v>
      </c>
    </row>
    <row r="153" spans="1:10" x14ac:dyDescent="0.25">
      <c r="A153" s="12">
        <v>62</v>
      </c>
      <c r="B153" s="430"/>
      <c r="C153" s="28" t="s">
        <v>113</v>
      </c>
      <c r="D153" s="12">
        <f>D143+100</f>
        <v>702</v>
      </c>
      <c r="E153" s="12" t="s">
        <v>73</v>
      </c>
      <c r="F153" s="19">
        <f>(18.012+6.59)*10.764</f>
        <v>264.81592799999999</v>
      </c>
      <c r="G153" s="19">
        <v>0</v>
      </c>
      <c r="H153" s="25">
        <v>405</v>
      </c>
      <c r="I153" s="12">
        <v>4800</v>
      </c>
      <c r="J153" s="12">
        <f t="shared" si="12"/>
        <v>1944000</v>
      </c>
    </row>
    <row r="154" spans="1:10" x14ac:dyDescent="0.25">
      <c r="A154" s="12">
        <v>63</v>
      </c>
      <c r="B154" s="430"/>
      <c r="C154" s="28" t="s">
        <v>113</v>
      </c>
      <c r="D154" s="12">
        <f t="shared" ref="D154:D161" si="18">D144+100</f>
        <v>703</v>
      </c>
      <c r="E154" s="12" t="s">
        <v>72</v>
      </c>
      <c r="F154" s="19">
        <f>(29.805+7.205)*10.764</f>
        <v>398.37563999999998</v>
      </c>
      <c r="G154" s="19">
        <f>5.7*10.764</f>
        <v>61.354799999999997</v>
      </c>
      <c r="H154" s="25">
        <v>720</v>
      </c>
      <c r="I154" s="12">
        <v>4800</v>
      </c>
      <c r="J154" s="12">
        <f t="shared" si="12"/>
        <v>3456000</v>
      </c>
    </row>
    <row r="155" spans="1:10" x14ac:dyDescent="0.25">
      <c r="A155" s="12">
        <v>64</v>
      </c>
      <c r="B155" s="430"/>
      <c r="C155" s="28" t="s">
        <v>113</v>
      </c>
      <c r="D155" s="12">
        <f t="shared" si="18"/>
        <v>704</v>
      </c>
      <c r="E155" s="12" t="s">
        <v>72</v>
      </c>
      <c r="F155" s="19">
        <f>(31.83)*10.764</f>
        <v>342.61811999999998</v>
      </c>
      <c r="G155" s="19">
        <f>6.383*10.764</f>
        <v>68.706611999999993</v>
      </c>
      <c r="H155" s="25">
        <v>650</v>
      </c>
      <c r="I155" s="12">
        <v>4800</v>
      </c>
      <c r="J155" s="12">
        <f t="shared" si="12"/>
        <v>3120000</v>
      </c>
    </row>
    <row r="156" spans="1:10" x14ac:dyDescent="0.25">
      <c r="A156" s="12">
        <v>65</v>
      </c>
      <c r="B156" s="430"/>
      <c r="C156" s="28" t="s">
        <v>113</v>
      </c>
      <c r="D156" s="12">
        <f t="shared" si="18"/>
        <v>705</v>
      </c>
      <c r="E156" s="12" t="s">
        <v>72</v>
      </c>
      <c r="F156" s="19">
        <f>(32.089+6.728)*10.764</f>
        <v>417.826188</v>
      </c>
      <c r="G156" s="19">
        <f>6.383*10.764</f>
        <v>68.706611999999993</v>
      </c>
      <c r="H156" s="25">
        <v>765</v>
      </c>
      <c r="I156" s="12">
        <v>4800</v>
      </c>
      <c r="J156" s="12">
        <f t="shared" ref="J156:J161" si="19">H156*I156</f>
        <v>3672000</v>
      </c>
    </row>
    <row r="157" spans="1:10" x14ac:dyDescent="0.25">
      <c r="A157" s="12">
        <v>66</v>
      </c>
      <c r="B157" s="430"/>
      <c r="C157" s="28" t="s">
        <v>113</v>
      </c>
      <c r="D157" s="12">
        <f t="shared" si="18"/>
        <v>706</v>
      </c>
      <c r="E157" s="12" t="s">
        <v>72</v>
      </c>
      <c r="F157" s="19">
        <f>(31.884+6.728)*10.764</f>
        <v>415.61956800000002</v>
      </c>
      <c r="G157" s="19">
        <f>4.093*10.764</f>
        <v>44.057051999999999</v>
      </c>
      <c r="H157" s="25">
        <v>725</v>
      </c>
      <c r="I157" s="12">
        <v>4800</v>
      </c>
      <c r="J157" s="12">
        <f t="shared" si="19"/>
        <v>3480000</v>
      </c>
    </row>
    <row r="158" spans="1:10" x14ac:dyDescent="0.25">
      <c r="A158" s="12">
        <v>67</v>
      </c>
      <c r="B158" s="430"/>
      <c r="C158" s="28" t="s">
        <v>113</v>
      </c>
      <c r="D158" s="12">
        <f t="shared" si="18"/>
        <v>707</v>
      </c>
      <c r="E158" s="12" t="s">
        <v>72</v>
      </c>
      <c r="F158" s="19">
        <f>(32.144+7.085)*10.764</f>
        <v>422.26095599999996</v>
      </c>
      <c r="G158" s="19">
        <f>4.093*10.764</f>
        <v>44.057051999999999</v>
      </c>
      <c r="H158" s="25">
        <v>735</v>
      </c>
      <c r="I158" s="12">
        <v>4800</v>
      </c>
      <c r="J158" s="12">
        <f t="shared" si="19"/>
        <v>3528000</v>
      </c>
    </row>
    <row r="159" spans="1:10" x14ac:dyDescent="0.25">
      <c r="A159" s="12">
        <v>68</v>
      </c>
      <c r="B159" s="430"/>
      <c r="C159" s="28" t="s">
        <v>113</v>
      </c>
      <c r="D159" s="12">
        <f t="shared" si="18"/>
        <v>708</v>
      </c>
      <c r="E159" s="12" t="s">
        <v>72</v>
      </c>
      <c r="F159" s="19">
        <f>(31.468+6.89)*10.764</f>
        <v>412.88551199999995</v>
      </c>
      <c r="G159" s="19">
        <f>5.059*10.764</f>
        <v>54.455075999999998</v>
      </c>
      <c r="H159" s="25">
        <v>735</v>
      </c>
      <c r="I159" s="12">
        <v>4800</v>
      </c>
      <c r="J159" s="12">
        <f t="shared" si="19"/>
        <v>3528000</v>
      </c>
    </row>
    <row r="160" spans="1:10" x14ac:dyDescent="0.25">
      <c r="A160" s="12">
        <v>69</v>
      </c>
      <c r="B160" s="430"/>
      <c r="C160" s="28" t="s">
        <v>113</v>
      </c>
      <c r="D160" s="12">
        <f t="shared" si="18"/>
        <v>709</v>
      </c>
      <c r="E160" s="12" t="s">
        <v>72</v>
      </c>
      <c r="F160" s="19">
        <f>(28.608+5.955)*10.764</f>
        <v>372.03613200000001</v>
      </c>
      <c r="G160" s="19">
        <f>3.983*10.764</f>
        <v>42.873011999999996</v>
      </c>
      <c r="H160" s="25">
        <v>645</v>
      </c>
      <c r="I160" s="12">
        <v>4800</v>
      </c>
      <c r="J160" s="12">
        <f t="shared" si="19"/>
        <v>3096000</v>
      </c>
    </row>
    <row r="161" spans="1:10" x14ac:dyDescent="0.25">
      <c r="A161" s="12">
        <v>70</v>
      </c>
      <c r="B161" s="430"/>
      <c r="C161" s="28" t="s">
        <v>113</v>
      </c>
      <c r="D161" s="12">
        <f t="shared" si="18"/>
        <v>710</v>
      </c>
      <c r="E161" s="12" t="s">
        <v>72</v>
      </c>
      <c r="F161" s="19">
        <f>(28.608+2.9)*10.764</f>
        <v>339.15211199999999</v>
      </c>
      <c r="G161" s="19">
        <f>3.173*10.764</f>
        <v>34.154171999999996</v>
      </c>
      <c r="H161" s="25">
        <v>580</v>
      </c>
      <c r="I161" s="12">
        <v>4800</v>
      </c>
      <c r="J161" s="12">
        <f t="shared" si="19"/>
        <v>2784000</v>
      </c>
    </row>
  </sheetData>
  <mergeCells count="27">
    <mergeCell ref="B132:B141"/>
    <mergeCell ref="B142:B151"/>
    <mergeCell ref="B152:B161"/>
    <mergeCell ref="B92:B101"/>
    <mergeCell ref="B4:B6"/>
    <mergeCell ref="B7:B9"/>
    <mergeCell ref="A90:J90"/>
    <mergeCell ref="A91:J91"/>
    <mergeCell ref="B102:B111"/>
    <mergeCell ref="B112:B121"/>
    <mergeCell ref="B122:B131"/>
    <mergeCell ref="A2:J2"/>
    <mergeCell ref="A3:J3"/>
    <mergeCell ref="B81:B89"/>
    <mergeCell ref="B10:B12"/>
    <mergeCell ref="B13:B15"/>
    <mergeCell ref="B36:B44"/>
    <mergeCell ref="B45:B53"/>
    <mergeCell ref="B54:B62"/>
    <mergeCell ref="B63:B71"/>
    <mergeCell ref="B72:B80"/>
    <mergeCell ref="B16:B18"/>
    <mergeCell ref="B19:B21"/>
    <mergeCell ref="B22:B24"/>
    <mergeCell ref="B27:B35"/>
    <mergeCell ref="A25:J25"/>
    <mergeCell ref="A26:J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6"/>
  <sheetViews>
    <sheetView topLeftCell="A112" zoomScale="85" zoomScaleNormal="85" workbookViewId="0">
      <selection activeCell="B3" sqref="B3:K13"/>
    </sheetView>
  </sheetViews>
  <sheetFormatPr defaultColWidth="8.7109375" defaultRowHeight="15" x14ac:dyDescent="0.25"/>
  <cols>
    <col min="1" max="1" width="8.7109375" style="14"/>
    <col min="2" max="3" width="22.28515625" style="14" customWidth="1"/>
    <col min="4" max="5" width="12.5703125" style="14" customWidth="1"/>
    <col min="6" max="6" width="11.42578125" style="14" customWidth="1"/>
    <col min="7" max="8" width="8.7109375" style="14"/>
    <col min="9" max="9" width="12.7109375" style="14" customWidth="1"/>
    <col min="10" max="10" width="13.5703125" style="14" customWidth="1"/>
    <col min="11" max="16384" width="8.7109375" style="14"/>
  </cols>
  <sheetData>
    <row r="1" spans="1:11" ht="15" customHeight="1" x14ac:dyDescent="0.25"/>
    <row r="2" spans="1:11" ht="15" customHeight="1" x14ac:dyDescent="0.25">
      <c r="A2"/>
      <c r="B2"/>
      <c r="C2"/>
      <c r="D2"/>
      <c r="E2"/>
      <c r="F2"/>
      <c r="G2"/>
      <c r="H2"/>
      <c r="I2"/>
      <c r="J2"/>
    </row>
    <row r="3" spans="1:11" ht="15.75" customHeight="1" x14ac:dyDescent="0.25">
      <c r="A3"/>
      <c r="B3" s="505" t="s">
        <v>59</v>
      </c>
      <c r="C3" s="506"/>
      <c r="D3" s="506"/>
      <c r="E3" s="506"/>
      <c r="F3" s="506"/>
      <c r="G3" s="506"/>
      <c r="H3" s="506"/>
      <c r="I3" s="506"/>
      <c r="J3" s="506"/>
      <c r="K3" s="507"/>
    </row>
    <row r="4" spans="1:11" ht="45" x14ac:dyDescent="0.25">
      <c r="A4"/>
      <c r="B4" s="503" t="s">
        <v>60</v>
      </c>
      <c r="C4" s="503"/>
      <c r="D4" s="503" t="s">
        <v>79</v>
      </c>
      <c r="E4" s="503"/>
      <c r="F4" s="27" t="s">
        <v>71</v>
      </c>
      <c r="G4" s="27" t="s">
        <v>61</v>
      </c>
      <c r="H4" s="27" t="s">
        <v>98</v>
      </c>
      <c r="I4" s="27" t="s">
        <v>108</v>
      </c>
      <c r="J4" s="503" t="s">
        <v>62</v>
      </c>
      <c r="K4" s="503"/>
    </row>
    <row r="5" spans="1:11" ht="15" customHeight="1" x14ac:dyDescent="0.25">
      <c r="A5"/>
      <c r="B5" s="503" t="s">
        <v>99</v>
      </c>
      <c r="C5" s="503"/>
      <c r="D5" s="503" t="s">
        <v>80</v>
      </c>
      <c r="E5" s="503"/>
      <c r="F5" s="17" t="s">
        <v>100</v>
      </c>
      <c r="G5" s="17">
        <v>476</v>
      </c>
      <c r="H5" s="17">
        <f>G5*1.5</f>
        <v>714</v>
      </c>
      <c r="I5" s="23">
        <f>J5/H5</f>
        <v>4000</v>
      </c>
      <c r="J5" s="503">
        <v>2856000</v>
      </c>
      <c r="K5" s="503"/>
    </row>
    <row r="6" spans="1:11" x14ac:dyDescent="0.25">
      <c r="A6"/>
      <c r="B6" s="503" t="s">
        <v>102</v>
      </c>
      <c r="C6" s="503"/>
      <c r="D6" s="503" t="s">
        <v>80</v>
      </c>
      <c r="E6" s="503"/>
      <c r="F6" s="17" t="s">
        <v>101</v>
      </c>
      <c r="G6" s="17">
        <v>228</v>
      </c>
      <c r="H6" s="17">
        <v>455</v>
      </c>
      <c r="I6" s="23">
        <f>J6/H6</f>
        <v>3006.5934065934066</v>
      </c>
      <c r="J6" s="503">
        <v>1368000</v>
      </c>
      <c r="K6" s="503"/>
    </row>
    <row r="7" spans="1:11" ht="15" customHeight="1" x14ac:dyDescent="0.25">
      <c r="A7"/>
      <c r="B7" s="503" t="s">
        <v>74</v>
      </c>
      <c r="C7" s="503"/>
      <c r="D7" s="503" t="s">
        <v>103</v>
      </c>
      <c r="E7" s="503"/>
      <c r="F7" s="17" t="s">
        <v>100</v>
      </c>
      <c r="G7" s="17">
        <v>475</v>
      </c>
      <c r="H7" s="17">
        <v>705</v>
      </c>
      <c r="I7" s="23">
        <f t="shared" ref="I7:I11" si="0">J7/H7</f>
        <v>5106.3829787234044</v>
      </c>
      <c r="J7" s="503">
        <v>3600000</v>
      </c>
      <c r="K7" s="503"/>
    </row>
    <row r="8" spans="1:11" ht="30" customHeight="1" x14ac:dyDescent="0.25">
      <c r="A8"/>
      <c r="B8" s="503" t="s">
        <v>74</v>
      </c>
      <c r="C8" s="503"/>
      <c r="D8" s="503" t="s">
        <v>105</v>
      </c>
      <c r="E8" s="503"/>
      <c r="F8" s="17" t="s">
        <v>104</v>
      </c>
      <c r="G8" s="23">
        <f>H8/1.45</f>
        <v>689.65517241379314</v>
      </c>
      <c r="H8" s="17">
        <v>1000</v>
      </c>
      <c r="I8" s="23">
        <f t="shared" si="0"/>
        <v>4900</v>
      </c>
      <c r="J8" s="503">
        <v>4900000</v>
      </c>
      <c r="K8" s="503"/>
    </row>
    <row r="9" spans="1:11" ht="15" customHeight="1" x14ac:dyDescent="0.25">
      <c r="A9"/>
      <c r="B9" s="503" t="s">
        <v>74</v>
      </c>
      <c r="C9" s="503"/>
      <c r="D9" s="503" t="s">
        <v>106</v>
      </c>
      <c r="E9" s="503"/>
      <c r="F9" s="17" t="s">
        <v>100</v>
      </c>
      <c r="G9" s="17">
        <v>400</v>
      </c>
      <c r="H9" s="17">
        <v>665</v>
      </c>
      <c r="I9" s="23">
        <f t="shared" si="0"/>
        <v>5413.5338345864666</v>
      </c>
      <c r="J9" s="503">
        <v>3600000</v>
      </c>
      <c r="K9" s="503"/>
    </row>
    <row r="10" spans="1:11" ht="15" customHeight="1" x14ac:dyDescent="0.25">
      <c r="A10"/>
      <c r="B10" s="503" t="s">
        <v>74</v>
      </c>
      <c r="C10" s="503"/>
      <c r="D10" s="503" t="s">
        <v>106</v>
      </c>
      <c r="E10" s="503"/>
      <c r="F10" s="17" t="s">
        <v>104</v>
      </c>
      <c r="G10" s="17">
        <v>485</v>
      </c>
      <c r="H10" s="17">
        <v>745</v>
      </c>
      <c r="I10" s="23">
        <f t="shared" si="0"/>
        <v>5369.1275167785234</v>
      </c>
      <c r="J10" s="503">
        <v>4000000</v>
      </c>
      <c r="K10" s="503"/>
    </row>
    <row r="11" spans="1:11" ht="15" customHeight="1" x14ac:dyDescent="0.25">
      <c r="A11"/>
      <c r="B11" s="503" t="s">
        <v>74</v>
      </c>
      <c r="C11" s="503"/>
      <c r="D11" s="503" t="s">
        <v>107</v>
      </c>
      <c r="E11" s="503"/>
      <c r="F11" s="17" t="s">
        <v>100</v>
      </c>
      <c r="G11" s="23">
        <f>H11/1.45</f>
        <v>438.62068965517244</v>
      </c>
      <c r="H11" s="17">
        <v>636</v>
      </c>
      <c r="I11" s="23">
        <f t="shared" si="0"/>
        <v>3911.949685534591</v>
      </c>
      <c r="J11" s="503">
        <v>2488000</v>
      </c>
      <c r="K11" s="503"/>
    </row>
    <row r="12" spans="1:11" ht="15" customHeight="1" x14ac:dyDescent="0.25">
      <c r="A12"/>
      <c r="B12" s="503" t="s">
        <v>63</v>
      </c>
      <c r="C12" s="503"/>
      <c r="D12" s="503"/>
      <c r="E12" s="503"/>
      <c r="F12" s="17"/>
      <c r="G12" s="17"/>
      <c r="H12" s="17"/>
      <c r="I12" s="24">
        <f>AVERAGE(I5:I11)</f>
        <v>4529.6553460309133</v>
      </c>
      <c r="J12" s="503"/>
      <c r="K12" s="503"/>
    </row>
    <row r="13" spans="1:11" ht="15" customHeight="1" x14ac:dyDescent="0.25">
      <c r="B13" s="504" t="s">
        <v>64</v>
      </c>
      <c r="C13" s="504"/>
      <c r="D13" s="504"/>
      <c r="E13" s="504"/>
      <c r="F13" s="504"/>
      <c r="G13" s="504"/>
      <c r="H13" s="504"/>
      <c r="I13" s="26">
        <v>4800</v>
      </c>
      <c r="J13" s="503"/>
      <c r="K13" s="503"/>
    </row>
    <row r="14" spans="1:11" ht="15" customHeight="1" x14ac:dyDescent="0.25"/>
    <row r="15" spans="1:11" ht="15" customHeight="1" x14ac:dyDescent="0.25"/>
    <row r="16" spans="1:11" ht="15" customHeight="1" x14ac:dyDescent="0.25"/>
  </sheetData>
  <mergeCells count="30">
    <mergeCell ref="D4:E4"/>
    <mergeCell ref="J4:K4"/>
    <mergeCell ref="B4:C4"/>
    <mergeCell ref="B5:C5"/>
    <mergeCell ref="D5:E5"/>
    <mergeCell ref="D10:E10"/>
    <mergeCell ref="B11:C11"/>
    <mergeCell ref="D11:E11"/>
    <mergeCell ref="B6:C6"/>
    <mergeCell ref="D6:E6"/>
    <mergeCell ref="B7:C7"/>
    <mergeCell ref="D7:E7"/>
    <mergeCell ref="B8:C8"/>
    <mergeCell ref="D8:E8"/>
    <mergeCell ref="J13:K13"/>
    <mergeCell ref="B13:H13"/>
    <mergeCell ref="B3:K3"/>
    <mergeCell ref="B12:C12"/>
    <mergeCell ref="D12:E12"/>
    <mergeCell ref="J5:K5"/>
    <mergeCell ref="J6:K6"/>
    <mergeCell ref="J7:K7"/>
    <mergeCell ref="J8:K8"/>
    <mergeCell ref="J9:K9"/>
    <mergeCell ref="J10:K10"/>
    <mergeCell ref="J11:K11"/>
    <mergeCell ref="J12:K12"/>
    <mergeCell ref="B9:C9"/>
    <mergeCell ref="D9:E9"/>
    <mergeCell ref="B10:C10"/>
  </mergeCells>
  <phoneticPr fontId="0" type="noConversion"/>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4:J4"/>
  <sheetViews>
    <sheetView zoomScale="85" zoomScaleNormal="85" workbookViewId="0">
      <selection activeCell="C7" sqref="C7"/>
    </sheetView>
  </sheetViews>
  <sheetFormatPr defaultRowHeight="15" x14ac:dyDescent="0.25"/>
  <cols>
    <col min="1" max="1" width="15.7109375" style="38" customWidth="1"/>
    <col min="2" max="2" width="14.28515625" style="37" customWidth="1"/>
    <col min="3" max="5" width="11.7109375" style="37" customWidth="1"/>
    <col min="6" max="10" width="9.28515625" style="37"/>
  </cols>
  <sheetData>
    <row r="4" spans="1:1" x14ac:dyDescent="0.25">
      <c r="A4"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H19"/>
  <sheetViews>
    <sheetView zoomScale="70" zoomScaleNormal="70" workbookViewId="0">
      <selection activeCell="A2" sqref="A2:XFD2"/>
    </sheetView>
  </sheetViews>
  <sheetFormatPr defaultRowHeight="15" x14ac:dyDescent="0.25"/>
  <cols>
    <col min="1" max="1" width="41.7109375" customWidth="1"/>
    <col min="2" max="2" width="18.28515625" bestFit="1" customWidth="1"/>
  </cols>
  <sheetData>
    <row r="2" spans="1:8" x14ac:dyDescent="0.25">
      <c r="B2" s="47"/>
    </row>
    <row r="3" spans="1:8" x14ac:dyDescent="0.25">
      <c r="B3" s="47"/>
    </row>
    <row r="4" spans="1:8" ht="15.75" thickBot="1" x14ac:dyDescent="0.3">
      <c r="B4" s="47"/>
    </row>
    <row r="5" spans="1:8" s="67" customFormat="1" ht="12.75" x14ac:dyDescent="0.2">
      <c r="A5" s="508" t="s">
        <v>477</v>
      </c>
      <c r="B5" s="509"/>
      <c r="C5" s="63" t="s">
        <v>198</v>
      </c>
      <c r="D5" s="63" t="s">
        <v>478</v>
      </c>
      <c r="E5" s="63" t="s">
        <v>479</v>
      </c>
      <c r="F5" s="64" t="s">
        <v>480</v>
      </c>
      <c r="G5" s="65" t="str">
        <f ca="1">(IF(E9&gt;99%,"All work completed. Please provide OC.",IF(E9&gt;89.8%,"Plinth, RCC, Brick, Plaster, Flooring, Painting work Completed. Finishing work is in process.",IF(E9&lt;94%,(IF(C9=0,"Work not yet Started.",IF(D9=25%,"Piling work in process",IF(D9=50%,"Excavation work in process",IF(D9=100%,"Excavation work Completed. ","0")))&amp;(IF(C10=0%,"",IF(C10=H11,"Footing work is process",IF(C10=H12,"Footing work Completed",IF(C10=H13,"1st Basement Completed",IF(C10=H14,"1st &amp; 2nd Basement Completed",IF(C10=H15,"1st to 3rd Basement Completed",IF(C10=H16,"1st to 4th Basement Completed",IF(C10=H17,"Plinth work is process",IF(C10=H18,"Plinth work completed","0")))))))))))&amp;(IF(C11=(D6+E6+F6),", RCC Slab",IF(C11&gt;0,", RCC upto "&amp;C11&amp;" Slab",""))&amp;(IF(C12=F6,", Brickwork",IF(C12&gt;0,", Brickwork upto "&amp;C12&amp;" Floor",""))&amp;(IF(C13=F6,", Internal Plaster",IF(C13&gt;0,", Internal Plaster upto "&amp;C13&amp;" Floor",""))&amp;(IF(C14=F6,", External Plaster",IF(C14&gt;0,", External Plaster upto "&amp;C14&amp;" Floor",""))&amp;(IF(C15=F6,", Flooring",IF(C15&gt;0,", Flooring upto "&amp;C15&amp;" Floor",""))&amp;(IF(C16=F6,", Painting",IF(C16&gt;0,", Painting upto "&amp;C16&amp;" Floor",""))&amp;(IF(C17&gt;0,", Finishing upto "&amp;C17&amp;" Floor","")&amp;(IF(C11&gt;0.5," Completed",""))))))))))))))</f>
        <v>Work not yet Started.</v>
      </c>
      <c r="H5" s="66"/>
    </row>
    <row r="6" spans="1:8" s="67" customFormat="1" ht="12.75" x14ac:dyDescent="0.2">
      <c r="A6" s="510"/>
      <c r="B6" s="511"/>
      <c r="C6" s="68">
        <v>0</v>
      </c>
      <c r="D6" s="68">
        <v>1</v>
      </c>
      <c r="E6" s="68">
        <v>0</v>
      </c>
      <c r="F6" s="69">
        <f ca="1">--TRIM(RIGHT(SUBSTITUTE(LEFT(A5,_xlfn.AGGREGATE(16,6,FIND({0,1,2,3,4,5,6,7,8,9},A5,ROW(INDIRECT("1:"&amp;LEN(A5)))),1))," ",REPT(" ",LEN(A5))),LEN(A5)))</f>
        <v>15</v>
      </c>
      <c r="G6" s="70"/>
      <c r="H6" s="71"/>
    </row>
    <row r="7" spans="1:8" s="67" customFormat="1" ht="26.25" customHeight="1" x14ac:dyDescent="0.2">
      <c r="A7" s="72" t="s">
        <v>481</v>
      </c>
      <c r="B7" s="512" t="str">
        <f ca="1">G5</f>
        <v>Work not yet Started.</v>
      </c>
      <c r="C7" s="513"/>
      <c r="D7" s="513"/>
      <c r="E7" s="513"/>
      <c r="F7" s="514"/>
      <c r="G7" s="70" t="s">
        <v>482</v>
      </c>
      <c r="H7" s="71"/>
    </row>
    <row r="8" spans="1:8" s="67" customFormat="1" ht="25.5" x14ac:dyDescent="0.2">
      <c r="A8" s="73" t="s">
        <v>483</v>
      </c>
      <c r="B8" s="74" t="s">
        <v>484</v>
      </c>
      <c r="C8" s="75" t="s">
        <v>485</v>
      </c>
      <c r="D8" s="75" t="s">
        <v>486</v>
      </c>
      <c r="E8" s="515" t="s">
        <v>487</v>
      </c>
      <c r="F8" s="516"/>
      <c r="G8" s="76" t="s">
        <v>488</v>
      </c>
      <c r="H8" s="77">
        <f ca="1">F6*25%</f>
        <v>3.75</v>
      </c>
    </row>
    <row r="9" spans="1:8" s="67" customFormat="1" ht="15" customHeight="1" x14ac:dyDescent="0.2">
      <c r="A9" s="73" t="s">
        <v>489</v>
      </c>
      <c r="B9" s="78">
        <v>0</v>
      </c>
      <c r="C9" s="79">
        <v>0</v>
      </c>
      <c r="D9" s="80">
        <f ca="1">((100/F6)*C9)/100</f>
        <v>0</v>
      </c>
      <c r="E9" s="517">
        <f ca="1">(((C10/F6*10)+(40/(D6+E6+F6)*C11)+(15/(F6)*C12)+(5/(F6)*C13)+(5/F6*C14)+(10/F6*C15)+(5/F6*C16)+(5/F6*C17)+(5/F6*C18))/100)</f>
        <v>0</v>
      </c>
      <c r="F9" s="518"/>
      <c r="G9" s="76" t="s">
        <v>490</v>
      </c>
      <c r="H9" s="81">
        <f ca="1">F6*50%</f>
        <v>7.5</v>
      </c>
    </row>
    <row r="10" spans="1:8" s="67" customFormat="1" ht="15" customHeight="1" x14ac:dyDescent="0.2">
      <c r="A10" s="73" t="s">
        <v>36</v>
      </c>
      <c r="B10" s="78">
        <v>0.1</v>
      </c>
      <c r="C10" s="82">
        <v>0</v>
      </c>
      <c r="D10" s="80">
        <f ca="1">((100/F6)*C10)/100</f>
        <v>0</v>
      </c>
      <c r="E10" s="519"/>
      <c r="F10" s="520"/>
      <c r="G10" s="76" t="s">
        <v>491</v>
      </c>
      <c r="H10" s="81">
        <f ca="1">F6</f>
        <v>15</v>
      </c>
    </row>
    <row r="11" spans="1:8" s="67" customFormat="1" ht="15" customHeight="1" x14ac:dyDescent="0.2">
      <c r="A11" s="73" t="s">
        <v>492</v>
      </c>
      <c r="B11" s="78">
        <v>0.4</v>
      </c>
      <c r="C11" s="82">
        <v>0</v>
      </c>
      <c r="D11" s="80">
        <f ca="1">((100/(D6+E6+F6))*C11)/100</f>
        <v>0</v>
      </c>
      <c r="E11" s="519"/>
      <c r="F11" s="520"/>
      <c r="G11" s="76" t="s">
        <v>493</v>
      </c>
      <c r="H11" s="83">
        <f ca="1">(IF(C6&gt;1,(F6/(C6+2)),F6/4))</f>
        <v>3.75</v>
      </c>
    </row>
    <row r="12" spans="1:8" s="67" customFormat="1" ht="15" customHeight="1" x14ac:dyDescent="0.2">
      <c r="A12" s="73" t="s">
        <v>494</v>
      </c>
      <c r="B12" s="78">
        <v>0.15</v>
      </c>
      <c r="C12" s="79">
        <v>0</v>
      </c>
      <c r="D12" s="80">
        <f ca="1">((100/F6)*C12)/100</f>
        <v>0</v>
      </c>
      <c r="E12" s="519"/>
      <c r="F12" s="520"/>
      <c r="G12" s="76" t="s">
        <v>495</v>
      </c>
      <c r="H12" s="83">
        <f ca="1">(IF(C6&gt;1,(F6/(C6+2)+H11),F6/4+H11))</f>
        <v>7.5</v>
      </c>
    </row>
    <row r="13" spans="1:8" s="67" customFormat="1" ht="15" customHeight="1" x14ac:dyDescent="0.2">
      <c r="A13" s="73" t="s">
        <v>496</v>
      </c>
      <c r="B13" s="78">
        <v>0.05</v>
      </c>
      <c r="C13" s="79">
        <v>0</v>
      </c>
      <c r="D13" s="80">
        <f ca="1">((100/F6)*C13)/100</f>
        <v>0</v>
      </c>
      <c r="E13" s="519"/>
      <c r="F13" s="520"/>
      <c r="G13" s="76" t="s">
        <v>497</v>
      </c>
      <c r="H13" s="83">
        <f>(IF(C6&gt;1,(F6/(C6+2)+H12),0))</f>
        <v>0</v>
      </c>
    </row>
    <row r="14" spans="1:8" s="67" customFormat="1" ht="15" customHeight="1" x14ac:dyDescent="0.2">
      <c r="A14" s="73" t="s">
        <v>498</v>
      </c>
      <c r="B14" s="78">
        <v>0.05</v>
      </c>
      <c r="C14" s="79">
        <v>0</v>
      </c>
      <c r="D14" s="80">
        <f ca="1">((100/(F6))*C14)/100</f>
        <v>0</v>
      </c>
      <c r="E14" s="519"/>
      <c r="F14" s="520"/>
      <c r="G14" s="76" t="s">
        <v>499</v>
      </c>
      <c r="H14" s="83">
        <f>(IF(C6&gt;2,(F6/(C6+2)+H13),0))</f>
        <v>0</v>
      </c>
    </row>
    <row r="15" spans="1:8" s="67" customFormat="1" ht="15" customHeight="1" x14ac:dyDescent="0.2">
      <c r="A15" s="73" t="s">
        <v>500</v>
      </c>
      <c r="B15" s="78">
        <v>0.1</v>
      </c>
      <c r="C15" s="79">
        <v>0</v>
      </c>
      <c r="D15" s="80">
        <f ca="1">((100/F6)*C15)/100</f>
        <v>0</v>
      </c>
      <c r="E15" s="519"/>
      <c r="F15" s="520"/>
      <c r="G15" s="76" t="s">
        <v>501</v>
      </c>
      <c r="H15" s="84">
        <f>(IF(C6&gt;3,(F6/(C6+2)+H14),0))</f>
        <v>0</v>
      </c>
    </row>
    <row r="16" spans="1:8" s="67" customFormat="1" ht="15" customHeight="1" x14ac:dyDescent="0.2">
      <c r="A16" s="73" t="s">
        <v>502</v>
      </c>
      <c r="B16" s="78">
        <v>0.05</v>
      </c>
      <c r="C16" s="79">
        <v>0</v>
      </c>
      <c r="D16" s="80">
        <f ca="1">((100/F6)*C16)/100</f>
        <v>0</v>
      </c>
      <c r="E16" s="519"/>
      <c r="F16" s="520"/>
      <c r="G16" s="76" t="s">
        <v>503</v>
      </c>
      <c r="H16" s="83">
        <f>(IF(C6&gt;4,(F6/(C6+2)+H15),0))</f>
        <v>0</v>
      </c>
    </row>
    <row r="17" spans="1:8" s="67" customFormat="1" ht="15" customHeight="1" x14ac:dyDescent="0.2">
      <c r="A17" s="73" t="s">
        <v>504</v>
      </c>
      <c r="B17" s="78">
        <v>0.05</v>
      </c>
      <c r="C17" s="79">
        <v>0</v>
      </c>
      <c r="D17" s="80">
        <f ca="1">((100/(F6))*C17)/100</f>
        <v>0</v>
      </c>
      <c r="E17" s="519"/>
      <c r="F17" s="520"/>
      <c r="G17" s="76" t="s">
        <v>505</v>
      </c>
      <c r="H17" s="83">
        <f ca="1">(IF(C6=1,(F6/(C6+3)+H12),IF(C6=0,(F6/4+H12),IF(C6&gt;1,0))))</f>
        <v>11.25</v>
      </c>
    </row>
    <row r="18" spans="1:8" s="67" customFormat="1" ht="15.75" customHeight="1" thickBot="1" x14ac:dyDescent="0.25">
      <c r="A18" s="85" t="s">
        <v>506</v>
      </c>
      <c r="B18" s="86">
        <v>0.05</v>
      </c>
      <c r="C18" s="87">
        <v>0</v>
      </c>
      <c r="D18" s="88">
        <f ca="1">((100/(F6))*C18)/100</f>
        <v>0</v>
      </c>
      <c r="E18" s="521"/>
      <c r="F18" s="522"/>
      <c r="G18" s="89" t="s">
        <v>507</v>
      </c>
      <c r="H18" s="90">
        <f ca="1">(IF(C6&gt;1.5,(F6/(C6+2)+H12+MAX(0,H13-H12)+MAX(0,H14-H13)+MAX(0,H15-H14)+MAX(0,H16-H15)+MAX(0,H17-H16)),IF(C6=1,(F6/(C6+3)+H17),IF(C6=0,F6/4+H17))))</f>
        <v>15</v>
      </c>
    </row>
    <row r="19" spans="1:8" x14ac:dyDescent="0.25">
      <c r="B19" s="48"/>
    </row>
  </sheetData>
  <mergeCells count="4">
    <mergeCell ref="A5:B6"/>
    <mergeCell ref="B7:F7"/>
    <mergeCell ref="E8:F8"/>
    <mergeCell ref="E9:F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Const. %</vt:lpstr>
      <vt:lpstr>unsold</vt:lpstr>
      <vt:lpstr>valuation</vt:lpstr>
      <vt:lpstr>Sheet1</vt:lpstr>
      <vt:lpstr>Sheet2</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PC-51</cp:lastModifiedBy>
  <cp:lastPrinted>2025-07-24T13:02:01Z</cp:lastPrinted>
  <dcterms:created xsi:type="dcterms:W3CDTF">2013-11-23T05:32:33Z</dcterms:created>
  <dcterms:modified xsi:type="dcterms:W3CDTF">2025-07-24T13:07:22Z</dcterms:modified>
</cp:coreProperties>
</file>