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New\15087 - Mars Wing C\"/>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Report!$A$1:$H$370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3" l="1"/>
  <c r="L151" i="3" l="1"/>
  <c r="J158" i="3"/>
  <c r="J153" i="3"/>
  <c r="J151" i="3"/>
  <c r="D233" i="3"/>
  <c r="E128" i="3"/>
  <c r="E130" i="3" s="1"/>
  <c r="E131" i="3" s="1"/>
  <c r="G131" i="3"/>
  <c r="G130" i="3"/>
  <c r="G128" i="3"/>
  <c r="F185" i="3"/>
  <c r="E185" i="3"/>
  <c r="F184" i="3"/>
  <c r="E184" i="3"/>
  <c r="F181" i="3"/>
  <c r="E181" i="3"/>
  <c r="F180" i="3"/>
  <c r="E180" i="3"/>
  <c r="H180" i="3" s="1"/>
  <c r="F179" i="3"/>
  <c r="E179" i="3"/>
  <c r="F178" i="3"/>
  <c r="E178" i="3"/>
  <c r="F174" i="3"/>
  <c r="E174" i="3"/>
  <c r="F173" i="3"/>
  <c r="E173" i="3"/>
  <c r="F172" i="3"/>
  <c r="E172" i="3"/>
  <c r="F171" i="3"/>
  <c r="E171" i="3"/>
  <c r="F170" i="3"/>
  <c r="E170" i="3"/>
  <c r="F169" i="3"/>
  <c r="E169" i="3"/>
  <c r="H169" i="3" s="1"/>
  <c r="F167" i="3"/>
  <c r="E167" i="3"/>
  <c r="F166" i="3"/>
  <c r="E166" i="3"/>
  <c r="F165" i="3"/>
  <c r="E165" i="3"/>
  <c r="F164" i="3"/>
  <c r="E164" i="3"/>
  <c r="H164" i="3" s="1"/>
  <c r="F163" i="3"/>
  <c r="E163" i="3"/>
  <c r="F162" i="3"/>
  <c r="E162" i="3"/>
  <c r="F161" i="3"/>
  <c r="E161" i="3"/>
  <c r="F160" i="3"/>
  <c r="E160" i="3"/>
  <c r="H160" i="3" s="1"/>
  <c r="F158" i="3"/>
  <c r="E158" i="3"/>
  <c r="F157" i="3"/>
  <c r="E157" i="3"/>
  <c r="F156" i="3"/>
  <c r="E156" i="3"/>
  <c r="F155" i="3"/>
  <c r="E155" i="3"/>
  <c r="H155" i="3" s="1"/>
  <c r="F154" i="3"/>
  <c r="E154" i="3"/>
  <c r="F153" i="3"/>
  <c r="E153" i="3"/>
  <c r="F152" i="3"/>
  <c r="E152" i="3"/>
  <c r="F151" i="3"/>
  <c r="E151" i="3"/>
  <c r="H151" i="3" s="1"/>
  <c r="F147" i="3"/>
  <c r="E147" i="3"/>
  <c r="F146" i="3"/>
  <c r="E146" i="3"/>
  <c r="F145" i="3"/>
  <c r="E145" i="3"/>
  <c r="F144" i="3"/>
  <c r="E144" i="3"/>
  <c r="F143" i="3"/>
  <c r="E143" i="3"/>
  <c r="F142" i="3"/>
  <c r="E142" i="3"/>
  <c r="J140" i="3"/>
  <c r="H185" i="3"/>
  <c r="H184" i="3"/>
  <c r="H181" i="3"/>
  <c r="H179" i="3"/>
  <c r="H178" i="3"/>
  <c r="A179" i="3"/>
  <c r="A180" i="3" s="1"/>
  <c r="A181" i="3" s="1"/>
  <c r="A182" i="3" s="1"/>
  <c r="A183" i="3" s="1"/>
  <c r="A184" i="3" s="1"/>
  <c r="A185" i="3" s="1"/>
  <c r="H171" i="3"/>
  <c r="H170" i="3"/>
  <c r="H174" i="3"/>
  <c r="H173" i="3"/>
  <c r="H172" i="3"/>
  <c r="H167" i="3"/>
  <c r="H166" i="3"/>
  <c r="H165" i="3"/>
  <c r="H163" i="3"/>
  <c r="H162" i="3"/>
  <c r="H161" i="3"/>
  <c r="H158" i="3"/>
  <c r="H157" i="3"/>
  <c r="H156" i="3"/>
  <c r="H152" i="3"/>
  <c r="H154" i="3"/>
  <c r="H153" i="3"/>
  <c r="H147" i="3"/>
  <c r="H146" i="3"/>
  <c r="H143" i="3"/>
  <c r="I142" i="3"/>
  <c r="H145" i="3"/>
  <c r="H142" i="3"/>
  <c r="A143" i="3"/>
  <c r="A144" i="3" s="1"/>
  <c r="A145" i="3" s="1"/>
  <c r="A146" i="3" s="1"/>
  <c r="A147" i="3" s="1"/>
  <c r="A148" i="3" s="1"/>
  <c r="A149" i="3" s="1"/>
  <c r="G119" i="3"/>
  <c r="G118" i="3"/>
  <c r="V160" i="3"/>
  <c r="U160" i="3"/>
  <c r="V151" i="3"/>
  <c r="U151" i="3"/>
  <c r="V169" i="3"/>
  <c r="U169" i="3"/>
  <c r="T169" i="3" l="1"/>
  <c r="U170" i="3"/>
  <c r="V170" i="3"/>
  <c r="V171" i="3" s="1"/>
  <c r="V172" i="3" s="1"/>
  <c r="V173" i="3" s="1"/>
  <c r="V174" i="3" s="1"/>
  <c r="V175" i="3" s="1"/>
  <c r="V176" i="3" s="1"/>
  <c r="U161" i="3"/>
  <c r="T160" i="3"/>
  <c r="V161" i="3"/>
  <c r="V162" i="3" s="1"/>
  <c r="V163" i="3" s="1"/>
  <c r="V164" i="3" s="1"/>
  <c r="V165" i="3" s="1"/>
  <c r="V166" i="3" s="1"/>
  <c r="V167" i="3" s="1"/>
  <c r="T151" i="3"/>
  <c r="U152" i="3"/>
  <c r="V152" i="3"/>
  <c r="V153" i="3" s="1"/>
  <c r="V154" i="3" s="1"/>
  <c r="V155" i="3" s="1"/>
  <c r="V156" i="3" s="1"/>
  <c r="V157" i="3" s="1"/>
  <c r="V158" i="3" s="1"/>
  <c r="H144" i="3"/>
  <c r="D234" i="3"/>
  <c r="D232" i="3"/>
  <c r="H187" i="3"/>
  <c r="H188" i="3"/>
  <c r="H189" i="3"/>
  <c r="H190" i="3"/>
  <c r="H191" i="3"/>
  <c r="A65" i="3"/>
  <c r="T170" i="3" l="1"/>
  <c r="U171" i="3"/>
  <c r="T161" i="3"/>
  <c r="U162" i="3"/>
  <c r="T152" i="3"/>
  <c r="U153"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T171" i="3" l="1"/>
  <c r="U172" i="3"/>
  <c r="U163" i="3"/>
  <c r="T162" i="3"/>
  <c r="T153" i="3"/>
  <c r="U154" i="3"/>
  <c r="I42" i="6"/>
  <c r="H42" i="6" s="1"/>
  <c r="L42" i="6"/>
  <c r="K42" i="6" s="1"/>
  <c r="E44" i="6"/>
  <c r="D42" i="6"/>
  <c r="D44" i="6" s="1"/>
  <c r="T172" i="3" l="1"/>
  <c r="U173" i="3"/>
  <c r="T163" i="3"/>
  <c r="U164" i="3"/>
  <c r="U155" i="3"/>
  <c r="T154" i="3"/>
  <c r="C26" i="3"/>
  <c r="C18" i="3"/>
  <c r="H221" i="3"/>
  <c r="H220" i="3"/>
  <c r="H219" i="3"/>
  <c r="H218" i="3"/>
  <c r="H217" i="3"/>
  <c r="H216" i="3"/>
  <c r="H215" i="3"/>
  <c r="H214" i="3"/>
  <c r="H212" i="3"/>
  <c r="H211" i="3"/>
  <c r="H210" i="3"/>
  <c r="H209" i="3"/>
  <c r="H208" i="3"/>
  <c r="H207" i="3"/>
  <c r="H206" i="3"/>
  <c r="H205" i="3"/>
  <c r="H203" i="3"/>
  <c r="H202" i="3"/>
  <c r="H201" i="3"/>
  <c r="H200" i="3"/>
  <c r="H199" i="3"/>
  <c r="H198" i="3"/>
  <c r="H197" i="3"/>
  <c r="H196" i="3"/>
  <c r="H130" i="3"/>
  <c r="H192" i="3"/>
  <c r="H193" i="3"/>
  <c r="H194" i="3"/>
  <c r="U174" i="3" l="1"/>
  <c r="T173" i="3"/>
  <c r="T164" i="3"/>
  <c r="U165" i="3"/>
  <c r="T155" i="3"/>
  <c r="U156" i="3"/>
  <c r="G125" i="3"/>
  <c r="E125" i="3"/>
  <c r="A97" i="3"/>
  <c r="D98" i="3" s="1"/>
  <c r="J107" i="3" s="1"/>
  <c r="A81" i="3"/>
  <c r="D82" i="3" s="1"/>
  <c r="T174" i="3" l="1"/>
  <c r="U175" i="3"/>
  <c r="T165" i="3"/>
  <c r="U166" i="3"/>
  <c r="T156" i="3"/>
  <c r="U157" i="3"/>
  <c r="J106"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2" i="3"/>
  <c r="I5" i="4"/>
  <c r="T175" i="3" l="1"/>
  <c r="U176" i="3"/>
  <c r="T176" i="3" s="1"/>
  <c r="U167" i="3"/>
  <c r="T167" i="3" s="1"/>
  <c r="T166" i="3"/>
  <c r="T157" i="3"/>
  <c r="U158" i="3"/>
  <c r="T158" i="3" s="1"/>
  <c r="F38" i="4"/>
  <c r="G38" i="4"/>
  <c r="E18" i="4"/>
  <c r="E15" i="4"/>
  <c r="E17" i="4"/>
  <c r="E11" i="4"/>
  <c r="K6" i="4"/>
  <c r="E9" i="4"/>
  <c r="K8" i="4"/>
  <c r="C7" i="4" s="1"/>
  <c r="E14" i="4"/>
  <c r="E12" i="4"/>
  <c r="E16" i="4"/>
  <c r="E10" i="4"/>
  <c r="K9" i="4"/>
  <c r="K10" i="4" s="1"/>
  <c r="K11" i="4" s="1"/>
  <c r="E13" i="4"/>
  <c r="K7" i="4"/>
  <c r="J91" i="3"/>
  <c r="J90" i="3"/>
  <c r="K12" i="4" l="1"/>
  <c r="K16" i="4" s="1"/>
  <c r="C8" i="4" s="1"/>
  <c r="E8" i="4" s="1"/>
  <c r="E7" i="4"/>
  <c r="A187" i="3"/>
  <c r="A188" i="3" s="1"/>
  <c r="A189" i="3" s="1"/>
  <c r="A190" i="3" s="1"/>
  <c r="A191" i="3" s="1"/>
  <c r="A192" i="3" s="1"/>
  <c r="A193" i="3" s="1"/>
  <c r="A194" i="3" s="1"/>
  <c r="F7" i="4" l="1"/>
  <c r="J4" i="4" s="1"/>
  <c r="H7" i="4" s="1"/>
  <c r="G4" i="3" l="1"/>
  <c r="H125" i="3" l="1"/>
  <c r="G120" i="3" l="1"/>
  <c r="J75" i="3"/>
  <c r="J74" i="3"/>
  <c r="H66" i="3"/>
  <c r="J70" i="3" l="1"/>
  <c r="D75" i="3"/>
  <c r="D72" i="3"/>
  <c r="D70" i="3"/>
  <c r="J68" i="3"/>
  <c r="D79" i="3"/>
  <c r="D77" i="3"/>
  <c r="D74" i="3"/>
  <c r="D71" i="3"/>
  <c r="J69" i="3"/>
  <c r="C68" i="3" s="1"/>
  <c r="J67" i="3"/>
  <c r="D78" i="3"/>
  <c r="D76" i="3"/>
  <c r="D73" i="3"/>
  <c r="D95" i="3" l="1"/>
  <c r="D87" i="3"/>
  <c r="D90" i="3"/>
  <c r="J84" i="3"/>
  <c r="D94" i="3"/>
  <c r="D88" i="3"/>
  <c r="J83" i="3"/>
  <c r="D93" i="3"/>
  <c r="J86" i="3"/>
  <c r="J87" i="3" s="1"/>
  <c r="D92" i="3"/>
  <c r="D86" i="3"/>
  <c r="J85" i="3"/>
  <c r="D91" i="3"/>
  <c r="D89" i="3"/>
  <c r="J71" i="3"/>
  <c r="J76" i="3" s="1"/>
  <c r="D84" i="3" l="1"/>
  <c r="J88" i="3"/>
  <c r="J92" i="3"/>
  <c r="J89" i="3"/>
  <c r="J72" i="3"/>
  <c r="H98" i="3"/>
  <c r="J93" i="3" l="1"/>
  <c r="D111" i="3"/>
  <c r="D110" i="3"/>
  <c r="D104" i="3"/>
  <c r="J101" i="3"/>
  <c r="D106" i="3"/>
  <c r="D105" i="3"/>
  <c r="J99" i="3"/>
  <c r="D109" i="3"/>
  <c r="D103" i="3"/>
  <c r="J102" i="3"/>
  <c r="J103" i="3" s="1"/>
  <c r="J104" i="3" s="1"/>
  <c r="J105" i="3" s="1"/>
  <c r="D108" i="3"/>
  <c r="D102" i="3"/>
  <c r="J100" i="3"/>
  <c r="D107" i="3"/>
  <c r="J73" i="3"/>
  <c r="D85" i="3" l="1"/>
  <c r="E84" i="3"/>
  <c r="I81" i="3" s="1"/>
  <c r="G84" i="3" s="1"/>
  <c r="J108" i="3"/>
  <c r="J109" i="3" s="1"/>
  <c r="D101" i="3" s="1"/>
  <c r="D100" i="3"/>
  <c r="V205" i="3"/>
  <c r="U196" i="3"/>
  <c r="V196" i="3"/>
  <c r="U214" i="3"/>
  <c r="U205" i="3"/>
  <c r="V214" i="3"/>
  <c r="D68" i="3" l="1"/>
  <c r="E100" i="3"/>
  <c r="I97" i="3" s="1"/>
  <c r="G100" i="3" s="1"/>
  <c r="E68" i="3"/>
  <c r="G112" i="3" s="1"/>
  <c r="T214" i="3"/>
  <c r="U215" i="3"/>
  <c r="V215" i="3"/>
  <c r="V216" i="3" s="1"/>
  <c r="V217" i="3" s="1"/>
  <c r="V218" i="3" s="1"/>
  <c r="V219" i="3" s="1"/>
  <c r="V220" i="3" s="1"/>
  <c r="V221" i="3" s="1"/>
  <c r="T205" i="3"/>
  <c r="U206" i="3"/>
  <c r="V206" i="3"/>
  <c r="V207" i="3" s="1"/>
  <c r="V208" i="3" s="1"/>
  <c r="V209" i="3" s="1"/>
  <c r="V210" i="3" s="1"/>
  <c r="V211" i="3" s="1"/>
  <c r="V212" i="3" s="1"/>
  <c r="V197" i="3"/>
  <c r="V198" i="3" s="1"/>
  <c r="V199" i="3" s="1"/>
  <c r="V200" i="3" s="1"/>
  <c r="V201" i="3" s="1"/>
  <c r="V202" i="3" s="1"/>
  <c r="V203" i="3" s="1"/>
  <c r="U197" i="3"/>
  <c r="T196" i="3"/>
  <c r="D69" i="3" l="1"/>
  <c r="I65" i="3"/>
  <c r="G68" i="3" s="1"/>
  <c r="A214" i="3"/>
  <c r="A205" i="3"/>
  <c r="A196" i="3"/>
  <c r="T215" i="3"/>
  <c r="A215" i="3" s="1"/>
  <c r="U216" i="3"/>
  <c r="T216" i="3" s="1"/>
  <c r="T206" i="3"/>
  <c r="A206" i="3" s="1"/>
  <c r="U207" i="3"/>
  <c r="T207" i="3" s="1"/>
  <c r="U198" i="3"/>
  <c r="T197" i="3"/>
  <c r="A197" i="3" s="1"/>
  <c r="A216" i="3" l="1"/>
  <c r="A207" i="3"/>
  <c r="U217" i="3"/>
  <c r="T217" i="3" s="1"/>
  <c r="U208" i="3"/>
  <c r="T208" i="3" s="1"/>
  <c r="U199" i="3"/>
  <c r="T198" i="3"/>
  <c r="A198" i="3" s="1"/>
  <c r="A217" i="3" l="1"/>
  <c r="A208" i="3"/>
  <c r="U218" i="3"/>
  <c r="T218" i="3" s="1"/>
  <c r="U209" i="3"/>
  <c r="T209" i="3" s="1"/>
  <c r="U200" i="3"/>
  <c r="T199" i="3"/>
  <c r="A199" i="3" s="1"/>
  <c r="A218" i="3" l="1"/>
  <c r="A209" i="3"/>
  <c r="U219" i="3"/>
  <c r="T219" i="3" s="1"/>
  <c r="U210" i="3"/>
  <c r="T210" i="3" s="1"/>
  <c r="U201" i="3"/>
  <c r="T200" i="3"/>
  <c r="A200" i="3" s="1"/>
  <c r="A219" i="3" l="1"/>
  <c r="A210" i="3"/>
  <c r="U220" i="3"/>
  <c r="T220" i="3" s="1"/>
  <c r="U211" i="3"/>
  <c r="T211" i="3" s="1"/>
  <c r="U202" i="3"/>
  <c r="T201" i="3"/>
  <c r="A201" i="3" s="1"/>
  <c r="A220" i="3" l="1"/>
  <c r="A211" i="3"/>
  <c r="U221" i="3"/>
  <c r="T221" i="3" s="1"/>
  <c r="U212" i="3"/>
  <c r="T212" i="3" s="1"/>
  <c r="U203" i="3"/>
  <c r="T202" i="3"/>
  <c r="A202" i="3" s="1"/>
  <c r="A221" i="3" l="1"/>
  <c r="A212" i="3"/>
  <c r="T203" i="3"/>
  <c r="A203"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8"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<sst xmlns="http://schemas.openxmlformats.org/spreadsheetml/2006/main" count="667" uniqueCount="382">
  <si>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</si>
  <si>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</si>
  <si>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</si>
  <si>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</si>
  <si>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</si>
  <si>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</si>
  <si>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</si>
  <si>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</si>
  <si>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</si>
  <si>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</si>
  <si>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</si>
  <si>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</si>
  <si>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</si>
  <si>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</si>
  <si>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</si>
  <si>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</si>
  <si>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</si>
  <si>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</si>
  <si>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</si>
  <si>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</si>
  <si>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</si>
  <si>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</si>
  <si>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</si>
  <si>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</si>
  <si>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</si>
  <si>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</si>
  <si>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</si>
  <si>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</si>
  <si>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</si>
  <si>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</si>
  <si>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</si>
  <si>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</si>
  <si>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</si>
  <si>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</si>
  <si>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</si>
  <si>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</si>
  <si>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</si>
  <si>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</si>
  <si>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</si>
  <si>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</si>
  <si>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</si>
  <si>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</si>
  <si>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</si>
  <si>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</si>
  <si>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</si>
  <si>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</si>
  <si>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</si>
  <si>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</si>
  <si>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</si>
  <si>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</si>
  <si>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</si>
  <si>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</si>
  <si>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</si>
  <si>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</si>
  <si>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</si>
  <si>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</si>
  <si>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</si>
  <si>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</si>
  <si>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</si>
  <si>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</si>
  <si>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</si>
  <si>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</si>
  <si>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</si>
  <si>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</si>
  <si>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</si>
  <si>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</si>
  <si>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</si>
  <si>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</si>
  <si>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</si>
  <si>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</si>
  <si>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</si>
  <si>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</si>
  <si>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</si>
  <si>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</si>
  <si>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</si>
  <si>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</si>
  <si>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</si>
  <si>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</si>
  <si>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</si>
  <si>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</si>
  <si>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</si>
  <si>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</si>
  <si>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</si>
  <si>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</si>
  <si>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</si>
  <si>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</si>
  <si>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</si>
  <si>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</si>
  <si>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</si>
  <si>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</si>
  <si>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</si>
  <si>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</si>
  <si>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</si>
  <si>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</si>
  <si>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</si>
  <si>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</si>
  <si>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</si>
  <si>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</si>
  <si>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</si>
  <si>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</si>
  <si>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</si>
  <si>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</si>
  <si>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</si>
  <si>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</si>
  <si>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</si>
  <si>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</si>
  <si>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</si>
  <si>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</si>
  <si>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</si>
  <si>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</si>
  <si>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</si>
  <si>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</si>
  <si>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</si>
  <si>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</si>
  <si>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</si>
  <si>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</si>
  <si>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</si>
  <si>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</si>
  <si>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</si>
  <si>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</si>
  <si>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</si>
  <si>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</si>
  <si>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</si>
  <si>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</si>
  <si>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</si>
  <si>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</si>
  <si>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</si>
  <si>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</si>
  <si>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</si>
  <si>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</si>
  <si>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</si>
  <si>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</si>
  <si>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</si>
  <si>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</si>
  <si>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</si>
  <si>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</si>
  <si>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</si>
  <si>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</si>
  <si>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</si>
  <si>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</si>
  <si>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</si>
  <si>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</si>
  <si>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</si>
  <si>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</si>
  <si>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</si>
  <si>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</si>
  <si>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</si>
  <si>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</si>
  <si>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</si>
  <si>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</si>
  <si>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</si>
  <si>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</si>
  <si>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</si>
  <si>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</si>
  <si>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</si>
  <si>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</si>
  <si>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</si>
  <si>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</si>
  <si>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</si>
  <si>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</si>
  <si>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</si>
  <si>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</si>
  <si>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</si>
  <si>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</si>
  <si>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</si>
  <si>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</si>
  <si>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</si>
  <si>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</si>
  <si>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</si>
  <si>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</si>
  <si>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</si>
  <si>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</si>
  <si>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</si>
  <si>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</si>
  <si>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</si>
  <si>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</si>
  <si>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</si>
  <si>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</si>
  <si>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</si>
  <si>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</si>
  <si>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</si>
  <si>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</si>
  <si>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</si>
  <si>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</si>
  <si>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</si>
  <si>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</si>
  <si>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</si>
  <si>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</si>
  <si>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</si>
  <si>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</si>
  <si>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</si>
  <si>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</si>
  <si>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</si>
  <si>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</si>
  <si>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</si>
  <si>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</si>
  <si>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</si>
  <si>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</si>
  <si>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</si>
  <si>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</si>
  <si>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</si>
  <si>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</si>
  <si>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</si>
  <si>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</si>
  <si>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</si>
  <si>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</si>
  <si>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</si>
  <si>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</si>
  <si>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</si>
  <si>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</si>
  <si>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</si>
  <si>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</si>
  <si>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</si>
  <si>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</si>
  <si>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</si>
  <si>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</si>
  <si>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</si>
  <si>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</si>
  <si>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</si>
  <si>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</si>
  <si>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</si>
  <si>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</si>
  <si>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</si>
  <si>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</si>
  <si>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</si>
  <si>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</si>
  <si>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</si>
  <si>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</si>
  <si>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</si>
  <si>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</si>
  <si>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</si>
  <si>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</si>
  <si>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</si>
  <si>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</si>
  <si>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</si>
  <si>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</si>
  <si>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</si>
  <si>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</si>
  <si>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</si>
  <si>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</si>
  <si>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</si>
  <si>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</si>
  <si>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</si>
  <si>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</si>
  <si>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</si>
  <si>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</si>
  <si>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</si>
  <si>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</si>
  <si>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</si>
  <si>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</si>
  <si>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</si>
  <si>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</si>
  <si>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</si>
  <si>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</si>
  <si>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</si>
  <si>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</si>
  <si>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</si>
  <si>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</si>
  <si>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</si>
  <si>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</si>
  <si>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</si>
  <si>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</si>
  <si>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</si>
  <si>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</si>
  <si>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</si>
  <si>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</si>
  <si>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</si>
  <si>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</si>
  <si>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</si>
  <si>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</si>
  <si>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</si>
  <si>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</si>
  <si>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</si>
  <si>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</si>
  <si>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</si>
  <si>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</si>
  <si>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</si>
  <si>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</si>
  <si>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</si>
  <si>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</si>
  <si>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</si>
  <si>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</si>
  <si>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</si>
  <si>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</si>
  <si>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</si>
  <si>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</si>
  <si>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</si>
  <si>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</si>
  <si>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</si>
  <si>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</si>
  <si>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</si>
  <si>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</si>
  <si>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</si>
  <si>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</si>
  <si>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</si>
  <si>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</si>
  <si>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</si>
  <si>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</si>
  <si>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</si>
  <si>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</si>
  <si>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</si>
  <si>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</si>
  <si>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</si>
  <si>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</si>
  <si>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</si>
  <si>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</si>
  <si>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</si>
  <si>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</si>
  <si>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</si>
  <si>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Upper</t>
  </si>
  <si>
    <t>7 RCC
3Brick 
2 plaster</t>
  </si>
  <si>
    <t>Mr. Suraj Khare</t>
  </si>
  <si>
    <t xml:space="preserve">Mars Wing C
</t>
  </si>
  <si>
    <t>Mumbai-RO Thane</t>
  </si>
  <si>
    <t>Sun City Housing</t>
  </si>
  <si>
    <t>3rd Floor, Millennium Tower, behind IOC Petrol Pump, opp. IIT, Powai, Mumbai, Maharashtra 400076</t>
  </si>
  <si>
    <t>C TS No. 4D/1 &amp; 4D/3 at Hariyali, Kurla, Mumbai Suburban, 400076</t>
  </si>
  <si>
    <t>Proposed Bldg. No. - 4 on plot Bearing C.T.S. No. 4D1/4D3 of Village Hariyali, Vikhroli (West) at Adi Shankaracharya Marg, Powai, Mumbai.</t>
  </si>
  <si>
    <t>https://maps.app.goo.gl/6RtbZemVJkv4U3vB9</t>
  </si>
  <si>
    <t>Mars Wing C, C.T.S. No. 4D1 &amp; 4D3, Near Mercury Building Suncity Complex, Jogeshwari Vikhroli Link Road, Hariyali, Kanjur Marg West, Powai, Mumbai 400076</t>
  </si>
  <si>
    <t xml:space="preserve">Municipal Corporation Of Greater Mumbai (MCGM)
</t>
  </si>
  <si>
    <t>P51800080587</t>
  </si>
  <si>
    <t>ICICI BANK LIMITED
IFSC Code - ICIC0000026</t>
  </si>
  <si>
    <t>19.1251367,72.9211294</t>
  </si>
  <si>
    <t>Mercury Building Suncity Complex</t>
  </si>
  <si>
    <t>45.75M</t>
  </si>
  <si>
    <t>Concrete</t>
  </si>
  <si>
    <t>About 1.50 KM form Dr L H Hiranandani Hospital</t>
  </si>
  <si>
    <t>About 1.10 KM from Powai English High School</t>
  </si>
  <si>
    <t>1. Approx. 1KM from Village A-1 Super Market.
2. Approx. 0.950 KM from Fruit and Vegetable Market</t>
  </si>
  <si>
    <t>0.950 KM from Kanjur Marg Railway Station
2.20 KM from Vikhroli Railway Station</t>
  </si>
  <si>
    <t>0.290 KM from Gandhi Nagar Bus Stop</t>
  </si>
  <si>
    <t>Sai Suncity Bldg No. 3/ 45.75 M W Road</t>
  </si>
  <si>
    <t>Bldg No. 3/ Jogeshwari Vikhroli Link Road</t>
  </si>
  <si>
    <t>12.20 M W Road</t>
  </si>
  <si>
    <t>Road</t>
  </si>
  <si>
    <t>Sai Suncity Bldg No.6</t>
  </si>
  <si>
    <t>Pluto Apartment</t>
  </si>
  <si>
    <t>Road/Other Plot</t>
  </si>
  <si>
    <t>Shree Ram Road</t>
  </si>
  <si>
    <t>LG + UG/Podium 1 + 2P to 4P + 2S + 1st to 27th Floor</t>
  </si>
  <si>
    <t>LG + UG/Podium 1 + 2P to 4P + 2S + 1st to 33rd Floor</t>
  </si>
  <si>
    <t>Fire NOC Details</t>
  </si>
  <si>
    <t>CE/840/BPES/AS-CFO
Valid Upto : LG + UG/Podium 1 + 2P to 4P + 2S + 1st to 33rd Floor with a Total height of 123.70mtrs.</t>
  </si>
  <si>
    <t>CE/840/BPES/AS/337/8/Amend</t>
  </si>
  <si>
    <t>CE/840/BPES/AS/FCC/1/Amend</t>
  </si>
  <si>
    <t>Further C.C. is granted for Wing ‘B’ as per amended approved plan dated 18.07.2023 up to 31st floor by
restricting 2 floors for Civil Aviation NOC subject to timely renewal of B.G, SWM NOC, Workmen’s compensation policy and taking all sorts of precautions during construction and for air pollution .</t>
  </si>
  <si>
    <t>SIA/MH/MIS/273635/2022
Valid Upto : C.T.S. No. 4D1 &amp; 4D3
Proposed Builtup Area = 130540.90 Sq.M.</t>
  </si>
  <si>
    <t>Lower Ground Floor For Pump Room, Swimming Pool &amp; Parking</t>
  </si>
  <si>
    <t>Upper Ground / 1st Podium Floor For Fitness Center &amp; Parking</t>
  </si>
  <si>
    <t>2nd Podium Floor For Multipurpose Hall, Recreational Area &amp; Parking</t>
  </si>
  <si>
    <t>3rd &amp; 4th Podium Floor For Parking</t>
  </si>
  <si>
    <t>1st &amp; 2nd Stilt Floor For Fitness Center</t>
  </si>
  <si>
    <t>1st Floor For Residential (Part Refuge Area)</t>
  </si>
  <si>
    <t>1BHK</t>
  </si>
  <si>
    <t>2BHK</t>
  </si>
  <si>
    <t>Refuge Area</t>
  </si>
  <si>
    <t>2nd, 9th, 16th &amp; 23rd Floor</t>
  </si>
  <si>
    <t>3rd to 7th, 10th to 14th, 17th to 21st &amp; 24th to 26th Floor</t>
  </si>
  <si>
    <t>8th, 15th &amp; 22nd Floor (Part Refuge Area)</t>
  </si>
  <si>
    <t>27th Floor (Part Terrace Area)</t>
  </si>
  <si>
    <t>Terrace Area</t>
  </si>
  <si>
    <t>Building No. 4</t>
  </si>
  <si>
    <t>Wing C</t>
  </si>
  <si>
    <t xml:space="preserve">Building No. 4 (Wing C) </t>
  </si>
  <si>
    <t>As per RERA Site Flats = Not Provided</t>
  </si>
  <si>
    <t xml:space="preserve">Flats = 206     </t>
  </si>
  <si>
    <t>Please check for Airport NOC.</t>
  </si>
  <si>
    <t xml:space="preserve">Swimming Pool, Gymnasium, Children's Play Area, Multipurpose Hall, Park, Multipurpose court, Paved Compound, Recreational Area.
</t>
  </si>
  <si>
    <t>Approved Layout &amp; Floor Plans, CC, RERA certificate, Fire NOC, Environmeantal Clearance Certificate</t>
  </si>
  <si>
    <t>Mr.Ranjeet Yadav 7021490414 
Mr.Ravi Gaur 7021848296</t>
  </si>
  <si>
    <t xml:space="preserve">Valid Upto Date: 
</t>
  </si>
  <si>
    <t>SNCR/WEST/B/030118/284596
Valid Upto : Site Elevation in mtrs AMSL = 58.592 M
Permissible Top Elevation in mtrs = 142.28 M</t>
  </si>
  <si>
    <t>26000 to 27000</t>
  </si>
  <si>
    <t xml:space="preserve">CC Details
Valid Up to: </t>
  </si>
  <si>
    <t>Mr.Pratik Niwate</t>
  </si>
  <si>
    <t>check cc on site</t>
  </si>
  <si>
    <t>CE/840/BPES/AS/CC/2/Amend</t>
  </si>
  <si>
    <t>plinth C.C. for wing A, B &amp; C upto stilt top slab (i.e., Lower Ground floor + upper ground floor/podium-1 floor + podium-2 floor + podium-3 floor + top of the podium/stilt-1 level + stilt-2 level as per approved Amended Plan dated 08.12.2022. (CC is valid upto 08.05.2023)</t>
  </si>
  <si>
    <t xml:space="preserve">22/07/2025 @ 03:10 PM </t>
  </si>
  <si>
    <t>Construction work is in process at the time of Visit (labour found)</t>
  </si>
  <si>
    <t>Upper Ground floor slab has been completed.(labour found)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</si>
</sst>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9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3" fillId="0" borderId="1" xfId="0" applyNumberFormat="1" applyFont="1" applyBorder="1" applyAlignment="1">
      <alignment horizontal="center" vertical="top"/>
    </xf>
    <xf numFmtId="14" fontId="4" fillId="4" borderId="1" xfId="0" applyNumberFormat="1" applyFont="1" applyFill="1" applyBorder="1" applyAlignment="1">
      <alignment horizontal="left" vertical="top" wrapText="1"/>
    </xf>
    <xf numFmtId="0" fontId="2" fillId="4" borderId="0" xfId="0" applyFont="1" applyFill="1" applyAlignment="1">
      <alignmen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26" fillId="4" borderId="1" xfId="2" applyFont="1" applyFill="1" applyBorder="1" applyAlignment="1">
      <alignment horizontal="center" vertical="top" wrapText="1"/>
    </xf>
    <xf numFmtId="0" fontId="4" fillId="4"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4" fillId="0" borderId="2" xfId="0" applyFont="1" applyFill="1" applyBorder="1" applyAlignment="1">
      <alignment horizontal="left" vertical="top" wrapText="1"/>
    </xf>
    <xf numFmtId="0" fontId="4" fillId="0" borderId="5"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7"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13" xfId="0" applyFont="1" applyFill="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1523999</xdr:colOff>
      <xdr:row>8</xdr:row>
      <xdr:rowOff>27215</xdr:rowOff>
    </xdr:from>
    <xdr:to>
      <xdr:col>15</xdr:col>
      <xdr:colOff>48403</xdr:colOff>
      <xdr:row>10</xdr:row>
      <xdr:rowOff>53417</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85713" y="3823608"/>
          <a:ext cx="4647619" cy="1057143"/>
        </a:xfrm>
        <a:prstGeom prst="rect">
          <a:avLst/>
        </a:prstGeom>
      </xdr:spPr>
    </xdr:pic>
    <xdr:clientData/>
  </xdr:twoCellAnchor>
  <xdr:twoCellAnchor editAs="oneCell">
    <xdr:from>
      <xdr:col>8</xdr:col>
      <xdr:colOff>657731</xdr:colOff>
      <xdr:row>113</xdr:row>
      <xdr:rowOff>19426</xdr:rowOff>
    </xdr:from>
    <xdr:to>
      <xdr:col>23</xdr:col>
      <xdr:colOff>362770</xdr:colOff>
      <xdr:row>127</xdr:row>
      <xdr:rowOff>234011</xdr:rowOff>
    </xdr:to>
    <xdr:pic>
      <xdr:nvPicPr>
        <xdr:cNvPr id="3" name="Picture 2"/>
        <xdr:cNvPicPr>
          <a:picLocks noChangeAspect="1"/>
        </xdr:cNvPicPr>
      </xdr:nvPicPr>
      <xdr:blipFill>
        <a:blip xmlns:r="http://schemas.openxmlformats.org/officeDocument/2006/relationships" r:embed="rId2"/>
        <a:stretch>
          <a:fillRect/>
        </a:stretch>
      </xdr:blipFill>
      <xdr:spPr>
        <a:xfrm>
          <a:off x="10019445" y="34146140"/>
          <a:ext cx="8889861" cy="3276192"/>
        </a:xfrm>
        <a:prstGeom prst="rect">
          <a:avLst/>
        </a:prstGeom>
      </xdr:spPr>
    </xdr:pic>
    <xdr:clientData/>
  </xdr:twoCellAnchor>
  <xdr:twoCellAnchor>
    <xdr:from>
      <xdr:col>0</xdr:col>
      <xdr:colOff>122463</xdr:colOff>
      <xdr:row>281</xdr:row>
      <xdr:rowOff>176893</xdr:rowOff>
    </xdr:from>
    <xdr:to>
      <xdr:col>7</xdr:col>
      <xdr:colOff>1074963</xdr:colOff>
      <xdr:row>300</xdr:row>
      <xdr:rowOff>136071</xdr:rowOff>
    </xdr:to>
    <xdr:grpSp>
      <xdr:nvGrpSpPr>
        <xdr:cNvPr id="24" name="Group 23"/>
        <xdr:cNvGrpSpPr/>
      </xdr:nvGrpSpPr>
      <xdr:grpSpPr>
        <a:xfrm>
          <a:off x="122463" y="67008775"/>
          <a:ext cx="9188824" cy="4856149"/>
          <a:chOff x="122463" y="69093069"/>
          <a:chExt cx="9188824" cy="4856149"/>
        </a:xfrm>
      </xdr:grpSpPr>
      <xdr:grpSp>
        <xdr:nvGrpSpPr>
          <xdr:cNvPr id="8" name="Group 7"/>
          <xdr:cNvGrpSpPr/>
        </xdr:nvGrpSpPr>
        <xdr:grpSpPr>
          <a:xfrm>
            <a:off x="122463" y="69093069"/>
            <a:ext cx="9188824" cy="4856149"/>
            <a:chOff x="68034" y="69260357"/>
            <a:chExt cx="9144000" cy="4871357"/>
          </a:xfrm>
        </xdr:grpSpPr>
        <xdr:pic>
          <xdr:nvPicPr>
            <xdr:cNvPr id="4" name="Picture 3"/>
            <xdr:cNvPicPr>
              <a:picLocks noChangeAspect="1"/>
            </xdr:cNvPicPr>
          </xdr:nvPicPr>
          <xdr:blipFill>
            <a:blip xmlns:r="http://schemas.openxmlformats.org/officeDocument/2006/relationships" r:embed="rId3"/>
            <a:stretch>
              <a:fillRect/>
            </a:stretch>
          </xdr:blipFill>
          <xdr:spPr>
            <a:xfrm>
              <a:off x="68034" y="69260358"/>
              <a:ext cx="9144000" cy="4871356"/>
            </a:xfrm>
            <a:prstGeom prst="rect">
              <a:avLst/>
            </a:prstGeom>
            <a:ln>
              <a:solidFill>
                <a:schemeClr val="tx1"/>
              </a:solidFill>
            </a:ln>
          </xdr:spPr>
        </xdr:pic>
        <xdr:cxnSp macro="">
          <xdr:nvCxnSpPr>
            <xdr:cNvPr id="6" name="Straight Arrow Connector 5"/>
            <xdr:cNvCxnSpPr/>
          </xdr:nvCxnSpPr>
          <xdr:spPr>
            <a:xfrm>
              <a:off x="394607" y="69532500"/>
              <a:ext cx="517072" cy="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TextBox 6"/>
            <xdr:cNvSpPr txBox="1"/>
          </xdr:nvSpPr>
          <xdr:spPr>
            <a:xfrm>
              <a:off x="911678" y="69260357"/>
              <a:ext cx="585107" cy="489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200" b="1"/>
                <a:t>N</a:t>
              </a:r>
            </a:p>
          </xdr:txBody>
        </xdr:sp>
      </xdr:grpSp>
      <xdr:sp macro="" textlink="">
        <xdr:nvSpPr>
          <xdr:cNvPr id="9" name="Rectangle 8"/>
          <xdr:cNvSpPr/>
        </xdr:nvSpPr>
        <xdr:spPr>
          <a:xfrm>
            <a:off x="4046924" y="70245674"/>
            <a:ext cx="741190" cy="8004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TextBox 9"/>
          <xdr:cNvSpPr txBox="1"/>
        </xdr:nvSpPr>
        <xdr:spPr>
          <a:xfrm>
            <a:off x="3992495" y="69866275"/>
            <a:ext cx="863655"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Wing C</a:t>
            </a:r>
          </a:p>
        </xdr:txBody>
      </xdr:sp>
      <xdr:sp macro="" textlink="">
        <xdr:nvSpPr>
          <xdr:cNvPr id="11" name="Rectangle 10"/>
          <xdr:cNvSpPr/>
        </xdr:nvSpPr>
        <xdr:spPr>
          <a:xfrm>
            <a:off x="5495686" y="70015154"/>
            <a:ext cx="741189" cy="827635"/>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Rectangle 11"/>
          <xdr:cNvSpPr/>
        </xdr:nvSpPr>
        <xdr:spPr>
          <a:xfrm>
            <a:off x="4804442" y="70096797"/>
            <a:ext cx="677636" cy="623527"/>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3" name="TextBox 12"/>
          <xdr:cNvSpPr txBox="1"/>
        </xdr:nvSpPr>
        <xdr:spPr>
          <a:xfrm>
            <a:off x="4706471" y="69743811"/>
            <a:ext cx="857251"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Wing B</a:t>
            </a:r>
          </a:p>
        </xdr:txBody>
      </xdr:sp>
      <xdr:sp macro="" textlink="">
        <xdr:nvSpPr>
          <xdr:cNvPr id="14" name="TextBox 13"/>
          <xdr:cNvSpPr txBox="1"/>
        </xdr:nvSpPr>
        <xdr:spPr>
          <a:xfrm>
            <a:off x="5375942" y="69624868"/>
            <a:ext cx="956182" cy="488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Wing A</a:t>
            </a:r>
          </a:p>
        </xdr:txBody>
      </xdr:sp>
      <xdr:sp macro="" textlink="">
        <xdr:nvSpPr>
          <xdr:cNvPr id="15" name="Rectangle 14"/>
          <xdr:cNvSpPr/>
        </xdr:nvSpPr>
        <xdr:spPr>
          <a:xfrm rot="669869">
            <a:off x="4776629" y="71293092"/>
            <a:ext cx="2530127" cy="525396"/>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chemeClr val="tx1"/>
              </a:solidFill>
            </a:endParaRPr>
          </a:p>
        </xdr:txBody>
      </xdr:sp>
      <xdr:sp macro="" textlink="">
        <xdr:nvSpPr>
          <xdr:cNvPr id="16" name="TextBox 15"/>
          <xdr:cNvSpPr txBox="1"/>
        </xdr:nvSpPr>
        <xdr:spPr>
          <a:xfrm>
            <a:off x="4550388" y="69405234"/>
            <a:ext cx="956183"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tx1"/>
                </a:solidFill>
              </a:rPr>
              <a:t>Bldg</a:t>
            </a:r>
            <a:r>
              <a:rPr lang="en-IN" sz="1800" b="1" baseline="0">
                <a:solidFill>
                  <a:schemeClr val="tx1"/>
                </a:solidFill>
              </a:rPr>
              <a:t> 4</a:t>
            </a:r>
            <a:endParaRPr lang="en-IN" sz="1800" b="1">
              <a:solidFill>
                <a:schemeClr val="tx1"/>
              </a:solidFill>
            </a:endParaRPr>
          </a:p>
        </xdr:txBody>
      </xdr:sp>
      <xdr:sp macro="" textlink="">
        <xdr:nvSpPr>
          <xdr:cNvPr id="17" name="TextBox 16"/>
          <xdr:cNvSpPr txBox="1"/>
        </xdr:nvSpPr>
        <xdr:spPr>
          <a:xfrm rot="628737">
            <a:off x="5033044" y="71195773"/>
            <a:ext cx="956182"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tx1"/>
                </a:solidFill>
              </a:rPr>
              <a:t>Bldg</a:t>
            </a:r>
            <a:r>
              <a:rPr lang="en-IN" sz="1800" b="1" baseline="0">
                <a:solidFill>
                  <a:schemeClr val="tx1"/>
                </a:solidFill>
              </a:rPr>
              <a:t> 5</a:t>
            </a:r>
            <a:endParaRPr lang="en-IN" sz="1800" b="1">
              <a:solidFill>
                <a:schemeClr val="tx1"/>
              </a:solidFill>
            </a:endParaRPr>
          </a:p>
        </xdr:txBody>
      </xdr:sp>
      <xdr:sp macro="" textlink="">
        <xdr:nvSpPr>
          <xdr:cNvPr id="18" name="TextBox 17"/>
          <xdr:cNvSpPr txBox="1"/>
        </xdr:nvSpPr>
        <xdr:spPr>
          <a:xfrm rot="628737">
            <a:off x="6304910" y="71534352"/>
            <a:ext cx="956182"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tx1"/>
                </a:solidFill>
              </a:rPr>
              <a:t>Bldg</a:t>
            </a:r>
            <a:r>
              <a:rPr lang="en-IN" sz="1800" b="1" baseline="0">
                <a:solidFill>
                  <a:schemeClr val="tx1"/>
                </a:solidFill>
              </a:rPr>
              <a:t> 1</a:t>
            </a:r>
            <a:endParaRPr lang="en-IN" sz="1800" b="1">
              <a:solidFill>
                <a:schemeClr val="tx1"/>
              </a:solidFill>
            </a:endParaRPr>
          </a:p>
        </xdr:txBody>
      </xdr:sp>
      <xdr:sp macro="" textlink="">
        <xdr:nvSpPr>
          <xdr:cNvPr id="19" name="Freeform 18"/>
          <xdr:cNvSpPr/>
        </xdr:nvSpPr>
        <xdr:spPr>
          <a:xfrm>
            <a:off x="6349813" y="69832257"/>
            <a:ext cx="1576668" cy="834313"/>
          </a:xfrm>
          <a:custGeom>
            <a:avLst/>
            <a:gdLst>
              <a:gd name="connsiteX0" fmla="*/ 295275 w 1571625"/>
              <a:gd name="connsiteY0" fmla="*/ 695325 h 695325"/>
              <a:gd name="connsiteX1" fmla="*/ 1314450 w 1571625"/>
              <a:gd name="connsiteY1" fmla="*/ 676275 h 695325"/>
              <a:gd name="connsiteX2" fmla="*/ 1571625 w 1571625"/>
              <a:gd name="connsiteY2" fmla="*/ 285750 h 695325"/>
              <a:gd name="connsiteX3" fmla="*/ 1562100 w 1571625"/>
              <a:gd name="connsiteY3" fmla="*/ 0 h 695325"/>
              <a:gd name="connsiteX4" fmla="*/ 0 w 1571625"/>
              <a:gd name="connsiteY4" fmla="*/ 114300 h 695325"/>
              <a:gd name="connsiteX5" fmla="*/ 9525 w 1571625"/>
              <a:gd name="connsiteY5" fmla="*/ 485775 h 695325"/>
              <a:gd name="connsiteX6" fmla="*/ 295275 w 1571625"/>
              <a:gd name="connsiteY6" fmla="*/ 695325 h 695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71625" h="695325">
                <a:moveTo>
                  <a:pt x="295275" y="695325"/>
                </a:moveTo>
                <a:lnTo>
                  <a:pt x="1314450" y="676275"/>
                </a:lnTo>
                <a:lnTo>
                  <a:pt x="1571625" y="285750"/>
                </a:lnTo>
                <a:lnTo>
                  <a:pt x="1562100" y="0"/>
                </a:lnTo>
                <a:lnTo>
                  <a:pt x="0" y="114300"/>
                </a:lnTo>
                <a:lnTo>
                  <a:pt x="9525" y="485775"/>
                </a:lnTo>
                <a:lnTo>
                  <a:pt x="295275" y="695325"/>
                </a:lnTo>
                <a:close/>
              </a:path>
            </a:pathLst>
          </a:cu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TextBox 19"/>
          <xdr:cNvSpPr txBox="1"/>
        </xdr:nvSpPr>
        <xdr:spPr>
          <a:xfrm rot="21230110">
            <a:off x="6733935" y="70045569"/>
            <a:ext cx="956182" cy="488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tx1"/>
                </a:solidFill>
              </a:rPr>
              <a:t>Bldg</a:t>
            </a:r>
            <a:r>
              <a:rPr lang="en-IN" sz="1800" b="1" baseline="0">
                <a:solidFill>
                  <a:schemeClr val="tx1"/>
                </a:solidFill>
              </a:rPr>
              <a:t> 3</a:t>
            </a:r>
            <a:endParaRPr lang="en-IN" sz="1800" b="1">
              <a:solidFill>
                <a:schemeClr val="tx1"/>
              </a:solidFill>
            </a:endParaRPr>
          </a:p>
        </xdr:txBody>
      </xdr:sp>
      <xdr:sp macro="" textlink="">
        <xdr:nvSpPr>
          <xdr:cNvPr id="21" name="Freeform 20"/>
          <xdr:cNvSpPr/>
        </xdr:nvSpPr>
        <xdr:spPr>
          <a:xfrm>
            <a:off x="1605243" y="70338203"/>
            <a:ext cx="1633817" cy="887506"/>
          </a:xfrm>
          <a:custGeom>
            <a:avLst/>
            <a:gdLst>
              <a:gd name="connsiteX0" fmla="*/ 0 w 1628775"/>
              <a:gd name="connsiteY0" fmla="*/ 247650 h 885825"/>
              <a:gd name="connsiteX1" fmla="*/ 495300 w 1628775"/>
              <a:gd name="connsiteY1" fmla="*/ 76200 h 885825"/>
              <a:gd name="connsiteX2" fmla="*/ 552450 w 1628775"/>
              <a:gd name="connsiteY2" fmla="*/ 276225 h 885825"/>
              <a:gd name="connsiteX3" fmla="*/ 1485900 w 1628775"/>
              <a:gd name="connsiteY3" fmla="*/ 0 h 885825"/>
              <a:gd name="connsiteX4" fmla="*/ 1628775 w 1628775"/>
              <a:gd name="connsiteY4" fmla="*/ 419100 h 885825"/>
              <a:gd name="connsiteX5" fmla="*/ 200025 w 1628775"/>
              <a:gd name="connsiteY5" fmla="*/ 885825 h 885825"/>
              <a:gd name="connsiteX6" fmla="*/ 0 w 1628775"/>
              <a:gd name="connsiteY6" fmla="*/ 247650 h 885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628775" h="885825">
                <a:moveTo>
                  <a:pt x="0" y="247650"/>
                </a:moveTo>
                <a:lnTo>
                  <a:pt x="495300" y="76200"/>
                </a:lnTo>
                <a:lnTo>
                  <a:pt x="552450" y="276225"/>
                </a:lnTo>
                <a:lnTo>
                  <a:pt x="1485900" y="0"/>
                </a:lnTo>
                <a:lnTo>
                  <a:pt x="1628775" y="419100"/>
                </a:lnTo>
                <a:lnTo>
                  <a:pt x="200025" y="885825"/>
                </a:lnTo>
                <a:lnTo>
                  <a:pt x="0" y="247650"/>
                </a:lnTo>
                <a:close/>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2" name="TextBox 21"/>
          <xdr:cNvSpPr txBox="1"/>
        </xdr:nvSpPr>
        <xdr:spPr>
          <a:xfrm rot="21230110">
            <a:off x="1870582" y="70625874"/>
            <a:ext cx="957541" cy="486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chemeClr val="tx1"/>
                </a:solidFill>
              </a:rPr>
              <a:t>Bldg</a:t>
            </a:r>
            <a:r>
              <a:rPr lang="en-IN" sz="1800" b="1" baseline="0">
                <a:solidFill>
                  <a:schemeClr val="tx1"/>
                </a:solidFill>
              </a:rPr>
              <a:t> 6</a:t>
            </a:r>
            <a:endParaRPr lang="en-IN" sz="1800" b="1">
              <a:solidFill>
                <a:schemeClr val="tx1"/>
              </a:solidFill>
            </a:endParaRPr>
          </a:p>
        </xdr:txBody>
      </xdr:sp>
      <xdr:sp macro="" textlink="">
        <xdr:nvSpPr>
          <xdr:cNvPr id="23" name="Freeform 22"/>
          <xdr:cNvSpPr/>
        </xdr:nvSpPr>
        <xdr:spPr>
          <a:xfrm>
            <a:off x="3883640" y="69567718"/>
            <a:ext cx="2516521" cy="1573627"/>
          </a:xfrm>
          <a:custGeom>
            <a:avLst/>
            <a:gdLst>
              <a:gd name="connsiteX0" fmla="*/ 0 w 2544535"/>
              <a:gd name="connsiteY0" fmla="*/ 435429 h 1578429"/>
              <a:gd name="connsiteX1" fmla="*/ 2381250 w 2544535"/>
              <a:gd name="connsiteY1" fmla="*/ 0 h 1578429"/>
              <a:gd name="connsiteX2" fmla="*/ 2544535 w 2544535"/>
              <a:gd name="connsiteY2" fmla="*/ 1319893 h 1578429"/>
              <a:gd name="connsiteX3" fmla="*/ 95250 w 2544535"/>
              <a:gd name="connsiteY3" fmla="*/ 1578429 h 1578429"/>
              <a:gd name="connsiteX4" fmla="*/ 0 w 2544535"/>
              <a:gd name="connsiteY4" fmla="*/ 435429 h 15784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44535" h="1578429">
                <a:moveTo>
                  <a:pt x="0" y="435429"/>
                </a:moveTo>
                <a:lnTo>
                  <a:pt x="2381250" y="0"/>
                </a:lnTo>
                <a:lnTo>
                  <a:pt x="2544535" y="1319893"/>
                </a:lnTo>
                <a:lnTo>
                  <a:pt x="95250" y="1578429"/>
                </a:lnTo>
                <a:lnTo>
                  <a:pt x="0" y="435429"/>
                </a:lnTo>
                <a:close/>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129267</xdr:colOff>
      <xdr:row>329</xdr:row>
      <xdr:rowOff>246747</xdr:rowOff>
    </xdr:from>
    <xdr:to>
      <xdr:col>4</xdr:col>
      <xdr:colOff>578303</xdr:colOff>
      <xdr:row>344</xdr:row>
      <xdr:rowOff>250369</xdr:rowOff>
    </xdr:to>
    <xdr:pic>
      <xdr:nvPicPr>
        <xdr:cNvPr id="25" name="Picture 24"/>
        <xdr:cNvPicPr>
          <a:picLocks noChangeAspect="1"/>
        </xdr:cNvPicPr>
      </xdr:nvPicPr>
      <xdr:blipFill>
        <a:blip xmlns:r="http://schemas.openxmlformats.org/officeDocument/2006/relationships" r:embed="rId4"/>
        <a:stretch>
          <a:fillRect/>
        </a:stretch>
      </xdr:blipFill>
      <xdr:spPr>
        <a:xfrm>
          <a:off x="129267" y="81399747"/>
          <a:ext cx="5135336" cy="3861248"/>
        </a:xfrm>
        <a:prstGeom prst="rect">
          <a:avLst/>
        </a:prstGeom>
        <a:ln>
          <a:solidFill>
            <a:schemeClr val="tx1"/>
          </a:solidFill>
        </a:ln>
      </xdr:spPr>
    </xdr:pic>
    <xdr:clientData/>
  </xdr:twoCellAnchor>
  <xdr:twoCellAnchor>
    <xdr:from>
      <xdr:col>4</xdr:col>
      <xdr:colOff>681718</xdr:colOff>
      <xdr:row>329</xdr:row>
      <xdr:rowOff>244928</xdr:rowOff>
    </xdr:from>
    <xdr:to>
      <xdr:col>7</xdr:col>
      <xdr:colOff>1038225</xdr:colOff>
      <xdr:row>352</xdr:row>
      <xdr:rowOff>108856</xdr:rowOff>
    </xdr:to>
    <xdr:grpSp>
      <xdr:nvGrpSpPr>
        <xdr:cNvPr id="33" name="Group 32"/>
        <xdr:cNvGrpSpPr/>
      </xdr:nvGrpSpPr>
      <xdr:grpSpPr>
        <a:xfrm>
          <a:off x="5388189" y="79448104"/>
          <a:ext cx="3886360" cy="5791840"/>
          <a:chOff x="5388189" y="81532399"/>
          <a:chExt cx="3886360" cy="5791839"/>
        </a:xfrm>
      </xdr:grpSpPr>
      <xdr:pic>
        <xdr:nvPicPr>
          <xdr:cNvPr id="26" name="Picture 25"/>
          <xdr:cNvPicPr>
            <a:picLocks noChangeAspect="1"/>
          </xdr:cNvPicPr>
        </xdr:nvPicPr>
        <xdr:blipFill>
          <a:blip xmlns:r="http://schemas.openxmlformats.org/officeDocument/2006/relationships" r:embed="rId5"/>
          <a:stretch>
            <a:fillRect/>
          </a:stretch>
        </xdr:blipFill>
        <xdr:spPr>
          <a:xfrm>
            <a:off x="5388189" y="81532399"/>
            <a:ext cx="3886360" cy="5791839"/>
          </a:xfrm>
          <a:prstGeom prst="rect">
            <a:avLst/>
          </a:prstGeom>
          <a:ln>
            <a:solidFill>
              <a:schemeClr val="tx1"/>
            </a:solidFill>
          </a:ln>
        </xdr:spPr>
      </xdr:pic>
      <xdr:sp macro="" textlink="">
        <xdr:nvSpPr>
          <xdr:cNvPr id="27" name="Rectangle 26"/>
          <xdr:cNvSpPr/>
        </xdr:nvSpPr>
        <xdr:spPr>
          <a:xfrm>
            <a:off x="6902263" y="83454128"/>
            <a:ext cx="462243" cy="629771"/>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8" name="Rectangle 27"/>
          <xdr:cNvSpPr/>
        </xdr:nvSpPr>
        <xdr:spPr>
          <a:xfrm>
            <a:off x="6883213" y="84097506"/>
            <a:ext cx="462243" cy="473288"/>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9" name="Freeform 28"/>
          <xdr:cNvSpPr/>
        </xdr:nvSpPr>
        <xdr:spPr>
          <a:xfrm>
            <a:off x="6711763" y="84962440"/>
            <a:ext cx="424143" cy="486895"/>
          </a:xfrm>
          <a:custGeom>
            <a:avLst/>
            <a:gdLst>
              <a:gd name="connsiteX0" fmla="*/ 0 w 419100"/>
              <a:gd name="connsiteY0" fmla="*/ 0 h 438150"/>
              <a:gd name="connsiteX1" fmla="*/ 419100 w 419100"/>
              <a:gd name="connsiteY1" fmla="*/ 0 h 438150"/>
              <a:gd name="connsiteX2" fmla="*/ 390525 w 419100"/>
              <a:gd name="connsiteY2" fmla="*/ 400050 h 438150"/>
              <a:gd name="connsiteX3" fmla="*/ 19050 w 419100"/>
              <a:gd name="connsiteY3" fmla="*/ 438150 h 438150"/>
              <a:gd name="connsiteX4" fmla="*/ 0 w 419100"/>
              <a:gd name="connsiteY4" fmla="*/ 0 h 438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9100" h="438150">
                <a:moveTo>
                  <a:pt x="0" y="0"/>
                </a:moveTo>
                <a:lnTo>
                  <a:pt x="419100" y="0"/>
                </a:lnTo>
                <a:lnTo>
                  <a:pt x="390525" y="400050"/>
                </a:lnTo>
                <a:lnTo>
                  <a:pt x="19050" y="438150"/>
                </a:lnTo>
                <a:lnTo>
                  <a:pt x="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0" name="TextBox 29"/>
          <xdr:cNvSpPr txBox="1"/>
        </xdr:nvSpPr>
        <xdr:spPr>
          <a:xfrm>
            <a:off x="6230471" y="83651912"/>
            <a:ext cx="840441"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C000"/>
                </a:solidFill>
              </a:rPr>
              <a:t>Wing A</a:t>
            </a:r>
          </a:p>
        </xdr:txBody>
      </xdr:sp>
      <xdr:sp macro="" textlink="">
        <xdr:nvSpPr>
          <xdr:cNvPr id="31" name="TextBox 30"/>
          <xdr:cNvSpPr txBox="1"/>
        </xdr:nvSpPr>
        <xdr:spPr>
          <a:xfrm>
            <a:off x="6208060" y="84223412"/>
            <a:ext cx="840441"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C000"/>
                </a:solidFill>
              </a:rPr>
              <a:t>Wing B</a:t>
            </a:r>
          </a:p>
        </xdr:txBody>
      </xdr:sp>
      <xdr:sp macro="" textlink="">
        <xdr:nvSpPr>
          <xdr:cNvPr id="32" name="TextBox 31"/>
          <xdr:cNvSpPr txBox="1"/>
        </xdr:nvSpPr>
        <xdr:spPr>
          <a:xfrm>
            <a:off x="6057900" y="85137813"/>
            <a:ext cx="840441"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FF00"/>
                </a:solidFill>
              </a:rPr>
              <a:t>Wing C</a:t>
            </a:r>
          </a:p>
        </xdr:txBody>
      </xdr:sp>
    </xdr:grpSp>
    <xdr:clientData/>
  </xdr:twoCellAnchor>
  <xdr:twoCellAnchor>
    <xdr:from>
      <xdr:col>0</xdr:col>
      <xdr:colOff>219633</xdr:colOff>
      <xdr:row>234</xdr:row>
      <xdr:rowOff>174810</xdr:rowOff>
    </xdr:from>
    <xdr:to>
      <xdr:col>7</xdr:col>
      <xdr:colOff>979396</xdr:colOff>
      <xdr:row>276</xdr:row>
      <xdr:rowOff>173412</xdr:rowOff>
    </xdr:to>
    <xdr:grpSp>
      <xdr:nvGrpSpPr>
        <xdr:cNvPr id="5" name="Group 4"/>
        <xdr:cNvGrpSpPr/>
      </xdr:nvGrpSpPr>
      <xdr:grpSpPr>
        <a:xfrm>
          <a:off x="219633" y="54893134"/>
          <a:ext cx="8996087" cy="10823484"/>
          <a:chOff x="219633" y="55699957"/>
          <a:chExt cx="8996087" cy="10823484"/>
        </a:xfrm>
      </xdr:grpSpPr>
      <xdr:pic>
        <xdr:nvPicPr>
          <xdr:cNvPr id="34" name="Picture 33" descr="https://vsjcllp.vsjadon.com/upload/insp-241421-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521324" y="63604587"/>
            <a:ext cx="2189141" cy="291885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1421-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630706" y="55706680"/>
            <a:ext cx="5585014" cy="41887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1421-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19633" y="55699957"/>
            <a:ext cx="3283581" cy="41887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1421-846.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143063" y="60009739"/>
            <a:ext cx="2612093" cy="34827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1421-84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70111" y="60005258"/>
            <a:ext cx="2612093" cy="34827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1421-847.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411069" y="60011982"/>
            <a:ext cx="2612093" cy="34827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1421-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840942" y="63599264"/>
            <a:ext cx="2189141" cy="291885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358587</xdr:colOff>
      <xdr:row>235</xdr:row>
      <xdr:rowOff>0</xdr:rowOff>
    </xdr:from>
    <xdr:to>
      <xdr:col>2</xdr:col>
      <xdr:colOff>392205</xdr:colOff>
      <xdr:row>236</xdr:row>
      <xdr:rowOff>56030</xdr:rowOff>
    </xdr:to>
    <xdr:sp macro="" textlink="">
      <xdr:nvSpPr>
        <xdr:cNvPr id="40" name="TextBox 39"/>
        <xdr:cNvSpPr txBox="1"/>
      </xdr:nvSpPr>
      <xdr:spPr>
        <a:xfrm>
          <a:off x="1535205" y="54976059"/>
          <a:ext cx="1210235"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Bldg 4 Wing 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870857</xdr:colOff>
      <xdr:row>20</xdr:row>
      <xdr:rowOff>95250</xdr:rowOff>
    </xdr:from>
    <xdr:to>
      <xdr:col>16</xdr:col>
      <xdr:colOff>317512</xdr:colOff>
      <xdr:row>34</xdr:row>
      <xdr:rowOff>108406</xdr:rowOff>
    </xdr:to>
    <xdr:pic>
      <xdr:nvPicPr>
        <xdr:cNvPr id="2" name="Picture 1"/>
        <xdr:cNvPicPr>
          <a:picLocks noChangeAspect="1"/>
        </xdr:cNvPicPr>
      </xdr:nvPicPr>
      <xdr:blipFill>
        <a:blip xmlns:r="http://schemas.openxmlformats.org/officeDocument/2006/relationships" r:embed="rId1"/>
        <a:stretch>
          <a:fillRect/>
        </a:stretch>
      </xdr:blipFill>
      <xdr:spPr>
        <a:xfrm>
          <a:off x="11511643" y="5578929"/>
          <a:ext cx="7161905" cy="36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RtbZemVJkv4U3vB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70"/>
  <sheetViews>
    <sheetView tabSelected="1" view="pageBreakPreview" zoomScale="85" zoomScaleNormal="85" zoomScaleSheetLayoutView="85" zoomScalePageLayoutView="70" workbookViewId="0">
      <selection activeCell="J229" sqref="J22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14" t="s">
        <v>38</v>
      </c>
      <c r="B1" s="115"/>
      <c r="C1" s="115"/>
      <c r="D1" s="115"/>
      <c r="E1" s="115"/>
      <c r="F1" s="115"/>
      <c r="G1" s="115"/>
      <c r="H1" s="116"/>
    </row>
    <row r="2" spans="1:11" ht="42" customHeight="1" x14ac:dyDescent="0.25">
      <c r="A2" s="92" t="s">
        <v>10</v>
      </c>
      <c r="B2" s="92"/>
      <c r="C2" s="91" t="s">
        <v>87</v>
      </c>
      <c r="D2" s="91"/>
      <c r="E2" s="92" t="s">
        <v>12</v>
      </c>
      <c r="F2" s="92"/>
      <c r="G2" s="141">
        <v>45859</v>
      </c>
      <c r="H2" s="91"/>
      <c r="J2" s="150"/>
      <c r="K2" s="151"/>
    </row>
    <row r="3" spans="1:11" ht="42.75" customHeight="1" x14ac:dyDescent="0.25">
      <c r="A3" s="92" t="s">
        <v>39</v>
      </c>
      <c r="B3" s="92"/>
      <c r="C3" s="153" t="s">
        <v>312</v>
      </c>
      <c r="D3" s="153"/>
      <c r="E3" s="92" t="s">
        <v>160</v>
      </c>
      <c r="F3" s="92"/>
      <c r="G3" s="141" t="s">
        <v>379</v>
      </c>
      <c r="H3" s="91"/>
    </row>
    <row r="4" spans="1:11" ht="62.25" customHeight="1" x14ac:dyDescent="0.25">
      <c r="A4" s="92" t="s">
        <v>36</v>
      </c>
      <c r="B4" s="92"/>
      <c r="C4" s="91" t="s">
        <v>370</v>
      </c>
      <c r="D4" s="91"/>
      <c r="E4" s="92" t="s">
        <v>33</v>
      </c>
      <c r="F4" s="92"/>
      <c r="G4" s="91" t="str">
        <f ca="1">TEXT(TODAY(),"DD/MM/YYYY")</f>
        <v>23/07/2025</v>
      </c>
      <c r="H4" s="91"/>
    </row>
    <row r="5" spans="1:11" ht="20.25" x14ac:dyDescent="0.25">
      <c r="A5" s="99" t="s">
        <v>40</v>
      </c>
      <c r="B5" s="99"/>
      <c r="C5" s="99"/>
      <c r="D5" s="99"/>
      <c r="E5" s="99"/>
      <c r="F5" s="99"/>
      <c r="G5" s="99"/>
      <c r="H5" s="99"/>
    </row>
    <row r="6" spans="1:11" ht="43.5" customHeight="1" x14ac:dyDescent="0.25">
      <c r="A6" s="92" t="s">
        <v>29</v>
      </c>
      <c r="B6" s="92"/>
      <c r="C6" s="91" t="s">
        <v>313</v>
      </c>
      <c r="D6" s="91"/>
      <c r="E6" s="92" t="s">
        <v>35</v>
      </c>
      <c r="F6" s="92"/>
      <c r="G6" s="91" t="s">
        <v>311</v>
      </c>
      <c r="H6" s="91"/>
    </row>
    <row r="7" spans="1:11" ht="23.25" customHeight="1" x14ac:dyDescent="0.25">
      <c r="A7" s="92" t="s">
        <v>42</v>
      </c>
      <c r="B7" s="92"/>
      <c r="C7" s="91" t="s">
        <v>314</v>
      </c>
      <c r="D7" s="91"/>
      <c r="E7" s="92" t="s">
        <v>43</v>
      </c>
      <c r="F7" s="92"/>
      <c r="G7" s="91" t="s">
        <v>314</v>
      </c>
      <c r="H7" s="91"/>
    </row>
    <row r="8" spans="1:11" ht="44.25" customHeight="1" x14ac:dyDescent="0.25">
      <c r="A8" s="92" t="s">
        <v>44</v>
      </c>
      <c r="B8" s="92"/>
      <c r="C8" s="91" t="s">
        <v>315</v>
      </c>
      <c r="D8" s="91"/>
      <c r="E8" s="91"/>
      <c r="F8" s="91"/>
      <c r="G8" s="91"/>
      <c r="H8" s="91"/>
    </row>
    <row r="9" spans="1:11" ht="34.5" customHeight="1" x14ac:dyDescent="0.25">
      <c r="A9" s="117" t="s">
        <v>151</v>
      </c>
      <c r="B9" s="34" t="s">
        <v>41</v>
      </c>
      <c r="C9" s="91" t="s">
        <v>316</v>
      </c>
      <c r="D9" s="91"/>
      <c r="E9" s="91"/>
      <c r="F9" s="91"/>
      <c r="G9" s="91"/>
      <c r="H9" s="91"/>
    </row>
    <row r="10" spans="1:11" ht="46.5" customHeight="1" x14ac:dyDescent="0.25">
      <c r="A10" s="117"/>
      <c r="B10" s="34" t="s">
        <v>11</v>
      </c>
      <c r="C10" s="91" t="s">
        <v>317</v>
      </c>
      <c r="D10" s="91"/>
      <c r="E10" s="91"/>
      <c r="F10" s="91"/>
      <c r="G10" s="91"/>
      <c r="H10" s="91"/>
    </row>
    <row r="11" spans="1:11" ht="42" customHeight="1" x14ac:dyDescent="0.25">
      <c r="A11" s="117"/>
      <c r="B11" s="34" t="s">
        <v>5</v>
      </c>
      <c r="C11" s="91" t="s">
        <v>319</v>
      </c>
      <c r="D11" s="91"/>
      <c r="E11" s="91"/>
      <c r="F11" s="91"/>
      <c r="G11" s="91"/>
      <c r="H11" s="91"/>
    </row>
    <row r="12" spans="1:11" ht="40.5" customHeight="1" x14ac:dyDescent="0.25">
      <c r="A12" s="152" t="s">
        <v>34</v>
      </c>
      <c r="B12" s="152"/>
      <c r="C12" s="91" t="s">
        <v>369</v>
      </c>
      <c r="D12" s="91"/>
      <c r="E12" s="91"/>
      <c r="F12" s="91"/>
      <c r="G12" s="91"/>
      <c r="H12" s="91"/>
    </row>
    <row r="13" spans="1:11" ht="20.100000000000001" customHeight="1" x14ac:dyDescent="0.25">
      <c r="A13" s="99" t="s">
        <v>45</v>
      </c>
      <c r="B13" s="99"/>
      <c r="C13" s="99"/>
      <c r="D13" s="99"/>
      <c r="E13" s="99"/>
      <c r="F13" s="99"/>
      <c r="G13" s="99"/>
      <c r="H13" s="99"/>
    </row>
    <row r="14" spans="1:11" ht="41.25" customHeight="1" x14ac:dyDescent="0.25">
      <c r="A14" s="92" t="s">
        <v>27</v>
      </c>
      <c r="B14" s="92" t="s">
        <v>4</v>
      </c>
      <c r="C14" s="91" t="s">
        <v>88</v>
      </c>
      <c r="D14" s="91"/>
      <c r="E14" s="92" t="s">
        <v>46</v>
      </c>
      <c r="F14" s="92" t="s">
        <v>4</v>
      </c>
      <c r="G14" s="91" t="s">
        <v>320</v>
      </c>
      <c r="H14" s="91"/>
    </row>
    <row r="15" spans="1:11" ht="41.25" customHeight="1" x14ac:dyDescent="0.25">
      <c r="A15" s="92" t="s">
        <v>47</v>
      </c>
      <c r="B15" s="92" t="s">
        <v>4</v>
      </c>
      <c r="C15" s="91" t="s">
        <v>321</v>
      </c>
      <c r="D15" s="91"/>
      <c r="E15" s="92" t="s">
        <v>48</v>
      </c>
      <c r="F15" s="92" t="s">
        <v>4</v>
      </c>
      <c r="G15" s="141">
        <v>47573</v>
      </c>
      <c r="H15" s="91"/>
    </row>
    <row r="16" spans="1:11" ht="41.25" customHeight="1" x14ac:dyDescent="0.25">
      <c r="A16" s="92" t="s">
        <v>49</v>
      </c>
      <c r="B16" s="92" t="s">
        <v>4</v>
      </c>
      <c r="C16" s="141">
        <v>45824</v>
      </c>
      <c r="D16" s="91"/>
      <c r="E16" s="152" t="s">
        <v>50</v>
      </c>
      <c r="F16" s="152" t="s">
        <v>4</v>
      </c>
      <c r="G16" s="140">
        <v>45809</v>
      </c>
      <c r="H16" s="91"/>
    </row>
    <row r="17" spans="1:8" ht="41.25" customHeight="1" x14ac:dyDescent="0.25">
      <c r="A17" s="92" t="s">
        <v>51</v>
      </c>
      <c r="B17" s="92" t="s">
        <v>4</v>
      </c>
      <c r="C17" s="141">
        <v>47573</v>
      </c>
      <c r="D17" s="91"/>
      <c r="E17" s="92" t="s">
        <v>52</v>
      </c>
      <c r="F17" s="92" t="s">
        <v>4</v>
      </c>
      <c r="G17" s="91" t="s">
        <v>322</v>
      </c>
      <c r="H17" s="91"/>
    </row>
    <row r="18" spans="1:8" ht="41.25" customHeight="1" x14ac:dyDescent="0.25">
      <c r="A18" s="92" t="s">
        <v>53</v>
      </c>
      <c r="B18" s="92" t="s">
        <v>4</v>
      </c>
      <c r="C18" s="91"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1"/>
      <c r="E18" s="92" t="s">
        <v>95</v>
      </c>
      <c r="F18" s="92" t="s">
        <v>4</v>
      </c>
      <c r="G18" s="91">
        <v>32623</v>
      </c>
      <c r="H18" s="91"/>
    </row>
    <row r="19" spans="1:8" ht="41.25" customHeight="1" x14ac:dyDescent="0.25">
      <c r="A19" s="92" t="s">
        <v>54</v>
      </c>
      <c r="B19" s="92" t="s">
        <v>4</v>
      </c>
      <c r="C19" s="91">
        <v>1</v>
      </c>
      <c r="D19" s="91"/>
      <c r="E19" s="92" t="s">
        <v>245</v>
      </c>
      <c r="F19" s="92" t="s">
        <v>4</v>
      </c>
      <c r="G19" s="91">
        <v>25966.29</v>
      </c>
      <c r="H19" s="91"/>
    </row>
    <row r="20" spans="1:8" ht="41.25" customHeight="1" x14ac:dyDescent="0.25">
      <c r="A20" s="92" t="s">
        <v>93</v>
      </c>
      <c r="B20" s="92" t="s">
        <v>4</v>
      </c>
      <c r="C20" s="91">
        <v>59598.65</v>
      </c>
      <c r="D20" s="91"/>
      <c r="E20" s="92" t="s">
        <v>94</v>
      </c>
      <c r="F20" s="92" t="s">
        <v>4</v>
      </c>
      <c r="G20" s="91">
        <v>70093.570000000007</v>
      </c>
      <c r="H20" s="91"/>
    </row>
    <row r="21" spans="1:8" ht="41.25" customHeight="1" x14ac:dyDescent="0.25">
      <c r="A21" s="152" t="s">
        <v>56</v>
      </c>
      <c r="B21" s="152" t="s">
        <v>4</v>
      </c>
      <c r="C21" s="91" t="s">
        <v>366</v>
      </c>
      <c r="D21" s="91"/>
      <c r="E21" s="92" t="s">
        <v>55</v>
      </c>
      <c r="F21" s="92" t="s">
        <v>4</v>
      </c>
      <c r="G21" s="91" t="s">
        <v>365</v>
      </c>
      <c r="H21" s="91"/>
    </row>
    <row r="22" spans="1:8" ht="41.25" customHeight="1" x14ac:dyDescent="0.25">
      <c r="A22" s="92" t="s">
        <v>164</v>
      </c>
      <c r="B22" s="92" t="s">
        <v>4</v>
      </c>
      <c r="C22" s="91" t="s">
        <v>323</v>
      </c>
      <c r="D22" s="91"/>
      <c r="E22" s="92" t="s">
        <v>165</v>
      </c>
      <c r="F22" s="92" t="s">
        <v>4</v>
      </c>
      <c r="G22" s="91" t="s">
        <v>324</v>
      </c>
      <c r="H22" s="91"/>
    </row>
    <row r="23" spans="1:8" ht="38.25" customHeight="1" x14ac:dyDescent="0.25">
      <c r="A23" s="92" t="s">
        <v>162</v>
      </c>
      <c r="B23" s="92" t="s">
        <v>4</v>
      </c>
      <c r="C23" s="93" t="s">
        <v>318</v>
      </c>
      <c r="D23" s="94"/>
      <c r="E23" s="94"/>
      <c r="F23" s="94"/>
      <c r="G23" s="94"/>
      <c r="H23" s="94"/>
    </row>
    <row r="24" spans="1:8" ht="48" customHeight="1" x14ac:dyDescent="0.25">
      <c r="A24" s="152" t="s">
        <v>25</v>
      </c>
      <c r="B24" s="152" t="s">
        <v>4</v>
      </c>
      <c r="C24" s="91" t="s">
        <v>368</v>
      </c>
      <c r="D24" s="91"/>
      <c r="E24" s="91"/>
      <c r="F24" s="91"/>
      <c r="G24" s="91"/>
      <c r="H24" s="91"/>
    </row>
    <row r="25" spans="1:8" ht="24" customHeight="1" x14ac:dyDescent="0.25">
      <c r="A25" s="99" t="s">
        <v>20</v>
      </c>
      <c r="B25" s="99"/>
      <c r="C25" s="99"/>
      <c r="D25" s="99"/>
      <c r="E25" s="99"/>
      <c r="F25" s="99"/>
      <c r="G25" s="99"/>
      <c r="H25" s="99"/>
    </row>
    <row r="26" spans="1:8" ht="43.5" customHeight="1" x14ac:dyDescent="0.25">
      <c r="A26" s="92" t="s">
        <v>26</v>
      </c>
      <c r="B26" s="92" t="s">
        <v>4</v>
      </c>
      <c r="C26" s="91" t="str">
        <f>IF(AND(G26="Upper"),"Developed","Developing")</f>
        <v>Developed</v>
      </c>
      <c r="D26" s="91"/>
      <c r="E26" s="92" t="s">
        <v>13</v>
      </c>
      <c r="F26" s="92" t="s">
        <v>4</v>
      </c>
      <c r="G26" s="91" t="s">
        <v>309</v>
      </c>
      <c r="H26" s="91"/>
    </row>
    <row r="27" spans="1:8" ht="43.5" customHeight="1" x14ac:dyDescent="0.25">
      <c r="A27" s="92" t="s">
        <v>14</v>
      </c>
      <c r="B27" s="92" t="s">
        <v>4</v>
      </c>
      <c r="C27" s="91" t="s">
        <v>326</v>
      </c>
      <c r="D27" s="91"/>
      <c r="E27" s="92" t="s">
        <v>152</v>
      </c>
      <c r="F27" s="92" t="s">
        <v>4</v>
      </c>
      <c r="G27" s="91" t="s">
        <v>325</v>
      </c>
      <c r="H27" s="91"/>
    </row>
    <row r="28" spans="1:8" ht="43.5" customHeight="1" x14ac:dyDescent="0.25">
      <c r="A28" s="92" t="s">
        <v>23</v>
      </c>
      <c r="B28" s="92" t="s">
        <v>4</v>
      </c>
      <c r="C28" s="91" t="s">
        <v>97</v>
      </c>
      <c r="D28" s="91"/>
      <c r="E28" s="92" t="s">
        <v>16</v>
      </c>
      <c r="F28" s="92" t="s">
        <v>4</v>
      </c>
      <c r="G28" s="91" t="s">
        <v>331</v>
      </c>
      <c r="H28" s="91"/>
    </row>
    <row r="29" spans="1:8" ht="43.5" customHeight="1" x14ac:dyDescent="0.25">
      <c r="A29" s="92" t="s">
        <v>106</v>
      </c>
      <c r="B29" s="92" t="s">
        <v>4</v>
      </c>
      <c r="C29" s="91" t="s">
        <v>328</v>
      </c>
      <c r="D29" s="91"/>
      <c r="E29" s="92" t="s">
        <v>107</v>
      </c>
      <c r="F29" s="92" t="s">
        <v>4</v>
      </c>
      <c r="G29" s="91" t="s">
        <v>327</v>
      </c>
      <c r="H29" s="91"/>
    </row>
    <row r="30" spans="1:8" ht="84" customHeight="1" x14ac:dyDescent="0.25">
      <c r="A30" s="92" t="s">
        <v>17</v>
      </c>
      <c r="B30" s="92" t="s">
        <v>4</v>
      </c>
      <c r="C30" s="91" t="s">
        <v>329</v>
      </c>
      <c r="D30" s="91"/>
      <c r="E30" s="92" t="s">
        <v>15</v>
      </c>
      <c r="F30" s="92" t="s">
        <v>4</v>
      </c>
      <c r="G30" s="91" t="s">
        <v>330</v>
      </c>
      <c r="H30" s="91"/>
    </row>
    <row r="31" spans="1:8" ht="20.25" x14ac:dyDescent="0.25">
      <c r="A31" s="92" t="s">
        <v>112</v>
      </c>
      <c r="B31" s="92" t="s">
        <v>4</v>
      </c>
      <c r="C31" s="91" t="s">
        <v>113</v>
      </c>
      <c r="D31" s="91"/>
      <c r="E31" s="92" t="s">
        <v>114</v>
      </c>
      <c r="F31" s="92" t="s">
        <v>4</v>
      </c>
      <c r="G31" s="91" t="s">
        <v>113</v>
      </c>
      <c r="H31" s="91"/>
    </row>
    <row r="32" spans="1:8" ht="21.75" customHeight="1" x14ac:dyDescent="0.25">
      <c r="A32" s="92" t="s">
        <v>115</v>
      </c>
      <c r="B32" s="92" t="s">
        <v>4</v>
      </c>
      <c r="C32" s="91" t="s">
        <v>113</v>
      </c>
      <c r="D32" s="91"/>
      <c r="E32" s="91"/>
      <c r="F32" s="91"/>
      <c r="G32" s="91"/>
      <c r="H32" s="91"/>
    </row>
    <row r="33" spans="1:15" ht="20.25" x14ac:dyDescent="0.25">
      <c r="A33" s="120" t="s">
        <v>37</v>
      </c>
      <c r="B33" s="120"/>
      <c r="C33" s="120"/>
      <c r="D33" s="120"/>
      <c r="E33" s="120"/>
      <c r="F33" s="120"/>
      <c r="G33" s="120"/>
      <c r="H33" s="120"/>
    </row>
    <row r="34" spans="1:15" ht="43.5" customHeight="1" x14ac:dyDescent="0.25">
      <c r="A34" s="92" t="s">
        <v>18</v>
      </c>
      <c r="B34" s="92"/>
      <c r="C34" s="91" t="s">
        <v>98</v>
      </c>
      <c r="D34" s="91"/>
      <c r="E34" s="92" t="s">
        <v>19</v>
      </c>
      <c r="F34" s="92" t="s">
        <v>4</v>
      </c>
      <c r="G34" s="91" t="s">
        <v>99</v>
      </c>
      <c r="H34" s="91"/>
    </row>
    <row r="35" spans="1:15" ht="43.5" customHeight="1" x14ac:dyDescent="0.25">
      <c r="A35" s="92" t="s">
        <v>22</v>
      </c>
      <c r="B35" s="92"/>
      <c r="C35" s="91" t="s">
        <v>99</v>
      </c>
      <c r="D35" s="91"/>
      <c r="E35" s="92" t="s">
        <v>32</v>
      </c>
      <c r="F35" s="92" t="s">
        <v>4</v>
      </c>
      <c r="G35" s="91" t="s">
        <v>99</v>
      </c>
      <c r="H35" s="91"/>
    </row>
    <row r="36" spans="1:15" ht="20.25" x14ac:dyDescent="0.25">
      <c r="A36" s="92" t="s">
        <v>31</v>
      </c>
      <c r="B36" s="92"/>
      <c r="C36" s="91" t="s">
        <v>100</v>
      </c>
      <c r="D36" s="91"/>
      <c r="E36" s="92" t="s">
        <v>21</v>
      </c>
      <c r="F36" s="92" t="s">
        <v>4</v>
      </c>
      <c r="G36" s="91" t="s">
        <v>101</v>
      </c>
      <c r="H36" s="91"/>
    </row>
    <row r="37" spans="1:15" ht="20.25" x14ac:dyDescent="0.25">
      <c r="A37" s="99" t="s">
        <v>0</v>
      </c>
      <c r="B37" s="99"/>
      <c r="C37" s="99"/>
      <c r="D37" s="99"/>
      <c r="E37" s="99"/>
      <c r="F37" s="99"/>
      <c r="G37" s="99"/>
      <c r="H37" s="99"/>
    </row>
    <row r="38" spans="1:15" ht="20.25" x14ac:dyDescent="0.25">
      <c r="A38" s="89" t="s">
        <v>0</v>
      </c>
      <c r="B38" s="89"/>
      <c r="C38" s="89" t="s">
        <v>230</v>
      </c>
      <c r="D38" s="89"/>
      <c r="E38" s="89"/>
      <c r="F38" s="89" t="s">
        <v>7</v>
      </c>
      <c r="G38" s="89"/>
      <c r="H38" s="89"/>
      <c r="J38" s="154" t="s">
        <v>1</v>
      </c>
      <c r="K38" s="155"/>
      <c r="L38" s="2" t="s">
        <v>6</v>
      </c>
      <c r="M38" s="154" t="s">
        <v>2</v>
      </c>
      <c r="N38" s="155"/>
      <c r="O38" s="2" t="s">
        <v>3</v>
      </c>
    </row>
    <row r="39" spans="1:15" ht="20.25" x14ac:dyDescent="0.25">
      <c r="A39" s="117" t="s">
        <v>2</v>
      </c>
      <c r="B39" s="117"/>
      <c r="C39" s="94" t="s">
        <v>334</v>
      </c>
      <c r="D39" s="94"/>
      <c r="E39" s="94"/>
      <c r="F39" s="94" t="s">
        <v>335</v>
      </c>
      <c r="G39" s="94"/>
      <c r="H39" s="94"/>
    </row>
    <row r="40" spans="1:15" ht="20.25" x14ac:dyDescent="0.25">
      <c r="A40" s="117" t="s">
        <v>3</v>
      </c>
      <c r="B40" s="117"/>
      <c r="C40" s="94" t="s">
        <v>338</v>
      </c>
      <c r="D40" s="94"/>
      <c r="E40" s="94"/>
      <c r="F40" s="94" t="s">
        <v>339</v>
      </c>
      <c r="G40" s="94"/>
      <c r="H40" s="94"/>
    </row>
    <row r="41" spans="1:15" ht="20.25" x14ac:dyDescent="0.25">
      <c r="A41" s="117" t="s">
        <v>1</v>
      </c>
      <c r="B41" s="117"/>
      <c r="C41" s="94" t="s">
        <v>332</v>
      </c>
      <c r="D41" s="94"/>
      <c r="E41" s="94"/>
      <c r="F41" s="94" t="s">
        <v>333</v>
      </c>
      <c r="G41" s="94"/>
      <c r="H41" s="94"/>
    </row>
    <row r="42" spans="1:15" ht="20.25" x14ac:dyDescent="0.25">
      <c r="A42" s="117" t="s">
        <v>6</v>
      </c>
      <c r="B42" s="117"/>
      <c r="C42" s="94" t="s">
        <v>336</v>
      </c>
      <c r="D42" s="94"/>
      <c r="E42" s="94"/>
      <c r="F42" s="94" t="s">
        <v>337</v>
      </c>
      <c r="G42" s="94"/>
      <c r="H42" s="94"/>
    </row>
    <row r="43" spans="1:15" ht="41.25" customHeight="1" x14ac:dyDescent="0.25">
      <c r="A43" s="92" t="s">
        <v>231</v>
      </c>
      <c r="B43" s="92"/>
      <c r="C43" s="91" t="s">
        <v>97</v>
      </c>
      <c r="D43" s="91"/>
      <c r="E43" s="91"/>
      <c r="F43" s="91"/>
      <c r="G43" s="91"/>
      <c r="H43" s="91"/>
    </row>
    <row r="44" spans="1:15" ht="20.25" x14ac:dyDescent="0.25">
      <c r="A44" s="99" t="s">
        <v>57</v>
      </c>
      <c r="B44" s="99"/>
      <c r="C44" s="99"/>
      <c r="D44" s="99"/>
      <c r="E44" s="99"/>
      <c r="F44" s="99"/>
      <c r="G44" s="99"/>
      <c r="H44" s="99"/>
    </row>
    <row r="45" spans="1:15" ht="21" customHeight="1" x14ac:dyDescent="0.25">
      <c r="A45" s="89" t="s">
        <v>58</v>
      </c>
      <c r="B45" s="89"/>
      <c r="C45" s="2" t="s">
        <v>59</v>
      </c>
      <c r="D45" s="89" t="s">
        <v>150</v>
      </c>
      <c r="E45" s="89"/>
      <c r="F45" s="89"/>
      <c r="G45" s="89" t="s">
        <v>60</v>
      </c>
      <c r="H45" s="89"/>
    </row>
    <row r="46" spans="1:15" ht="42" customHeight="1" x14ac:dyDescent="0.25">
      <c r="A46" s="90" t="s">
        <v>364</v>
      </c>
      <c r="B46" s="90"/>
      <c r="C46" s="33" t="s">
        <v>89</v>
      </c>
      <c r="D46" s="91" t="s">
        <v>341</v>
      </c>
      <c r="E46" s="91"/>
      <c r="F46" s="91"/>
      <c r="G46" s="91" t="s">
        <v>340</v>
      </c>
      <c r="H46" s="91"/>
    </row>
    <row r="47" spans="1:15" ht="20.25" hidden="1" x14ac:dyDescent="0.25">
      <c r="A47" s="90" t="s">
        <v>306</v>
      </c>
      <c r="B47" s="90"/>
      <c r="C47" s="33" t="s">
        <v>89</v>
      </c>
      <c r="D47" s="91"/>
      <c r="E47" s="91"/>
      <c r="F47" s="91"/>
      <c r="G47" s="91"/>
      <c r="H47" s="91"/>
    </row>
    <row r="48" spans="1:15" ht="20.25" hidden="1" x14ac:dyDescent="0.25">
      <c r="A48" s="90" t="s">
        <v>307</v>
      </c>
      <c r="B48" s="90"/>
      <c r="C48" s="33" t="s">
        <v>89</v>
      </c>
      <c r="D48" s="91"/>
      <c r="E48" s="91"/>
      <c r="F48" s="91"/>
      <c r="G48" s="91"/>
      <c r="H48" s="91"/>
    </row>
    <row r="49" spans="1:14" ht="20.25" hidden="1" x14ac:dyDescent="0.25">
      <c r="A49" s="90" t="s">
        <v>308</v>
      </c>
      <c r="B49" s="90"/>
      <c r="C49" s="33" t="s">
        <v>89</v>
      </c>
      <c r="D49" s="91"/>
      <c r="E49" s="91"/>
      <c r="F49" s="91"/>
      <c r="G49" s="91"/>
      <c r="H49" s="91"/>
    </row>
    <row r="50" spans="1:14" ht="20.25" x14ac:dyDescent="0.25">
      <c r="A50" s="99" t="s">
        <v>61</v>
      </c>
      <c r="B50" s="99"/>
      <c r="C50" s="99"/>
      <c r="D50" s="99"/>
      <c r="E50" s="99"/>
      <c r="F50" s="99"/>
      <c r="G50" s="99"/>
      <c r="H50" s="99"/>
    </row>
    <row r="51" spans="1:14" ht="42.75" customHeight="1" x14ac:dyDescent="0.25">
      <c r="A51" s="92" t="s">
        <v>62</v>
      </c>
      <c r="B51" s="92" t="s">
        <v>4</v>
      </c>
      <c r="C51" s="91" t="s">
        <v>97</v>
      </c>
      <c r="D51" s="91"/>
      <c r="E51" s="91"/>
      <c r="F51" s="91"/>
      <c r="G51" s="91"/>
      <c r="H51" s="91"/>
    </row>
    <row r="52" spans="1:14" ht="44.25" customHeight="1" x14ac:dyDescent="0.25">
      <c r="A52" s="92" t="s">
        <v>63</v>
      </c>
      <c r="B52" s="92" t="s">
        <v>4</v>
      </c>
      <c r="C52" s="91" t="s">
        <v>344</v>
      </c>
      <c r="D52" s="91"/>
      <c r="E52" s="91"/>
      <c r="F52" s="91"/>
      <c r="G52" s="50" t="s">
        <v>232</v>
      </c>
      <c r="H52" s="78">
        <v>45846</v>
      </c>
    </row>
    <row r="53" spans="1:14" ht="44.25" customHeight="1" x14ac:dyDescent="0.25">
      <c r="A53" s="92" t="s">
        <v>64</v>
      </c>
      <c r="B53" s="92" t="s">
        <v>4</v>
      </c>
      <c r="C53" s="91" t="s">
        <v>344</v>
      </c>
      <c r="D53" s="91"/>
      <c r="E53" s="91"/>
      <c r="F53" s="91"/>
      <c r="G53" s="50" t="s">
        <v>232</v>
      </c>
      <c r="H53" s="78">
        <v>45846</v>
      </c>
    </row>
    <row r="54" spans="1:14" ht="44.25" customHeight="1" x14ac:dyDescent="0.25">
      <c r="A54" s="152" t="s">
        <v>374</v>
      </c>
      <c r="B54" s="152"/>
      <c r="C54" s="91" t="s">
        <v>377</v>
      </c>
      <c r="D54" s="91"/>
      <c r="E54" s="91"/>
      <c r="F54" s="91"/>
      <c r="G54" s="50" t="s">
        <v>232</v>
      </c>
      <c r="H54" s="80">
        <v>44935</v>
      </c>
    </row>
    <row r="55" spans="1:14" ht="123.75" customHeight="1" x14ac:dyDescent="0.25">
      <c r="A55" s="152"/>
      <c r="B55" s="152"/>
      <c r="C55" s="91" t="s">
        <v>378</v>
      </c>
      <c r="D55" s="91"/>
      <c r="E55" s="91"/>
      <c r="F55" s="91"/>
      <c r="G55" s="50" t="s">
        <v>246</v>
      </c>
      <c r="H55" s="80">
        <v>45299</v>
      </c>
    </row>
    <row r="56" spans="1:14" ht="44.25" customHeight="1" x14ac:dyDescent="0.25">
      <c r="A56" s="152" t="s">
        <v>374</v>
      </c>
      <c r="B56" s="152"/>
      <c r="C56" s="91" t="s">
        <v>345</v>
      </c>
      <c r="D56" s="91"/>
      <c r="E56" s="91"/>
      <c r="F56" s="91"/>
      <c r="G56" s="50" t="s">
        <v>232</v>
      </c>
      <c r="H56" s="78">
        <v>45562</v>
      </c>
    </row>
    <row r="57" spans="1:14" ht="129" customHeight="1" x14ac:dyDescent="0.25">
      <c r="A57" s="152"/>
      <c r="B57" s="152"/>
      <c r="C57" s="91" t="s">
        <v>346</v>
      </c>
      <c r="D57" s="91"/>
      <c r="E57" s="91"/>
      <c r="F57" s="91"/>
      <c r="G57" s="50" t="s">
        <v>246</v>
      </c>
      <c r="H57" s="78">
        <v>45911</v>
      </c>
      <c r="I57" s="1" t="s">
        <v>376</v>
      </c>
    </row>
    <row r="58" spans="1:14" ht="68.25" customHeight="1" x14ac:dyDescent="0.25">
      <c r="A58" s="92" t="s">
        <v>65</v>
      </c>
      <c r="B58" s="92" t="s">
        <v>4</v>
      </c>
      <c r="C58" s="91" t="s">
        <v>347</v>
      </c>
      <c r="D58" s="91"/>
      <c r="E58" s="91"/>
      <c r="F58" s="91"/>
      <c r="G58" s="50" t="s">
        <v>233</v>
      </c>
      <c r="H58" s="78">
        <v>45072</v>
      </c>
    </row>
    <row r="59" spans="1:14" ht="45" hidden="1" customHeight="1" x14ac:dyDescent="0.25">
      <c r="A59" s="92" t="s">
        <v>67</v>
      </c>
      <c r="B59" s="92" t="s">
        <v>4</v>
      </c>
      <c r="C59" s="91"/>
      <c r="D59" s="91"/>
      <c r="E59" s="91"/>
      <c r="F59" s="91"/>
      <c r="G59" s="50" t="s">
        <v>233</v>
      </c>
      <c r="H59" s="73"/>
    </row>
    <row r="60" spans="1:14" ht="67.5" customHeight="1" x14ac:dyDescent="0.25">
      <c r="A60" s="92" t="s">
        <v>342</v>
      </c>
      <c r="B60" s="92" t="s">
        <v>4</v>
      </c>
      <c r="C60" s="91" t="s">
        <v>343</v>
      </c>
      <c r="D60" s="91"/>
      <c r="E60" s="91"/>
      <c r="F60" s="91"/>
      <c r="G60" s="50" t="s">
        <v>233</v>
      </c>
      <c r="H60" s="78">
        <v>44530</v>
      </c>
    </row>
    <row r="61" spans="1:14" ht="31.5" hidden="1" customHeight="1" x14ac:dyDescent="0.25">
      <c r="A61" s="173" t="s">
        <v>66</v>
      </c>
      <c r="B61" s="174"/>
      <c r="C61" s="177" t="s">
        <v>372</v>
      </c>
      <c r="D61" s="178"/>
      <c r="E61" s="178"/>
      <c r="F61" s="179"/>
      <c r="G61" s="50" t="s">
        <v>233</v>
      </c>
      <c r="H61" s="78">
        <v>43201</v>
      </c>
      <c r="N61" s="72" t="s">
        <v>310</v>
      </c>
    </row>
    <row r="62" spans="1:14" ht="42" hidden="1" customHeight="1" x14ac:dyDescent="0.25">
      <c r="A62" s="175"/>
      <c r="B62" s="176"/>
      <c r="C62" s="180"/>
      <c r="D62" s="181"/>
      <c r="E62" s="181"/>
      <c r="F62" s="182"/>
      <c r="G62" s="50" t="s">
        <v>371</v>
      </c>
      <c r="H62" s="78">
        <v>46122</v>
      </c>
      <c r="N62" s="72" t="s">
        <v>310</v>
      </c>
    </row>
    <row r="63" spans="1:14" ht="45" hidden="1" customHeight="1" x14ac:dyDescent="0.25">
      <c r="A63" s="92" t="s">
        <v>68</v>
      </c>
      <c r="B63" s="92" t="s">
        <v>4</v>
      </c>
      <c r="C63" s="91"/>
      <c r="D63" s="91"/>
      <c r="E63" s="91"/>
      <c r="F63" s="91"/>
      <c r="G63" s="50" t="s">
        <v>233</v>
      </c>
      <c r="H63" s="35"/>
    </row>
    <row r="64" spans="1:14" ht="21" thickBot="1" x14ac:dyDescent="0.3">
      <c r="A64" s="99" t="s">
        <v>69</v>
      </c>
      <c r="B64" s="99"/>
      <c r="C64" s="99"/>
      <c r="D64" s="99"/>
      <c r="E64" s="99"/>
      <c r="F64" s="99"/>
      <c r="G64" s="99"/>
      <c r="H64" s="99"/>
    </row>
    <row r="65" spans="1:10" ht="23.25" customHeight="1" x14ac:dyDescent="0.3">
      <c r="A65" s="100" t="str">
        <f>CONCATENATE((IF(OR(A46="",A46="NA"),"",A46)),"= ",(IF(OR(D46="",D46="NA"),"",D46)),".")</f>
        <v>Building No. 4 (Wing C) = LG + UG/Podium 1 + 2P to 4P + 2S + 1st to 33rd Floor.</v>
      </c>
      <c r="B65" s="100"/>
      <c r="C65" s="100"/>
      <c r="D65" s="29" t="s">
        <v>116</v>
      </c>
      <c r="E65" s="86" t="s">
        <v>103</v>
      </c>
      <c r="F65" s="86"/>
      <c r="G65" s="29" t="s">
        <v>117</v>
      </c>
      <c r="H65" s="29" t="s">
        <v>118</v>
      </c>
      <c r="I65" s="15" t="str">
        <f ca="1">(IF(E68&gt;99%,"All work completed. Please provide OC.",IF(E68&gt;89.8%,"Plinth, RCC, Brick, Plaster, Flooring, Wooden, Plumbing, Electrification, etc.,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completed","0")))))))))))&amp;(IF(C70=(E66+G66+H66),", RCC Slab",IF(C70&gt;0,", RCC upto "&amp;C70&amp;" Slab",""))&amp;(IF(C71=H66,", Brickwork",IF(C71&gt;0,", Brickwork upto "&amp;C71&amp;" Floor",""))&amp;(IF(C72=H66,", Internal Plaster",IF(C72&gt;0,", Internal Plaster upto "&amp;C72&amp;" Floor",""))&amp;(IF(C73=H66,", External Plaster",IF(C73&gt;0,", External Plaster upto "&amp;C73&amp;" Floor",""))&amp;(IF(C74=H66,", External Plumbing, Elevation and Waterproofing",IF(C74&gt;0,", External Plumbing, Elevation and Waterproofing upto "&amp;C74&amp;" Floor",""))&amp;(IF(C75=H66,", Flooring &amp; Fitting",IF(C75&gt;0,", Flooring &amp; Fitting upto "&amp;C75&amp;" Floor",""))&amp;(IF(C76=H66,", Wooden Work",IF(C76&gt;0,", Wooden Work upto "&amp;C76&amp;" Floor",""))&amp;(IF(C77=H66,", Electrical &amp; Sanitary fittings",IF(C77&gt;0,", Electrical &amp; Sanitary fittings upto "&amp;C77&amp;" Floor",""))&amp;(IF(C78&gt;0,", Finishing upto "&amp;C78&amp;" Floor","")&amp;(IF(C70&gt;0.5," Completed",""))))))))))))))))</f>
        <v>Excavation work Completed. Plinth work completed, RCC upto 1 Slab Completed</v>
      </c>
      <c r="J65" s="17"/>
    </row>
    <row r="66" spans="1:10" ht="39.75" customHeight="1" x14ac:dyDescent="0.3">
      <c r="A66" s="100"/>
      <c r="B66" s="100"/>
      <c r="C66" s="100"/>
      <c r="D66" s="76">
        <v>1</v>
      </c>
      <c r="E66" s="86">
        <v>1</v>
      </c>
      <c r="F66" s="86"/>
      <c r="G66" s="76">
        <v>5</v>
      </c>
      <c r="H66" s="29">
        <f ca="1">--TRIM(RIGHT(SUBSTITUTE(LEFT(A65,_xlfn.AGGREGATE(16,6,FIND({0,1,2,3,4,5,6,7,8,9},A65,ROW(INDIRECT("1:"&amp;LEN(A65)))),1))," ",REPT(" ",LEN(A65))),LEN(A65)))</f>
        <v>33</v>
      </c>
      <c r="I66" s="16" t="s">
        <v>122</v>
      </c>
      <c r="J66" s="17"/>
    </row>
    <row r="67" spans="1:10" ht="20.25" customHeight="1" x14ac:dyDescent="0.3">
      <c r="A67" s="87" t="s">
        <v>120</v>
      </c>
      <c r="B67" s="87"/>
      <c r="C67" s="27" t="s">
        <v>134</v>
      </c>
      <c r="D67" s="27" t="s">
        <v>135</v>
      </c>
      <c r="E67" s="87" t="s">
        <v>121</v>
      </c>
      <c r="F67" s="87"/>
      <c r="G67" s="28" t="s">
        <v>119</v>
      </c>
      <c r="H67" s="28"/>
      <c r="I67" s="19" t="s">
        <v>136</v>
      </c>
      <c r="J67" s="18">
        <f ca="1">H66*25%</f>
        <v>8.25</v>
      </c>
    </row>
    <row r="68" spans="1:10" ht="20.25" customHeight="1" x14ac:dyDescent="0.3">
      <c r="A68" s="88" t="s">
        <v>137</v>
      </c>
      <c r="B68" s="88"/>
      <c r="C68" s="31">
        <f ca="1">J69</f>
        <v>33</v>
      </c>
      <c r="D68" s="5">
        <f ca="1">((100/H66)*C68)/100</f>
        <v>1</v>
      </c>
      <c r="E68" s="142">
        <f ca="1">(((C68/H66*10)+(C69/H66*15)+(25/(E66+G66+H66)*C70)+(5/(H66)*C71)+(2.5/(H66)*C72)+(2.5/(H66)*C73)+(5/H66*C74)+(10/H66*C75)+(2.5/H66*C76)+(2.5/H66*C77)+(10/H66*C78)+(10/H66*C79))/100)</f>
        <v>0.25641025641025644</v>
      </c>
      <c r="F68" s="143"/>
      <c r="G68" s="88" t="str">
        <f ca="1">I65</f>
        <v>Excavation work Completed. Plinth work completed, RCC upto 1 Slab Completed</v>
      </c>
      <c r="H68" s="88"/>
      <c r="I68" s="19" t="s">
        <v>123</v>
      </c>
      <c r="J68" s="23">
        <f ca="1">H66*50%</f>
        <v>16.5</v>
      </c>
    </row>
    <row r="69" spans="1:10" ht="20.25" x14ac:dyDescent="0.3">
      <c r="A69" s="88" t="s">
        <v>104</v>
      </c>
      <c r="B69" s="88"/>
      <c r="C69" s="77">
        <f>J77</f>
        <v>33</v>
      </c>
      <c r="D69" s="5">
        <f ca="1">((100/H66)*C69)/100</f>
        <v>1</v>
      </c>
      <c r="E69" s="144"/>
      <c r="F69" s="145"/>
      <c r="G69" s="88"/>
      <c r="H69" s="88"/>
      <c r="I69" s="19" t="s">
        <v>124</v>
      </c>
      <c r="J69" s="23">
        <f ca="1">H66</f>
        <v>33</v>
      </c>
    </row>
    <row r="70" spans="1:10" ht="21" customHeight="1" x14ac:dyDescent="0.35">
      <c r="A70" s="88" t="s">
        <v>138</v>
      </c>
      <c r="B70" s="88"/>
      <c r="C70" s="77">
        <v>1</v>
      </c>
      <c r="D70" s="5">
        <f ca="1">((100/(E66+G66+H66))*C70)/100</f>
        <v>2.5641025641025644E-2</v>
      </c>
      <c r="E70" s="144"/>
      <c r="F70" s="145"/>
      <c r="G70" s="88"/>
      <c r="H70" s="88"/>
      <c r="I70" s="19" t="s">
        <v>125</v>
      </c>
      <c r="J70" s="24">
        <f ca="1">(IF(D66&gt;1,(H66/(D66+2)),H66*0.2))</f>
        <v>6.6000000000000005</v>
      </c>
    </row>
    <row r="71" spans="1:10" ht="21" customHeight="1" x14ac:dyDescent="0.35">
      <c r="A71" s="88" t="s">
        <v>139</v>
      </c>
      <c r="B71" s="88"/>
      <c r="C71" s="77">
        <v>0</v>
      </c>
      <c r="D71" s="5">
        <f ca="1">((100/H66)*C71)/100</f>
        <v>0</v>
      </c>
      <c r="E71" s="144"/>
      <c r="F71" s="145"/>
      <c r="G71" s="88"/>
      <c r="H71" s="88"/>
      <c r="I71" s="19" t="s">
        <v>126</v>
      </c>
      <c r="J71" s="24">
        <f ca="1">(IF(D66&gt;1,(H66/(D66+2)+J70),H66*0.2+J70))</f>
        <v>13.200000000000001</v>
      </c>
    </row>
    <row r="72" spans="1:10" ht="21" customHeight="1" x14ac:dyDescent="0.35">
      <c r="A72" s="95" t="s">
        <v>140</v>
      </c>
      <c r="B72" s="96"/>
      <c r="C72" s="77">
        <v>0</v>
      </c>
      <c r="D72" s="5">
        <f ca="1">((100/H66)*C72)/100</f>
        <v>0</v>
      </c>
      <c r="E72" s="144"/>
      <c r="F72" s="145"/>
      <c r="G72" s="88"/>
      <c r="H72" s="88"/>
      <c r="I72" s="19" t="s">
        <v>141</v>
      </c>
      <c r="J72" s="24">
        <f>(IF(D66&gt;1,(H66/(D66+2)+J71),0))</f>
        <v>0</v>
      </c>
    </row>
    <row r="73" spans="1:10" ht="21" customHeight="1" x14ac:dyDescent="0.35">
      <c r="A73" s="95" t="s">
        <v>171</v>
      </c>
      <c r="B73" s="96"/>
      <c r="C73" s="77">
        <v>0</v>
      </c>
      <c r="D73" s="5">
        <f ca="1">((100/H66)*C73)/100</f>
        <v>0</v>
      </c>
      <c r="E73" s="144"/>
      <c r="F73" s="145"/>
      <c r="G73" s="88"/>
      <c r="H73" s="88"/>
      <c r="I73" s="19" t="s">
        <v>142</v>
      </c>
      <c r="J73" s="24">
        <f>(IF(D66&gt;2,(H66/(D66+2)+J72),0))</f>
        <v>0</v>
      </c>
    </row>
    <row r="74" spans="1:10" ht="21" x14ac:dyDescent="0.35">
      <c r="A74" s="95" t="s">
        <v>168</v>
      </c>
      <c r="B74" s="96"/>
      <c r="C74" s="77">
        <v>0</v>
      </c>
      <c r="D74" s="5">
        <f ca="1">((100/(H66))*C74)/100</f>
        <v>0</v>
      </c>
      <c r="E74" s="144"/>
      <c r="F74" s="145"/>
      <c r="G74" s="88"/>
      <c r="H74" s="88"/>
      <c r="I74" s="19" t="s">
        <v>144</v>
      </c>
      <c r="J74" s="25">
        <f>(IF(D66&gt;3,(H66/(D66+2)+J73),0))</f>
        <v>0</v>
      </c>
    </row>
    <row r="75" spans="1:10" ht="21" x14ac:dyDescent="0.35">
      <c r="A75" s="88" t="s">
        <v>143</v>
      </c>
      <c r="B75" s="88"/>
      <c r="C75" s="77">
        <v>0</v>
      </c>
      <c r="D75" s="5">
        <f ca="1">((100/(H66))*C75)/100</f>
        <v>0</v>
      </c>
      <c r="E75" s="144"/>
      <c r="F75" s="145"/>
      <c r="G75" s="88"/>
      <c r="H75" s="88"/>
      <c r="I75" s="19" t="s">
        <v>145</v>
      </c>
      <c r="J75" s="24">
        <f>(IF(D66&gt;4,(H66/(D66+2)+J74),0))</f>
        <v>0</v>
      </c>
    </row>
    <row r="76" spans="1:10" ht="21" customHeight="1" x14ac:dyDescent="0.35">
      <c r="A76" s="88" t="s">
        <v>170</v>
      </c>
      <c r="B76" s="88"/>
      <c r="C76" s="77">
        <v>0</v>
      </c>
      <c r="D76" s="5">
        <f ca="1">((100/H66)*C76)/100</f>
        <v>0</v>
      </c>
      <c r="E76" s="144"/>
      <c r="F76" s="145"/>
      <c r="G76" s="88"/>
      <c r="H76" s="88"/>
      <c r="I76" s="19" t="s">
        <v>127</v>
      </c>
      <c r="J76" s="24">
        <f ca="1">(IF(D66=1,(H66/(D66+3)+J71),IF(D66=0,(H66*0.3+J71),IF(D66&gt;1,0))))</f>
        <v>21.450000000000003</v>
      </c>
    </row>
    <row r="77" spans="1:10" ht="21.75" thickBot="1" x14ac:dyDescent="0.4">
      <c r="A77" s="88" t="s">
        <v>169</v>
      </c>
      <c r="B77" s="88"/>
      <c r="C77" s="29">
        <v>0</v>
      </c>
      <c r="D77" s="5">
        <f ca="1">((100/H66)*C77)/100</f>
        <v>0</v>
      </c>
      <c r="E77" s="144"/>
      <c r="F77" s="145"/>
      <c r="G77" s="88"/>
      <c r="H77" s="88"/>
      <c r="I77" s="21" t="s">
        <v>128</v>
      </c>
      <c r="J77" s="26">
        <v>33</v>
      </c>
    </row>
    <row r="78" spans="1:10" ht="20.25" x14ac:dyDescent="0.25">
      <c r="A78" s="88" t="s">
        <v>146</v>
      </c>
      <c r="B78" s="88"/>
      <c r="C78" s="29">
        <v>0</v>
      </c>
      <c r="D78" s="5">
        <f ca="1">((100/(H66))*C78)/100</f>
        <v>0</v>
      </c>
      <c r="E78" s="144"/>
      <c r="F78" s="145"/>
      <c r="G78" s="88"/>
      <c r="H78" s="88"/>
    </row>
    <row r="79" spans="1:10" ht="20.25" x14ac:dyDescent="0.25">
      <c r="A79" s="88" t="s">
        <v>147</v>
      </c>
      <c r="B79" s="88"/>
      <c r="C79" s="29">
        <v>0</v>
      </c>
      <c r="D79" s="5">
        <f ca="1">((100/(H66))*C79)/100</f>
        <v>0</v>
      </c>
      <c r="E79" s="146"/>
      <c r="F79" s="147"/>
      <c r="G79" s="88"/>
      <c r="H79" s="88"/>
    </row>
    <row r="80" spans="1:10" ht="21" hidden="1" thickBot="1" x14ac:dyDescent="0.3">
      <c r="A80" s="99" t="s">
        <v>69</v>
      </c>
      <c r="B80" s="99"/>
      <c r="C80" s="99"/>
      <c r="D80" s="99"/>
      <c r="E80" s="99"/>
      <c r="F80" s="99"/>
      <c r="G80" s="99"/>
      <c r="H80" s="99"/>
    </row>
    <row r="81" spans="1:10" ht="20.25" hidden="1" customHeight="1" x14ac:dyDescent="0.3">
      <c r="A81" s="100" t="str">
        <f>CONCATENATE((IF(OR(A47="",A47="NA"),"",A47)),"= ",(IF(OR(D47="",D47="NA"),"",D47)),".")</f>
        <v>Tower 2 = .</v>
      </c>
      <c r="B81" s="100"/>
      <c r="C81" s="100"/>
      <c r="D81" s="29" t="s">
        <v>116</v>
      </c>
      <c r="E81" s="86" t="s">
        <v>103</v>
      </c>
      <c r="F81" s="86"/>
      <c r="G81" s="29" t="s">
        <v>117</v>
      </c>
      <c r="H81" s="29" t="s">
        <v>118</v>
      </c>
      <c r="I81" s="15" t="str">
        <f ca="1">(IF(E84&gt;99%,"All work completed. Please provide OC.",IF(E84&gt;89.8%,"Plinth, RCC, Brick, Plaster, Flooring, Wooden, Plumbing, Electrification, etc., work Completed. Finishing work is in process.",IF(E84&lt;94%,(IF(C84=0,"Work not yet Started.",IF(D84=25%,"Piling work in process",IF(D84=50%,"Excavation work in process",IF(D84=100%,"Excavation work Completed. ","0")))&amp;(IF(C85=0%,"",IF(C85=J86,"Footing work is process",IF(C85=J87,"Footing work Completed",IF(C85=J88,"1st Basement Completed",IF(C85=J89,"1st &amp; 2nd Basement Completed",IF(C85=J90,"1st to 3rd Basement Completed",IF(C85=J91,"1st to 4th Basement Completed",IF(C85=J92,"Plinth work is process",IF(C85=J93,"Plinth work completed","0")))))))))))&amp;(IF(C86=(E82+G82+H82),", RCC Slab",IF(C86&gt;0,", RCC upto "&amp;C86&amp;" Slab",""))&amp;(IF(C87=H82,", Brickwork",IF(C87&gt;0,", Brickwork upto "&amp;C87&amp;" Floor",""))&amp;(IF(C88=H82,", Internal Plaster",IF(C88&gt;0,", Internal Plaster upto "&amp;C88&amp;" Floor",""))&amp;(IF(C89=H82,", External Plaster",IF(C89&gt;0,", External Plaster upto "&amp;C89&amp;" Floor",""))&amp;(IF(C90=H82,", External Plumbing, Elevation and Waterproofing",IF(C90&gt;0,", External Plumbing, Elevation and Waterproofing upto "&amp;C90&amp;" Floor",""))&amp;(IF(C91=H82,", Flooring &amp; Fitting",IF(C91&gt;0,", Flooring &amp; Fitting upto "&amp;C91&amp;" Floor",""))&amp;(IF(C92=H82,", Wooden Work",IF(C92&gt;0,", Wooden Work upto "&amp;C92&amp;" Floor",""))&amp;(IF(C93=H82,", Electrical &amp; Sanitary fittings",IF(C93&gt;0,", Electrical &amp; Sanitary fittings upto "&amp;C93&amp;" Floor",""))&amp;(IF(C94&gt;0,", Finishing upto "&amp;C94&amp;" Floor","")&amp;(IF(C86&gt;0.5," Completed",""))))))))))))))))</f>
        <v>Work not yet Started.</v>
      </c>
      <c r="J81" s="17"/>
    </row>
    <row r="82" spans="1:10" ht="20.25" hidden="1" x14ac:dyDescent="0.3">
      <c r="A82" s="100"/>
      <c r="B82" s="100"/>
      <c r="C82" s="100"/>
      <c r="D82" s="51">
        <f>IF(AND(ISNUMBER(SEARCH("1B",A81))),1,IF(AND(ISNUMBER(SEARCH("2B",A81))),2,IF(AND(ISNUMBER(SEARCH("3B",A81))),3,IF(AND(ISNUMBER(SEARCH("4B",A81))),4,IF(ISNUMBER(SEARCH("5B",A81)),5,0)))))</f>
        <v>0</v>
      </c>
      <c r="E82" s="86">
        <v>1</v>
      </c>
      <c r="F82" s="86"/>
      <c r="G82" s="51">
        <v>0</v>
      </c>
      <c r="H82" s="29">
        <f ca="1">--TRIM(RIGHT(SUBSTITUTE(LEFT(A81,_xlfn.AGGREGATE(16,6,FIND({0,1,2,3,4,5,6,7,8,9},A81,ROW(INDIRECT("1:"&amp;LEN(A81)))),1))," ",REPT(" ",LEN(A81))),LEN(A81)))</f>
        <v>2</v>
      </c>
      <c r="I82" s="16" t="s">
        <v>122</v>
      </c>
      <c r="J82" s="17"/>
    </row>
    <row r="83" spans="1:10" ht="20.25" hidden="1" customHeight="1" x14ac:dyDescent="0.3">
      <c r="A83" s="87" t="s">
        <v>120</v>
      </c>
      <c r="B83" s="87"/>
      <c r="C83" s="27" t="s">
        <v>134</v>
      </c>
      <c r="D83" s="27" t="s">
        <v>135</v>
      </c>
      <c r="E83" s="87" t="s">
        <v>121</v>
      </c>
      <c r="F83" s="87"/>
      <c r="G83" s="28" t="s">
        <v>119</v>
      </c>
      <c r="H83" s="28"/>
      <c r="I83" s="19" t="s">
        <v>136</v>
      </c>
      <c r="J83" s="18">
        <f ca="1">H82*25%</f>
        <v>0.5</v>
      </c>
    </row>
    <row r="84" spans="1:10" ht="20.25" hidden="1" customHeight="1" x14ac:dyDescent="0.3">
      <c r="A84" s="88" t="s">
        <v>137</v>
      </c>
      <c r="B84" s="88"/>
      <c r="C84" s="29">
        <v>0</v>
      </c>
      <c r="D84" s="5">
        <f ca="1">((100/H82)*C84)/100</f>
        <v>0</v>
      </c>
      <c r="E84" s="142">
        <f ca="1">(((C84/H82*10)+(C85/H82*15)+(25/(E82+G82+H82)*C86)+(5/(H82)*C87)+(2.5/(H82)*C88)+(2.5/(H82)*C89)+(5/H82*C90)+(10/H82*C91)+(2.5/H82*C92)+(2.5/H82*C93)+(10/H82*C94)+(10/H82*C95))/100)</f>
        <v>0</v>
      </c>
      <c r="F84" s="143"/>
      <c r="G84" s="88" t="str">
        <f ca="1">I81</f>
        <v>Work not yet Started.</v>
      </c>
      <c r="H84" s="88"/>
      <c r="I84" s="19" t="s">
        <v>123</v>
      </c>
      <c r="J84" s="23">
        <f ca="1">H82*50%</f>
        <v>1</v>
      </c>
    </row>
    <row r="85" spans="1:10" ht="20.25" hidden="1" x14ac:dyDescent="0.3">
      <c r="A85" s="88" t="s">
        <v>104</v>
      </c>
      <c r="B85" s="88"/>
      <c r="C85" s="31">
        <v>0</v>
      </c>
      <c r="D85" s="5">
        <f ca="1">((100/H82)*C85)/100</f>
        <v>0</v>
      </c>
      <c r="E85" s="144"/>
      <c r="F85" s="145"/>
      <c r="G85" s="88"/>
      <c r="H85" s="88"/>
      <c r="I85" s="19" t="s">
        <v>124</v>
      </c>
      <c r="J85" s="23">
        <f ca="1">H82</f>
        <v>2</v>
      </c>
    </row>
    <row r="86" spans="1:10" ht="21" hidden="1" customHeight="1" x14ac:dyDescent="0.35">
      <c r="A86" s="88" t="s">
        <v>138</v>
      </c>
      <c r="B86" s="88"/>
      <c r="C86" s="29">
        <v>0</v>
      </c>
      <c r="D86" s="5">
        <f ca="1">((100/(E82+G82+H82))*C86)/100</f>
        <v>0</v>
      </c>
      <c r="E86" s="144"/>
      <c r="F86" s="145"/>
      <c r="G86" s="88"/>
      <c r="H86" s="88"/>
      <c r="I86" s="19" t="s">
        <v>125</v>
      </c>
      <c r="J86" s="24">
        <f ca="1">(IF(D82&gt;1,(H82/(D82+2)),H82*0.2))</f>
        <v>0.4</v>
      </c>
    </row>
    <row r="87" spans="1:10" ht="21" hidden="1" customHeight="1" x14ac:dyDescent="0.35">
      <c r="A87" s="88" t="s">
        <v>139</v>
      </c>
      <c r="B87" s="88"/>
      <c r="C87" s="29">
        <v>0</v>
      </c>
      <c r="D87" s="5">
        <f ca="1">((100/H82)*C87)/100</f>
        <v>0</v>
      </c>
      <c r="E87" s="144"/>
      <c r="F87" s="145"/>
      <c r="G87" s="88"/>
      <c r="H87" s="88"/>
      <c r="I87" s="19" t="s">
        <v>126</v>
      </c>
      <c r="J87" s="24">
        <f ca="1">(IF(D82&gt;1,(H82/(D82+2)+J86),H82*0.2+J86))</f>
        <v>0.8</v>
      </c>
    </row>
    <row r="88" spans="1:10" ht="21" hidden="1" customHeight="1" x14ac:dyDescent="0.35">
      <c r="A88" s="95" t="s">
        <v>140</v>
      </c>
      <c r="B88" s="96"/>
      <c r="C88" s="29">
        <v>0</v>
      </c>
      <c r="D88" s="5">
        <f ca="1">((100/H82)*C88)/100</f>
        <v>0</v>
      </c>
      <c r="E88" s="144"/>
      <c r="F88" s="145"/>
      <c r="G88" s="88"/>
      <c r="H88" s="88"/>
      <c r="I88" s="19" t="s">
        <v>141</v>
      </c>
      <c r="J88" s="24">
        <f>(IF(D82&gt;1,(H82/(D82+2)+J87),0))</f>
        <v>0</v>
      </c>
    </row>
    <row r="89" spans="1:10" ht="21" hidden="1" customHeight="1" x14ac:dyDescent="0.35">
      <c r="A89" s="95" t="s">
        <v>171</v>
      </c>
      <c r="B89" s="96"/>
      <c r="C89" s="29">
        <v>0</v>
      </c>
      <c r="D89" s="5">
        <f ca="1">((100/H82)*C89)/100</f>
        <v>0</v>
      </c>
      <c r="E89" s="144"/>
      <c r="F89" s="145"/>
      <c r="G89" s="88"/>
      <c r="H89" s="88"/>
      <c r="I89" s="19" t="s">
        <v>142</v>
      </c>
      <c r="J89" s="24">
        <f>(IF(D82&gt;2,(H82/(D82+2)+J88),0))</f>
        <v>0</v>
      </c>
    </row>
    <row r="90" spans="1:10" ht="57.75" hidden="1" customHeight="1" x14ac:dyDescent="0.35">
      <c r="A90" s="95" t="s">
        <v>168</v>
      </c>
      <c r="B90" s="96"/>
      <c r="C90" s="29">
        <v>0</v>
      </c>
      <c r="D90" s="5">
        <f ca="1">((100/(H82))*C90)/100</f>
        <v>0</v>
      </c>
      <c r="E90" s="144"/>
      <c r="F90" s="145"/>
      <c r="G90" s="88"/>
      <c r="H90" s="88"/>
      <c r="I90" s="19" t="s">
        <v>144</v>
      </c>
      <c r="J90" s="25">
        <f>(IF(D82&gt;3,(H82/(D82+2)+J89),0))</f>
        <v>0</v>
      </c>
    </row>
    <row r="91" spans="1:10" ht="21" hidden="1" x14ac:dyDescent="0.35">
      <c r="A91" s="88" t="s">
        <v>143</v>
      </c>
      <c r="B91" s="88"/>
      <c r="C91" s="29">
        <v>0</v>
      </c>
      <c r="D91" s="5">
        <f ca="1">((100/(H82))*C91)/100</f>
        <v>0</v>
      </c>
      <c r="E91" s="144"/>
      <c r="F91" s="145"/>
      <c r="G91" s="88"/>
      <c r="H91" s="88"/>
      <c r="I91" s="19" t="s">
        <v>145</v>
      </c>
      <c r="J91" s="24">
        <f>(IF(D82&gt;4,(H82/(D82+2)+J90),0))</f>
        <v>0</v>
      </c>
    </row>
    <row r="92" spans="1:10" ht="21" hidden="1" customHeight="1" x14ac:dyDescent="0.35">
      <c r="A92" s="88" t="s">
        <v>170</v>
      </c>
      <c r="B92" s="88"/>
      <c r="C92" s="29">
        <v>0</v>
      </c>
      <c r="D92" s="5">
        <f ca="1">((100/H82)*C92)/100</f>
        <v>0</v>
      </c>
      <c r="E92" s="144"/>
      <c r="F92" s="145"/>
      <c r="G92" s="88"/>
      <c r="H92" s="88"/>
      <c r="I92" s="19" t="s">
        <v>127</v>
      </c>
      <c r="J92" s="24">
        <f ca="1">(IF(D82=1,(H82/(D82+3)+J87),IF(D82=0,(H82*0.3+J87),IF(D82&gt;1,0))))</f>
        <v>1.4</v>
      </c>
    </row>
    <row r="93" spans="1:10" ht="21.75" hidden="1" thickBot="1" x14ac:dyDescent="0.4">
      <c r="A93" s="88" t="s">
        <v>169</v>
      </c>
      <c r="B93" s="88"/>
      <c r="C93" s="29">
        <v>0</v>
      </c>
      <c r="D93" s="5">
        <f ca="1">((100/H82)*C93)/100</f>
        <v>0</v>
      </c>
      <c r="E93" s="144"/>
      <c r="F93" s="145"/>
      <c r="G93" s="88"/>
      <c r="H93" s="88"/>
      <c r="I93" s="21" t="s">
        <v>128</v>
      </c>
      <c r="J93" s="26">
        <f ca="1">(IF(D82&gt;1.5,(H82/(D82+2)+J87+MAX(0,J88-J87)+MAX(0,J89-J88)+MAX(0,J90-J89)+MAX(0,J91-J90)+MAX(0,J92-J91)),IF(D82=1,(H82/(D82+3)+J92),IF(D82=0,H82*0.3+J92))))</f>
        <v>2</v>
      </c>
    </row>
    <row r="94" spans="1:10" ht="20.25" hidden="1" x14ac:dyDescent="0.25">
      <c r="A94" s="88" t="s">
        <v>146</v>
      </c>
      <c r="B94" s="88"/>
      <c r="C94" s="29">
        <v>0</v>
      </c>
      <c r="D94" s="5">
        <f ca="1">((100/(H82))*C94)/100</f>
        <v>0</v>
      </c>
      <c r="E94" s="144"/>
      <c r="F94" s="145"/>
      <c r="G94" s="88"/>
      <c r="H94" s="88"/>
    </row>
    <row r="95" spans="1:10" ht="20.25" hidden="1" x14ac:dyDescent="0.25">
      <c r="A95" s="88" t="s">
        <v>147</v>
      </c>
      <c r="B95" s="88"/>
      <c r="C95" s="29">
        <v>0</v>
      </c>
      <c r="D95" s="5">
        <f ca="1">((100/(H82))*C95)/100</f>
        <v>0</v>
      </c>
      <c r="E95" s="146"/>
      <c r="F95" s="147"/>
      <c r="G95" s="88"/>
      <c r="H95" s="88"/>
    </row>
    <row r="96" spans="1:10" ht="21" hidden="1" thickBot="1" x14ac:dyDescent="0.3">
      <c r="A96" s="99" t="s">
        <v>69</v>
      </c>
      <c r="B96" s="99"/>
      <c r="C96" s="99"/>
      <c r="D96" s="99"/>
      <c r="E96" s="99"/>
      <c r="F96" s="99"/>
      <c r="G96" s="99"/>
      <c r="H96" s="99"/>
    </row>
    <row r="97" spans="1:11" ht="20.25" hidden="1" customHeight="1" x14ac:dyDescent="0.3">
      <c r="A97" s="100" t="str">
        <f>CONCATENATE((IF(OR(A48="",A48="NA"),"",A48)),"= ",(IF(OR(D48="",D48="NA"),"",D48)),".")</f>
        <v>Tower 3 = .</v>
      </c>
      <c r="B97" s="100"/>
      <c r="C97" s="100"/>
      <c r="D97" s="29" t="s">
        <v>116</v>
      </c>
      <c r="E97" s="86" t="s">
        <v>103</v>
      </c>
      <c r="F97" s="86"/>
      <c r="G97" s="29" t="s">
        <v>117</v>
      </c>
      <c r="H97" s="29" t="s">
        <v>118</v>
      </c>
      <c r="I97" s="15" t="str">
        <f ca="1">(IF(E100&gt;99%,"All work completed. Please provide OC.",IF(E100&gt;89.8%,"Plinth, RCC, Brick, Plaster, Flooring, Wooden, Plumbing, Electrification, etc., work Completed. Finishing work is in process.",IF(E100&lt;94%,(IF(C100=0,"Work not yet Started.",IF(D100=25%,"Piling work in process",IF(D100=50%,"Excavation work in process",IF(D100=100%,"Excavation work Completed. ","0")))&amp;(IF(C101=0%,"",IF(C101=J102,"Footing work is process",IF(C101=J103,"Footing work Completed",IF(C101=J104,"1st Basement Completed",IF(C101=J105,"1st &amp; 2nd Basement Completed",IF(C101=J106,"1st to 3rd Basement Completed",IF(C101=J107,"1st to 4th Basement Completed",IF(C101=J108,"Plinth work is process",IF(C101=J109,"Plinth work completed","0")))))))))))&amp;(IF(C102=(E98+G98+H98),", RCC Slab",IF(C102&gt;0,", RCC upto "&amp;C102&amp;" Slab",""))&amp;(IF(C103=H98,", Brickwork",IF(C103&gt;0,", Brickwork upto "&amp;C103&amp;" Floor",""))&amp;(IF(C104=H98,", Internal Plaster",IF(C104&gt;0,", Internal Plaster upto "&amp;C104&amp;" Floor",""))&amp;(IF(C105=H98,", External Plaster",IF(C105&gt;0,", External Plaster upto "&amp;C105&amp;" Floor",""))&amp;(IF(C106=H98,", External Plumbing, Elevation and Waterproofing",IF(C106&gt;0,", External Plumbing, Elevation and Waterproofing upto "&amp;C106&amp;" Floor",""))&amp;(IF(C107=H98,", Flooring &amp; Fitting",IF(C107&gt;0,", Flooring &amp; Fitting upto "&amp;C107&amp;" Floor",""))&amp;(IF(C108=H98,", Wooden Work",IF(C108&gt;0,", Wooden Work upto "&amp;C108&amp;" Floor",""))&amp;(IF(C109=H98,", Electrical &amp; Sanitary fittings",IF(C109&gt;0,", Electrical &amp; Sanitary fittings upto "&amp;C109&amp;" Floor",""))&amp;(IF(C110&gt;0,", Finishing upto "&amp;C110&amp;" Floor","")&amp;(IF(C102&gt;0.5," Completed",""))))))))))))))))</f>
        <v>Work not yet Started.</v>
      </c>
      <c r="J97" s="17"/>
    </row>
    <row r="98" spans="1:11" ht="20.25" hidden="1" x14ac:dyDescent="0.3">
      <c r="A98" s="100"/>
      <c r="B98" s="100"/>
      <c r="C98" s="100"/>
      <c r="D98" s="51">
        <f>IF(AND(ISNUMBER(SEARCH("1B",A97))),1,IF(AND(ISNUMBER(SEARCH("2B",A97))),2,IF(AND(ISNUMBER(SEARCH("3B",A97))),3,IF(AND(ISNUMBER(SEARCH("4B",A97))),4,IF(ISNUMBER(SEARCH("5B",A97)),5,0)))))</f>
        <v>0</v>
      </c>
      <c r="E98" s="86">
        <v>1</v>
      </c>
      <c r="F98" s="86"/>
      <c r="G98" s="51">
        <v>0</v>
      </c>
      <c r="H98" s="29">
        <f ca="1">--TRIM(RIGHT(SUBSTITUTE(LEFT(A97,_xlfn.AGGREGATE(16,6,FIND({0,1,2,3,4,5,6,7,8,9},A97,ROW(INDIRECT("1:"&amp;LEN(A97)))),1))," ",REPT(" ",LEN(A97))),LEN(A97)))</f>
        <v>3</v>
      </c>
      <c r="I98" s="16" t="s">
        <v>122</v>
      </c>
      <c r="J98" s="17"/>
    </row>
    <row r="99" spans="1:11" ht="20.25" hidden="1" customHeight="1" x14ac:dyDescent="0.3">
      <c r="A99" s="87" t="s">
        <v>120</v>
      </c>
      <c r="B99" s="87"/>
      <c r="C99" s="27" t="s">
        <v>134</v>
      </c>
      <c r="D99" s="27" t="s">
        <v>135</v>
      </c>
      <c r="E99" s="87" t="s">
        <v>121</v>
      </c>
      <c r="F99" s="87"/>
      <c r="G99" s="28" t="s">
        <v>119</v>
      </c>
      <c r="H99" s="28"/>
      <c r="I99" s="19" t="s">
        <v>136</v>
      </c>
      <c r="J99" s="18">
        <f ca="1">H98*25%</f>
        <v>0.75</v>
      </c>
    </row>
    <row r="100" spans="1:11" ht="20.25" hidden="1" customHeight="1" x14ac:dyDescent="0.3">
      <c r="A100" s="88" t="s">
        <v>137</v>
      </c>
      <c r="B100" s="88"/>
      <c r="C100" s="29">
        <v>0</v>
      </c>
      <c r="D100" s="5">
        <f ca="1">((100/H98)*C100)/100</f>
        <v>0</v>
      </c>
      <c r="E100" s="142">
        <f ca="1">(((C100/H98*10)+(C101/H98*15)+(25/(E98+G98+H98)*C102)+(5/(H98)*C103)+(2.5/(H98)*C104)+(2.5/(H98)*C105)+(5/H98*C106)+(10/H98*C107)+(2.5/H98*C108)+(2.5/H98*C109)+(10/H98*C110)+(10/H98*C111))/100)</f>
        <v>0</v>
      </c>
      <c r="F100" s="143"/>
      <c r="G100" s="88" t="str">
        <f ca="1">I97</f>
        <v>Work not yet Started.</v>
      </c>
      <c r="H100" s="88"/>
      <c r="I100" s="19" t="s">
        <v>123</v>
      </c>
      <c r="J100" s="23">
        <f ca="1">H98*50%</f>
        <v>1.5</v>
      </c>
    </row>
    <row r="101" spans="1:11" ht="20.25" hidden="1" x14ac:dyDescent="0.3">
      <c r="A101" s="88" t="s">
        <v>104</v>
      </c>
      <c r="B101" s="88"/>
      <c r="C101" s="31">
        <v>0</v>
      </c>
      <c r="D101" s="5">
        <f ca="1">((100/H98)*C101)/100</f>
        <v>0</v>
      </c>
      <c r="E101" s="144"/>
      <c r="F101" s="145"/>
      <c r="G101" s="88"/>
      <c r="H101" s="88"/>
      <c r="I101" s="19" t="s">
        <v>124</v>
      </c>
      <c r="J101" s="23">
        <f ca="1">H98</f>
        <v>3</v>
      </c>
    </row>
    <row r="102" spans="1:11" ht="21" hidden="1" customHeight="1" x14ac:dyDescent="0.35">
      <c r="A102" s="88" t="s">
        <v>138</v>
      </c>
      <c r="B102" s="88"/>
      <c r="C102" s="29">
        <v>0</v>
      </c>
      <c r="D102" s="5">
        <f ca="1">((100/(E98+G98+H98))*C102)/100</f>
        <v>0</v>
      </c>
      <c r="E102" s="144"/>
      <c r="F102" s="145"/>
      <c r="G102" s="88"/>
      <c r="H102" s="88"/>
      <c r="I102" s="19" t="s">
        <v>125</v>
      </c>
      <c r="J102" s="24">
        <f ca="1">(IF(D98&gt;1,(H98/(D98+2)),H98*0.2))</f>
        <v>0.60000000000000009</v>
      </c>
    </row>
    <row r="103" spans="1:11" ht="21" hidden="1" customHeight="1" x14ac:dyDescent="0.35">
      <c r="A103" s="88" t="s">
        <v>139</v>
      </c>
      <c r="B103" s="88"/>
      <c r="C103" s="29">
        <v>0</v>
      </c>
      <c r="D103" s="5">
        <f ca="1">((100/H98)*C103)/100</f>
        <v>0</v>
      </c>
      <c r="E103" s="144"/>
      <c r="F103" s="145"/>
      <c r="G103" s="88"/>
      <c r="H103" s="88"/>
      <c r="I103" s="19" t="s">
        <v>126</v>
      </c>
      <c r="J103" s="24">
        <f ca="1">(IF(D98&gt;1,(H98/(D98+2)+J102),H98*0.2+J102))</f>
        <v>1.2000000000000002</v>
      </c>
    </row>
    <row r="104" spans="1:11" ht="21" hidden="1" customHeight="1" x14ac:dyDescent="0.35">
      <c r="A104" s="95" t="s">
        <v>140</v>
      </c>
      <c r="B104" s="96"/>
      <c r="C104" s="29">
        <v>0</v>
      </c>
      <c r="D104" s="5">
        <f ca="1">((100/H98)*C104)/100</f>
        <v>0</v>
      </c>
      <c r="E104" s="144"/>
      <c r="F104" s="145"/>
      <c r="G104" s="88"/>
      <c r="H104" s="88"/>
      <c r="I104" s="19" t="s">
        <v>141</v>
      </c>
      <c r="J104" s="24">
        <f>(IF(D98&gt;1,(H98/(D98+2)+J103),0))</f>
        <v>0</v>
      </c>
    </row>
    <row r="105" spans="1:11" ht="21" hidden="1" customHeight="1" x14ac:dyDescent="0.35">
      <c r="A105" s="95" t="s">
        <v>171</v>
      </c>
      <c r="B105" s="96"/>
      <c r="C105" s="29">
        <v>0</v>
      </c>
      <c r="D105" s="5">
        <f ca="1">((100/H98)*C105)/100</f>
        <v>0</v>
      </c>
      <c r="E105" s="144"/>
      <c r="F105" s="145"/>
      <c r="G105" s="88"/>
      <c r="H105" s="88"/>
      <c r="I105" s="19" t="s">
        <v>142</v>
      </c>
      <c r="J105" s="24">
        <f>(IF(D98&gt;2,(H98/(D98+2)+J104),0))</f>
        <v>0</v>
      </c>
    </row>
    <row r="106" spans="1:11" ht="57.75" hidden="1" customHeight="1" x14ac:dyDescent="0.35">
      <c r="A106" s="95" t="s">
        <v>168</v>
      </c>
      <c r="B106" s="96"/>
      <c r="C106" s="29">
        <v>0</v>
      </c>
      <c r="D106" s="5">
        <f ca="1">((100/(H98))*C106)/100</f>
        <v>0</v>
      </c>
      <c r="E106" s="144"/>
      <c r="F106" s="145"/>
      <c r="G106" s="88"/>
      <c r="H106" s="88"/>
      <c r="I106" s="19" t="s">
        <v>144</v>
      </c>
      <c r="J106" s="25">
        <f>(IF(D98&gt;3,(H98/(D98+2)+J105),0))</f>
        <v>0</v>
      </c>
    </row>
    <row r="107" spans="1:11" ht="21" hidden="1" x14ac:dyDescent="0.35">
      <c r="A107" s="88" t="s">
        <v>143</v>
      </c>
      <c r="B107" s="88"/>
      <c r="C107" s="29">
        <v>0</v>
      </c>
      <c r="D107" s="5">
        <f ca="1">((100/(H98))*C107)/100</f>
        <v>0</v>
      </c>
      <c r="E107" s="144"/>
      <c r="F107" s="145"/>
      <c r="G107" s="88"/>
      <c r="H107" s="88"/>
      <c r="I107" s="19" t="s">
        <v>145</v>
      </c>
      <c r="J107" s="24">
        <f>(IF(D98&gt;4,(H98/(D98+2)+J106),0))</f>
        <v>0</v>
      </c>
    </row>
    <row r="108" spans="1:11" ht="21" hidden="1" customHeight="1" x14ac:dyDescent="0.35">
      <c r="A108" s="88" t="s">
        <v>170</v>
      </c>
      <c r="B108" s="88"/>
      <c r="C108" s="29">
        <v>0</v>
      </c>
      <c r="D108" s="5">
        <f ca="1">((100/H98)*C108)/100</f>
        <v>0</v>
      </c>
      <c r="E108" s="144"/>
      <c r="F108" s="145"/>
      <c r="G108" s="88"/>
      <c r="H108" s="88"/>
      <c r="I108" s="19" t="s">
        <v>127</v>
      </c>
      <c r="J108" s="24">
        <f ca="1">(IF(D98=1,(H98/(D98+3)+J103),IF(D98=0,(H98*0.3+J103),IF(D98&gt;1,0))))</f>
        <v>2.1</v>
      </c>
    </row>
    <row r="109" spans="1:11" ht="21.75" hidden="1" thickBot="1" x14ac:dyDescent="0.4">
      <c r="A109" s="88" t="s">
        <v>169</v>
      </c>
      <c r="B109" s="88"/>
      <c r="C109" s="29">
        <v>0</v>
      </c>
      <c r="D109" s="5">
        <f ca="1">((100/H98)*C109)/100</f>
        <v>0</v>
      </c>
      <c r="E109" s="144"/>
      <c r="F109" s="145"/>
      <c r="G109" s="88"/>
      <c r="H109" s="88"/>
      <c r="I109" s="21" t="s">
        <v>128</v>
      </c>
      <c r="J109" s="26">
        <f ca="1">(IF(D98&gt;1.5,(H98/(D98+2)+J103+MAX(0,J104-J103)+MAX(0,J105-J104)+MAX(0,J106-J105)+MAX(0,J107-J106)+MAX(0,J108-J107)),IF(D98=1,(H98/(D98+3)+J108),IF(D98=0,H98*0.3+J108))))</f>
        <v>3</v>
      </c>
    </row>
    <row r="110" spans="1:11" ht="20.25" hidden="1" x14ac:dyDescent="0.25">
      <c r="A110" s="88" t="s">
        <v>146</v>
      </c>
      <c r="B110" s="88"/>
      <c r="C110" s="29">
        <v>0</v>
      </c>
      <c r="D110" s="5">
        <f ca="1">((100/(H98))*C110)/100</f>
        <v>0</v>
      </c>
      <c r="E110" s="144"/>
      <c r="F110" s="145"/>
      <c r="G110" s="88"/>
      <c r="H110" s="88"/>
    </row>
    <row r="111" spans="1:11" ht="20.25" hidden="1" x14ac:dyDescent="0.25">
      <c r="A111" s="88" t="s">
        <v>147</v>
      </c>
      <c r="B111" s="88"/>
      <c r="C111" s="29">
        <v>0</v>
      </c>
      <c r="D111" s="5">
        <f ca="1">((100/(H98))*C111)/100</f>
        <v>0</v>
      </c>
      <c r="E111" s="146"/>
      <c r="F111" s="147"/>
      <c r="G111" s="88"/>
      <c r="H111" s="88"/>
    </row>
    <row r="112" spans="1:11" ht="36.75" customHeight="1" x14ac:dyDescent="0.3">
      <c r="A112" s="161" t="s">
        <v>129</v>
      </c>
      <c r="B112" s="162"/>
      <c r="C112" s="162"/>
      <c r="D112" s="162"/>
      <c r="E112" s="162"/>
      <c r="F112" s="162"/>
      <c r="G112" s="101">
        <f ca="1">AVERAGE(E68)</f>
        <v>0.25641025641025644</v>
      </c>
      <c r="H112" s="102"/>
      <c r="I112" s="19"/>
      <c r="J112" s="20"/>
      <c r="K112" s="20"/>
    </row>
    <row r="113" spans="1:150 16226:16383" ht="20.25" x14ac:dyDescent="0.25">
      <c r="A113" s="114" t="s">
        <v>73</v>
      </c>
      <c r="B113" s="115"/>
      <c r="C113" s="115"/>
      <c r="D113" s="115"/>
      <c r="E113" s="115"/>
      <c r="F113" s="115"/>
      <c r="G113" s="115"/>
      <c r="H113" s="116"/>
    </row>
    <row r="114" spans="1:150 16226:16383" ht="54.75" customHeight="1" x14ac:dyDescent="0.25">
      <c r="A114" s="156" t="s">
        <v>74</v>
      </c>
      <c r="B114" s="157"/>
      <c r="C114" s="103" t="s">
        <v>108</v>
      </c>
      <c r="D114" s="104"/>
      <c r="E114" s="156" t="s">
        <v>148</v>
      </c>
      <c r="F114" s="157" t="s">
        <v>4</v>
      </c>
      <c r="G114" s="148" t="s">
        <v>161</v>
      </c>
      <c r="H114" s="148"/>
    </row>
    <row r="115" spans="1:150 16226:16383" ht="44.25" customHeight="1" x14ac:dyDescent="0.25">
      <c r="A115" s="159" t="s">
        <v>158</v>
      </c>
      <c r="B115" s="160"/>
      <c r="C115" s="103" t="s">
        <v>373</v>
      </c>
      <c r="D115" s="104"/>
      <c r="E115" s="156" t="s">
        <v>159</v>
      </c>
      <c r="F115" s="157" t="s">
        <v>4</v>
      </c>
      <c r="G115" s="91" t="s">
        <v>149</v>
      </c>
      <c r="H115" s="91"/>
    </row>
    <row r="116" spans="1:150 16226:16383" ht="20.25" x14ac:dyDescent="0.25">
      <c r="A116" s="156" t="s">
        <v>75</v>
      </c>
      <c r="B116" s="157"/>
      <c r="C116" s="123">
        <v>1000000</v>
      </c>
      <c r="D116" s="125"/>
      <c r="E116" s="156" t="s">
        <v>102</v>
      </c>
      <c r="F116" s="157" t="s">
        <v>4</v>
      </c>
      <c r="G116" s="103" t="s">
        <v>109</v>
      </c>
      <c r="H116" s="104"/>
    </row>
    <row r="117" spans="1:150 16226:16383" ht="20.25" x14ac:dyDescent="0.25">
      <c r="A117" s="114" t="s">
        <v>72</v>
      </c>
      <c r="B117" s="115"/>
      <c r="C117" s="115"/>
      <c r="D117" s="115"/>
      <c r="E117" s="115"/>
      <c r="F117" s="115"/>
      <c r="G117" s="115"/>
      <c r="H117" s="116"/>
    </row>
    <row r="118" spans="1:150 16226:16383" ht="20.25" customHeight="1" x14ac:dyDescent="0.25">
      <c r="A118" s="156" t="s">
        <v>8</v>
      </c>
      <c r="B118" s="158"/>
      <c r="C118" s="158"/>
      <c r="D118" s="158"/>
      <c r="E118" s="158"/>
      <c r="F118" s="157"/>
      <c r="G118" s="118">
        <f>107890/10.764</f>
        <v>10023.225566703828</v>
      </c>
      <c r="H118" s="119"/>
    </row>
    <row r="119" spans="1:150 16226:16383" ht="20.25" customHeight="1" x14ac:dyDescent="0.25">
      <c r="A119" s="156" t="s">
        <v>28</v>
      </c>
      <c r="B119" s="158"/>
      <c r="C119" s="158"/>
      <c r="D119" s="158"/>
      <c r="E119" s="158"/>
      <c r="F119" s="157" t="s">
        <v>4</v>
      </c>
      <c r="G119" s="105">
        <f>316620/10.764</f>
        <v>29414.715719063548</v>
      </c>
      <c r="H119" s="105"/>
    </row>
    <row r="120" spans="1:150 16226:16383" ht="20.25" customHeight="1" x14ac:dyDescent="0.25">
      <c r="A120" s="156" t="s">
        <v>110</v>
      </c>
      <c r="B120" s="158"/>
      <c r="C120" s="158"/>
      <c r="D120" s="158"/>
      <c r="E120" s="158"/>
      <c r="F120" s="157" t="s">
        <v>4</v>
      </c>
      <c r="G120" s="105">
        <f>G118*0.8</f>
        <v>8018.5804533630626</v>
      </c>
      <c r="H120" s="105"/>
    </row>
    <row r="121" spans="1:150 16226:16383" ht="20.25" hidden="1" x14ac:dyDescent="0.25">
      <c r="A121" s="106" t="s">
        <v>247</v>
      </c>
      <c r="B121" s="107"/>
      <c r="C121" s="107"/>
      <c r="D121" s="107"/>
      <c r="E121" s="107"/>
      <c r="F121" s="107"/>
      <c r="G121" s="107"/>
      <c r="H121" s="108"/>
    </row>
    <row r="122" spans="1:150 16226:16383" s="3" customFormat="1" ht="20.25" hidden="1" x14ac:dyDescent="0.25">
      <c r="A122" s="84" t="s">
        <v>155</v>
      </c>
      <c r="B122" s="85"/>
      <c r="C122" s="84" t="s">
        <v>156</v>
      </c>
      <c r="D122" s="85"/>
      <c r="E122" s="84" t="s">
        <v>154</v>
      </c>
      <c r="F122" s="85"/>
      <c r="G122" s="84" t="s">
        <v>166</v>
      </c>
      <c r="H122" s="8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hidden="1" x14ac:dyDescent="0.25">
      <c r="A123" s="82"/>
      <c r="B123" s="83"/>
      <c r="C123" s="82"/>
      <c r="D123" s="83"/>
      <c r="E123" s="82"/>
      <c r="F123" s="83"/>
      <c r="G123" s="82"/>
      <c r="H123" s="8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hidden="1" x14ac:dyDescent="0.25">
      <c r="A124" s="82"/>
      <c r="B124" s="83"/>
      <c r="C124" s="82"/>
      <c r="D124" s="83"/>
      <c r="E124" s="82"/>
      <c r="F124" s="83"/>
      <c r="G124" s="82"/>
      <c r="H124" s="8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hidden="1" x14ac:dyDescent="0.25">
      <c r="A125" s="84" t="s">
        <v>157</v>
      </c>
      <c r="B125" s="85"/>
      <c r="C125" s="84" t="s">
        <v>96</v>
      </c>
      <c r="D125" s="85"/>
      <c r="E125" s="84">
        <f>SUM(F123:F124)</f>
        <v>0</v>
      </c>
      <c r="F125" s="85"/>
      <c r="G125" s="84">
        <f>SUM(H123:H124)</f>
        <v>0</v>
      </c>
      <c r="H125" s="85">
        <f>SUM(H123:H124)</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ht="20.25" x14ac:dyDescent="0.25">
      <c r="A126" s="106" t="s">
        <v>234</v>
      </c>
      <c r="B126" s="107"/>
      <c r="C126" s="107"/>
      <c r="D126" s="107"/>
      <c r="E126" s="107"/>
      <c r="F126" s="107"/>
      <c r="G126" s="107"/>
      <c r="H126" s="108"/>
    </row>
    <row r="127" spans="1:150 16226:16383" s="3" customFormat="1" ht="20.25" x14ac:dyDescent="0.25">
      <c r="A127" s="84" t="s">
        <v>155</v>
      </c>
      <c r="B127" s="85"/>
      <c r="C127" s="84" t="s">
        <v>156</v>
      </c>
      <c r="D127" s="85"/>
      <c r="E127" s="84" t="s">
        <v>154</v>
      </c>
      <c r="F127" s="85"/>
      <c r="G127" s="84" t="s">
        <v>166</v>
      </c>
      <c r="H127" s="8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82" t="s">
        <v>363</v>
      </c>
      <c r="B128" s="83"/>
      <c r="C128" s="82" t="s">
        <v>96</v>
      </c>
      <c r="D128" s="83"/>
      <c r="E128" s="82">
        <f>COUNT(E142:E147)+COUNT(E151:E158)*4+COUNT(E160:E167)*18+COUNT(E169:E174)*3+COUNT(E178:E181,E184:E185)</f>
        <v>206</v>
      </c>
      <c r="F128" s="83"/>
      <c r="G128" s="82">
        <f>SUM(H142:H147)+SUM(H151:H158)*4+SUM(H160:H167)*18+SUM(H169:H174)*3+SUM(H178:H181,H184:H185)</f>
        <v>111937.07491199998</v>
      </c>
      <c r="H128" s="8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hidden="1" x14ac:dyDescent="0.25">
      <c r="A129" s="82"/>
      <c r="B129" s="83"/>
      <c r="C129" s="82" t="s">
        <v>96</v>
      </c>
      <c r="D129" s="83"/>
      <c r="E129" s="82"/>
      <c r="F129" s="83"/>
      <c r="G129" s="82"/>
      <c r="H129" s="8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hidden="1" x14ac:dyDescent="0.25">
      <c r="A130" s="84" t="s">
        <v>157</v>
      </c>
      <c r="B130" s="85"/>
      <c r="C130" s="84" t="s">
        <v>96</v>
      </c>
      <c r="D130" s="85"/>
      <c r="E130" s="84">
        <f>SUM(E128:F129)</f>
        <v>206</v>
      </c>
      <c r="F130" s="85"/>
      <c r="G130" s="84">
        <f>SUM(G128:H129)</f>
        <v>111937.07491199998</v>
      </c>
      <c r="H130" s="85">
        <f>SUM(H128:H129)</f>
        <v>0</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hidden="1" x14ac:dyDescent="0.25">
      <c r="A131" s="84" t="s">
        <v>248</v>
      </c>
      <c r="B131" s="85"/>
      <c r="C131" s="84" t="s">
        <v>96</v>
      </c>
      <c r="D131" s="85"/>
      <c r="E131" s="84">
        <f>SUM(F125,E130)</f>
        <v>206</v>
      </c>
      <c r="F131" s="85"/>
      <c r="G131" s="84">
        <f>SUM(H125,G130)</f>
        <v>111937.07491199998</v>
      </c>
      <c r="H131" s="8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ht="20.25" x14ac:dyDescent="0.25">
      <c r="A132" s="112" t="s">
        <v>153</v>
      </c>
      <c r="B132" s="113"/>
      <c r="C132" s="113"/>
      <c r="D132" s="113"/>
      <c r="E132" s="113"/>
      <c r="F132" s="113"/>
      <c r="G132" s="113"/>
      <c r="H132" s="108"/>
    </row>
    <row r="133" spans="1:150 16226:16383" ht="66" customHeight="1" x14ac:dyDescent="0.25">
      <c r="A133" s="52" t="s">
        <v>235</v>
      </c>
      <c r="B133" s="30" t="s">
        <v>236</v>
      </c>
      <c r="C133" s="32" t="s">
        <v>237</v>
      </c>
      <c r="D133" s="30" t="s">
        <v>90</v>
      </c>
      <c r="E133" s="30" t="s">
        <v>167</v>
      </c>
      <c r="F133" s="32" t="s">
        <v>238</v>
      </c>
      <c r="G133" s="30" t="s">
        <v>92</v>
      </c>
      <c r="H133" s="30" t="s">
        <v>91</v>
      </c>
    </row>
    <row r="134" spans="1:150 16226:16383" s="3" customFormat="1" ht="20.25" x14ac:dyDescent="0.25">
      <c r="A134" s="169" t="s">
        <v>362</v>
      </c>
      <c r="B134" s="170"/>
      <c r="C134" s="170"/>
      <c r="D134" s="170"/>
      <c r="E134" s="170"/>
      <c r="F134" s="170"/>
      <c r="G134" s="170"/>
      <c r="H134" s="17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69" t="s">
        <v>363</v>
      </c>
      <c r="B135" s="170"/>
      <c r="C135" s="170"/>
      <c r="D135" s="170"/>
      <c r="E135" s="170"/>
      <c r="F135" s="170"/>
      <c r="G135" s="170"/>
      <c r="H135" s="17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69" t="s">
        <v>348</v>
      </c>
      <c r="B136" s="170"/>
      <c r="C136" s="170"/>
      <c r="D136" s="170"/>
      <c r="E136" s="170"/>
      <c r="F136" s="170"/>
      <c r="G136" s="170"/>
      <c r="H136" s="17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69" t="s">
        <v>349</v>
      </c>
      <c r="B137" s="170"/>
      <c r="C137" s="170"/>
      <c r="D137" s="170"/>
      <c r="E137" s="170"/>
      <c r="F137" s="170"/>
      <c r="G137" s="170"/>
      <c r="H137" s="17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69" t="s">
        <v>350</v>
      </c>
      <c r="B138" s="170"/>
      <c r="C138" s="170"/>
      <c r="D138" s="170"/>
      <c r="E138" s="170"/>
      <c r="F138" s="170"/>
      <c r="G138" s="170"/>
      <c r="H138" s="17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69" t="s">
        <v>351</v>
      </c>
      <c r="B139" s="170"/>
      <c r="C139" s="170"/>
      <c r="D139" s="170"/>
      <c r="E139" s="170"/>
      <c r="F139" s="170"/>
      <c r="G139" s="170"/>
      <c r="H139" s="17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69" t="s">
        <v>352</v>
      </c>
      <c r="B140" s="170"/>
      <c r="C140" s="170"/>
      <c r="D140" s="170"/>
      <c r="E140" s="170"/>
      <c r="F140" s="170"/>
      <c r="G140" s="170"/>
      <c r="H140" s="171"/>
      <c r="I140" s="1"/>
      <c r="J140" s="79">
        <f>10.764</f>
        <v>10.763999999999999</v>
      </c>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69" t="s">
        <v>353</v>
      </c>
      <c r="B141" s="170"/>
      <c r="C141" s="170"/>
      <c r="D141" s="170"/>
      <c r="E141" s="170"/>
      <c r="F141" s="170"/>
      <c r="G141" s="170"/>
      <c r="H141" s="17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72">
        <v>1</v>
      </c>
      <c r="B142" s="172"/>
      <c r="C142" s="53" t="s">
        <v>96</v>
      </c>
      <c r="D142" s="53" t="s">
        <v>354</v>
      </c>
      <c r="E142" s="74">
        <f>(39.53)*(10.764)</f>
        <v>425.50092000000001</v>
      </c>
      <c r="F142" s="74">
        <f>(2.13*0.9)*(10.764)</f>
        <v>20.634588000000001</v>
      </c>
      <c r="G142" s="74">
        <v>0</v>
      </c>
      <c r="H142" s="74">
        <f>E142+F142+(IF(G142&lt;101,G142,IF(G142&lt;201,G142/2,IF(G142&lt;=301,G142/3,G142/4))))</f>
        <v>446.13550800000002</v>
      </c>
      <c r="I142" s="1">
        <f>(3.11*5.04+2.28*3.13+3.1*3.13+1.25*2.13+2.33*1.22)</f>
        <v>38.018900000000002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97">
        <f>A142+1</f>
        <v>2</v>
      </c>
      <c r="B143" s="98"/>
      <c r="C143" s="53" t="s">
        <v>96</v>
      </c>
      <c r="D143" s="53" t="s">
        <v>354</v>
      </c>
      <c r="E143" s="74">
        <f>(39.53)*(10.764)</f>
        <v>425.50092000000001</v>
      </c>
      <c r="F143" s="74">
        <f>(2.13*0.9)*(10.764)</f>
        <v>20.634588000000001</v>
      </c>
      <c r="G143" s="74">
        <v>0</v>
      </c>
      <c r="H143" s="74">
        <f t="shared" ref="H143:H147" si="0">E143+F143+(IF(G143&lt;101,G143,IF(G143&lt;201,G143/2,IF(G143&lt;=301,G143/3,G143/4))))</f>
        <v>446.13550800000002</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97">
        <f t="shared" ref="A144:A149" si="1">A143+1</f>
        <v>3</v>
      </c>
      <c r="B144" s="98"/>
      <c r="C144" s="53" t="s">
        <v>96</v>
      </c>
      <c r="D144" s="53" t="s">
        <v>354</v>
      </c>
      <c r="E144" s="74">
        <f>(40.86)*(10.764)</f>
        <v>439.81703999999996</v>
      </c>
      <c r="F144" s="74">
        <f>(2.13*0.9)*(10.764)</f>
        <v>20.634588000000001</v>
      </c>
      <c r="G144" s="74">
        <v>0</v>
      </c>
      <c r="H144" s="74">
        <f t="shared" si="0"/>
        <v>460.45162799999997</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97">
        <f t="shared" si="1"/>
        <v>4</v>
      </c>
      <c r="B145" s="98"/>
      <c r="C145" s="53" t="s">
        <v>96</v>
      </c>
      <c r="D145" s="53" t="s">
        <v>354</v>
      </c>
      <c r="E145" s="74">
        <f>(41.02)*(10.764)</f>
        <v>441.53928000000002</v>
      </c>
      <c r="F145" s="74">
        <f>0*(10.764)</f>
        <v>0</v>
      </c>
      <c r="G145" s="74">
        <v>0</v>
      </c>
      <c r="H145" s="74">
        <f t="shared" si="0"/>
        <v>441.53928000000002</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97">
        <f t="shared" si="1"/>
        <v>5</v>
      </c>
      <c r="B146" s="98"/>
      <c r="C146" s="53" t="s">
        <v>96</v>
      </c>
      <c r="D146" s="53" t="s">
        <v>355</v>
      </c>
      <c r="E146" s="74">
        <f>(59.16)*(10.764)</f>
        <v>636.79823999999996</v>
      </c>
      <c r="F146" s="74">
        <f>(1.4*0.9)*(10.764)</f>
        <v>13.56264</v>
      </c>
      <c r="G146" s="74">
        <v>0</v>
      </c>
      <c r="H146" s="74">
        <f t="shared" si="0"/>
        <v>650.36087999999995</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97">
        <f t="shared" si="1"/>
        <v>6</v>
      </c>
      <c r="B147" s="98"/>
      <c r="C147" s="53" t="s">
        <v>96</v>
      </c>
      <c r="D147" s="53" t="s">
        <v>355</v>
      </c>
      <c r="E147" s="74">
        <f>(59.16)*(10.764)</f>
        <v>636.79823999999996</v>
      </c>
      <c r="F147" s="74">
        <f>(1.4*0.9)*(10.764)</f>
        <v>13.56264</v>
      </c>
      <c r="G147" s="74">
        <v>0</v>
      </c>
      <c r="H147" s="74">
        <f t="shared" si="0"/>
        <v>650.36087999999995</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97">
        <f t="shared" si="1"/>
        <v>7</v>
      </c>
      <c r="B148" s="98"/>
      <c r="C148" s="163" t="s">
        <v>356</v>
      </c>
      <c r="D148" s="164"/>
      <c r="E148" s="164"/>
      <c r="F148" s="164"/>
      <c r="G148" s="164"/>
      <c r="H148" s="16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97">
        <f t="shared" si="1"/>
        <v>8</v>
      </c>
      <c r="B149" s="98"/>
      <c r="C149" s="166"/>
      <c r="D149" s="167"/>
      <c r="E149" s="167"/>
      <c r="F149" s="167"/>
      <c r="G149" s="167"/>
      <c r="H149" s="168"/>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09" t="s">
        <v>357</v>
      </c>
      <c r="B150" s="110"/>
      <c r="C150" s="110"/>
      <c r="D150" s="110"/>
      <c r="E150" s="110"/>
      <c r="F150" s="110"/>
      <c r="G150" s="110"/>
      <c r="H150" s="11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72">
        <v>1</v>
      </c>
      <c r="B151" s="172"/>
      <c r="C151" s="53" t="s">
        <v>96</v>
      </c>
      <c r="D151" s="53" t="s">
        <v>354</v>
      </c>
      <c r="E151" s="74">
        <f>(39.53)*(10.764)</f>
        <v>425.50092000000001</v>
      </c>
      <c r="F151" s="74">
        <f>(2.13*0.9)*(10.764)</f>
        <v>20.634588000000001</v>
      </c>
      <c r="G151" s="74">
        <v>0</v>
      </c>
      <c r="H151" s="74">
        <f>E151+F151+(IF(G151&lt;101,G151,IF(G151&lt;201,G151/2,IF(G151&lt;=301,G151/3,G151/4))))</f>
        <v>446.13550800000002</v>
      </c>
      <c r="I151" s="1"/>
      <c r="J151" s="1">
        <f>12700000/H151</f>
        <v>28466.687300756163</v>
      </c>
      <c r="K151" s="1"/>
      <c r="L151" s="1">
        <f>11900000/H151</f>
        <v>26673.510147952624</v>
      </c>
      <c r="M151" s="1"/>
      <c r="N151" s="1"/>
      <c r="O151" s="1"/>
      <c r="P151" s="1"/>
      <c r="Q151" s="1"/>
      <c r="R151" s="1"/>
      <c r="S151" s="1"/>
      <c r="T151" s="22" t="str">
        <f t="shared" ref="T151:T158" ca="1" si="2">U151&amp;""&amp;",..,"&amp;""&amp;V151</f>
        <v>201,..,2301</v>
      </c>
      <c r="U151" s="22">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201</v>
      </c>
      <c r="V151" s="22">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2301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72">
        <v>2</v>
      </c>
      <c r="B152" s="172"/>
      <c r="C152" s="53" t="s">
        <v>96</v>
      </c>
      <c r="D152" s="53" t="s">
        <v>354</v>
      </c>
      <c r="E152" s="74">
        <f>(39.53)*(10.764)</f>
        <v>425.50092000000001</v>
      </c>
      <c r="F152" s="74">
        <f>(2.13*0.9)*(10.764)</f>
        <v>20.634588000000001</v>
      </c>
      <c r="G152" s="74">
        <v>0</v>
      </c>
      <c r="H152" s="74">
        <f t="shared" ref="H152:H158" si="3">E152+F152+(IF(G152&lt;101,G152,IF(G152&lt;201,G152/2,IF(G152&lt;=301,G152/3,G152/4))))</f>
        <v>446.13550800000002</v>
      </c>
      <c r="I152" s="1"/>
      <c r="J152" s="1"/>
      <c r="K152" s="1"/>
      <c r="L152" s="1"/>
      <c r="M152" s="1"/>
      <c r="N152" s="1"/>
      <c r="O152" s="1"/>
      <c r="P152" s="1"/>
      <c r="Q152" s="1"/>
      <c r="R152" s="1"/>
      <c r="S152" s="1"/>
      <c r="T152" s="22" t="str">
        <f t="shared" ca="1" si="2"/>
        <v>202,..,2302</v>
      </c>
      <c r="U152" s="22">
        <f ca="1">U151+1</f>
        <v>202</v>
      </c>
      <c r="V152" s="22">
        <f ca="1">V151+1</f>
        <v>2302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72">
        <v>3</v>
      </c>
      <c r="B153" s="172"/>
      <c r="C153" s="53" t="s">
        <v>96</v>
      </c>
      <c r="D153" s="53" t="s">
        <v>354</v>
      </c>
      <c r="E153" s="74">
        <f>(40.86)*(10.764)</f>
        <v>439.81703999999996</v>
      </c>
      <c r="F153" s="74">
        <f>(2.13*0.9)*(10.764)</f>
        <v>20.634588000000001</v>
      </c>
      <c r="G153" s="74">
        <v>0</v>
      </c>
      <c r="H153" s="74">
        <f t="shared" si="3"/>
        <v>460.45162799999997</v>
      </c>
      <c r="I153" s="1"/>
      <c r="J153" s="1">
        <f>13500000/H153</f>
        <v>29319.040652843563</v>
      </c>
      <c r="K153" s="1"/>
      <c r="L153" s="1"/>
      <c r="M153" s="1"/>
      <c r="N153" s="1"/>
      <c r="O153" s="1"/>
      <c r="P153" s="1"/>
      <c r="Q153" s="1"/>
      <c r="R153" s="1"/>
      <c r="S153" s="1"/>
      <c r="T153" s="22" t="str">
        <f t="shared" ca="1" si="2"/>
        <v>203,..,2303</v>
      </c>
      <c r="U153" s="22">
        <f t="shared" ref="U153:V158" ca="1" si="4">U152+1</f>
        <v>203</v>
      </c>
      <c r="V153" s="22">
        <f t="shared" ca="1" si="4"/>
        <v>2303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72">
        <v>4</v>
      </c>
      <c r="B154" s="172"/>
      <c r="C154" s="53" t="s">
        <v>96</v>
      </c>
      <c r="D154" s="53" t="s">
        <v>354</v>
      </c>
      <c r="E154" s="74">
        <f>(41.02)*(10.764)</f>
        <v>441.53928000000002</v>
      </c>
      <c r="F154" s="74">
        <f>0*(10.764)</f>
        <v>0</v>
      </c>
      <c r="G154" s="74">
        <v>0</v>
      </c>
      <c r="H154" s="74">
        <f t="shared" si="3"/>
        <v>441.53928000000002</v>
      </c>
      <c r="I154" s="1"/>
      <c r="J154" s="1"/>
      <c r="K154" s="1"/>
      <c r="L154" s="1"/>
      <c r="M154" s="1"/>
      <c r="N154" s="1"/>
      <c r="O154" s="1"/>
      <c r="P154" s="1"/>
      <c r="Q154" s="1"/>
      <c r="R154" s="1"/>
      <c r="S154" s="1"/>
      <c r="T154" s="22" t="str">
        <f t="shared" ca="1" si="2"/>
        <v>204,..,2304</v>
      </c>
      <c r="U154" s="22">
        <f t="shared" ca="1" si="4"/>
        <v>204</v>
      </c>
      <c r="V154" s="22">
        <f t="shared" ca="1" si="4"/>
        <v>2304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72">
        <v>5</v>
      </c>
      <c r="B155" s="172"/>
      <c r="C155" s="53" t="s">
        <v>96</v>
      </c>
      <c r="D155" s="53" t="s">
        <v>355</v>
      </c>
      <c r="E155" s="74">
        <f>(59.16)*(10.764)</f>
        <v>636.79823999999996</v>
      </c>
      <c r="F155" s="74">
        <f>(1.4*0.9)*(10.764)</f>
        <v>13.56264</v>
      </c>
      <c r="G155" s="74">
        <v>0</v>
      </c>
      <c r="H155" s="74">
        <f t="shared" si="3"/>
        <v>650.36087999999995</v>
      </c>
      <c r="I155" s="1"/>
      <c r="J155" s="1"/>
      <c r="K155" s="1"/>
      <c r="L155" s="1"/>
      <c r="M155" s="1"/>
      <c r="N155" s="1"/>
      <c r="O155" s="1"/>
      <c r="P155" s="1"/>
      <c r="Q155" s="1"/>
      <c r="R155" s="1"/>
      <c r="S155" s="1"/>
      <c r="T155" s="22" t="str">
        <f t="shared" ca="1" si="2"/>
        <v>205,..,2305</v>
      </c>
      <c r="U155" s="22">
        <f t="shared" ca="1" si="4"/>
        <v>205</v>
      </c>
      <c r="V155" s="22">
        <f t="shared" ca="1" si="4"/>
        <v>2305</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72">
        <v>6</v>
      </c>
      <c r="B156" s="172"/>
      <c r="C156" s="53" t="s">
        <v>96</v>
      </c>
      <c r="D156" s="53" t="s">
        <v>355</v>
      </c>
      <c r="E156" s="74">
        <f>(59.16)*(10.764)</f>
        <v>636.79823999999996</v>
      </c>
      <c r="F156" s="74">
        <f>(1.4*0.9)*(10.764)</f>
        <v>13.56264</v>
      </c>
      <c r="G156" s="74">
        <v>0</v>
      </c>
      <c r="H156" s="74">
        <f t="shared" si="3"/>
        <v>650.36087999999995</v>
      </c>
      <c r="I156" s="1"/>
      <c r="J156" s="1"/>
      <c r="K156" s="1"/>
      <c r="L156" s="1"/>
      <c r="M156" s="1"/>
      <c r="N156" s="1"/>
      <c r="O156" s="1"/>
      <c r="P156" s="1"/>
      <c r="Q156" s="1"/>
      <c r="R156" s="1"/>
      <c r="S156" s="1"/>
      <c r="T156" s="22" t="str">
        <f t="shared" ca="1" si="2"/>
        <v>206,..,2306</v>
      </c>
      <c r="U156" s="22">
        <f t="shared" ca="1" si="4"/>
        <v>206</v>
      </c>
      <c r="V156" s="22">
        <f t="shared" ca="1" si="4"/>
        <v>2306</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72">
        <v>7</v>
      </c>
      <c r="B157" s="172"/>
      <c r="C157" s="53" t="s">
        <v>96</v>
      </c>
      <c r="D157" s="53" t="s">
        <v>355</v>
      </c>
      <c r="E157" s="74">
        <f>(58.81)*(10.764)</f>
        <v>633.03084000000001</v>
      </c>
      <c r="F157" s="74">
        <f>0*(10.764)</f>
        <v>0</v>
      </c>
      <c r="G157" s="74">
        <v>0</v>
      </c>
      <c r="H157" s="74">
        <f t="shared" si="3"/>
        <v>633.03084000000001</v>
      </c>
      <c r="I157" s="1"/>
      <c r="J157" s="1"/>
      <c r="K157" s="1"/>
      <c r="L157" s="1"/>
      <c r="M157" s="1"/>
      <c r="N157" s="1"/>
      <c r="O157" s="1"/>
      <c r="P157" s="1"/>
      <c r="Q157" s="1"/>
      <c r="R157" s="1"/>
      <c r="S157" s="1"/>
      <c r="T157" s="22" t="str">
        <f t="shared" ca="1" si="2"/>
        <v>207,..,2307</v>
      </c>
      <c r="U157" s="22">
        <f t="shared" ca="1" si="4"/>
        <v>207</v>
      </c>
      <c r="V157" s="22">
        <f t="shared" ca="1" si="4"/>
        <v>2307</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72">
        <v>8</v>
      </c>
      <c r="B158" s="172"/>
      <c r="C158" s="53" t="s">
        <v>96</v>
      </c>
      <c r="D158" s="53" t="s">
        <v>355</v>
      </c>
      <c r="E158" s="74">
        <f>(59.13)*(10.764)</f>
        <v>636.47532000000001</v>
      </c>
      <c r="F158" s="74">
        <f>(2.13*0.9)*(10.764)</f>
        <v>20.634588000000001</v>
      </c>
      <c r="G158" s="74">
        <v>0</v>
      </c>
      <c r="H158" s="74">
        <f t="shared" si="3"/>
        <v>657.10990800000002</v>
      </c>
      <c r="I158" s="1"/>
      <c r="J158" s="1">
        <f>19000000/H158</f>
        <v>28914.493250952473</v>
      </c>
      <c r="K158" s="1"/>
      <c r="L158" s="1"/>
      <c r="M158" s="1"/>
      <c r="N158" s="1"/>
      <c r="O158" s="1"/>
      <c r="P158" s="1"/>
      <c r="Q158" s="1"/>
      <c r="R158" s="1"/>
      <c r="S158" s="1"/>
      <c r="T158" s="22" t="str">
        <f t="shared" ca="1" si="2"/>
        <v>208,..,2308</v>
      </c>
      <c r="U158" s="22">
        <f t="shared" ca="1" si="4"/>
        <v>208</v>
      </c>
      <c r="V158" s="22">
        <f t="shared" ca="1" si="4"/>
        <v>2308</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109" t="s">
        <v>358</v>
      </c>
      <c r="B159" s="110"/>
      <c r="C159" s="110"/>
      <c r="D159" s="110"/>
      <c r="E159" s="110"/>
      <c r="F159" s="110"/>
      <c r="G159" s="110"/>
      <c r="H159" s="11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72">
        <v>1</v>
      </c>
      <c r="B160" s="172"/>
      <c r="C160" s="53" t="s">
        <v>96</v>
      </c>
      <c r="D160" s="53" t="s">
        <v>354</v>
      </c>
      <c r="E160" s="74">
        <f>(39.53)*(10.764)</f>
        <v>425.50092000000001</v>
      </c>
      <c r="F160" s="74">
        <f>(2.13*0.9)*(10.764)</f>
        <v>20.634588000000001</v>
      </c>
      <c r="G160" s="74">
        <v>0</v>
      </c>
      <c r="H160" s="74">
        <f>E160+F160+(IF(G160&lt;101,G160,IF(G160&lt;201,G160/2,IF(G160&lt;=301,G160/3,G160/4))))</f>
        <v>446.13550800000002</v>
      </c>
      <c r="I160" s="1"/>
      <c r="J160" s="1"/>
      <c r="K160" s="1"/>
      <c r="L160" s="1"/>
      <c r="M160" s="1"/>
      <c r="N160" s="1"/>
      <c r="O160" s="1"/>
      <c r="P160" s="1"/>
      <c r="Q160" s="1"/>
      <c r="R160" s="1"/>
      <c r="S160" s="1"/>
      <c r="T160" s="22" t="str">
        <f t="shared" ref="T160:T167" ca="1" si="5">U160&amp;""&amp;",..,"&amp;""&amp;V160</f>
        <v>3701,..,2601</v>
      </c>
      <c r="U160" s="22">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3701</v>
      </c>
      <c r="V160" s="22">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2601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72">
        <v>2</v>
      </c>
      <c r="B161" s="172"/>
      <c r="C161" s="53" t="s">
        <v>96</v>
      </c>
      <c r="D161" s="53" t="s">
        <v>354</v>
      </c>
      <c r="E161" s="74">
        <f>(39.53)*(10.764)</f>
        <v>425.50092000000001</v>
      </c>
      <c r="F161" s="74">
        <f>(2.13*0.9)*(10.764)</f>
        <v>20.634588000000001</v>
      </c>
      <c r="G161" s="74">
        <v>0</v>
      </c>
      <c r="H161" s="74">
        <f t="shared" ref="H161:H167" si="6">E161+F161+(IF(G161&lt;101,G161,IF(G161&lt;201,G161/2,IF(G161&lt;=301,G161/3,G161/4))))</f>
        <v>446.13550800000002</v>
      </c>
      <c r="I161" s="1"/>
      <c r="J161" s="1"/>
      <c r="K161" s="1"/>
      <c r="L161" s="1"/>
      <c r="M161" s="1"/>
      <c r="N161" s="1"/>
      <c r="O161" s="1"/>
      <c r="P161" s="1"/>
      <c r="Q161" s="1"/>
      <c r="R161" s="1"/>
      <c r="S161" s="1"/>
      <c r="T161" s="22" t="str">
        <f t="shared" ca="1" si="5"/>
        <v>3702,..,2602</v>
      </c>
      <c r="U161" s="22">
        <f ca="1">U160+1</f>
        <v>3702</v>
      </c>
      <c r="V161" s="22">
        <f ca="1">V160+1</f>
        <v>2602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72">
        <v>3</v>
      </c>
      <c r="B162" s="172"/>
      <c r="C162" s="53" t="s">
        <v>96</v>
      </c>
      <c r="D162" s="53" t="s">
        <v>354</v>
      </c>
      <c r="E162" s="74">
        <f>(40.86)*(10.764)</f>
        <v>439.81703999999996</v>
      </c>
      <c r="F162" s="74">
        <f>(2.13*0.9)*(10.764)</f>
        <v>20.634588000000001</v>
      </c>
      <c r="G162" s="74">
        <v>0</v>
      </c>
      <c r="H162" s="74">
        <f t="shared" si="6"/>
        <v>460.45162799999997</v>
      </c>
      <c r="I162" s="1"/>
      <c r="J162" s="1"/>
      <c r="K162" s="1"/>
      <c r="L162" s="1"/>
      <c r="M162" s="1"/>
      <c r="N162" s="1"/>
      <c r="O162" s="1"/>
      <c r="P162" s="1"/>
      <c r="Q162" s="1"/>
      <c r="R162" s="1"/>
      <c r="S162" s="1"/>
      <c r="T162" s="22" t="str">
        <f t="shared" ca="1" si="5"/>
        <v>3703,..,2603</v>
      </c>
      <c r="U162" s="22">
        <f t="shared" ref="U162:V162" ca="1" si="7">U161+1</f>
        <v>3703</v>
      </c>
      <c r="V162" s="22">
        <f t="shared" ca="1" si="7"/>
        <v>2603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72">
        <v>4</v>
      </c>
      <c r="B163" s="172"/>
      <c r="C163" s="53" t="s">
        <v>96</v>
      </c>
      <c r="D163" s="53" t="s">
        <v>354</v>
      </c>
      <c r="E163" s="74">
        <f>(41.02)*(10.764)</f>
        <v>441.53928000000002</v>
      </c>
      <c r="F163" s="74">
        <f>0*(10.764)</f>
        <v>0</v>
      </c>
      <c r="G163" s="74">
        <v>0</v>
      </c>
      <c r="H163" s="74">
        <f t="shared" si="6"/>
        <v>441.53928000000002</v>
      </c>
      <c r="I163" s="1"/>
      <c r="J163" s="1"/>
      <c r="K163" s="1"/>
      <c r="L163" s="1"/>
      <c r="M163" s="1"/>
      <c r="N163" s="1"/>
      <c r="O163" s="1"/>
      <c r="P163" s="1"/>
      <c r="Q163" s="1"/>
      <c r="R163" s="1"/>
      <c r="S163" s="1"/>
      <c r="T163" s="22" t="str">
        <f t="shared" ca="1" si="5"/>
        <v>3704,..,2604</v>
      </c>
      <c r="U163" s="22">
        <f t="shared" ref="U163:V163" ca="1" si="8">U162+1</f>
        <v>3704</v>
      </c>
      <c r="V163" s="22">
        <f t="shared" ca="1" si="8"/>
        <v>2604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72">
        <v>5</v>
      </c>
      <c r="B164" s="172"/>
      <c r="C164" s="53" t="s">
        <v>96</v>
      </c>
      <c r="D164" s="53" t="s">
        <v>355</v>
      </c>
      <c r="E164" s="74">
        <f>(59.16)*(10.764)</f>
        <v>636.79823999999996</v>
      </c>
      <c r="F164" s="74">
        <f>(1.4*0.9)*(10.764)</f>
        <v>13.56264</v>
      </c>
      <c r="G164" s="74">
        <v>0</v>
      </c>
      <c r="H164" s="74">
        <f t="shared" si="6"/>
        <v>650.36087999999995</v>
      </c>
      <c r="I164" s="1"/>
      <c r="J164" s="1"/>
      <c r="K164" s="1"/>
      <c r="L164" s="1"/>
      <c r="M164" s="1"/>
      <c r="N164" s="1"/>
      <c r="O164" s="1"/>
      <c r="P164" s="1"/>
      <c r="Q164" s="1"/>
      <c r="R164" s="1"/>
      <c r="S164" s="1"/>
      <c r="T164" s="22" t="str">
        <f t="shared" ca="1" si="5"/>
        <v>3705,..,2605</v>
      </c>
      <c r="U164" s="22">
        <f t="shared" ref="U164:V164" ca="1" si="9">U163+1</f>
        <v>3705</v>
      </c>
      <c r="V164" s="22">
        <f t="shared" ca="1" si="9"/>
        <v>2605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172">
        <v>6</v>
      </c>
      <c r="B165" s="172"/>
      <c r="C165" s="53" t="s">
        <v>96</v>
      </c>
      <c r="D165" s="53" t="s">
        <v>355</v>
      </c>
      <c r="E165" s="74">
        <f>(59.16)*(10.764)</f>
        <v>636.79823999999996</v>
      </c>
      <c r="F165" s="74">
        <f>(1.4*0.9)*(10.764)</f>
        <v>13.56264</v>
      </c>
      <c r="G165" s="74">
        <v>0</v>
      </c>
      <c r="H165" s="74">
        <f t="shared" si="6"/>
        <v>650.36087999999995</v>
      </c>
      <c r="I165" s="1"/>
      <c r="J165" s="1"/>
      <c r="K165" s="1"/>
      <c r="L165" s="1"/>
      <c r="M165" s="1"/>
      <c r="N165" s="1"/>
      <c r="O165" s="1"/>
      <c r="P165" s="1"/>
      <c r="Q165" s="1"/>
      <c r="R165" s="1"/>
      <c r="S165" s="1"/>
      <c r="T165" s="22" t="str">
        <f t="shared" ca="1" si="5"/>
        <v>3706,..,2606</v>
      </c>
      <c r="U165" s="22">
        <f t="shared" ref="U165:V165" ca="1" si="10">U164+1</f>
        <v>3706</v>
      </c>
      <c r="V165" s="22">
        <f t="shared" ca="1" si="10"/>
        <v>2606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72">
        <v>7</v>
      </c>
      <c r="B166" s="172"/>
      <c r="C166" s="53" t="s">
        <v>96</v>
      </c>
      <c r="D166" s="53" t="s">
        <v>355</v>
      </c>
      <c r="E166" s="74">
        <f>(58.81)*(10.764)</f>
        <v>633.03084000000001</v>
      </c>
      <c r="F166" s="74">
        <f>0*(10.764)</f>
        <v>0</v>
      </c>
      <c r="G166" s="74">
        <v>0</v>
      </c>
      <c r="H166" s="74">
        <f t="shared" si="6"/>
        <v>633.03084000000001</v>
      </c>
      <c r="I166" s="1"/>
      <c r="J166" s="1"/>
      <c r="K166" s="1"/>
      <c r="L166" s="1"/>
      <c r="M166" s="1"/>
      <c r="N166" s="1"/>
      <c r="O166" s="1"/>
      <c r="P166" s="1"/>
      <c r="Q166" s="1"/>
      <c r="R166" s="1"/>
      <c r="S166" s="1"/>
      <c r="T166" s="22" t="str">
        <f t="shared" ca="1" si="5"/>
        <v>3707,..,2607</v>
      </c>
      <c r="U166" s="22">
        <f t="shared" ref="U166:V166" ca="1" si="11">U165+1</f>
        <v>3707</v>
      </c>
      <c r="V166" s="22">
        <f t="shared" ca="1" si="11"/>
        <v>2607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172">
        <v>8</v>
      </c>
      <c r="B167" s="172"/>
      <c r="C167" s="53" t="s">
        <v>96</v>
      </c>
      <c r="D167" s="53" t="s">
        <v>355</v>
      </c>
      <c r="E167" s="74">
        <f>(59.13)*(10.764)</f>
        <v>636.47532000000001</v>
      </c>
      <c r="F167" s="74">
        <f>(2.13*0.9)*(10.764)</f>
        <v>20.634588000000001</v>
      </c>
      <c r="G167" s="74">
        <v>0</v>
      </c>
      <c r="H167" s="74">
        <f t="shared" si="6"/>
        <v>657.10990800000002</v>
      </c>
      <c r="I167" s="1"/>
      <c r="J167" s="1"/>
      <c r="K167" s="1"/>
      <c r="L167" s="1"/>
      <c r="M167" s="1"/>
      <c r="N167" s="1"/>
      <c r="O167" s="1"/>
      <c r="P167" s="1"/>
      <c r="Q167" s="1"/>
      <c r="R167" s="1"/>
      <c r="S167" s="1"/>
      <c r="T167" s="22" t="str">
        <f t="shared" ca="1" si="5"/>
        <v>3708,..,2608</v>
      </c>
      <c r="U167" s="22">
        <f t="shared" ref="U167:V167" ca="1" si="12">U166+1</f>
        <v>3708</v>
      </c>
      <c r="V167" s="22">
        <f t="shared" ca="1" si="12"/>
        <v>2608</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09" t="s">
        <v>359</v>
      </c>
      <c r="B168" s="110"/>
      <c r="C168" s="110"/>
      <c r="D168" s="110"/>
      <c r="E168" s="110"/>
      <c r="F168" s="110"/>
      <c r="G168" s="110"/>
      <c r="H168" s="11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72">
        <v>1</v>
      </c>
      <c r="B169" s="172"/>
      <c r="C169" s="53" t="s">
        <v>96</v>
      </c>
      <c r="D169" s="53" t="s">
        <v>354</v>
      </c>
      <c r="E169" s="74">
        <f>(39.53)*(10.764)</f>
        <v>425.50092000000001</v>
      </c>
      <c r="F169" s="74">
        <f>(2.13*0.9)*(10.764)</f>
        <v>20.634588000000001</v>
      </c>
      <c r="G169" s="74">
        <v>0</v>
      </c>
      <c r="H169" s="74">
        <f>E169+F169+(IF(G169&lt;101,G169,IF(G169&lt;201,G169/2,IF(G169&lt;=301,G169/3,G169/4))))</f>
        <v>446.13550800000002</v>
      </c>
      <c r="I169" s="1"/>
      <c r="J169" s="1"/>
      <c r="K169" s="1"/>
      <c r="L169" s="1"/>
      <c r="M169" s="1"/>
      <c r="N169" s="1"/>
      <c r="O169" s="1"/>
      <c r="P169" s="1"/>
      <c r="Q169" s="1"/>
      <c r="R169" s="1"/>
      <c r="S169" s="1"/>
      <c r="T169" s="22" t="str">
        <f t="shared" ref="T169:T176" ca="1" si="13">U169&amp;""&amp;",..,"&amp;""&amp;V169</f>
        <v>801,..,2201</v>
      </c>
      <c r="U169" s="22">
        <f ca="1">(SUMPRODUCT(MID(0&amp;(LEFT(A168,SUM(LEN(A168)-LEN(SUBSTITUTE(A168,{"0","1","2","3"},""))))), LARGE(INDEX(ISNUMBER(--MID((LEFT(A168,SUM(LEN(A168)-LEN(SUBSTITUTE(A168,{"0","1","2","3"},""))))), ROW(INDIRECT("1:"&amp;LEN((LEFT(A168,SUM(LEN(A168)-LEN(SUBSTITUTE(A168,{"0","1","2","3"},"")))))))), 1)) * ROW(INDIRECT("1:"&amp;LEN((LEFT(A168,SUM(LEN(A168)-LEN(SUBSTITUTE(A168,{"0","1","2","3"},"")))))))), 0), ROW(INDIRECT("1:"&amp;LEN((LEFT(A168,SUM(LEN(A168)-LEN(SUBSTITUTE(A168,{"0","1","2","3"},"")))))))))+1, 1) * 10^ROW(INDIRECT("1:"&amp;LEN((LEFT(A168,SUM(LEN(A168)-LEN(SUBSTITUTE(A168,{"0","1","2","3"},""))))))))/10))*100+1</f>
        <v>801</v>
      </c>
      <c r="V169" s="22">
        <f ca="1">(SUMPRODUCT(MID(0&amp;(--TRIM(RIGHT(SUBSTITUTE(LEFT(A168,_xlfn.AGGREGATE(16,6,FIND({0,1,2,3,4,5,6,7,8,9},A168,ROW(INDIRECT("1:"&amp;LEN(A168)))),1)),"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2201</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172">
        <v>2</v>
      </c>
      <c r="B170" s="172"/>
      <c r="C170" s="53" t="s">
        <v>96</v>
      </c>
      <c r="D170" s="53" t="s">
        <v>354</v>
      </c>
      <c r="E170" s="74">
        <f>(39.53)*(10.764)</f>
        <v>425.50092000000001</v>
      </c>
      <c r="F170" s="74">
        <f>(2.13*0.9)*(10.764)</f>
        <v>20.634588000000001</v>
      </c>
      <c r="G170" s="74">
        <v>0</v>
      </c>
      <c r="H170" s="74">
        <f t="shared" ref="H170:H174" si="14">E170+F170+(IF(G170&lt;101,G170,IF(G170&lt;201,G170/2,IF(G170&lt;=301,G170/3,G170/4))))</f>
        <v>446.13550800000002</v>
      </c>
      <c r="I170" s="1"/>
      <c r="J170" s="1"/>
      <c r="K170" s="1"/>
      <c r="L170" s="1"/>
      <c r="M170" s="1"/>
      <c r="N170" s="1"/>
      <c r="O170" s="1"/>
      <c r="P170" s="1"/>
      <c r="Q170" s="1"/>
      <c r="R170" s="1"/>
      <c r="S170" s="1"/>
      <c r="T170" s="22" t="str">
        <f t="shared" ca="1" si="13"/>
        <v>802,..,2202</v>
      </c>
      <c r="U170" s="22">
        <f ca="1">U169+1</f>
        <v>802</v>
      </c>
      <c r="V170" s="22">
        <f ca="1">V169+1</f>
        <v>2202</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72">
        <v>3</v>
      </c>
      <c r="B171" s="172"/>
      <c r="C171" s="53" t="s">
        <v>96</v>
      </c>
      <c r="D171" s="53" t="s">
        <v>354</v>
      </c>
      <c r="E171" s="74">
        <f>(40.86)*(10.764)</f>
        <v>439.81703999999996</v>
      </c>
      <c r="F171" s="74">
        <f>(2.13*0.9)*(10.764)</f>
        <v>20.634588000000001</v>
      </c>
      <c r="G171" s="74">
        <v>0</v>
      </c>
      <c r="H171" s="74">
        <f t="shared" si="14"/>
        <v>460.45162799999997</v>
      </c>
      <c r="I171" s="1"/>
      <c r="J171" s="1"/>
      <c r="K171" s="1"/>
      <c r="L171" s="1"/>
      <c r="M171" s="1"/>
      <c r="N171" s="1"/>
      <c r="O171" s="1"/>
      <c r="P171" s="1"/>
      <c r="Q171" s="1"/>
      <c r="R171" s="1"/>
      <c r="S171" s="1"/>
      <c r="T171" s="22" t="str">
        <f t="shared" ca="1" si="13"/>
        <v>803,..,2203</v>
      </c>
      <c r="U171" s="22">
        <f t="shared" ref="U171:V176" ca="1" si="15">U170+1</f>
        <v>803</v>
      </c>
      <c r="V171" s="22">
        <f t="shared" ca="1" si="15"/>
        <v>2203</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72">
        <v>4</v>
      </c>
      <c r="B172" s="172"/>
      <c r="C172" s="53" t="s">
        <v>96</v>
      </c>
      <c r="D172" s="53" t="s">
        <v>354</v>
      </c>
      <c r="E172" s="74">
        <f>(41.02)*(10.764)</f>
        <v>441.53928000000002</v>
      </c>
      <c r="F172" s="74">
        <f>0*(10.764)</f>
        <v>0</v>
      </c>
      <c r="G172" s="74">
        <v>0</v>
      </c>
      <c r="H172" s="74">
        <f t="shared" si="14"/>
        <v>441.53928000000002</v>
      </c>
      <c r="I172" s="1"/>
      <c r="J172" s="1"/>
      <c r="K172" s="1"/>
      <c r="L172" s="1"/>
      <c r="M172" s="1"/>
      <c r="N172" s="1"/>
      <c r="O172" s="1"/>
      <c r="P172" s="1"/>
      <c r="Q172" s="1"/>
      <c r="R172" s="1"/>
      <c r="S172" s="1"/>
      <c r="T172" s="22" t="str">
        <f t="shared" ca="1" si="13"/>
        <v>804,..,2204</v>
      </c>
      <c r="U172" s="22">
        <f t="shared" ca="1" si="15"/>
        <v>804</v>
      </c>
      <c r="V172" s="22">
        <f t="shared" ca="1" si="15"/>
        <v>2204</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72">
        <v>5</v>
      </c>
      <c r="B173" s="172"/>
      <c r="C173" s="53" t="s">
        <v>96</v>
      </c>
      <c r="D173" s="53" t="s">
        <v>355</v>
      </c>
      <c r="E173" s="74">
        <f>(59.16)*(10.764)</f>
        <v>636.79823999999996</v>
      </c>
      <c r="F173" s="74">
        <f>(1.4*0.9)*(10.764)</f>
        <v>13.56264</v>
      </c>
      <c r="G173" s="74">
        <v>0</v>
      </c>
      <c r="H173" s="74">
        <f t="shared" si="14"/>
        <v>650.36087999999995</v>
      </c>
      <c r="I173" s="1"/>
      <c r="J173" s="1"/>
      <c r="K173" s="1"/>
      <c r="L173" s="1"/>
      <c r="M173" s="1"/>
      <c r="N173" s="1"/>
      <c r="O173" s="1"/>
      <c r="P173" s="1"/>
      <c r="Q173" s="1"/>
      <c r="R173" s="1"/>
      <c r="S173" s="1"/>
      <c r="T173" s="22" t="str">
        <f t="shared" ca="1" si="13"/>
        <v>805,..,2205</v>
      </c>
      <c r="U173" s="22">
        <f t="shared" ca="1" si="15"/>
        <v>805</v>
      </c>
      <c r="V173" s="22">
        <f t="shared" ca="1" si="15"/>
        <v>2205</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72">
        <v>6</v>
      </c>
      <c r="B174" s="172"/>
      <c r="C174" s="53" t="s">
        <v>96</v>
      </c>
      <c r="D174" s="53" t="s">
        <v>355</v>
      </c>
      <c r="E174" s="74">
        <f>(59.16)*(10.764)</f>
        <v>636.79823999999996</v>
      </c>
      <c r="F174" s="74">
        <f>(1.4*0.9)*(10.764)</f>
        <v>13.56264</v>
      </c>
      <c r="G174" s="74">
        <v>0</v>
      </c>
      <c r="H174" s="74">
        <f t="shared" si="14"/>
        <v>650.36087999999995</v>
      </c>
      <c r="I174" s="1"/>
      <c r="J174" s="1"/>
      <c r="K174" s="1"/>
      <c r="L174" s="1"/>
      <c r="M174" s="1"/>
      <c r="N174" s="1"/>
      <c r="O174" s="1"/>
      <c r="P174" s="1"/>
      <c r="Q174" s="1"/>
      <c r="R174" s="1"/>
      <c r="S174" s="1"/>
      <c r="T174" s="22" t="str">
        <f t="shared" ca="1" si="13"/>
        <v>806,..,2206</v>
      </c>
      <c r="U174" s="22">
        <f t="shared" ca="1" si="15"/>
        <v>806</v>
      </c>
      <c r="V174" s="22">
        <f t="shared" ca="1" si="15"/>
        <v>2206</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172">
        <v>7</v>
      </c>
      <c r="B175" s="172"/>
      <c r="C175" s="163" t="s">
        <v>356</v>
      </c>
      <c r="D175" s="164"/>
      <c r="E175" s="164"/>
      <c r="F175" s="164"/>
      <c r="G175" s="164"/>
      <c r="H175" s="165"/>
      <c r="I175" s="1"/>
      <c r="J175" s="1"/>
      <c r="K175" s="1"/>
      <c r="L175" s="1"/>
      <c r="M175" s="1"/>
      <c r="N175" s="1"/>
      <c r="O175" s="1"/>
      <c r="P175" s="1"/>
      <c r="Q175" s="1"/>
      <c r="R175" s="1"/>
      <c r="S175" s="1"/>
      <c r="T175" s="22" t="str">
        <f t="shared" ca="1" si="13"/>
        <v>807,..,2207</v>
      </c>
      <c r="U175" s="22">
        <f t="shared" ca="1" si="15"/>
        <v>807</v>
      </c>
      <c r="V175" s="22">
        <f t="shared" ca="1" si="15"/>
        <v>2207</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172">
        <v>8</v>
      </c>
      <c r="B176" s="172"/>
      <c r="C176" s="166"/>
      <c r="D176" s="167"/>
      <c r="E176" s="167"/>
      <c r="F176" s="167"/>
      <c r="G176" s="167"/>
      <c r="H176" s="168"/>
      <c r="I176" s="1"/>
      <c r="J176" s="1"/>
      <c r="K176" s="1"/>
      <c r="L176" s="1"/>
      <c r="M176" s="1"/>
      <c r="N176" s="1"/>
      <c r="O176" s="1"/>
      <c r="P176" s="1"/>
      <c r="Q176" s="1"/>
      <c r="R176" s="1"/>
      <c r="S176" s="1"/>
      <c r="T176" s="22" t="str">
        <f t="shared" ca="1" si="13"/>
        <v>808,..,2208</v>
      </c>
      <c r="U176" s="22">
        <f t="shared" ca="1" si="15"/>
        <v>808</v>
      </c>
      <c r="V176" s="22">
        <f t="shared" ca="1" si="15"/>
        <v>2208</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69" t="s">
        <v>360</v>
      </c>
      <c r="B177" s="170"/>
      <c r="C177" s="170"/>
      <c r="D177" s="170"/>
      <c r="E177" s="170"/>
      <c r="F177" s="170"/>
      <c r="G177" s="170"/>
      <c r="H177" s="17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72">
        <v>1</v>
      </c>
      <c r="B178" s="172"/>
      <c r="C178" s="53" t="s">
        <v>96</v>
      </c>
      <c r="D178" s="53" t="s">
        <v>354</v>
      </c>
      <c r="E178" s="74">
        <f>(39.53)*(10.764)</f>
        <v>425.50092000000001</v>
      </c>
      <c r="F178" s="74">
        <f>(2.13*0.9)*(10.764)</f>
        <v>20.634588000000001</v>
      </c>
      <c r="G178" s="74">
        <v>0</v>
      </c>
      <c r="H178" s="74">
        <f>E178+F178+(IF(G178&lt;101,G178,IF(G178&lt;201,G178/2,IF(G178&lt;=301,G178/3,G178/4))))</f>
        <v>446.13550800000002</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97">
        <f>A178+1</f>
        <v>2</v>
      </c>
      <c r="B179" s="98"/>
      <c r="C179" s="53" t="s">
        <v>96</v>
      </c>
      <c r="D179" s="53" t="s">
        <v>354</v>
      </c>
      <c r="E179" s="74">
        <f>(39.53)*(10.764)</f>
        <v>425.50092000000001</v>
      </c>
      <c r="F179" s="74">
        <f>(2.13*0.9)*(10.764)</f>
        <v>20.634588000000001</v>
      </c>
      <c r="G179" s="74">
        <v>0</v>
      </c>
      <c r="H179" s="74">
        <f t="shared" ref="H179:H185" si="16">E179+F179+(IF(G179&lt;101,G179,IF(G179&lt;201,G179/2,IF(G179&lt;=301,G179/3,G179/4))))</f>
        <v>446.13550800000002</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97">
        <f t="shared" ref="A180:A185" si="17">A179+1</f>
        <v>3</v>
      </c>
      <c r="B180" s="98"/>
      <c r="C180" s="53" t="s">
        <v>96</v>
      </c>
      <c r="D180" s="53" t="s">
        <v>354</v>
      </c>
      <c r="E180" s="74">
        <f>(40.86)*(10.764)</f>
        <v>439.81703999999996</v>
      </c>
      <c r="F180" s="74">
        <f>(2.13*0.9)*(10.764)</f>
        <v>20.634588000000001</v>
      </c>
      <c r="G180" s="74">
        <v>0</v>
      </c>
      <c r="H180" s="74">
        <f t="shared" si="16"/>
        <v>460.45162799999997</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97">
        <f t="shared" si="17"/>
        <v>4</v>
      </c>
      <c r="B181" s="98"/>
      <c r="C181" s="53" t="s">
        <v>96</v>
      </c>
      <c r="D181" s="53" t="s">
        <v>354</v>
      </c>
      <c r="E181" s="74">
        <f>(41.02)*(10.764)</f>
        <v>441.53928000000002</v>
      </c>
      <c r="F181" s="74">
        <f>0*(10.764)</f>
        <v>0</v>
      </c>
      <c r="G181" s="74">
        <v>0</v>
      </c>
      <c r="H181" s="74">
        <f t="shared" si="16"/>
        <v>441.53928000000002</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97">
        <f t="shared" si="17"/>
        <v>5</v>
      </c>
      <c r="B182" s="98"/>
      <c r="C182" s="163" t="s">
        <v>361</v>
      </c>
      <c r="D182" s="164"/>
      <c r="E182" s="164"/>
      <c r="F182" s="164"/>
      <c r="G182" s="164"/>
      <c r="H182" s="16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97">
        <f t="shared" si="17"/>
        <v>6</v>
      </c>
      <c r="B183" s="98"/>
      <c r="C183" s="166"/>
      <c r="D183" s="167"/>
      <c r="E183" s="167"/>
      <c r="F183" s="167"/>
      <c r="G183" s="167"/>
      <c r="H183" s="168"/>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97">
        <f t="shared" si="17"/>
        <v>7</v>
      </c>
      <c r="B184" s="98"/>
      <c r="C184" s="53" t="s">
        <v>96</v>
      </c>
      <c r="D184" s="53" t="s">
        <v>355</v>
      </c>
      <c r="E184" s="74">
        <f>(58.81)*(10.764)</f>
        <v>633.03084000000001</v>
      </c>
      <c r="F184" s="74">
        <f>0*(10.764)</f>
        <v>0</v>
      </c>
      <c r="G184" s="74">
        <v>0</v>
      </c>
      <c r="H184" s="74">
        <f t="shared" si="16"/>
        <v>633.03084000000001</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97">
        <f t="shared" si="17"/>
        <v>8</v>
      </c>
      <c r="B185" s="98"/>
      <c r="C185" s="53" t="s">
        <v>96</v>
      </c>
      <c r="D185" s="53" t="s">
        <v>355</v>
      </c>
      <c r="E185" s="74">
        <f>(59.13)*(10.764)</f>
        <v>636.47532000000001</v>
      </c>
      <c r="F185" s="74">
        <f>(2.13*0.9)*(10.764)</f>
        <v>20.634588000000001</v>
      </c>
      <c r="G185" s="74">
        <v>0</v>
      </c>
      <c r="H185" s="74">
        <f t="shared" si="16"/>
        <v>657.10990800000002</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25">
      <c r="A186" s="109" t="s">
        <v>130</v>
      </c>
      <c r="B186" s="110"/>
      <c r="C186" s="110"/>
      <c r="D186" s="110"/>
      <c r="E186" s="110"/>
      <c r="F186" s="110"/>
      <c r="G186" s="110"/>
      <c r="H186" s="11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97">
        <f>LEFT(A186,SUM(LEN(A186)-LEN(SUBSTITUTE(A186,{"0","1","2","3","4","5","6","7","8","9"},""))))*100+1</f>
        <v>101</v>
      </c>
      <c r="B187" s="98"/>
      <c r="C187" s="53"/>
      <c r="D187" s="53"/>
      <c r="E187" s="75"/>
      <c r="F187" s="74"/>
      <c r="G187" s="74"/>
      <c r="H187" s="74">
        <f>E187+F187+(IF(G187&lt;101,G187,IF(G187&lt;201,G187/2,IF(G187&lt;=301,G187/3,G187/4))))</f>
        <v>0</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97">
        <f>A187+1</f>
        <v>102</v>
      </c>
      <c r="B188" s="98"/>
      <c r="C188" s="53"/>
      <c r="D188" s="53"/>
      <c r="E188" s="75"/>
      <c r="F188" s="74"/>
      <c r="G188" s="74"/>
      <c r="H188" s="74">
        <f t="shared" ref="H188:H194" si="18">E188+F188+(IF(G188&lt;101,G188,IF(G188&lt;201,G188/2,IF(G188&lt;=301,G188/3,G188/4))))</f>
        <v>0</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25">
      <c r="A189" s="97">
        <f t="shared" ref="A189:A194" si="19">A188+1</f>
        <v>103</v>
      </c>
      <c r="B189" s="98"/>
      <c r="C189" s="53"/>
      <c r="D189" s="53"/>
      <c r="E189" s="75"/>
      <c r="F189" s="74"/>
      <c r="G189" s="74"/>
      <c r="H189" s="74">
        <f t="shared" si="18"/>
        <v>0</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97">
        <f t="shared" si="19"/>
        <v>104</v>
      </c>
      <c r="B190" s="98"/>
      <c r="C190" s="53"/>
      <c r="D190" s="53"/>
      <c r="E190" s="75"/>
      <c r="F190" s="74"/>
      <c r="G190" s="74"/>
      <c r="H190" s="74">
        <f t="shared" si="18"/>
        <v>0</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25">
      <c r="A191" s="97">
        <f t="shared" si="19"/>
        <v>105</v>
      </c>
      <c r="B191" s="98"/>
      <c r="C191" s="53"/>
      <c r="D191" s="53"/>
      <c r="E191" s="75"/>
      <c r="F191" s="74"/>
      <c r="G191" s="74"/>
      <c r="H191" s="74">
        <f t="shared" si="18"/>
        <v>0</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97">
        <f t="shared" si="19"/>
        <v>106</v>
      </c>
      <c r="B192" s="98"/>
      <c r="C192" s="53"/>
      <c r="D192" s="53"/>
      <c r="E192" s="75"/>
      <c r="F192" s="74"/>
      <c r="G192" s="74"/>
      <c r="H192" s="74">
        <f t="shared" si="18"/>
        <v>0</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25">
      <c r="A193" s="97">
        <f t="shared" si="19"/>
        <v>107</v>
      </c>
      <c r="B193" s="98"/>
      <c r="C193" s="53"/>
      <c r="D193" s="53"/>
      <c r="E193" s="75"/>
      <c r="F193" s="74"/>
      <c r="G193" s="74"/>
      <c r="H193" s="74">
        <f t="shared" si="18"/>
        <v>0</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97">
        <f t="shared" si="19"/>
        <v>108</v>
      </c>
      <c r="B194" s="98"/>
      <c r="C194" s="53"/>
      <c r="D194" s="53"/>
      <c r="E194" s="75"/>
      <c r="F194" s="74"/>
      <c r="G194" s="74"/>
      <c r="H194" s="74">
        <f t="shared" si="18"/>
        <v>0</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25">
      <c r="A195" s="109" t="s">
        <v>131</v>
      </c>
      <c r="B195" s="110"/>
      <c r="C195" s="110"/>
      <c r="D195" s="110"/>
      <c r="E195" s="110"/>
      <c r="F195" s="110"/>
      <c r="G195" s="110"/>
      <c r="H195" s="11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97" t="str">
        <f ca="1">T196</f>
        <v>201,..,901</v>
      </c>
      <c r="B196" s="98"/>
      <c r="C196" s="53"/>
      <c r="D196" s="53"/>
      <c r="E196" s="75">
        <v>0</v>
      </c>
      <c r="F196" s="74">
        <v>0</v>
      </c>
      <c r="G196" s="74">
        <v>0</v>
      </c>
      <c r="H196" s="74">
        <f>E196+F196+(IF(G196&lt;101,G196,IF(G196&lt;201,G196/2,IF(G196&lt;=301,G196/3,G196/4))))</f>
        <v>0</v>
      </c>
      <c r="I196" s="1"/>
      <c r="J196" s="1"/>
      <c r="K196" s="1"/>
      <c r="L196" s="1"/>
      <c r="M196" s="1"/>
      <c r="N196" s="1"/>
      <c r="O196" s="1"/>
      <c r="P196" s="1"/>
      <c r="Q196" s="1"/>
      <c r="R196" s="1"/>
      <c r="S196" s="1"/>
      <c r="T196" s="22" t="str">
        <f t="shared" ref="T196:T203" ca="1" si="20">U196&amp;""&amp;",..,"&amp;""&amp;V196</f>
        <v>201,..,901</v>
      </c>
      <c r="U196" s="22">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201</v>
      </c>
      <c r="V196" s="22">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901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25">
      <c r="A197" s="97" t="str">
        <f t="shared" ref="A197:A203" ca="1" si="21">T197</f>
        <v>202,..,902</v>
      </c>
      <c r="B197" s="98"/>
      <c r="C197" s="53"/>
      <c r="D197" s="53"/>
      <c r="E197" s="75"/>
      <c r="F197" s="74"/>
      <c r="G197" s="74"/>
      <c r="H197" s="74">
        <f t="shared" ref="H197:H203" si="22">E197+F197+(IF(G197&lt;101,G197,IF(G197&lt;201,G197/2,IF(G197&lt;=301,G197/3,G197/4))))</f>
        <v>0</v>
      </c>
      <c r="I197" s="1"/>
      <c r="J197" s="1"/>
      <c r="K197" s="1"/>
      <c r="L197" s="1"/>
      <c r="M197" s="1"/>
      <c r="N197" s="1"/>
      <c r="O197" s="1"/>
      <c r="P197" s="1"/>
      <c r="Q197" s="1"/>
      <c r="R197" s="1"/>
      <c r="S197" s="1"/>
      <c r="T197" s="22" t="str">
        <f t="shared" ca="1" si="20"/>
        <v>202,..,902</v>
      </c>
      <c r="U197" s="22">
        <f ca="1">U196+1</f>
        <v>202</v>
      </c>
      <c r="V197" s="22">
        <f ca="1">V196+1</f>
        <v>902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25">
      <c r="A198" s="97" t="str">
        <f t="shared" ca="1" si="21"/>
        <v>203,..,903</v>
      </c>
      <c r="B198" s="98"/>
      <c r="C198" s="53"/>
      <c r="D198" s="53"/>
      <c r="E198" s="75"/>
      <c r="F198" s="74"/>
      <c r="G198" s="74"/>
      <c r="H198" s="74">
        <f t="shared" si="22"/>
        <v>0</v>
      </c>
      <c r="I198" s="1"/>
      <c r="J198" s="1"/>
      <c r="K198" s="1"/>
      <c r="L198" s="1"/>
      <c r="M198" s="1"/>
      <c r="N198" s="1"/>
      <c r="O198" s="1"/>
      <c r="P198" s="1"/>
      <c r="Q198" s="1"/>
      <c r="R198" s="1"/>
      <c r="S198" s="1"/>
      <c r="T198" s="22" t="str">
        <f t="shared" ca="1" si="20"/>
        <v>203,..,903</v>
      </c>
      <c r="U198" s="22">
        <f t="shared" ref="U198:U203" ca="1" si="23">U197+1</f>
        <v>203</v>
      </c>
      <c r="V198" s="22">
        <f t="shared" ref="V198:V203" ca="1" si="24">V197+1</f>
        <v>903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25">
      <c r="A199" s="97" t="str">
        <f t="shared" ca="1" si="21"/>
        <v>204,..,904</v>
      </c>
      <c r="B199" s="98"/>
      <c r="C199" s="53"/>
      <c r="D199" s="53"/>
      <c r="E199" s="75"/>
      <c r="F199" s="74"/>
      <c r="G199" s="74"/>
      <c r="H199" s="74">
        <f t="shared" si="22"/>
        <v>0</v>
      </c>
      <c r="I199" s="1"/>
      <c r="J199" s="1"/>
      <c r="K199" s="1"/>
      <c r="L199" s="1"/>
      <c r="M199" s="1"/>
      <c r="N199" s="1"/>
      <c r="O199" s="1"/>
      <c r="P199" s="1"/>
      <c r="Q199" s="1"/>
      <c r="R199" s="1"/>
      <c r="S199" s="1"/>
      <c r="T199" s="22" t="str">
        <f t="shared" ca="1" si="20"/>
        <v>204,..,904</v>
      </c>
      <c r="U199" s="22">
        <f t="shared" ca="1" si="23"/>
        <v>204</v>
      </c>
      <c r="V199" s="22">
        <f t="shared" ca="1" si="24"/>
        <v>904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25">
      <c r="A200" s="97" t="str">
        <f t="shared" ca="1" si="21"/>
        <v>205,..,905</v>
      </c>
      <c r="B200" s="98"/>
      <c r="C200" s="53"/>
      <c r="D200" s="53"/>
      <c r="E200" s="75"/>
      <c r="F200" s="74"/>
      <c r="G200" s="74"/>
      <c r="H200" s="74">
        <f t="shared" si="22"/>
        <v>0</v>
      </c>
      <c r="I200" s="1"/>
      <c r="J200" s="1"/>
      <c r="K200" s="1"/>
      <c r="L200" s="1"/>
      <c r="M200" s="1"/>
      <c r="N200" s="1"/>
      <c r="O200" s="1"/>
      <c r="P200" s="1"/>
      <c r="Q200" s="1"/>
      <c r="R200" s="1"/>
      <c r="S200" s="1"/>
      <c r="T200" s="22" t="str">
        <f t="shared" ca="1" si="20"/>
        <v>205,..,905</v>
      </c>
      <c r="U200" s="22">
        <f t="shared" ca="1" si="23"/>
        <v>205</v>
      </c>
      <c r="V200" s="22">
        <f t="shared" ca="1" si="24"/>
        <v>905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97" t="str">
        <f t="shared" ca="1" si="21"/>
        <v>206,..,906</v>
      </c>
      <c r="B201" s="98"/>
      <c r="C201" s="53"/>
      <c r="D201" s="53"/>
      <c r="E201" s="75"/>
      <c r="F201" s="74"/>
      <c r="G201" s="74"/>
      <c r="H201" s="74">
        <f t="shared" si="22"/>
        <v>0</v>
      </c>
      <c r="I201" s="1"/>
      <c r="J201" s="1"/>
      <c r="K201" s="1"/>
      <c r="L201" s="1"/>
      <c r="M201" s="1"/>
      <c r="N201" s="1"/>
      <c r="O201" s="1"/>
      <c r="P201" s="1"/>
      <c r="Q201" s="1"/>
      <c r="R201" s="1"/>
      <c r="S201" s="1"/>
      <c r="T201" s="22" t="str">
        <f t="shared" ca="1" si="20"/>
        <v>206,..,906</v>
      </c>
      <c r="U201" s="22">
        <f t="shared" ca="1" si="23"/>
        <v>206</v>
      </c>
      <c r="V201" s="22">
        <f t="shared" ca="1" si="24"/>
        <v>906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97" t="str">
        <f t="shared" ca="1" si="21"/>
        <v>207,..,907</v>
      </c>
      <c r="B202" s="98"/>
      <c r="C202" s="53"/>
      <c r="D202" s="53"/>
      <c r="E202" s="75"/>
      <c r="F202" s="74"/>
      <c r="G202" s="74"/>
      <c r="H202" s="74">
        <f t="shared" si="22"/>
        <v>0</v>
      </c>
      <c r="I202" s="1"/>
      <c r="J202" s="1"/>
      <c r="K202" s="1"/>
      <c r="L202" s="1"/>
      <c r="M202" s="1"/>
      <c r="N202" s="1"/>
      <c r="O202" s="1"/>
      <c r="P202" s="1"/>
      <c r="Q202" s="1"/>
      <c r="R202" s="1"/>
      <c r="S202" s="1"/>
      <c r="T202" s="22" t="str">
        <f t="shared" ca="1" si="20"/>
        <v>207,..,907</v>
      </c>
      <c r="U202" s="22">
        <f t="shared" ca="1" si="23"/>
        <v>207</v>
      </c>
      <c r="V202" s="22">
        <f t="shared" ca="1" si="24"/>
        <v>907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97" t="str">
        <f t="shared" ca="1" si="21"/>
        <v>208,..,908</v>
      </c>
      <c r="B203" s="98"/>
      <c r="C203" s="53"/>
      <c r="D203" s="53"/>
      <c r="E203" s="75"/>
      <c r="F203" s="74"/>
      <c r="G203" s="74"/>
      <c r="H203" s="74">
        <f t="shared" si="22"/>
        <v>0</v>
      </c>
      <c r="I203" s="1"/>
      <c r="J203" s="1"/>
      <c r="K203" s="1"/>
      <c r="L203" s="1"/>
      <c r="M203" s="1"/>
      <c r="N203" s="1"/>
      <c r="O203" s="1"/>
      <c r="P203" s="1"/>
      <c r="Q203" s="1"/>
      <c r="R203" s="1"/>
      <c r="S203" s="1"/>
      <c r="T203" s="22" t="str">
        <f t="shared" ca="1" si="20"/>
        <v>208,..,908</v>
      </c>
      <c r="U203" s="22">
        <f t="shared" ca="1" si="23"/>
        <v>208</v>
      </c>
      <c r="V203" s="22">
        <f t="shared" ca="1" si="24"/>
        <v>908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25">
      <c r="A204" s="109" t="s">
        <v>132</v>
      </c>
      <c r="B204" s="110"/>
      <c r="C204" s="110"/>
      <c r="D204" s="110"/>
      <c r="E204" s="110"/>
      <c r="F204" s="110"/>
      <c r="G204" s="110"/>
      <c r="H204" s="11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customHeight="1" x14ac:dyDescent="0.25">
      <c r="A205" s="97" t="str">
        <f ca="1">T205</f>
        <v>201 to 501</v>
      </c>
      <c r="B205" s="98"/>
      <c r="C205" s="53"/>
      <c r="D205" s="53"/>
      <c r="E205" s="75">
        <v>0</v>
      </c>
      <c r="F205" s="74">
        <v>0</v>
      </c>
      <c r="G205" s="74">
        <v>0</v>
      </c>
      <c r="H205" s="74">
        <f>E205+F205+(IF(G205&lt;101,G205,IF(G205&lt;201,G205/2,IF(G205&lt;=301,G205/3,G205/4))))</f>
        <v>0</v>
      </c>
      <c r="I205" s="1"/>
      <c r="J205" s="1"/>
      <c r="K205" s="1"/>
      <c r="L205" s="1"/>
      <c r="M205" s="1"/>
      <c r="N205" s="1"/>
      <c r="O205" s="1"/>
      <c r="P205" s="1"/>
      <c r="Q205" s="1"/>
      <c r="R205" s="1"/>
      <c r="S205" s="1"/>
      <c r="T205" s="22" t="str">
        <f ca="1">U205&amp;""&amp;" to "&amp;""&amp;V205</f>
        <v>201 to 501</v>
      </c>
      <c r="U205" s="22">
        <f ca="1">(SUMPRODUCT(MID(0&amp;(LEFT(A204,SUM(LEN(A204)-LEN(SUBSTITUTE(A204,{"0","1","2","3"},""))))), LARGE(INDEX(ISNUMBER(--MID((LEFT(A204,SUM(LEN(A204)-LEN(SUBSTITUTE(A204,{"0","1","2","3"},""))))), ROW(INDIRECT("1:"&amp;LEN((LEFT(A204,SUM(LEN(A204)-LEN(SUBSTITUTE(A204,{"0","1","2","3"},"")))))))), 1)) * ROW(INDIRECT("1:"&amp;LEN((LEFT(A204,SUM(LEN(A204)-LEN(SUBSTITUTE(A204,{"0","1","2","3"},"")))))))), 0), ROW(INDIRECT("1:"&amp;LEN((LEFT(A204,SUM(LEN(A204)-LEN(SUBSTITUTE(A204,{"0","1","2","3"},"")))))))))+1, 1) * 10^ROW(INDIRECT("1:"&amp;LEN((LEFT(A204,SUM(LEN(A204)-LEN(SUBSTITUTE(A204,{"0","1","2","3"},""))))))))/10))*100+1</f>
        <v>201</v>
      </c>
      <c r="V205" s="22">
        <f ca="1">(SUMPRODUCT(MID(0&amp;(--TRIM(RIGHT(SUBSTITUTE(LEFT(A204,_xlfn.AGGREGATE(16,6,FIND({0,1,2,3,4,5,6,7,8,9},A204,ROW(INDIRECT("1:"&amp;LEN(A204)))),1)),"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501</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25">
      <c r="A206" s="97" t="str">
        <f t="shared" ref="A206:A212" ca="1" si="25">T206</f>
        <v>202 to 502</v>
      </c>
      <c r="B206" s="98"/>
      <c r="C206" s="53"/>
      <c r="D206" s="53"/>
      <c r="E206" s="75"/>
      <c r="F206" s="74"/>
      <c r="G206" s="74"/>
      <c r="H206" s="74">
        <f t="shared" ref="H206:H212" si="26">E206+F206+(IF(G206&lt;101,G206,IF(G206&lt;201,G206/2,IF(G206&lt;=301,G206/3,G206/4))))</f>
        <v>0</v>
      </c>
      <c r="I206" s="1"/>
      <c r="J206" s="1"/>
      <c r="K206" s="1"/>
      <c r="L206" s="1"/>
      <c r="M206" s="1"/>
      <c r="N206" s="1"/>
      <c r="O206" s="1"/>
      <c r="P206" s="1"/>
      <c r="Q206" s="1"/>
      <c r="R206" s="1"/>
      <c r="S206" s="1"/>
      <c r="T206" s="22" t="str">
        <f t="shared" ref="T206:T212" ca="1" si="27">U206&amp;""&amp;" to "&amp;""&amp;V206</f>
        <v>202 to 502</v>
      </c>
      <c r="U206" s="22">
        <f ca="1">U205+1</f>
        <v>202</v>
      </c>
      <c r="V206" s="22">
        <f ca="1">V205+1</f>
        <v>502</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customHeight="1" x14ac:dyDescent="0.25">
      <c r="A207" s="97" t="str">
        <f t="shared" ca="1" si="25"/>
        <v>203 to 503</v>
      </c>
      <c r="B207" s="98"/>
      <c r="C207" s="53"/>
      <c r="D207" s="53"/>
      <c r="E207" s="75"/>
      <c r="F207" s="74"/>
      <c r="G207" s="74"/>
      <c r="H207" s="74">
        <f t="shared" si="26"/>
        <v>0</v>
      </c>
      <c r="I207" s="1"/>
      <c r="J207" s="1"/>
      <c r="K207" s="1"/>
      <c r="L207" s="1"/>
      <c r="M207" s="1"/>
      <c r="N207" s="1"/>
      <c r="O207" s="1"/>
      <c r="P207" s="1"/>
      <c r="Q207" s="1"/>
      <c r="R207" s="1"/>
      <c r="S207" s="1"/>
      <c r="T207" s="22" t="str">
        <f t="shared" ca="1" si="27"/>
        <v>203 to 503</v>
      </c>
      <c r="U207" s="22">
        <f t="shared" ref="U207:U212" ca="1" si="28">U206+1</f>
        <v>203</v>
      </c>
      <c r="V207" s="22">
        <f t="shared" ref="V207:V212" ca="1" si="29">V206+1</f>
        <v>503</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customHeight="1" x14ac:dyDescent="0.25">
      <c r="A208" s="97" t="str">
        <f t="shared" ca="1" si="25"/>
        <v>204 to 504</v>
      </c>
      <c r="B208" s="98"/>
      <c r="C208" s="53"/>
      <c r="D208" s="53"/>
      <c r="E208" s="75"/>
      <c r="F208" s="74"/>
      <c r="G208" s="74"/>
      <c r="H208" s="74">
        <f t="shared" si="26"/>
        <v>0</v>
      </c>
      <c r="I208" s="1"/>
      <c r="J208" s="1"/>
      <c r="K208" s="1"/>
      <c r="L208" s="1"/>
      <c r="M208" s="1"/>
      <c r="N208" s="1"/>
      <c r="O208" s="1"/>
      <c r="P208" s="1"/>
      <c r="Q208" s="1"/>
      <c r="R208" s="1"/>
      <c r="S208" s="1"/>
      <c r="T208" s="22" t="str">
        <f t="shared" ca="1" si="27"/>
        <v>204 to 504</v>
      </c>
      <c r="U208" s="22">
        <f t="shared" ca="1" si="28"/>
        <v>204</v>
      </c>
      <c r="V208" s="22">
        <f t="shared" ca="1" si="29"/>
        <v>504</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hidden="1" customHeight="1" x14ac:dyDescent="0.25">
      <c r="A209" s="97" t="str">
        <f t="shared" ca="1" si="25"/>
        <v>205 to 505</v>
      </c>
      <c r="B209" s="98"/>
      <c r="C209" s="53"/>
      <c r="D209" s="53"/>
      <c r="E209" s="75"/>
      <c r="F209" s="74"/>
      <c r="G209" s="74"/>
      <c r="H209" s="74">
        <f t="shared" si="26"/>
        <v>0</v>
      </c>
      <c r="I209" s="1"/>
      <c r="J209" s="1"/>
      <c r="K209" s="1"/>
      <c r="L209" s="1"/>
      <c r="M209" s="1"/>
      <c r="N209" s="1"/>
      <c r="O209" s="1"/>
      <c r="P209" s="1"/>
      <c r="Q209" s="1"/>
      <c r="R209" s="1"/>
      <c r="S209" s="1"/>
      <c r="T209" s="22" t="str">
        <f t="shared" ca="1" si="27"/>
        <v>205 to 505</v>
      </c>
      <c r="U209" s="22">
        <f t="shared" ca="1" si="28"/>
        <v>205</v>
      </c>
      <c r="V209" s="22">
        <f t="shared" ca="1" si="29"/>
        <v>505</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hidden="1" customHeight="1" x14ac:dyDescent="0.25">
      <c r="A210" s="97" t="str">
        <f t="shared" ca="1" si="25"/>
        <v>206 to 506</v>
      </c>
      <c r="B210" s="98"/>
      <c r="C210" s="53"/>
      <c r="D210" s="53"/>
      <c r="E210" s="75"/>
      <c r="F210" s="74"/>
      <c r="G210" s="74"/>
      <c r="H210" s="74">
        <f t="shared" si="26"/>
        <v>0</v>
      </c>
      <c r="I210" s="1"/>
      <c r="J210" s="1"/>
      <c r="K210" s="1"/>
      <c r="L210" s="1"/>
      <c r="M210" s="1"/>
      <c r="N210" s="1"/>
      <c r="O210" s="1"/>
      <c r="P210" s="1"/>
      <c r="Q210" s="1"/>
      <c r="R210" s="1"/>
      <c r="S210" s="1"/>
      <c r="T210" s="22" t="str">
        <f t="shared" ca="1" si="27"/>
        <v>206 to 506</v>
      </c>
      <c r="U210" s="22">
        <f t="shared" ca="1" si="28"/>
        <v>206</v>
      </c>
      <c r="V210" s="22">
        <f t="shared" ca="1" si="29"/>
        <v>506</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hidden="1" customHeight="1" x14ac:dyDescent="0.25">
      <c r="A211" s="97" t="str">
        <f t="shared" ca="1" si="25"/>
        <v>207 to 507</v>
      </c>
      <c r="B211" s="98"/>
      <c r="C211" s="53"/>
      <c r="D211" s="53"/>
      <c r="E211" s="75"/>
      <c r="F211" s="74"/>
      <c r="G211" s="74"/>
      <c r="H211" s="74">
        <f t="shared" si="26"/>
        <v>0</v>
      </c>
      <c r="I211" s="1"/>
      <c r="J211" s="1"/>
      <c r="K211" s="1"/>
      <c r="L211" s="1"/>
      <c r="M211" s="1"/>
      <c r="N211" s="1"/>
      <c r="O211" s="1"/>
      <c r="P211" s="1"/>
      <c r="Q211" s="1"/>
      <c r="R211" s="1"/>
      <c r="S211" s="1"/>
      <c r="T211" s="22" t="str">
        <f t="shared" ca="1" si="27"/>
        <v>207 to 507</v>
      </c>
      <c r="U211" s="22">
        <f t="shared" ca="1" si="28"/>
        <v>207</v>
      </c>
      <c r="V211" s="22">
        <f t="shared" ca="1" si="29"/>
        <v>507</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hidden="1" customHeight="1" x14ac:dyDescent="0.25">
      <c r="A212" s="97" t="str">
        <f t="shared" ca="1" si="25"/>
        <v>208 to 508</v>
      </c>
      <c r="B212" s="98"/>
      <c r="C212" s="53"/>
      <c r="D212" s="53"/>
      <c r="E212" s="75"/>
      <c r="F212" s="74"/>
      <c r="G212" s="74"/>
      <c r="H212" s="74">
        <f t="shared" si="26"/>
        <v>0</v>
      </c>
      <c r="I212" s="1"/>
      <c r="J212" s="1"/>
      <c r="K212" s="1"/>
      <c r="L212" s="1"/>
      <c r="M212" s="1"/>
      <c r="N212" s="1"/>
      <c r="O212" s="1"/>
      <c r="P212" s="1"/>
      <c r="Q212" s="1"/>
      <c r="R212" s="1"/>
      <c r="S212" s="1"/>
      <c r="T212" s="22" t="str">
        <f t="shared" ca="1" si="27"/>
        <v>208 to 508</v>
      </c>
      <c r="U212" s="22">
        <f t="shared" ca="1" si="28"/>
        <v>208</v>
      </c>
      <c r="V212" s="22">
        <f t="shared" ca="1" si="29"/>
        <v>508</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customHeight="1" x14ac:dyDescent="0.25">
      <c r="A213" s="109" t="s">
        <v>133</v>
      </c>
      <c r="B213" s="110"/>
      <c r="C213" s="110"/>
      <c r="D213" s="110"/>
      <c r="E213" s="110"/>
      <c r="F213" s="110"/>
      <c r="G213" s="110"/>
      <c r="H213" s="11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customHeight="1" x14ac:dyDescent="0.25">
      <c r="A214" s="97" t="str">
        <f ca="1">T214</f>
        <v>201 &amp; 501</v>
      </c>
      <c r="B214" s="98"/>
      <c r="C214" s="53"/>
      <c r="D214" s="53"/>
      <c r="E214" s="75">
        <v>0</v>
      </c>
      <c r="F214" s="74">
        <v>0</v>
      </c>
      <c r="G214" s="74">
        <v>0</v>
      </c>
      <c r="H214" s="74">
        <f>E214+F214+(IF(G214&lt;101,G214,IF(G214&lt;201,G214/2,IF(G214&lt;=301,G214/3,G214/4))))</f>
        <v>0</v>
      </c>
      <c r="I214" s="1"/>
      <c r="J214" s="1"/>
      <c r="K214" s="1"/>
      <c r="L214" s="1"/>
      <c r="M214" s="1"/>
      <c r="N214" s="1"/>
      <c r="O214" s="1"/>
      <c r="P214" s="1"/>
      <c r="Q214" s="1"/>
      <c r="R214" s="1"/>
      <c r="S214" s="1"/>
      <c r="T214" s="22" t="str">
        <f ca="1">U214&amp;""&amp;" &amp; "&amp;""&amp;V214</f>
        <v>201 &amp; 501</v>
      </c>
      <c r="U214" s="22">
        <f ca="1">(SUMPRODUCT(MID(0&amp;(LEFT(A213,SUM(LEN(A213)-LEN(SUBSTITUTE(A213,{"0","1","2","3"},""))))), LARGE(INDEX(ISNUMBER(--MID((LEFT(A213,SUM(LEN(A213)-LEN(SUBSTITUTE(A213,{"0","1","2","3"},""))))), ROW(INDIRECT("1:"&amp;LEN((LEFT(A213,SUM(LEN(A213)-LEN(SUBSTITUTE(A213,{"0","1","2","3"},"")))))))), 1)) * ROW(INDIRECT("1:"&amp;LEN((LEFT(A213,SUM(LEN(A213)-LEN(SUBSTITUTE(A213,{"0","1","2","3"},"")))))))), 0), ROW(INDIRECT("1:"&amp;LEN((LEFT(A213,SUM(LEN(A213)-LEN(SUBSTITUTE(A213,{"0","1","2","3"},"")))))))))+1, 1) * 10^ROW(INDIRECT("1:"&amp;LEN((LEFT(A213,SUM(LEN(A213)-LEN(SUBSTITUTE(A213,{"0","1","2","3"},""))))))))/10))*100+1</f>
        <v>201</v>
      </c>
      <c r="V214" s="22">
        <f ca="1">(SUMPRODUCT(MID(0&amp;(--TRIM(RIGHT(SUBSTITUTE(LEFT(A213,_xlfn.AGGREGATE(16,6,FIND({0,1,2,3,4,5,6,7,8,9},A213,ROW(INDIRECT("1:"&amp;LEN(A213)))),1)),"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",LEN(A213))),LEN(A213)))))))/10))*100+1</f>
        <v>501</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customHeight="1" x14ac:dyDescent="0.25">
      <c r="A215" s="97" t="str">
        <f t="shared" ref="A215:A221" ca="1" si="30">T215</f>
        <v>202 &amp; 502</v>
      </c>
      <c r="B215" s="98"/>
      <c r="C215" s="53"/>
      <c r="D215" s="53"/>
      <c r="E215" s="75"/>
      <c r="F215" s="74"/>
      <c r="G215" s="74"/>
      <c r="H215" s="74">
        <f t="shared" ref="H215:H221" si="31">E215+F215+(IF(G215&lt;101,G215,IF(G215&lt;201,G215/2,IF(G215&lt;=301,G215/3,G215/4))))</f>
        <v>0</v>
      </c>
      <c r="I215" s="1"/>
      <c r="J215" s="1"/>
      <c r="K215" s="1"/>
      <c r="L215" s="1"/>
      <c r="M215" s="1"/>
      <c r="N215" s="1"/>
      <c r="O215" s="1"/>
      <c r="P215" s="1"/>
      <c r="Q215" s="1"/>
      <c r="R215" s="1"/>
      <c r="S215" s="1"/>
      <c r="T215" s="22" t="str">
        <f t="shared" ref="T215:T221" ca="1" si="32">U215&amp;""&amp;" &amp; "&amp;""&amp;V215</f>
        <v>202 &amp; 502</v>
      </c>
      <c r="U215" s="22">
        <f ca="1">U214+1</f>
        <v>202</v>
      </c>
      <c r="V215" s="22">
        <f ca="1">V214+1</f>
        <v>502</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customHeight="1" x14ac:dyDescent="0.25">
      <c r="A216" s="97" t="str">
        <f t="shared" ca="1" si="30"/>
        <v>203 &amp; 503</v>
      </c>
      <c r="B216" s="98"/>
      <c r="C216" s="53"/>
      <c r="D216" s="53"/>
      <c r="E216" s="75"/>
      <c r="F216" s="74"/>
      <c r="G216" s="74"/>
      <c r="H216" s="74">
        <f t="shared" si="31"/>
        <v>0</v>
      </c>
      <c r="I216" s="1"/>
      <c r="J216" s="1"/>
      <c r="K216" s="1"/>
      <c r="L216" s="1"/>
      <c r="M216" s="1"/>
      <c r="N216" s="1"/>
      <c r="O216" s="1"/>
      <c r="P216" s="1"/>
      <c r="Q216" s="1"/>
      <c r="R216" s="1"/>
      <c r="S216" s="1"/>
      <c r="T216" s="22" t="str">
        <f t="shared" ca="1" si="32"/>
        <v>203 &amp; 503</v>
      </c>
      <c r="U216" s="22">
        <f t="shared" ref="U216:U221" ca="1" si="33">U215+1</f>
        <v>203</v>
      </c>
      <c r="V216" s="22">
        <f t="shared" ref="V216:V221" ca="1" si="34">V215+1</f>
        <v>503</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customHeight="1" x14ac:dyDescent="0.25">
      <c r="A217" s="97" t="str">
        <f t="shared" ca="1" si="30"/>
        <v>204 &amp; 504</v>
      </c>
      <c r="B217" s="98"/>
      <c r="C217" s="53"/>
      <c r="D217" s="53"/>
      <c r="E217" s="75"/>
      <c r="F217" s="74"/>
      <c r="G217" s="74"/>
      <c r="H217" s="74">
        <f t="shared" si="31"/>
        <v>0</v>
      </c>
      <c r="I217" s="1"/>
      <c r="J217" s="1"/>
      <c r="K217" s="1"/>
      <c r="L217" s="1"/>
      <c r="M217" s="1"/>
      <c r="N217" s="1"/>
      <c r="O217" s="1"/>
      <c r="P217" s="1"/>
      <c r="Q217" s="1"/>
      <c r="R217" s="1"/>
      <c r="S217" s="1"/>
      <c r="T217" s="22" t="str">
        <f t="shared" ca="1" si="32"/>
        <v>204 &amp; 504</v>
      </c>
      <c r="U217" s="22">
        <f t="shared" ca="1" si="33"/>
        <v>204</v>
      </c>
      <c r="V217" s="22">
        <f t="shared" ca="1" si="34"/>
        <v>504</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25">
      <c r="A218" s="97" t="str">
        <f t="shared" ca="1" si="30"/>
        <v>205 &amp; 505</v>
      </c>
      <c r="B218" s="98"/>
      <c r="C218" s="53"/>
      <c r="D218" s="53"/>
      <c r="E218" s="75"/>
      <c r="F218" s="74"/>
      <c r="G218" s="74"/>
      <c r="H218" s="74">
        <f t="shared" si="31"/>
        <v>0</v>
      </c>
      <c r="I218" s="1"/>
      <c r="J218" s="1"/>
      <c r="K218" s="1"/>
      <c r="L218" s="1"/>
      <c r="M218" s="1"/>
      <c r="N218" s="1"/>
      <c r="O218" s="1"/>
      <c r="P218" s="1"/>
      <c r="Q218" s="1"/>
      <c r="R218" s="1"/>
      <c r="S218" s="1"/>
      <c r="T218" s="22" t="str">
        <f t="shared" ca="1" si="32"/>
        <v>205 &amp; 505</v>
      </c>
      <c r="U218" s="22">
        <f t="shared" ca="1" si="33"/>
        <v>205</v>
      </c>
      <c r="V218" s="22">
        <f t="shared" ca="1" si="34"/>
        <v>505</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97" t="str">
        <f t="shared" ca="1" si="30"/>
        <v>206 &amp; 506</v>
      </c>
      <c r="B219" s="98"/>
      <c r="C219" s="53"/>
      <c r="D219" s="53"/>
      <c r="E219" s="75"/>
      <c r="F219" s="74"/>
      <c r="G219" s="74"/>
      <c r="H219" s="74">
        <f t="shared" si="31"/>
        <v>0</v>
      </c>
      <c r="I219" s="1"/>
      <c r="J219" s="1"/>
      <c r="K219" s="1"/>
      <c r="L219" s="1"/>
      <c r="M219" s="1"/>
      <c r="N219" s="1"/>
      <c r="O219" s="1"/>
      <c r="P219" s="1"/>
      <c r="Q219" s="1"/>
      <c r="R219" s="1"/>
      <c r="S219" s="1"/>
      <c r="T219" s="22" t="str">
        <f t="shared" ca="1" si="32"/>
        <v>206 &amp; 506</v>
      </c>
      <c r="U219" s="22">
        <f t="shared" ca="1" si="33"/>
        <v>206</v>
      </c>
      <c r="V219" s="22">
        <f t="shared" ca="1" si="34"/>
        <v>506</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97" t="str">
        <f t="shared" ca="1" si="30"/>
        <v>207 &amp; 507</v>
      </c>
      <c r="B220" s="98"/>
      <c r="C220" s="53"/>
      <c r="D220" s="53"/>
      <c r="E220" s="75"/>
      <c r="F220" s="74"/>
      <c r="G220" s="74"/>
      <c r="H220" s="74">
        <f t="shared" si="31"/>
        <v>0</v>
      </c>
      <c r="I220" s="1"/>
      <c r="J220" s="1"/>
      <c r="K220" s="1"/>
      <c r="L220" s="1"/>
      <c r="M220" s="1"/>
      <c r="N220" s="1"/>
      <c r="O220" s="1"/>
      <c r="P220" s="1"/>
      <c r="Q220" s="1"/>
      <c r="R220" s="1"/>
      <c r="S220" s="1"/>
      <c r="T220" s="22" t="str">
        <f t="shared" ca="1" si="32"/>
        <v>207 &amp; 507</v>
      </c>
      <c r="U220" s="22">
        <f t="shared" ca="1" si="33"/>
        <v>207</v>
      </c>
      <c r="V220" s="22">
        <f t="shared" ca="1" si="34"/>
        <v>507</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97" t="str">
        <f t="shared" ca="1" si="30"/>
        <v>208 &amp; 508</v>
      </c>
      <c r="B221" s="98"/>
      <c r="C221" s="53"/>
      <c r="D221" s="53"/>
      <c r="E221" s="75"/>
      <c r="F221" s="74"/>
      <c r="G221" s="74"/>
      <c r="H221" s="74">
        <f t="shared" si="31"/>
        <v>0</v>
      </c>
      <c r="I221" s="1"/>
      <c r="J221" s="1"/>
      <c r="K221" s="1"/>
      <c r="L221" s="1"/>
      <c r="M221" s="1"/>
      <c r="N221" s="1"/>
      <c r="O221" s="1"/>
      <c r="P221" s="1"/>
      <c r="Q221" s="1"/>
      <c r="R221" s="1"/>
      <c r="S221" s="1"/>
      <c r="T221" s="22" t="str">
        <f t="shared" ca="1" si="32"/>
        <v>208 &amp; 508</v>
      </c>
      <c r="U221" s="22">
        <f t="shared" ca="1" si="33"/>
        <v>208</v>
      </c>
      <c r="V221" s="22">
        <f t="shared" ca="1" si="34"/>
        <v>508</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ht="20.25" x14ac:dyDescent="0.25">
      <c r="A222" s="114" t="s">
        <v>70</v>
      </c>
      <c r="B222" s="115"/>
      <c r="C222" s="115"/>
      <c r="D222" s="115"/>
      <c r="E222" s="115"/>
      <c r="F222" s="115"/>
      <c r="G222" s="115"/>
      <c r="H222" s="116"/>
    </row>
    <row r="223" spans="1:150 16226:16383" ht="20.25" x14ac:dyDescent="0.25">
      <c r="A223" s="2" t="s">
        <v>239</v>
      </c>
      <c r="B223" s="123" t="s">
        <v>381</v>
      </c>
      <c r="C223" s="124"/>
      <c r="D223" s="124"/>
      <c r="E223" s="124"/>
      <c r="F223" s="124"/>
      <c r="G223" s="124"/>
      <c r="H223" s="125"/>
      <c r="I223" s="1" t="s">
        <v>380</v>
      </c>
    </row>
    <row r="224" spans="1:150 16226:16383" ht="20.25" x14ac:dyDescent="0.25">
      <c r="A224" s="2" t="s">
        <v>239</v>
      </c>
      <c r="B224" s="123" t="s">
        <v>240</v>
      </c>
      <c r="C224" s="124"/>
      <c r="D224" s="124"/>
      <c r="E224" s="124"/>
      <c r="F224" s="124"/>
      <c r="G224" s="124"/>
      <c r="H224" s="125"/>
    </row>
    <row r="225" spans="1:8" ht="20.25" x14ac:dyDescent="0.25">
      <c r="A225" s="2" t="s">
        <v>239</v>
      </c>
      <c r="B225" s="123" t="s">
        <v>241</v>
      </c>
      <c r="C225" s="124"/>
      <c r="D225" s="124"/>
      <c r="E225" s="124"/>
      <c r="F225" s="124"/>
      <c r="G225" s="124"/>
      <c r="H225" s="125"/>
    </row>
    <row r="226" spans="1:8" ht="20.25" x14ac:dyDescent="0.25">
      <c r="A226" s="2" t="s">
        <v>239</v>
      </c>
      <c r="B226" s="123" t="s">
        <v>242</v>
      </c>
      <c r="C226" s="124"/>
      <c r="D226" s="124"/>
      <c r="E226" s="124"/>
      <c r="F226" s="124"/>
      <c r="G226" s="124"/>
      <c r="H226" s="125"/>
    </row>
    <row r="227" spans="1:8" ht="20.25" x14ac:dyDescent="0.25">
      <c r="A227" s="2" t="s">
        <v>239</v>
      </c>
      <c r="B227" s="123" t="s">
        <v>243</v>
      </c>
      <c r="C227" s="124"/>
      <c r="D227" s="124"/>
      <c r="E227" s="124"/>
      <c r="F227" s="124"/>
      <c r="G227" s="124"/>
      <c r="H227" s="125"/>
    </row>
    <row r="228" spans="1:8" ht="46.5" hidden="1" customHeight="1" x14ac:dyDescent="0.25">
      <c r="A228" s="2" t="s">
        <v>239</v>
      </c>
      <c r="B228" s="149" t="s">
        <v>244</v>
      </c>
      <c r="C228" s="124"/>
      <c r="D228" s="124"/>
      <c r="E228" s="124"/>
      <c r="F228" s="124"/>
      <c r="G228" s="124"/>
      <c r="H228" s="125"/>
    </row>
    <row r="229" spans="1:8" ht="24.75" customHeight="1" x14ac:dyDescent="0.25">
      <c r="A229" s="2" t="s">
        <v>239</v>
      </c>
      <c r="B229" s="123" t="s">
        <v>367</v>
      </c>
      <c r="C229" s="124"/>
      <c r="D229" s="124"/>
      <c r="E229" s="124"/>
      <c r="F229" s="124"/>
      <c r="G229" s="124"/>
      <c r="H229" s="125"/>
    </row>
    <row r="230" spans="1:8" ht="46.5" hidden="1" customHeight="1" x14ac:dyDescent="0.25">
      <c r="A230" s="2" t="s">
        <v>239</v>
      </c>
      <c r="B230" s="149" t="s">
        <v>244</v>
      </c>
      <c r="C230" s="124"/>
      <c r="D230" s="124"/>
      <c r="E230" s="124"/>
      <c r="F230" s="124"/>
      <c r="G230" s="124"/>
      <c r="H230" s="125"/>
    </row>
    <row r="231" spans="1:8" ht="20.25" x14ac:dyDescent="0.25">
      <c r="A231" s="122" t="s">
        <v>76</v>
      </c>
      <c r="B231" s="122"/>
      <c r="C231" s="122"/>
      <c r="D231" s="122"/>
      <c r="E231" s="122"/>
      <c r="F231" s="122"/>
      <c r="G231" s="122"/>
      <c r="H231" s="122"/>
    </row>
    <row r="232" spans="1:8" ht="20.25" x14ac:dyDescent="0.25">
      <c r="A232" s="92" t="s">
        <v>71</v>
      </c>
      <c r="B232" s="92"/>
      <c r="C232" s="92"/>
      <c r="D232" s="123" t="str">
        <f>C3</f>
        <v xml:space="preserve">Mars Wing C
</v>
      </c>
      <c r="E232" s="124"/>
      <c r="F232" s="124"/>
      <c r="G232" s="124"/>
      <c r="H232" s="125"/>
    </row>
    <row r="233" spans="1:8" ht="20.25" x14ac:dyDescent="0.25">
      <c r="A233" s="92" t="s">
        <v>105</v>
      </c>
      <c r="B233" s="92"/>
      <c r="C233" s="92"/>
      <c r="D233" s="123" t="str">
        <f>C9</f>
        <v>C TS No. 4D/1 &amp; 4D/3 at Hariyali, Kurla, Mumbai Suburban, 400076</v>
      </c>
      <c r="E233" s="124"/>
      <c r="F233" s="124"/>
      <c r="G233" s="124"/>
      <c r="H233" s="125"/>
    </row>
    <row r="234" spans="1:8" ht="20.25" customHeight="1" x14ac:dyDescent="0.25">
      <c r="A234" s="135" t="s">
        <v>111</v>
      </c>
      <c r="B234" s="135"/>
      <c r="C234" s="135"/>
      <c r="D234" s="123" t="str">
        <f>G3</f>
        <v xml:space="preserve">22/07/2025 @ 03:10 PM </v>
      </c>
      <c r="E234" s="124"/>
      <c r="F234" s="124"/>
      <c r="G234" s="124"/>
      <c r="H234" s="125"/>
    </row>
    <row r="235" spans="1:8" ht="20.25" x14ac:dyDescent="0.25">
      <c r="A235" s="9"/>
      <c r="B235" s="10"/>
      <c r="C235" s="10"/>
      <c r="D235" s="10"/>
      <c r="E235" s="10"/>
      <c r="F235" s="10"/>
      <c r="G235" s="10"/>
      <c r="H235" s="6"/>
    </row>
    <row r="236" spans="1:8" ht="20.25" x14ac:dyDescent="0.25">
      <c r="A236" s="11"/>
      <c r="B236" s="81"/>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1"/>
      <c r="B247" s="12"/>
      <c r="C247" s="12"/>
      <c r="D247" s="12"/>
      <c r="E247" s="12"/>
      <c r="F247" s="12"/>
      <c r="G247" s="12"/>
      <c r="H247" s="7"/>
    </row>
    <row r="248" spans="1:8" ht="20.25" x14ac:dyDescent="0.25">
      <c r="A248" s="11"/>
      <c r="B248" s="12"/>
      <c r="C248" s="12"/>
      <c r="D248" s="12"/>
      <c r="E248" s="12"/>
      <c r="F248" s="12"/>
      <c r="G248" s="12"/>
      <c r="H248" s="7"/>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1"/>
      <c r="B251" s="12"/>
      <c r="C251" s="12"/>
      <c r="D251" s="12"/>
      <c r="E251" s="12"/>
      <c r="F251" s="12"/>
      <c r="G251" s="12"/>
      <c r="H251" s="7"/>
    </row>
    <row r="252" spans="1:8" ht="20.25" x14ac:dyDescent="0.25">
      <c r="A252" s="11"/>
      <c r="B252" s="12"/>
      <c r="C252" s="12"/>
      <c r="D252" s="12"/>
      <c r="E252" s="12"/>
      <c r="F252" s="12"/>
      <c r="G252" s="12"/>
      <c r="H252" s="7"/>
    </row>
    <row r="253" spans="1:8" ht="20.25" x14ac:dyDescent="0.25">
      <c r="A253" s="11"/>
      <c r="B253" s="12"/>
      <c r="C253" s="12"/>
      <c r="D253" s="12"/>
      <c r="E253" s="12"/>
      <c r="F253" s="12"/>
      <c r="G253" s="12"/>
      <c r="H253" s="7"/>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x14ac:dyDescent="0.25">
      <c r="A257" s="11"/>
      <c r="B257" s="12"/>
      <c r="C257" s="12"/>
      <c r="D257" s="12"/>
      <c r="E257" s="12"/>
      <c r="F257" s="12"/>
      <c r="G257" s="12"/>
      <c r="H257" s="7"/>
    </row>
    <row r="258" spans="1:8" ht="20.25" x14ac:dyDescent="0.25">
      <c r="A258" s="11"/>
      <c r="B258" s="12"/>
      <c r="C258" s="12"/>
      <c r="D258" s="12"/>
      <c r="E258" s="12"/>
      <c r="F258" s="12"/>
      <c r="G258" s="12"/>
      <c r="H258" s="7"/>
    </row>
    <row r="259" spans="1:8" ht="20.25" x14ac:dyDescent="0.25">
      <c r="A259" s="11"/>
      <c r="B259" s="12"/>
      <c r="C259" s="12"/>
      <c r="D259" s="12"/>
      <c r="E259" s="12"/>
      <c r="F259" s="12"/>
      <c r="G259" s="12"/>
      <c r="H259" s="7"/>
    </row>
    <row r="260" spans="1:8" ht="20.25" x14ac:dyDescent="0.25">
      <c r="A260" s="11"/>
      <c r="B260" s="12"/>
      <c r="C260" s="12"/>
      <c r="D260" s="12"/>
      <c r="E260" s="12"/>
      <c r="F260" s="12"/>
      <c r="G260" s="12"/>
      <c r="H260" s="7"/>
    </row>
    <row r="261" spans="1:8" ht="20.25" x14ac:dyDescent="0.25">
      <c r="A261" s="11"/>
      <c r="B261" s="12"/>
      <c r="C261" s="12"/>
      <c r="D261" s="12"/>
      <c r="E261" s="12"/>
      <c r="F261" s="12"/>
      <c r="G261" s="12"/>
      <c r="H261" s="7"/>
    </row>
    <row r="262" spans="1:8" ht="20.25" x14ac:dyDescent="0.25">
      <c r="A262" s="11"/>
      <c r="B262" s="12"/>
      <c r="C262" s="12"/>
      <c r="D262" s="12"/>
      <c r="E262" s="12"/>
      <c r="F262" s="12"/>
      <c r="G262" s="12"/>
      <c r="H262" s="7"/>
    </row>
    <row r="263" spans="1:8" ht="20.25" x14ac:dyDescent="0.25">
      <c r="A263" s="11"/>
      <c r="B263" s="12"/>
      <c r="C263" s="12"/>
      <c r="D263" s="12"/>
      <c r="E263" s="12"/>
      <c r="F263" s="12"/>
      <c r="G263" s="12"/>
      <c r="H263" s="7"/>
    </row>
    <row r="264" spans="1:8" ht="20.25" x14ac:dyDescent="0.25">
      <c r="A264" s="11"/>
      <c r="B264" s="12"/>
      <c r="C264" s="12"/>
      <c r="D264" s="12"/>
      <c r="E264" s="12"/>
      <c r="F264" s="12"/>
      <c r="G264" s="12"/>
      <c r="H264" s="7"/>
    </row>
    <row r="265" spans="1:8" ht="20.25" x14ac:dyDescent="0.25">
      <c r="A265" s="11"/>
      <c r="B265" s="12"/>
      <c r="C265" s="12"/>
      <c r="D265" s="12"/>
      <c r="E265" s="12"/>
      <c r="F265" s="12"/>
      <c r="G265" s="12"/>
      <c r="H265" s="7"/>
    </row>
    <row r="266" spans="1:8" ht="20.25" x14ac:dyDescent="0.25">
      <c r="A266" s="11"/>
      <c r="B266" s="12"/>
      <c r="C266" s="12"/>
      <c r="D266" s="12"/>
      <c r="E266" s="12"/>
      <c r="F266" s="12"/>
      <c r="G266" s="12"/>
      <c r="H266" s="7"/>
    </row>
    <row r="267" spans="1:8" ht="20.25" x14ac:dyDescent="0.25">
      <c r="A267" s="11"/>
      <c r="B267" s="12"/>
      <c r="C267" s="12"/>
      <c r="D267" s="12"/>
      <c r="E267" s="12"/>
      <c r="F267" s="12"/>
      <c r="G267" s="12"/>
      <c r="H267" s="7"/>
    </row>
    <row r="268" spans="1:8" ht="20.25" x14ac:dyDescent="0.25">
      <c r="A268" s="11"/>
      <c r="B268" s="12"/>
      <c r="C268" s="12"/>
      <c r="D268" s="12"/>
      <c r="E268" s="12"/>
      <c r="F268" s="12"/>
      <c r="G268" s="12"/>
      <c r="H268" s="7"/>
    </row>
    <row r="269" spans="1:8" ht="20.25" x14ac:dyDescent="0.25">
      <c r="A269" s="11"/>
      <c r="B269" s="12"/>
      <c r="C269" s="12"/>
      <c r="D269" s="12"/>
      <c r="E269" s="12"/>
      <c r="F269" s="12"/>
      <c r="G269" s="12"/>
      <c r="H269" s="7"/>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3"/>
      <c r="B278" s="14"/>
      <c r="C278" s="14"/>
      <c r="D278" s="14"/>
      <c r="E278" s="14"/>
      <c r="F278" s="14"/>
      <c r="G278" s="14"/>
      <c r="H278" s="8"/>
    </row>
    <row r="279" spans="1:8" ht="20.25" x14ac:dyDescent="0.25">
      <c r="A279" s="99" t="s">
        <v>163</v>
      </c>
      <c r="B279" s="99"/>
      <c r="C279" s="99"/>
      <c r="D279" s="99"/>
      <c r="E279" s="99"/>
      <c r="F279" s="99"/>
      <c r="G279" s="99"/>
      <c r="H279" s="99"/>
    </row>
    <row r="280" spans="1:8" ht="20.25" x14ac:dyDescent="0.25">
      <c r="A280" s="9"/>
      <c r="B280" s="10"/>
      <c r="C280" s="10"/>
      <c r="D280" s="10"/>
      <c r="E280" s="10"/>
      <c r="F280" s="10"/>
      <c r="G280" s="10"/>
      <c r="H280" s="6"/>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1"/>
      <c r="B326" s="12"/>
      <c r="C326" s="12"/>
      <c r="D326" s="12"/>
      <c r="E326" s="12"/>
      <c r="F326" s="12"/>
      <c r="G326" s="12"/>
      <c r="H326" s="7"/>
    </row>
    <row r="327" spans="1:8" ht="20.25" x14ac:dyDescent="0.25">
      <c r="A327" s="11"/>
      <c r="B327" s="12"/>
      <c r="C327" s="12"/>
      <c r="D327" s="12"/>
      <c r="E327" s="12"/>
      <c r="F327" s="12"/>
      <c r="G327" s="12"/>
      <c r="H327" s="7"/>
    </row>
    <row r="328" spans="1:8" ht="20.25" x14ac:dyDescent="0.25">
      <c r="A328" s="13"/>
      <c r="B328" s="14"/>
      <c r="C328" s="14"/>
      <c r="D328" s="14"/>
      <c r="E328" s="14"/>
      <c r="F328" s="14"/>
      <c r="G328" s="14"/>
      <c r="H328" s="8"/>
    </row>
    <row r="329" spans="1:8" ht="20.25" x14ac:dyDescent="0.25">
      <c r="A329" s="114" t="s">
        <v>77</v>
      </c>
      <c r="B329" s="115"/>
      <c r="C329" s="115"/>
      <c r="D329" s="115"/>
      <c r="E329" s="115"/>
      <c r="F329" s="115"/>
      <c r="G329" s="115"/>
      <c r="H329" s="116"/>
    </row>
    <row r="330" spans="1:8" ht="20.25" x14ac:dyDescent="0.25">
      <c r="A330" s="9"/>
      <c r="B330" s="10"/>
      <c r="C330" s="10"/>
      <c r="D330" s="10"/>
      <c r="E330" s="10"/>
      <c r="F330" s="10"/>
      <c r="G330" s="10"/>
      <c r="H330" s="6"/>
    </row>
    <row r="331" spans="1:8" ht="20.25" x14ac:dyDescent="0.25">
      <c r="A331" s="11"/>
      <c r="B331" s="12"/>
      <c r="C331" s="12"/>
      <c r="D331" s="12"/>
      <c r="E331" s="12"/>
      <c r="F331" s="12"/>
      <c r="G331" s="12"/>
      <c r="H331" s="7"/>
    </row>
    <row r="332" spans="1:8" ht="20.25" x14ac:dyDescent="0.25">
      <c r="A332" s="11"/>
      <c r="B332" s="12"/>
      <c r="C332" s="12"/>
      <c r="D332" s="12"/>
      <c r="E332" s="12"/>
      <c r="F332" s="12"/>
      <c r="G332" s="12"/>
      <c r="H332" s="7"/>
    </row>
    <row r="333" spans="1:8" ht="20.25" x14ac:dyDescent="0.25">
      <c r="A333" s="11"/>
      <c r="B333" s="12"/>
      <c r="C333" s="12"/>
      <c r="D333" s="12"/>
      <c r="E333" s="12"/>
      <c r="F333" s="12"/>
      <c r="G333" s="12"/>
      <c r="H333" s="7"/>
    </row>
    <row r="334" spans="1:8" ht="20.25" x14ac:dyDescent="0.25">
      <c r="A334" s="11"/>
      <c r="B334" s="12"/>
      <c r="C334" s="12"/>
      <c r="D334" s="12"/>
      <c r="E334" s="12"/>
      <c r="F334" s="12"/>
      <c r="G334" s="12"/>
      <c r="H334" s="7"/>
    </row>
    <row r="335" spans="1:8" ht="20.25" x14ac:dyDescent="0.25">
      <c r="A335" s="11"/>
      <c r="B335" s="12"/>
      <c r="C335" s="12"/>
      <c r="D335" s="12"/>
      <c r="E335" s="12"/>
      <c r="F335" s="12"/>
      <c r="G335" s="12"/>
      <c r="H335" s="7"/>
    </row>
    <row r="336" spans="1:8" ht="20.25" x14ac:dyDescent="0.25">
      <c r="A336" s="11"/>
      <c r="B336" s="12"/>
      <c r="C336" s="12"/>
      <c r="D336" s="12"/>
      <c r="E336" s="12"/>
      <c r="F336" s="12"/>
      <c r="G336" s="12"/>
      <c r="H336" s="7"/>
    </row>
    <row r="337" spans="1:8" ht="20.25" x14ac:dyDescent="0.25">
      <c r="A337" s="11"/>
      <c r="B337" s="12"/>
      <c r="C337" s="12"/>
      <c r="D337" s="12"/>
      <c r="E337" s="12"/>
      <c r="F337" s="12"/>
      <c r="G337" s="12"/>
      <c r="H337" s="7"/>
    </row>
    <row r="338" spans="1:8" ht="20.25" x14ac:dyDescent="0.25">
      <c r="A338" s="11"/>
      <c r="B338" s="12"/>
      <c r="C338" s="12"/>
      <c r="D338" s="12"/>
      <c r="E338" s="12"/>
      <c r="F338" s="12"/>
      <c r="G338" s="12"/>
      <c r="H338" s="7"/>
    </row>
    <row r="339" spans="1:8" ht="20.25" x14ac:dyDescent="0.25">
      <c r="A339" s="11"/>
      <c r="B339" s="12"/>
      <c r="C339" s="12"/>
      <c r="D339" s="12"/>
      <c r="E339" s="12"/>
      <c r="F339" s="12"/>
      <c r="G339" s="12"/>
      <c r="H339" s="7"/>
    </row>
    <row r="340" spans="1:8" ht="20.25" x14ac:dyDescent="0.25">
      <c r="A340" s="11"/>
      <c r="B340" s="12"/>
      <c r="C340" s="12"/>
      <c r="D340" s="12"/>
      <c r="E340" s="12"/>
      <c r="F340" s="12"/>
      <c r="G340" s="12"/>
      <c r="H340" s="7"/>
    </row>
    <row r="341" spans="1:8" ht="20.25" x14ac:dyDescent="0.25">
      <c r="A341" s="11"/>
      <c r="B341" s="12"/>
      <c r="C341" s="12"/>
      <c r="D341" s="12"/>
      <c r="E341" s="12"/>
      <c r="F341" s="12"/>
      <c r="G341" s="12"/>
      <c r="H341" s="7"/>
    </row>
    <row r="342" spans="1:8" ht="20.25" x14ac:dyDescent="0.25">
      <c r="A342" s="11"/>
      <c r="B342" s="12"/>
      <c r="C342" s="12"/>
      <c r="D342" s="12"/>
      <c r="E342" s="12"/>
      <c r="F342" s="12"/>
      <c r="G342" s="12"/>
      <c r="H342" s="7"/>
    </row>
    <row r="343" spans="1:8" ht="20.25" x14ac:dyDescent="0.25">
      <c r="A343" s="11"/>
      <c r="B343" s="12"/>
      <c r="C343" s="12"/>
      <c r="D343" s="12"/>
      <c r="E343" s="12"/>
      <c r="F343" s="12"/>
      <c r="G343" s="12"/>
      <c r="H343" s="7"/>
    </row>
    <row r="344" spans="1:8" ht="20.25" x14ac:dyDescent="0.25">
      <c r="A344" s="11"/>
      <c r="B344" s="12"/>
      <c r="C344" s="12"/>
      <c r="D344" s="12"/>
      <c r="E344" s="12"/>
      <c r="F344" s="12"/>
      <c r="G344" s="12"/>
      <c r="H344" s="7"/>
    </row>
    <row r="345" spans="1:8" ht="20.25" x14ac:dyDescent="0.25">
      <c r="A345" s="11"/>
      <c r="B345" s="12"/>
      <c r="C345" s="12"/>
      <c r="D345" s="12"/>
      <c r="E345" s="12"/>
      <c r="F345" s="12"/>
      <c r="G345" s="12"/>
      <c r="H345" s="7"/>
    </row>
    <row r="346" spans="1:8" ht="20.25" x14ac:dyDescent="0.25">
      <c r="A346" s="11"/>
      <c r="B346" s="12"/>
      <c r="C346" s="12"/>
      <c r="D346" s="12"/>
      <c r="E346" s="12"/>
      <c r="F346" s="12"/>
      <c r="G346" s="12"/>
      <c r="H346" s="7"/>
    </row>
    <row r="347" spans="1:8" ht="20.25" x14ac:dyDescent="0.25">
      <c r="A347" s="11"/>
      <c r="B347" s="12"/>
      <c r="C347" s="12"/>
      <c r="D347" s="12"/>
      <c r="E347" s="12"/>
      <c r="F347" s="12"/>
      <c r="G347" s="12"/>
      <c r="H347" s="7"/>
    </row>
    <row r="348" spans="1:8" ht="20.25" x14ac:dyDescent="0.25">
      <c r="A348" s="11"/>
      <c r="B348" s="12"/>
      <c r="C348" s="12"/>
      <c r="D348" s="12"/>
      <c r="E348" s="12"/>
      <c r="F348" s="12"/>
      <c r="G348" s="12"/>
      <c r="H348" s="7"/>
    </row>
    <row r="349" spans="1:8" ht="20.25" x14ac:dyDescent="0.25">
      <c r="A349" s="11"/>
      <c r="B349" s="12"/>
      <c r="C349" s="12"/>
      <c r="D349" s="12"/>
      <c r="E349" s="12"/>
      <c r="F349" s="12"/>
      <c r="G349" s="12"/>
      <c r="H349" s="7"/>
    </row>
    <row r="350" spans="1:8" ht="20.25" x14ac:dyDescent="0.25">
      <c r="A350" s="11"/>
      <c r="B350" s="12"/>
      <c r="C350" s="12"/>
      <c r="D350" s="12"/>
      <c r="E350" s="12"/>
      <c r="F350" s="12"/>
      <c r="G350" s="12"/>
      <c r="H350" s="7"/>
    </row>
    <row r="351" spans="1:8" ht="20.25" x14ac:dyDescent="0.25">
      <c r="A351" s="11"/>
      <c r="B351" s="12"/>
      <c r="C351" s="12"/>
      <c r="D351" s="12"/>
      <c r="E351" s="12"/>
      <c r="F351" s="12"/>
      <c r="G351" s="12"/>
      <c r="H351" s="7"/>
    </row>
    <row r="352" spans="1:8" ht="20.25" x14ac:dyDescent="0.25">
      <c r="A352" s="11"/>
      <c r="B352" s="12"/>
      <c r="C352" s="12"/>
      <c r="D352" s="12"/>
      <c r="E352" s="12"/>
      <c r="F352" s="12"/>
      <c r="G352" s="12"/>
      <c r="H352" s="7"/>
    </row>
    <row r="353" spans="1:8" ht="20.25" x14ac:dyDescent="0.25">
      <c r="A353" s="11"/>
      <c r="B353" s="12"/>
      <c r="C353" s="12"/>
      <c r="D353" s="12"/>
      <c r="E353" s="12"/>
      <c r="F353" s="12"/>
      <c r="G353" s="12"/>
      <c r="H353" s="7"/>
    </row>
    <row r="354" spans="1:8" ht="20.25" x14ac:dyDescent="0.25">
      <c r="A354" s="11"/>
      <c r="B354" s="12"/>
      <c r="C354" s="12"/>
      <c r="D354" s="12"/>
      <c r="E354" s="12"/>
      <c r="F354" s="12"/>
      <c r="G354" s="12"/>
      <c r="H354" s="7"/>
    </row>
    <row r="355" spans="1:8" ht="20.25" x14ac:dyDescent="0.25">
      <c r="A355" s="11"/>
      <c r="B355" s="12"/>
      <c r="C355" s="12"/>
      <c r="D355" s="12"/>
      <c r="E355" s="12"/>
      <c r="F355" s="12"/>
      <c r="G355" s="12"/>
      <c r="H355" s="7"/>
    </row>
    <row r="356" spans="1:8" ht="20.25" x14ac:dyDescent="0.25">
      <c r="A356" s="11"/>
      <c r="B356" s="12"/>
      <c r="C356" s="12"/>
      <c r="D356" s="12"/>
      <c r="E356" s="12"/>
      <c r="F356" s="12"/>
      <c r="G356" s="12"/>
      <c r="H356" s="7"/>
    </row>
    <row r="357" spans="1:8" ht="20.25" x14ac:dyDescent="0.25">
      <c r="A357" s="11"/>
      <c r="B357" s="12"/>
      <c r="C357" s="12"/>
      <c r="D357" s="12"/>
      <c r="E357" s="12"/>
      <c r="F357" s="12"/>
      <c r="G357" s="12"/>
      <c r="H357" s="7"/>
    </row>
    <row r="358" spans="1:8" ht="20.25" x14ac:dyDescent="0.25">
      <c r="A358" s="11"/>
      <c r="B358" s="12"/>
      <c r="C358" s="12"/>
      <c r="D358" s="12"/>
      <c r="E358" s="12"/>
      <c r="F358" s="12"/>
      <c r="G358" s="12"/>
      <c r="H358" s="7"/>
    </row>
    <row r="359" spans="1:8" ht="20.25" x14ac:dyDescent="0.25">
      <c r="A359" s="11"/>
      <c r="B359" s="12"/>
      <c r="C359" s="12"/>
      <c r="D359" s="12"/>
      <c r="E359" s="12"/>
      <c r="F359" s="12"/>
      <c r="G359" s="12"/>
      <c r="H359" s="7"/>
    </row>
    <row r="360" spans="1:8" ht="20.25" x14ac:dyDescent="0.25">
      <c r="A360" s="99" t="s">
        <v>24</v>
      </c>
      <c r="B360" s="99"/>
      <c r="C360" s="99"/>
      <c r="D360" s="99"/>
      <c r="E360" s="99"/>
      <c r="F360" s="99"/>
      <c r="G360" s="99"/>
      <c r="H360" s="99"/>
    </row>
    <row r="361" spans="1:8" ht="20.25" x14ac:dyDescent="0.25">
      <c r="A361" s="126" t="s">
        <v>78</v>
      </c>
      <c r="B361" s="127"/>
      <c r="C361" s="127"/>
      <c r="D361" s="127"/>
      <c r="E361" s="127"/>
      <c r="F361" s="127"/>
      <c r="G361" s="127"/>
      <c r="H361" s="128"/>
    </row>
    <row r="362" spans="1:8" ht="20.25" x14ac:dyDescent="0.25">
      <c r="A362" s="129" t="s">
        <v>79</v>
      </c>
      <c r="B362" s="130"/>
      <c r="C362" s="130"/>
      <c r="D362" s="130"/>
      <c r="E362" s="130"/>
      <c r="F362" s="130"/>
      <c r="G362" s="130"/>
      <c r="H362" s="131"/>
    </row>
    <row r="363" spans="1:8" ht="45" customHeight="1" x14ac:dyDescent="0.25">
      <c r="A363" s="129" t="s">
        <v>80</v>
      </c>
      <c r="B363" s="130"/>
      <c r="C363" s="130"/>
      <c r="D363" s="130"/>
      <c r="E363" s="130"/>
      <c r="F363" s="130"/>
      <c r="G363" s="130"/>
      <c r="H363" s="131"/>
    </row>
    <row r="364" spans="1:8" ht="42.75" customHeight="1" x14ac:dyDescent="0.25">
      <c r="A364" s="129" t="s">
        <v>81</v>
      </c>
      <c r="B364" s="130"/>
      <c r="C364" s="130"/>
      <c r="D364" s="130"/>
      <c r="E364" s="130"/>
      <c r="F364" s="130"/>
      <c r="G364" s="130"/>
      <c r="H364" s="131"/>
    </row>
    <row r="365" spans="1:8" ht="20.25" x14ac:dyDescent="0.25">
      <c r="A365" s="129" t="s">
        <v>82</v>
      </c>
      <c r="B365" s="130"/>
      <c r="C365" s="130"/>
      <c r="D365" s="130"/>
      <c r="E365" s="130"/>
      <c r="F365" s="130"/>
      <c r="G365" s="130"/>
      <c r="H365" s="131"/>
    </row>
    <row r="366" spans="1:8" ht="20.25" x14ac:dyDescent="0.25">
      <c r="A366" s="129" t="s">
        <v>83</v>
      </c>
      <c r="B366" s="130"/>
      <c r="C366" s="130"/>
      <c r="D366" s="130"/>
      <c r="E366" s="130"/>
      <c r="F366" s="130"/>
      <c r="G366" s="130"/>
      <c r="H366" s="131"/>
    </row>
    <row r="367" spans="1:8" ht="45" customHeight="1" x14ac:dyDescent="0.25">
      <c r="A367" s="129" t="s">
        <v>84</v>
      </c>
      <c r="B367" s="130"/>
      <c r="C367" s="130"/>
      <c r="D367" s="130"/>
      <c r="E367" s="130"/>
      <c r="F367" s="130"/>
      <c r="G367" s="130"/>
      <c r="H367" s="131"/>
    </row>
    <row r="368" spans="1:8" ht="45" customHeight="1" x14ac:dyDescent="0.25">
      <c r="A368" s="129" t="s">
        <v>85</v>
      </c>
      <c r="B368" s="130"/>
      <c r="C368" s="130"/>
      <c r="D368" s="130"/>
      <c r="E368" s="130"/>
      <c r="F368" s="130"/>
      <c r="G368" s="130"/>
      <c r="H368" s="131"/>
    </row>
    <row r="369" spans="1:8" ht="20.25" x14ac:dyDescent="0.25">
      <c r="A369" s="132" t="s">
        <v>86</v>
      </c>
      <c r="B369" s="133"/>
      <c r="C369" s="133"/>
      <c r="D369" s="133"/>
      <c r="E369" s="133"/>
      <c r="F369" s="133"/>
      <c r="G369" s="133"/>
      <c r="H369" s="134"/>
    </row>
    <row r="370" spans="1:8" ht="57" customHeight="1" x14ac:dyDescent="0.25">
      <c r="A370" s="136" t="s">
        <v>30</v>
      </c>
      <c r="B370" s="137"/>
      <c r="C370" s="138" t="s">
        <v>375</v>
      </c>
      <c r="D370" s="139"/>
      <c r="E370" s="136" t="s">
        <v>9</v>
      </c>
      <c r="F370" s="137"/>
      <c r="G370" s="121"/>
      <c r="H370" s="121"/>
    </row>
  </sheetData>
  <mergeCells count="415">
    <mergeCell ref="A178:B178"/>
    <mergeCell ref="A179:B179"/>
    <mergeCell ref="A180:B180"/>
    <mergeCell ref="A181:B181"/>
    <mergeCell ref="A182:B182"/>
    <mergeCell ref="A183:B183"/>
    <mergeCell ref="A184:B184"/>
    <mergeCell ref="A185:B185"/>
    <mergeCell ref="C182:H183"/>
    <mergeCell ref="A170:B170"/>
    <mergeCell ref="A171:B171"/>
    <mergeCell ref="A172:B172"/>
    <mergeCell ref="A173:B173"/>
    <mergeCell ref="A174:B174"/>
    <mergeCell ref="A175:B175"/>
    <mergeCell ref="A176:B176"/>
    <mergeCell ref="C175:H176"/>
    <mergeCell ref="A177:H177"/>
    <mergeCell ref="A161:B161"/>
    <mergeCell ref="A162:B162"/>
    <mergeCell ref="A163:B163"/>
    <mergeCell ref="A164:B164"/>
    <mergeCell ref="A165:B165"/>
    <mergeCell ref="A166:B166"/>
    <mergeCell ref="A167:B167"/>
    <mergeCell ref="A168:H168"/>
    <mergeCell ref="A169:B169"/>
    <mergeCell ref="A154:B154"/>
    <mergeCell ref="A155:B155"/>
    <mergeCell ref="A156:B156"/>
    <mergeCell ref="A157:B157"/>
    <mergeCell ref="A158:B158"/>
    <mergeCell ref="A150:H150"/>
    <mergeCell ref="A151:B151"/>
    <mergeCell ref="A159:H159"/>
    <mergeCell ref="A160:B160"/>
    <mergeCell ref="A135:H135"/>
    <mergeCell ref="A134:H134"/>
    <mergeCell ref="A61:B62"/>
    <mergeCell ref="C61:F62"/>
    <mergeCell ref="A114:B114"/>
    <mergeCell ref="C114:D114"/>
    <mergeCell ref="C115:D115"/>
    <mergeCell ref="A152:B152"/>
    <mergeCell ref="A153:B153"/>
    <mergeCell ref="C116:D116"/>
    <mergeCell ref="E116:F116"/>
    <mergeCell ref="A118:F118"/>
    <mergeCell ref="A119:F119"/>
    <mergeCell ref="A120:F120"/>
    <mergeCell ref="C124:D124"/>
    <mergeCell ref="A115:B115"/>
    <mergeCell ref="A99:B99"/>
    <mergeCell ref="E99:F99"/>
    <mergeCell ref="A100:B100"/>
    <mergeCell ref="E100:F111"/>
    <mergeCell ref="A112:F112"/>
    <mergeCell ref="A117:H117"/>
    <mergeCell ref="E114:F114"/>
    <mergeCell ref="A116:B116"/>
    <mergeCell ref="E115:F115"/>
    <mergeCell ref="G115:H115"/>
    <mergeCell ref="E122:F122"/>
    <mergeCell ref="E123:F123"/>
    <mergeCell ref="E124:F124"/>
    <mergeCell ref="A103:B103"/>
    <mergeCell ref="A104:B104"/>
    <mergeCell ref="A105:B105"/>
    <mergeCell ref="A106:B106"/>
    <mergeCell ref="A107:B107"/>
    <mergeCell ref="A108:B108"/>
    <mergeCell ref="A109:B109"/>
    <mergeCell ref="A110:B110"/>
    <mergeCell ref="A111:B111"/>
    <mergeCell ref="G48:H48"/>
    <mergeCell ref="A49:B49"/>
    <mergeCell ref="D49:F49"/>
    <mergeCell ref="G49:H49"/>
    <mergeCell ref="A51:B51"/>
    <mergeCell ref="A53:B53"/>
    <mergeCell ref="A58:B58"/>
    <mergeCell ref="A59:B59"/>
    <mergeCell ref="A52:B52"/>
    <mergeCell ref="C51:H51"/>
    <mergeCell ref="C52:F52"/>
    <mergeCell ref="C53:F53"/>
    <mergeCell ref="C57:F57"/>
    <mergeCell ref="C56:F56"/>
    <mergeCell ref="A56:B57"/>
    <mergeCell ref="A54:B55"/>
    <mergeCell ref="C54:F54"/>
    <mergeCell ref="C55:F55"/>
    <mergeCell ref="C59:F59"/>
    <mergeCell ref="J38:K38"/>
    <mergeCell ref="M38:N38"/>
    <mergeCell ref="C38:E38"/>
    <mergeCell ref="F38:H38"/>
    <mergeCell ref="C39:E39"/>
    <mergeCell ref="F39:H39"/>
    <mergeCell ref="F40:H40"/>
    <mergeCell ref="C40:E40"/>
    <mergeCell ref="A41:B41"/>
    <mergeCell ref="C41:E41"/>
    <mergeCell ref="F41:H41"/>
    <mergeCell ref="A39:B39"/>
    <mergeCell ref="A40:B4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29:F29"/>
    <mergeCell ref="E30:F30"/>
    <mergeCell ref="E31:F31"/>
    <mergeCell ref="C28:D28"/>
    <mergeCell ref="C29:D29"/>
    <mergeCell ref="C30:D30"/>
    <mergeCell ref="C31:D31"/>
    <mergeCell ref="C32:H32"/>
    <mergeCell ref="A28:B28"/>
    <mergeCell ref="A29:B29"/>
    <mergeCell ref="A30:B30"/>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4:F95"/>
    <mergeCell ref="G84:H95"/>
    <mergeCell ref="A85:B85"/>
    <mergeCell ref="A86:B86"/>
    <mergeCell ref="A87:B87"/>
    <mergeCell ref="A88:B88"/>
    <mergeCell ref="A89:B89"/>
    <mergeCell ref="A90:B90"/>
    <mergeCell ref="A91:B91"/>
    <mergeCell ref="A92:B92"/>
    <mergeCell ref="A93:B93"/>
    <mergeCell ref="A94:B94"/>
    <mergeCell ref="A95:B95"/>
    <mergeCell ref="A69:B69"/>
    <mergeCell ref="C27:D27"/>
    <mergeCell ref="A76:B76"/>
    <mergeCell ref="A77:B77"/>
    <mergeCell ref="A78:B78"/>
    <mergeCell ref="A79:B79"/>
    <mergeCell ref="A70:B70"/>
    <mergeCell ref="A71:B71"/>
    <mergeCell ref="A73:B73"/>
    <mergeCell ref="B230:H230"/>
    <mergeCell ref="B224:H224"/>
    <mergeCell ref="B223:H223"/>
    <mergeCell ref="B227:H227"/>
    <mergeCell ref="B226:H226"/>
    <mergeCell ref="B225:H225"/>
    <mergeCell ref="B228:H228"/>
    <mergeCell ref="A209:B209"/>
    <mergeCell ref="A210:B210"/>
    <mergeCell ref="A211:B211"/>
    <mergeCell ref="A220:B220"/>
    <mergeCell ref="A221:B221"/>
    <mergeCell ref="A217:B217"/>
    <mergeCell ref="A218:B218"/>
    <mergeCell ref="A219:B219"/>
    <mergeCell ref="A213:H213"/>
    <mergeCell ref="A214:B214"/>
    <mergeCell ref="A215:B215"/>
    <mergeCell ref="A216:B216"/>
    <mergeCell ref="B229:H229"/>
    <mergeCell ref="A222:H222"/>
    <mergeCell ref="A201:B201"/>
    <mergeCell ref="A199:B199"/>
    <mergeCell ref="E130:F130"/>
    <mergeCell ref="E128:F128"/>
    <mergeCell ref="C127:D127"/>
    <mergeCell ref="E129:F129"/>
    <mergeCell ref="A196:B196"/>
    <mergeCell ref="C129:D129"/>
    <mergeCell ref="C130:D130"/>
    <mergeCell ref="A143:B143"/>
    <mergeCell ref="A144:B144"/>
    <mergeCell ref="A145:B145"/>
    <mergeCell ref="A146:B146"/>
    <mergeCell ref="A147:B147"/>
    <mergeCell ref="A148:B148"/>
    <mergeCell ref="A149:B149"/>
    <mergeCell ref="C148:H149"/>
    <mergeCell ref="A140:H140"/>
    <mergeCell ref="A136:H136"/>
    <mergeCell ref="A137:H137"/>
    <mergeCell ref="A138:H138"/>
    <mergeCell ref="A139:H139"/>
    <mergeCell ref="A141:H141"/>
    <mergeCell ref="A142:B142"/>
    <mergeCell ref="G14:H14"/>
    <mergeCell ref="G16:H16"/>
    <mergeCell ref="G17:H17"/>
    <mergeCell ref="G15:H15"/>
    <mergeCell ref="G18:H18"/>
    <mergeCell ref="G19:H19"/>
    <mergeCell ref="G46:H46"/>
    <mergeCell ref="G31:H31"/>
    <mergeCell ref="G22:H22"/>
    <mergeCell ref="G36:H36"/>
    <mergeCell ref="G35:H35"/>
    <mergeCell ref="A13:H13"/>
    <mergeCell ref="C26:D26"/>
    <mergeCell ref="G370:H370"/>
    <mergeCell ref="A231:H231"/>
    <mergeCell ref="D233:H233"/>
    <mergeCell ref="A361:H361"/>
    <mergeCell ref="A367:H367"/>
    <mergeCell ref="A368:H368"/>
    <mergeCell ref="A369:H369"/>
    <mergeCell ref="A362:H362"/>
    <mergeCell ref="A363:H363"/>
    <mergeCell ref="A364:H364"/>
    <mergeCell ref="A365:H365"/>
    <mergeCell ref="A233:C233"/>
    <mergeCell ref="A360:H360"/>
    <mergeCell ref="A366:H366"/>
    <mergeCell ref="A329:H329"/>
    <mergeCell ref="D232:H232"/>
    <mergeCell ref="A234:C234"/>
    <mergeCell ref="D234:H234"/>
    <mergeCell ref="A279:H279"/>
    <mergeCell ref="E370:F370"/>
    <mergeCell ref="A370:B370"/>
    <mergeCell ref="C370:D370"/>
    <mergeCell ref="A1:H1"/>
    <mergeCell ref="A232:C232"/>
    <mergeCell ref="G27:H27"/>
    <mergeCell ref="G28:H28"/>
    <mergeCell ref="A37:H37"/>
    <mergeCell ref="A44:H44"/>
    <mergeCell ref="A50:H50"/>
    <mergeCell ref="A121:H121"/>
    <mergeCell ref="G119:H119"/>
    <mergeCell ref="G7:H7"/>
    <mergeCell ref="G47:H47"/>
    <mergeCell ref="G45:H45"/>
    <mergeCell ref="A25:H25"/>
    <mergeCell ref="G26:H26"/>
    <mergeCell ref="G20:H20"/>
    <mergeCell ref="G21:H21"/>
    <mergeCell ref="A9:A11"/>
    <mergeCell ref="G6:H6"/>
    <mergeCell ref="A5:H5"/>
    <mergeCell ref="A206:B206"/>
    <mergeCell ref="A207:B207"/>
    <mergeCell ref="G118:H118"/>
    <mergeCell ref="A186:H186"/>
    <mergeCell ref="A131:B131"/>
    <mergeCell ref="A212:B212"/>
    <mergeCell ref="A126:H126"/>
    <mergeCell ref="A127:B127"/>
    <mergeCell ref="E127:F127"/>
    <mergeCell ref="A192:B192"/>
    <mergeCell ref="A193:B193"/>
    <mergeCell ref="A194:B194"/>
    <mergeCell ref="A187:B187"/>
    <mergeCell ref="C128:D128"/>
    <mergeCell ref="C131:D131"/>
    <mergeCell ref="A200:B200"/>
    <mergeCell ref="A202:B202"/>
    <mergeCell ref="A203:B203"/>
    <mergeCell ref="A198:B198"/>
    <mergeCell ref="A204:H204"/>
    <mergeCell ref="A205:B205"/>
    <mergeCell ref="A197:B197"/>
    <mergeCell ref="A195:H195"/>
    <mergeCell ref="A132:H132"/>
    <mergeCell ref="G127:H127"/>
    <mergeCell ref="A128:B128"/>
    <mergeCell ref="G128:H128"/>
    <mergeCell ref="A129:B129"/>
    <mergeCell ref="A208:B208"/>
    <mergeCell ref="A188:B188"/>
    <mergeCell ref="A189:B189"/>
    <mergeCell ref="A190:B190"/>
    <mergeCell ref="A191:B191"/>
    <mergeCell ref="A80:H80"/>
    <mergeCell ref="A81:C82"/>
    <mergeCell ref="E81:F81"/>
    <mergeCell ref="G112:H112"/>
    <mergeCell ref="G68:H79"/>
    <mergeCell ref="A68:B68"/>
    <mergeCell ref="A74:B74"/>
    <mergeCell ref="E97:F97"/>
    <mergeCell ref="E98:F98"/>
    <mergeCell ref="A96:H96"/>
    <mergeCell ref="G116:H116"/>
    <mergeCell ref="G120:H120"/>
    <mergeCell ref="A97:C98"/>
    <mergeCell ref="G131:H131"/>
    <mergeCell ref="E68:F79"/>
    <mergeCell ref="A113:H113"/>
    <mergeCell ref="G114:H114"/>
    <mergeCell ref="G100:H111"/>
    <mergeCell ref="A101:B101"/>
    <mergeCell ref="A102:B102"/>
    <mergeCell ref="C18:D18"/>
    <mergeCell ref="C19:D19"/>
    <mergeCell ref="C20:D20"/>
    <mergeCell ref="C21:D21"/>
    <mergeCell ref="C22:D22"/>
    <mergeCell ref="C24:H24"/>
    <mergeCell ref="C23:H23"/>
    <mergeCell ref="A72:B72"/>
    <mergeCell ref="A75:B75"/>
    <mergeCell ref="C63:F63"/>
    <mergeCell ref="A64:H64"/>
    <mergeCell ref="A67:B67"/>
    <mergeCell ref="E67:F67"/>
    <mergeCell ref="E65:F65"/>
    <mergeCell ref="E66:F66"/>
    <mergeCell ref="A65:C66"/>
    <mergeCell ref="A33:H33"/>
    <mergeCell ref="G30:H30"/>
    <mergeCell ref="G29:H29"/>
    <mergeCell ref="A31:B31"/>
    <mergeCell ref="A32:B32"/>
    <mergeCell ref="E26:F26"/>
    <mergeCell ref="E27:F27"/>
    <mergeCell ref="E28:F28"/>
    <mergeCell ref="E82:F82"/>
    <mergeCell ref="A83:B83"/>
    <mergeCell ref="E83:F83"/>
    <mergeCell ref="A84:B84"/>
    <mergeCell ref="A45:B45"/>
    <mergeCell ref="A46:B46"/>
    <mergeCell ref="A47:B47"/>
    <mergeCell ref="D46:F46"/>
    <mergeCell ref="D45:F45"/>
    <mergeCell ref="D47:F47"/>
    <mergeCell ref="A48:B48"/>
    <mergeCell ref="D48:F48"/>
    <mergeCell ref="A63:B63"/>
    <mergeCell ref="C58:F58"/>
    <mergeCell ref="A60:B60"/>
    <mergeCell ref="C60:F60"/>
    <mergeCell ref="G129:H129"/>
    <mergeCell ref="A130:B130"/>
    <mergeCell ref="G130:H130"/>
    <mergeCell ref="E131:F131"/>
    <mergeCell ref="E125:F125"/>
    <mergeCell ref="A122:B122"/>
    <mergeCell ref="A123:B123"/>
    <mergeCell ref="A124:B124"/>
    <mergeCell ref="C122:D122"/>
    <mergeCell ref="A125:B125"/>
    <mergeCell ref="C123:D123"/>
    <mergeCell ref="G122:H122"/>
    <mergeCell ref="G123:H123"/>
    <mergeCell ref="G124:H124"/>
    <mergeCell ref="G125:H125"/>
    <mergeCell ref="C125:D125"/>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16">
      <formula1>"300000,350000,400000,500000,600000,700000,800000,900000,1000000,1200000,1400000,1500000,1600000"</formula1>
    </dataValidation>
    <dataValidation type="list" allowBlank="1" showInputMessage="1" showErrorMessage="1" sqref="F133">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33">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55" max="16383" man="1"/>
    <brk id="131" max="16383" man="1"/>
    <brk id="230" max="8" man="1"/>
    <brk id="278" max="16383" man="1"/>
    <brk id="32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13" zoomScale="70" zoomScaleNormal="70" workbookViewId="0">
      <selection activeCell="I24" sqref="I24"/>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9" t="s">
        <v>69</v>
      </c>
      <c r="B3" s="99"/>
      <c r="C3" s="99"/>
      <c r="D3" s="99"/>
      <c r="E3" s="99"/>
      <c r="F3" s="99"/>
      <c r="G3" s="99"/>
      <c r="H3" s="99"/>
      <c r="I3" s="99"/>
    </row>
    <row r="4" spans="1:11" s="1" customFormat="1" ht="20.25" customHeight="1" x14ac:dyDescent="0.3">
      <c r="A4" s="192">
        <v>1</v>
      </c>
      <c r="B4" s="192"/>
      <c r="C4" s="192"/>
      <c r="D4" s="193" t="s">
        <v>4</v>
      </c>
      <c r="E4" s="29" t="s">
        <v>116</v>
      </c>
      <c r="F4" s="86" t="s">
        <v>103</v>
      </c>
      <c r="G4" s="86"/>
      <c r="H4" s="29" t="s">
        <v>117</v>
      </c>
      <c r="I4" s="29"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2"/>
      <c r="B5" s="192"/>
      <c r="C5" s="192"/>
      <c r="D5" s="193"/>
      <c r="E5" s="29">
        <v>3</v>
      </c>
      <c r="F5" s="86">
        <v>1</v>
      </c>
      <c r="G5" s="86"/>
      <c r="H5" s="29">
        <v>0</v>
      </c>
      <c r="I5" s="29">
        <f ca="1">--TRIM(RIGHT(SUBSTITUTE(LEFT(A4,_xlfn.AGGREGATE(16,6,FIND({0,1,2,3,4,5,6,7,8,9},A4,ROW(INDIRECT("1:"&amp;LEN(A4)))),1))," ",REPT(" ",LEN(A4))),LEN(A4)))</f>
        <v>1</v>
      </c>
      <c r="J5" s="16" t="s">
        <v>122</v>
      </c>
      <c r="K5" s="17"/>
    </row>
    <row r="6" spans="1:11" s="1" customFormat="1" ht="20.25" customHeight="1" x14ac:dyDescent="0.3">
      <c r="A6" s="87" t="s">
        <v>120</v>
      </c>
      <c r="B6" s="87"/>
      <c r="C6" s="87" t="s">
        <v>134</v>
      </c>
      <c r="D6" s="87"/>
      <c r="E6" s="27" t="s">
        <v>135</v>
      </c>
      <c r="F6" s="87" t="s">
        <v>121</v>
      </c>
      <c r="G6" s="87"/>
      <c r="H6" s="28" t="s">
        <v>119</v>
      </c>
      <c r="I6" s="28"/>
      <c r="J6" s="19" t="s">
        <v>136</v>
      </c>
      <c r="K6" s="18">
        <f ca="1">I5*25%</f>
        <v>0.25</v>
      </c>
    </row>
    <row r="7" spans="1:11" s="1" customFormat="1" ht="20.25" customHeight="1" x14ac:dyDescent="0.3">
      <c r="A7" s="88" t="s">
        <v>137</v>
      </c>
      <c r="B7" s="88"/>
      <c r="C7" s="86">
        <f ca="1">K8</f>
        <v>1</v>
      </c>
      <c r="D7" s="86"/>
      <c r="E7" s="5">
        <f ca="1">((100/I5)*C7)/100</f>
        <v>1</v>
      </c>
      <c r="F7" s="88">
        <f ca="1">(((C7/I5*5)+(C8/I5*20)+(25/(F5+H5+I5)*C9)+(5/(I5)*C10)+(2.5/(I5)*C11)+(2.5/(I5)*C12)+(5/I5*C13)+(10/I5*C14)+(2.5/I5*C15)+(2.5/I5*C16)+(10/I5*C17)+(10/I5*C18))/100)</f>
        <v>0.25</v>
      </c>
      <c r="G7" s="88"/>
      <c r="H7" s="88" t="str">
        <f ca="1">J4</f>
        <v>Excavation work Completed. Plinth work completed</v>
      </c>
      <c r="I7" s="88"/>
      <c r="J7" s="19" t="s">
        <v>123</v>
      </c>
      <c r="K7" s="23">
        <f ca="1">I5*50%</f>
        <v>0.5</v>
      </c>
    </row>
    <row r="8" spans="1:11" s="1" customFormat="1" ht="20.25" x14ac:dyDescent="0.3">
      <c r="A8" s="88" t="s">
        <v>104</v>
      </c>
      <c r="B8" s="88"/>
      <c r="C8" s="191">
        <f ca="1">K16</f>
        <v>1</v>
      </c>
      <c r="D8" s="86"/>
      <c r="E8" s="5">
        <f ca="1">((100/I5)*C8)/100</f>
        <v>1</v>
      </c>
      <c r="F8" s="88"/>
      <c r="G8" s="88"/>
      <c r="H8" s="88"/>
      <c r="I8" s="88"/>
      <c r="J8" s="19" t="s">
        <v>124</v>
      </c>
      <c r="K8" s="23">
        <f ca="1">I5</f>
        <v>1</v>
      </c>
    </row>
    <row r="9" spans="1:11" s="1" customFormat="1" ht="21" customHeight="1" x14ac:dyDescent="0.35">
      <c r="A9" s="88" t="s">
        <v>138</v>
      </c>
      <c r="B9" s="88"/>
      <c r="C9" s="86">
        <v>0</v>
      </c>
      <c r="D9" s="86"/>
      <c r="E9" s="5">
        <f ca="1">((100/(F5+H5+I5))*C9)/100</f>
        <v>0</v>
      </c>
      <c r="F9" s="88"/>
      <c r="G9" s="88"/>
      <c r="H9" s="88"/>
      <c r="I9" s="88"/>
      <c r="J9" s="19" t="s">
        <v>125</v>
      </c>
      <c r="K9" s="24">
        <f ca="1">(IF(E5&gt;1,(I5/(E5+2)),I5*0.2))</f>
        <v>0.2</v>
      </c>
    </row>
    <row r="10" spans="1:11" s="1" customFormat="1" ht="21" customHeight="1" x14ac:dyDescent="0.35">
      <c r="A10" s="88" t="s">
        <v>139</v>
      </c>
      <c r="B10" s="88"/>
      <c r="C10" s="86">
        <v>0</v>
      </c>
      <c r="D10" s="86"/>
      <c r="E10" s="5">
        <f ca="1">((100/I5)*C10)/100</f>
        <v>0</v>
      </c>
      <c r="F10" s="88"/>
      <c r="G10" s="88"/>
      <c r="H10" s="88"/>
      <c r="I10" s="88"/>
      <c r="J10" s="19" t="s">
        <v>126</v>
      </c>
      <c r="K10" s="24">
        <f ca="1">(IF(E5&gt;1,(I5/(E5+2)+K9),I5*0.2+K9))</f>
        <v>0.4</v>
      </c>
    </row>
    <row r="11" spans="1:11" s="1" customFormat="1" ht="21" customHeight="1" x14ac:dyDescent="0.35">
      <c r="A11" s="95" t="s">
        <v>140</v>
      </c>
      <c r="B11" s="96"/>
      <c r="C11" s="86">
        <v>0</v>
      </c>
      <c r="D11" s="86"/>
      <c r="E11" s="5">
        <f ca="1">((100/I5)*C11)/100</f>
        <v>0</v>
      </c>
      <c r="F11" s="88"/>
      <c r="G11" s="88"/>
      <c r="H11" s="88"/>
      <c r="I11" s="88"/>
      <c r="J11" s="19" t="s">
        <v>141</v>
      </c>
      <c r="K11" s="24">
        <f ca="1">(IF(E5&gt;1,(I5/(E5+2)+K10),0))</f>
        <v>0.60000000000000009</v>
      </c>
    </row>
    <row r="12" spans="1:11" s="1" customFormat="1" ht="21" customHeight="1" x14ac:dyDescent="0.35">
      <c r="A12" s="95" t="s">
        <v>171</v>
      </c>
      <c r="B12" s="96"/>
      <c r="C12" s="86">
        <v>0</v>
      </c>
      <c r="D12" s="86"/>
      <c r="E12" s="5">
        <f ca="1">((100/I5)*C12)/100</f>
        <v>0</v>
      </c>
      <c r="F12" s="88"/>
      <c r="G12" s="88"/>
      <c r="H12" s="88"/>
      <c r="I12" s="88"/>
      <c r="J12" s="19" t="s">
        <v>142</v>
      </c>
      <c r="K12" s="24">
        <f ca="1">(IF(E5&gt;2,(I5/(E5+2)+K11),0))</f>
        <v>0.8</v>
      </c>
    </row>
    <row r="13" spans="1:11" s="1" customFormat="1" ht="57.75" customHeight="1" x14ac:dyDescent="0.35">
      <c r="A13" s="95" t="s">
        <v>168</v>
      </c>
      <c r="B13" s="96"/>
      <c r="C13" s="86">
        <v>0</v>
      </c>
      <c r="D13" s="86"/>
      <c r="E13" s="5">
        <f ca="1">((100/(I5))*C13)/100</f>
        <v>0</v>
      </c>
      <c r="F13" s="88"/>
      <c r="G13" s="88"/>
      <c r="H13" s="88"/>
      <c r="I13" s="88"/>
      <c r="J13" s="19" t="s">
        <v>144</v>
      </c>
      <c r="K13" s="25">
        <f>(IF(E5&gt;3,(I5/(E5+2)+K12),0))</f>
        <v>0</v>
      </c>
    </row>
    <row r="14" spans="1:11" s="1" customFormat="1" ht="21" x14ac:dyDescent="0.35">
      <c r="A14" s="88" t="s">
        <v>143</v>
      </c>
      <c r="B14" s="88"/>
      <c r="C14" s="86">
        <v>0</v>
      </c>
      <c r="D14" s="86"/>
      <c r="E14" s="5">
        <f ca="1">((100/(I5))*C14)/100</f>
        <v>0</v>
      </c>
      <c r="F14" s="88"/>
      <c r="G14" s="88"/>
      <c r="H14" s="88"/>
      <c r="I14" s="88"/>
      <c r="J14" s="19" t="s">
        <v>145</v>
      </c>
      <c r="K14" s="24">
        <f>(IF(E5&gt;4,(I5/(E5+2)+K13),0))</f>
        <v>0</v>
      </c>
    </row>
    <row r="15" spans="1:11" s="1" customFormat="1" ht="21" customHeight="1" x14ac:dyDescent="0.35">
      <c r="A15" s="88" t="s">
        <v>170</v>
      </c>
      <c r="B15" s="88"/>
      <c r="C15" s="86">
        <v>0</v>
      </c>
      <c r="D15" s="86"/>
      <c r="E15" s="5">
        <f ca="1">((100/I5)*C15)/100</f>
        <v>0</v>
      </c>
      <c r="F15" s="88"/>
      <c r="G15" s="88"/>
      <c r="H15" s="88"/>
      <c r="I15" s="88"/>
      <c r="J15" s="19" t="s">
        <v>127</v>
      </c>
      <c r="K15" s="24">
        <f>(IF(E5=1,(I5/(E5+3)+K10),IF(E5=0,(I5*0.3+K10),IF(E5&gt;1,0))))</f>
        <v>0</v>
      </c>
    </row>
    <row r="16" spans="1:11" s="1" customFormat="1" ht="21.75" thickBot="1" x14ac:dyDescent="0.4">
      <c r="A16" s="88" t="s">
        <v>169</v>
      </c>
      <c r="B16" s="88"/>
      <c r="C16" s="86">
        <v>0</v>
      </c>
      <c r="D16" s="86"/>
      <c r="E16" s="5">
        <f ca="1">((100/I5)*C16)/100</f>
        <v>0</v>
      </c>
      <c r="F16" s="88"/>
      <c r="G16" s="88"/>
      <c r="H16" s="88"/>
      <c r="I16" s="88"/>
      <c r="J16" s="21" t="s">
        <v>128</v>
      </c>
      <c r="K16" s="26">
        <f ca="1">(IF(E5&gt;1.5,(I5/(E5+2)+K10+MAX(0,K11-K10)+MAX(0,K12-K11)+MAX(0,K13-K12)+MAX(0,K14-K13)+MAX(0,K15-K14)),IF(E5=1,(I5/(E5+3)+K15),IF(E5=0,I5*0.3+K15))))</f>
        <v>1</v>
      </c>
    </row>
    <row r="17" spans="1:9" s="1" customFormat="1" ht="20.25" x14ac:dyDescent="0.25">
      <c r="A17" s="88" t="s">
        <v>146</v>
      </c>
      <c r="B17" s="88"/>
      <c r="C17" s="86">
        <v>0</v>
      </c>
      <c r="D17" s="86"/>
      <c r="E17" s="5">
        <f ca="1">((100/(I5))*C17)/100</f>
        <v>0</v>
      </c>
      <c r="F17" s="88"/>
      <c r="G17" s="88"/>
      <c r="H17" s="88"/>
      <c r="I17" s="88"/>
    </row>
    <row r="18" spans="1:9" s="1" customFormat="1" ht="20.25" x14ac:dyDescent="0.25">
      <c r="A18" s="88" t="s">
        <v>147</v>
      </c>
      <c r="B18" s="88"/>
      <c r="C18" s="86">
        <v>0</v>
      </c>
      <c r="D18" s="86"/>
      <c r="E18" s="5">
        <f ca="1">((100/(I5))*C18)/100</f>
        <v>0</v>
      </c>
      <c r="F18" s="88"/>
      <c r="G18" s="88"/>
      <c r="H18" s="88"/>
      <c r="I18" s="88"/>
    </row>
    <row r="23" spans="1:9" x14ac:dyDescent="0.25">
      <c r="B23" s="190" t="s">
        <v>172</v>
      </c>
      <c r="C23" s="190"/>
      <c r="D23" s="190"/>
      <c r="E23" s="190"/>
      <c r="F23" s="190"/>
      <c r="G23" s="190"/>
    </row>
    <row r="24" spans="1:9" ht="14.45" customHeight="1" x14ac:dyDescent="0.25">
      <c r="B24" s="185" t="s">
        <v>173</v>
      </c>
      <c r="C24" s="185" t="s">
        <v>174</v>
      </c>
      <c r="D24" s="188" t="s">
        <v>175</v>
      </c>
      <c r="E24" s="189" t="s">
        <v>176</v>
      </c>
      <c r="F24" s="186" t="s">
        <v>177</v>
      </c>
      <c r="G24" s="185" t="s">
        <v>178</v>
      </c>
    </row>
    <row r="25" spans="1:9" x14ac:dyDescent="0.25">
      <c r="B25" s="185"/>
      <c r="C25" s="185"/>
      <c r="D25" s="188"/>
      <c r="E25" s="189"/>
      <c r="F25" s="186"/>
      <c r="G25" s="185"/>
    </row>
    <row r="26" spans="1:9" x14ac:dyDescent="0.25">
      <c r="B26" s="36" t="s">
        <v>179</v>
      </c>
      <c r="C26" s="37">
        <v>10</v>
      </c>
      <c r="D26" s="37">
        <v>1</v>
      </c>
      <c r="E26" s="38"/>
      <c r="F26" s="39">
        <f>((E26/D26)*0.05)*100</f>
        <v>0</v>
      </c>
      <c r="G26" s="39">
        <f t="shared" ref="G26:G37" si="0">((E26/D26)*(C26/100))*100</f>
        <v>0</v>
      </c>
    </row>
    <row r="27" spans="1:9" x14ac:dyDescent="0.25">
      <c r="B27" s="36" t="s">
        <v>180</v>
      </c>
      <c r="C27" s="38">
        <v>10</v>
      </c>
      <c r="D27" s="38">
        <v>1</v>
      </c>
      <c r="E27" s="38"/>
      <c r="F27" s="39">
        <f>((E27/D27)*0.05)*100</f>
        <v>0</v>
      </c>
      <c r="G27" s="39">
        <f t="shared" si="0"/>
        <v>0</v>
      </c>
    </row>
    <row r="28" spans="1:9" x14ac:dyDescent="0.25">
      <c r="B28" s="36" t="s">
        <v>181</v>
      </c>
      <c r="C28" s="38">
        <v>15</v>
      </c>
      <c r="D28" s="38">
        <v>1</v>
      </c>
      <c r="E28" s="38"/>
      <c r="F28" s="39">
        <f>((E28/D28)*0.15)*100</f>
        <v>0</v>
      </c>
      <c r="G28" s="39">
        <f t="shared" si="0"/>
        <v>0</v>
      </c>
    </row>
    <row r="29" spans="1:9" x14ac:dyDescent="0.25">
      <c r="B29" s="40" t="s">
        <v>182</v>
      </c>
      <c r="C29" s="38">
        <v>25</v>
      </c>
      <c r="D29" s="38">
        <v>40</v>
      </c>
      <c r="E29" s="38"/>
      <c r="F29" s="39">
        <f>((E29/D29)*0.25)*100</f>
        <v>0</v>
      </c>
      <c r="G29" s="39">
        <f t="shared" si="0"/>
        <v>0</v>
      </c>
    </row>
    <row r="30" spans="1:9" x14ac:dyDescent="0.25">
      <c r="B30" s="40" t="s">
        <v>183</v>
      </c>
      <c r="C30" s="38">
        <v>5</v>
      </c>
      <c r="D30" s="38">
        <v>39</v>
      </c>
      <c r="E30" s="38"/>
      <c r="F30" s="39">
        <f>((E30/D30)*0.05)*100</f>
        <v>0</v>
      </c>
      <c r="G30" s="39">
        <f t="shared" si="0"/>
        <v>0</v>
      </c>
    </row>
    <row r="31" spans="1:9" ht="30" x14ac:dyDescent="0.25">
      <c r="B31" s="40" t="s">
        <v>184</v>
      </c>
      <c r="C31" s="38">
        <v>2.5</v>
      </c>
      <c r="D31" s="38">
        <v>39</v>
      </c>
      <c r="E31" s="38"/>
      <c r="F31" s="39">
        <f>((E31/D31)*0.025)*100</f>
        <v>0</v>
      </c>
      <c r="G31" s="39">
        <f t="shared" si="0"/>
        <v>0</v>
      </c>
    </row>
    <row r="32" spans="1:9" ht="30" x14ac:dyDescent="0.25">
      <c r="B32" s="40" t="s">
        <v>185</v>
      </c>
      <c r="C32" s="38">
        <v>2.5</v>
      </c>
      <c r="D32" s="38">
        <v>39</v>
      </c>
      <c r="E32" s="38"/>
      <c r="F32" s="39">
        <f>((E32/D32)*0.025)*100</f>
        <v>0</v>
      </c>
      <c r="G32" s="39">
        <f t="shared" si="0"/>
        <v>0</v>
      </c>
    </row>
    <row r="33" spans="1:7" ht="45" x14ac:dyDescent="0.25">
      <c r="B33" s="41" t="s">
        <v>186</v>
      </c>
      <c r="C33" s="38">
        <v>5</v>
      </c>
      <c r="D33" s="38">
        <v>39</v>
      </c>
      <c r="E33" s="38"/>
      <c r="F33" s="39">
        <f>((E33/D33)*0.05)*100</f>
        <v>0</v>
      </c>
      <c r="G33" s="39">
        <f t="shared" si="0"/>
        <v>0</v>
      </c>
    </row>
    <row r="34" spans="1:7" ht="30" x14ac:dyDescent="0.25">
      <c r="B34" s="41" t="s">
        <v>187</v>
      </c>
      <c r="C34" s="38">
        <v>5</v>
      </c>
      <c r="D34" s="38">
        <v>39</v>
      </c>
      <c r="E34" s="38"/>
      <c r="F34" s="39">
        <f>((E34/D34)*0.1)*100</f>
        <v>0</v>
      </c>
      <c r="G34" s="39">
        <f t="shared" si="0"/>
        <v>0</v>
      </c>
    </row>
    <row r="35" spans="1:7" ht="30" x14ac:dyDescent="0.25">
      <c r="B35" s="41" t="s">
        <v>188</v>
      </c>
      <c r="C35" s="38">
        <v>5</v>
      </c>
      <c r="D35" s="38">
        <v>39</v>
      </c>
      <c r="E35" s="38"/>
      <c r="F35" s="39">
        <f>((E35/D35)*0.05)*100</f>
        <v>0</v>
      </c>
      <c r="G35" s="39">
        <f t="shared" si="0"/>
        <v>0</v>
      </c>
    </row>
    <row r="36" spans="1:7" ht="60" x14ac:dyDescent="0.25">
      <c r="B36" s="41" t="s">
        <v>189</v>
      </c>
      <c r="C36" s="38">
        <v>10</v>
      </c>
      <c r="D36" s="38">
        <v>39</v>
      </c>
      <c r="E36" s="38"/>
      <c r="F36" s="39">
        <f>((E36/D36)*0.1)*100</f>
        <v>0</v>
      </c>
      <c r="G36" s="39">
        <f t="shared" si="0"/>
        <v>0</v>
      </c>
    </row>
    <row r="37" spans="1:7" ht="45" x14ac:dyDescent="0.25">
      <c r="B37" s="41" t="s">
        <v>190</v>
      </c>
      <c r="C37" s="38">
        <v>5</v>
      </c>
      <c r="D37" s="38">
        <v>39</v>
      </c>
      <c r="E37" s="38"/>
      <c r="F37" s="39">
        <f>((E37/D37)*0.1)*100</f>
        <v>0</v>
      </c>
      <c r="G37" s="39">
        <f t="shared" si="0"/>
        <v>0</v>
      </c>
    </row>
    <row r="38" spans="1:7" ht="15.75" x14ac:dyDescent="0.25">
      <c r="B38" s="42" t="s">
        <v>191</v>
      </c>
      <c r="C38" s="43">
        <f>SUM(C26:C37)</f>
        <v>100</v>
      </c>
      <c r="D38" s="42"/>
      <c r="E38" s="42"/>
      <c r="F38" s="43">
        <f>SUM(F26:F37)</f>
        <v>0</v>
      </c>
      <c r="G38" s="43">
        <f>SUM(G26:G37)</f>
        <v>0</v>
      </c>
    </row>
    <row r="39" spans="1:7" x14ac:dyDescent="0.25">
      <c r="B39" s="186" t="s">
        <v>192</v>
      </c>
      <c r="C39" s="186"/>
      <c r="D39" s="186"/>
      <c r="E39" s="186"/>
      <c r="F39" s="186"/>
      <c r="G39" s="186"/>
    </row>
    <row r="40" spans="1:7" x14ac:dyDescent="0.25">
      <c r="B40" s="187" t="s">
        <v>193</v>
      </c>
      <c r="C40" s="187"/>
      <c r="D40" s="187"/>
      <c r="E40" s="187" t="s">
        <v>194</v>
      </c>
      <c r="F40" s="187"/>
      <c r="G40" s="187"/>
    </row>
    <row r="41" spans="1:7" x14ac:dyDescent="0.25">
      <c r="B41" s="183" t="s">
        <v>195</v>
      </c>
      <c r="C41" s="183"/>
      <c r="D41" s="183"/>
      <c r="E41" s="183" t="s">
        <v>196</v>
      </c>
      <c r="F41" s="183"/>
      <c r="G41" s="183"/>
    </row>
    <row r="42" spans="1:7" x14ac:dyDescent="0.25">
      <c r="B42" s="183" t="s">
        <v>197</v>
      </c>
      <c r="C42" s="183"/>
      <c r="D42" s="183"/>
      <c r="E42" s="183" t="s">
        <v>198</v>
      </c>
      <c r="F42" s="183"/>
      <c r="G42" s="183"/>
    </row>
    <row r="43" spans="1:7" x14ac:dyDescent="0.25">
      <c r="B43" s="184" t="s">
        <v>199</v>
      </c>
      <c r="C43" s="184"/>
      <c r="D43" s="184"/>
      <c r="E43" s="184" t="s">
        <v>200</v>
      </c>
      <c r="F43" s="184"/>
      <c r="G43" s="184"/>
    </row>
    <row r="45" spans="1:7" ht="15.75" thickBot="1" x14ac:dyDescent="0.3"/>
    <row r="46" spans="1:7" ht="17.25" thickTop="1" thickBot="1" x14ac:dyDescent="0.3">
      <c r="A46" s="44" t="s">
        <v>201</v>
      </c>
      <c r="B46" s="44" t="s">
        <v>173</v>
      </c>
      <c r="C46" s="45" t="s">
        <v>202</v>
      </c>
      <c r="D46" s="45" t="s">
        <v>203</v>
      </c>
      <c r="E46" s="45" t="s">
        <v>204</v>
      </c>
    </row>
    <row r="47" spans="1:7" ht="31.5" thickTop="1" thickBot="1" x14ac:dyDescent="0.3">
      <c r="A47" s="46">
        <v>1</v>
      </c>
      <c r="B47" s="47" t="s">
        <v>205</v>
      </c>
      <c r="C47" s="48">
        <v>0</v>
      </c>
      <c r="D47" s="49">
        <v>0.1</v>
      </c>
      <c r="E47" s="48">
        <v>0.1</v>
      </c>
    </row>
    <row r="48" spans="1:7" ht="31.5" thickTop="1" thickBot="1" x14ac:dyDescent="0.3">
      <c r="A48" s="46">
        <v>2</v>
      </c>
      <c r="B48" s="47" t="s">
        <v>206</v>
      </c>
      <c r="C48" s="48" t="s">
        <v>207</v>
      </c>
      <c r="D48" s="49" t="s">
        <v>208</v>
      </c>
      <c r="E48" s="48">
        <v>0.3</v>
      </c>
    </row>
    <row r="49" spans="1:5" ht="61.5" thickTop="1" thickBot="1" x14ac:dyDescent="0.3">
      <c r="A49" s="46">
        <v>3</v>
      </c>
      <c r="B49" s="47" t="s">
        <v>209</v>
      </c>
      <c r="C49" s="48" t="s">
        <v>210</v>
      </c>
      <c r="D49" s="49" t="s">
        <v>211</v>
      </c>
      <c r="E49" s="48">
        <v>0.45</v>
      </c>
    </row>
    <row r="50" spans="1:5" ht="76.5" thickTop="1" thickBot="1" x14ac:dyDescent="0.3">
      <c r="A50" s="46">
        <v>4</v>
      </c>
      <c r="B50" s="47" t="s">
        <v>212</v>
      </c>
      <c r="C50" s="48" t="s">
        <v>213</v>
      </c>
      <c r="D50" s="49" t="s">
        <v>214</v>
      </c>
      <c r="E50" s="48">
        <v>0.7</v>
      </c>
    </row>
    <row r="51" spans="1:5" ht="76.5" thickTop="1" thickBot="1" x14ac:dyDescent="0.3">
      <c r="A51" s="46">
        <v>5</v>
      </c>
      <c r="B51" s="47" t="s">
        <v>215</v>
      </c>
      <c r="C51" s="48" t="s">
        <v>216</v>
      </c>
      <c r="D51" s="49" t="s">
        <v>217</v>
      </c>
      <c r="E51" s="48">
        <v>0.75</v>
      </c>
    </row>
    <row r="52" spans="1:5" ht="76.5" thickTop="1" thickBot="1" x14ac:dyDescent="0.3">
      <c r="A52" s="46">
        <v>6</v>
      </c>
      <c r="B52" s="47" t="s">
        <v>218</v>
      </c>
      <c r="C52" s="48" t="s">
        <v>219</v>
      </c>
      <c r="D52" s="49" t="s">
        <v>220</v>
      </c>
      <c r="E52" s="48">
        <v>0.8</v>
      </c>
    </row>
    <row r="53" spans="1:5" ht="121.5" thickTop="1" thickBot="1" x14ac:dyDescent="0.3">
      <c r="A53" s="46">
        <v>7</v>
      </c>
      <c r="B53" s="47" t="s">
        <v>221</v>
      </c>
      <c r="C53" s="48" t="s">
        <v>222</v>
      </c>
      <c r="D53" s="49" t="s">
        <v>223</v>
      </c>
      <c r="E53" s="48">
        <v>0.85</v>
      </c>
    </row>
    <row r="54" spans="1:5" ht="211.5" thickTop="1" thickBot="1" x14ac:dyDescent="0.3">
      <c r="A54" s="46">
        <v>8</v>
      </c>
      <c r="B54" s="47" t="s">
        <v>224</v>
      </c>
      <c r="C54" s="48" t="s">
        <v>225</v>
      </c>
      <c r="D54" s="49" t="s">
        <v>226</v>
      </c>
      <c r="E54" s="48">
        <v>0.95</v>
      </c>
    </row>
    <row r="55" spans="1:5" ht="91.5" thickTop="1" thickBot="1" x14ac:dyDescent="0.3">
      <c r="A55" s="46">
        <v>9</v>
      </c>
      <c r="B55" s="47" t="s">
        <v>227</v>
      </c>
      <c r="C55" s="48" t="s">
        <v>228</v>
      </c>
      <c r="D55" s="49" t="s">
        <v>229</v>
      </c>
      <c r="E55" s="48">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6" t="s">
        <v>249</v>
      </c>
    </row>
    <row r="3" spans="2:3" x14ac:dyDescent="0.25">
      <c r="B3" s="38">
        <v>2</v>
      </c>
      <c r="C3" s="57" t="s">
        <v>250</v>
      </c>
    </row>
    <row r="4" spans="2:3" x14ac:dyDescent="0.25">
      <c r="B4" s="38">
        <v>3</v>
      </c>
      <c r="C4" s="38" t="s">
        <v>251</v>
      </c>
    </row>
    <row r="5" spans="2:3" x14ac:dyDescent="0.25">
      <c r="B5" s="38">
        <v>4</v>
      </c>
      <c r="C5" s="57" t="s">
        <v>252</v>
      </c>
    </row>
    <row r="6" spans="2:3" x14ac:dyDescent="0.25">
      <c r="B6" s="38">
        <v>5</v>
      </c>
      <c r="C6" s="38" t="s">
        <v>253</v>
      </c>
    </row>
    <row r="7" spans="2:3" ht="30" x14ac:dyDescent="0.25">
      <c r="B7" s="38">
        <v>6</v>
      </c>
      <c r="C7" s="57" t="s">
        <v>254</v>
      </c>
    </row>
    <row r="8" spans="2:3" ht="75" x14ac:dyDescent="0.25">
      <c r="B8" s="38">
        <v>7</v>
      </c>
      <c r="C8" s="57" t="s">
        <v>255</v>
      </c>
    </row>
    <row r="9" spans="2:3" x14ac:dyDescent="0.25">
      <c r="B9" s="38">
        <v>8</v>
      </c>
      <c r="C9" s="38" t="s">
        <v>256</v>
      </c>
    </row>
    <row r="10" spans="2:3" x14ac:dyDescent="0.25">
      <c r="B10" s="38">
        <v>9</v>
      </c>
      <c r="C10" s="38" t="s">
        <v>257</v>
      </c>
    </row>
    <row r="11" spans="2:3" x14ac:dyDescent="0.25">
      <c r="B11" s="38">
        <v>10</v>
      </c>
      <c r="C11" s="38" t="s">
        <v>258</v>
      </c>
    </row>
    <row r="12" spans="2:3" x14ac:dyDescent="0.25">
      <c r="B12" s="38">
        <v>11</v>
      </c>
      <c r="C12" s="38" t="s">
        <v>259</v>
      </c>
    </row>
    <row r="13" spans="2:3" x14ac:dyDescent="0.25">
      <c r="B13" s="38">
        <v>12</v>
      </c>
      <c r="C13" s="38" t="s">
        <v>260</v>
      </c>
    </row>
    <row r="14" spans="2:3" x14ac:dyDescent="0.25">
      <c r="B14" s="38">
        <v>13</v>
      </c>
      <c r="C14" s="38" t="s">
        <v>261</v>
      </c>
    </row>
    <row r="15" spans="2:3" x14ac:dyDescent="0.25">
      <c r="B15" s="38">
        <v>14</v>
      </c>
      <c r="C15" s="38" t="s">
        <v>251</v>
      </c>
    </row>
    <row r="16" spans="2:3" x14ac:dyDescent="0.25">
      <c r="B16" s="38">
        <v>15</v>
      </c>
      <c r="C16" s="38" t="s">
        <v>244</v>
      </c>
    </row>
    <row r="17" spans="2:3" x14ac:dyDescent="0.25">
      <c r="B17" s="58">
        <v>16</v>
      </c>
      <c r="C17" s="59" t="s">
        <v>262</v>
      </c>
    </row>
    <row r="18" spans="2:3" x14ac:dyDescent="0.25">
      <c r="B18" s="60">
        <v>17</v>
      </c>
      <c r="C18" s="59" t="s">
        <v>263</v>
      </c>
    </row>
    <row r="19" spans="2:3" x14ac:dyDescent="0.25">
      <c r="B19" s="61">
        <v>18</v>
      </c>
      <c r="C19" s="38" t="s">
        <v>264</v>
      </c>
    </row>
    <row r="20" spans="2:3" x14ac:dyDescent="0.25">
      <c r="B20" s="60">
        <v>19</v>
      </c>
      <c r="C20" s="38" t="s">
        <v>265</v>
      </c>
    </row>
    <row r="21" spans="2:3" x14ac:dyDescent="0.25">
      <c r="B21" s="38">
        <v>20</v>
      </c>
      <c r="C21" s="38" t="s">
        <v>266</v>
      </c>
    </row>
    <row r="22" spans="2:3" x14ac:dyDescent="0.25">
      <c r="B22" s="60">
        <v>21</v>
      </c>
      <c r="C22" s="38" t="s">
        <v>264</v>
      </c>
    </row>
    <row r="23" spans="2:3" s="63" customFormat="1" ht="30" x14ac:dyDescent="0.25">
      <c r="B23" s="62">
        <v>22</v>
      </c>
      <c r="C23" s="56" t="s">
        <v>267</v>
      </c>
    </row>
    <row r="24" spans="2:3" s="63" customFormat="1" ht="30" x14ac:dyDescent="0.25">
      <c r="B24" s="64">
        <v>23</v>
      </c>
      <c r="C24" s="56" t="s">
        <v>268</v>
      </c>
    </row>
    <row r="25" spans="2:3" x14ac:dyDescent="0.25">
      <c r="B25" s="38">
        <v>24</v>
      </c>
      <c r="C25" s="38" t="s">
        <v>269</v>
      </c>
    </row>
    <row r="26" spans="2:3" x14ac:dyDescent="0.25">
      <c r="B26" s="60">
        <v>25</v>
      </c>
      <c r="C26" s="38" t="s">
        <v>270</v>
      </c>
    </row>
    <row r="27" spans="2:3" x14ac:dyDescent="0.25">
      <c r="B27" s="64">
        <v>26</v>
      </c>
      <c r="C27" s="38" t="s">
        <v>271</v>
      </c>
    </row>
    <row r="28" spans="2:3" x14ac:dyDescent="0.25">
      <c r="B28" s="60">
        <v>27</v>
      </c>
      <c r="C28" s="38" t="s">
        <v>272</v>
      </c>
    </row>
    <row r="29" spans="2:3" ht="60" x14ac:dyDescent="0.25">
      <c r="B29" s="65">
        <v>28</v>
      </c>
      <c r="C29" s="57" t="s">
        <v>273</v>
      </c>
    </row>
    <row r="30" spans="2:3" x14ac:dyDescent="0.25">
      <c r="B30" s="64">
        <v>29</v>
      </c>
      <c r="C30" s="38" t="s">
        <v>274</v>
      </c>
    </row>
    <row r="31" spans="2:3" ht="30" x14ac:dyDescent="0.25">
      <c r="B31" s="64">
        <v>30</v>
      </c>
      <c r="C31" s="57" t="s">
        <v>302</v>
      </c>
    </row>
    <row r="32" spans="2:3" x14ac:dyDescent="0.25">
      <c r="B32" s="64">
        <v>31</v>
      </c>
      <c r="C32" s="38" t="s">
        <v>303</v>
      </c>
    </row>
    <row r="33" spans="2:3" x14ac:dyDescent="0.25">
      <c r="B33" s="64">
        <v>32</v>
      </c>
      <c r="C33" s="38" t="s">
        <v>304</v>
      </c>
    </row>
    <row r="34" spans="2:3" ht="30" x14ac:dyDescent="0.25">
      <c r="B34" s="64">
        <v>33</v>
      </c>
      <c r="C34" s="59" t="s">
        <v>305</v>
      </c>
    </row>
    <row r="35" spans="2:3" x14ac:dyDescent="0.25">
      <c r="B35" s="64">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275</v>
      </c>
      <c r="C2" s="194"/>
      <c r="D2" s="194"/>
    </row>
    <row r="3" spans="1:12" x14ac:dyDescent="0.25">
      <c r="D3" s="68"/>
      <c r="E3" s="68"/>
      <c r="F3" s="68"/>
      <c r="G3" s="68"/>
      <c r="H3" s="68"/>
      <c r="I3" s="68"/>
    </row>
    <row r="4" spans="1:12" x14ac:dyDescent="0.25">
      <c r="A4" s="67" t="s">
        <v>276</v>
      </c>
      <c r="B4" s="55" t="s">
        <v>277</v>
      </c>
      <c r="C4" s="195" t="s">
        <v>278</v>
      </c>
      <c r="D4" s="195"/>
      <c r="E4" s="195"/>
      <c r="F4" s="55"/>
      <c r="G4" s="196" t="s">
        <v>279</v>
      </c>
      <c r="H4" s="196"/>
      <c r="I4" s="196"/>
      <c r="J4" s="197" t="s">
        <v>280</v>
      </c>
      <c r="K4" s="197"/>
      <c r="L4" s="197"/>
    </row>
    <row r="5" spans="1:12" x14ac:dyDescent="0.25">
      <c r="A5" s="67"/>
      <c r="B5" s="55"/>
      <c r="C5" s="55" t="s">
        <v>281</v>
      </c>
      <c r="D5" s="55" t="s">
        <v>282</v>
      </c>
      <c r="E5" s="55" t="s">
        <v>283</v>
      </c>
      <c r="F5" s="55"/>
      <c r="G5" s="55" t="s">
        <v>281</v>
      </c>
      <c r="H5" s="55" t="s">
        <v>282</v>
      </c>
      <c r="I5" s="55" t="s">
        <v>283</v>
      </c>
      <c r="J5" s="55" t="s">
        <v>281</v>
      </c>
      <c r="K5" s="55" t="s">
        <v>282</v>
      </c>
      <c r="L5" s="55" t="s">
        <v>283</v>
      </c>
    </row>
    <row r="6" spans="1:12" x14ac:dyDescent="0.25">
      <c r="B6" s="54" t="s">
        <v>284</v>
      </c>
      <c r="C6" s="54"/>
      <c r="D6" s="54"/>
      <c r="E6" s="54">
        <f>C6*D6</f>
        <v>0</v>
      </c>
      <c r="F6" s="54" t="s">
        <v>285</v>
      </c>
      <c r="G6" s="54"/>
      <c r="H6" s="54"/>
      <c r="I6" s="54">
        <f>G6*H6</f>
        <v>0</v>
      </c>
      <c r="J6" s="54"/>
      <c r="K6" s="54"/>
      <c r="L6" s="54">
        <f>J6*K6</f>
        <v>0</v>
      </c>
    </row>
    <row r="7" spans="1:12" x14ac:dyDescent="0.25">
      <c r="B7" s="54"/>
      <c r="C7" s="54"/>
      <c r="D7" s="54"/>
      <c r="E7" s="54">
        <f t="shared" ref="E7:E41" si="0">C7*D7</f>
        <v>0</v>
      </c>
      <c r="F7" s="54" t="s">
        <v>285</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286</v>
      </c>
      <c r="G9" s="54"/>
      <c r="H9" s="54"/>
      <c r="I9" s="54">
        <f t="shared" si="1"/>
        <v>0</v>
      </c>
      <c r="J9" s="54"/>
      <c r="K9" s="54"/>
      <c r="L9" s="54">
        <f t="shared" si="2"/>
        <v>0</v>
      </c>
    </row>
    <row r="10" spans="1:12" x14ac:dyDescent="0.25">
      <c r="B10" s="54" t="s">
        <v>287</v>
      </c>
      <c r="C10" s="54"/>
      <c r="D10" s="54"/>
      <c r="E10" s="54">
        <f t="shared" si="0"/>
        <v>0</v>
      </c>
      <c r="F10" s="54" t="s">
        <v>286</v>
      </c>
      <c r="G10" s="54"/>
      <c r="H10" s="54"/>
      <c r="I10" s="54">
        <f t="shared" si="1"/>
        <v>0</v>
      </c>
      <c r="J10" s="54"/>
      <c r="K10" s="54"/>
      <c r="L10" s="54">
        <f t="shared" si="2"/>
        <v>0</v>
      </c>
    </row>
    <row r="11" spans="1:12" x14ac:dyDescent="0.25">
      <c r="B11" s="54"/>
      <c r="C11" s="54"/>
      <c r="D11" s="54"/>
      <c r="E11" s="54">
        <f t="shared" si="0"/>
        <v>0</v>
      </c>
      <c r="F11" s="54" t="s">
        <v>288</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289</v>
      </c>
      <c r="C14" s="54"/>
      <c r="D14" s="54"/>
      <c r="E14" s="54">
        <f t="shared" si="0"/>
        <v>0</v>
      </c>
      <c r="F14" s="54" t="s">
        <v>286</v>
      </c>
      <c r="G14" s="54"/>
      <c r="H14" s="54"/>
      <c r="I14" s="54">
        <f t="shared" si="1"/>
        <v>0</v>
      </c>
      <c r="J14" s="54"/>
      <c r="K14" s="54"/>
      <c r="L14" s="54">
        <f t="shared" si="2"/>
        <v>0</v>
      </c>
    </row>
    <row r="15" spans="1:12" x14ac:dyDescent="0.25">
      <c r="B15" s="54"/>
      <c r="C15" s="54"/>
      <c r="D15" s="54"/>
      <c r="E15" s="54">
        <f t="shared" si="0"/>
        <v>0</v>
      </c>
      <c r="F15" s="54" t="s">
        <v>288</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290</v>
      </c>
      <c r="C18" s="54"/>
      <c r="D18" s="54"/>
      <c r="E18" s="54">
        <f t="shared" si="0"/>
        <v>0</v>
      </c>
      <c r="F18" s="54" t="s">
        <v>286</v>
      </c>
      <c r="G18" s="54"/>
      <c r="H18" s="54"/>
      <c r="I18" s="54">
        <f t="shared" si="1"/>
        <v>0</v>
      </c>
      <c r="J18" s="54"/>
      <c r="K18" s="54"/>
      <c r="L18" s="54">
        <f t="shared" si="2"/>
        <v>0</v>
      </c>
    </row>
    <row r="19" spans="2:12" x14ac:dyDescent="0.25">
      <c r="B19" s="54"/>
      <c r="C19" s="54"/>
      <c r="D19" s="54"/>
      <c r="E19" s="54">
        <f t="shared" si="0"/>
        <v>0</v>
      </c>
      <c r="F19" s="54" t="s">
        <v>288</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291</v>
      </c>
      <c r="C21" s="54"/>
      <c r="D21" s="54"/>
      <c r="E21" s="54">
        <f t="shared" si="0"/>
        <v>0</v>
      </c>
      <c r="F21" s="54" t="s">
        <v>286</v>
      </c>
      <c r="G21" s="54"/>
      <c r="H21" s="54"/>
      <c r="I21" s="54">
        <f t="shared" si="1"/>
        <v>0</v>
      </c>
      <c r="J21" s="54"/>
      <c r="K21" s="54"/>
      <c r="L21" s="54">
        <f t="shared" si="2"/>
        <v>0</v>
      </c>
    </row>
    <row r="22" spans="2:12" x14ac:dyDescent="0.25">
      <c r="B22" s="54"/>
      <c r="C22" s="54"/>
      <c r="D22" s="54"/>
      <c r="E22" s="54">
        <f t="shared" si="0"/>
        <v>0</v>
      </c>
      <c r="F22" s="54" t="s">
        <v>288</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292</v>
      </c>
      <c r="C24" s="54"/>
      <c r="D24" s="54"/>
      <c r="E24" s="54">
        <f t="shared" si="0"/>
        <v>0</v>
      </c>
      <c r="F24" s="54" t="s">
        <v>293</v>
      </c>
      <c r="G24" s="54"/>
      <c r="H24" s="54"/>
      <c r="I24" s="54">
        <f t="shared" si="1"/>
        <v>0</v>
      </c>
      <c r="J24" s="54"/>
      <c r="K24" s="54"/>
      <c r="L24" s="54">
        <f t="shared" si="2"/>
        <v>0</v>
      </c>
    </row>
    <row r="25" spans="2:12" x14ac:dyDescent="0.25">
      <c r="B25" s="54"/>
      <c r="C25" s="54"/>
      <c r="D25" s="54"/>
      <c r="E25" s="54">
        <f t="shared" si="0"/>
        <v>0</v>
      </c>
      <c r="F25" s="54" t="s">
        <v>293</v>
      </c>
      <c r="G25" s="54"/>
      <c r="H25" s="54"/>
      <c r="I25" s="54">
        <f t="shared" si="1"/>
        <v>0</v>
      </c>
      <c r="J25" s="54"/>
      <c r="K25" s="54"/>
      <c r="L25" s="54">
        <f t="shared" si="2"/>
        <v>0</v>
      </c>
    </row>
    <row r="26" spans="2:12" x14ac:dyDescent="0.25">
      <c r="B26" s="54"/>
      <c r="C26" s="54"/>
      <c r="D26" s="54"/>
      <c r="E26" s="54">
        <f t="shared" si="0"/>
        <v>0</v>
      </c>
      <c r="F26" s="54" t="s">
        <v>293</v>
      </c>
      <c r="G26" s="54"/>
      <c r="H26" s="54"/>
      <c r="I26" s="54">
        <f t="shared" si="1"/>
        <v>0</v>
      </c>
      <c r="J26" s="54"/>
      <c r="K26" s="54"/>
      <c r="L26" s="54">
        <f t="shared" si="2"/>
        <v>0</v>
      </c>
    </row>
    <row r="27" spans="2:12" x14ac:dyDescent="0.25">
      <c r="B27" s="54"/>
      <c r="C27" s="54"/>
      <c r="D27" s="54"/>
      <c r="E27" s="54">
        <f t="shared" si="0"/>
        <v>0</v>
      </c>
      <c r="F27" s="54" t="s">
        <v>293</v>
      </c>
      <c r="G27" s="54"/>
      <c r="H27" s="54"/>
      <c r="I27" s="54">
        <f t="shared" si="1"/>
        <v>0</v>
      </c>
      <c r="J27" s="54"/>
      <c r="K27" s="54"/>
      <c r="L27" s="54">
        <f t="shared" si="2"/>
        <v>0</v>
      </c>
    </row>
    <row r="28" spans="2:12" x14ac:dyDescent="0.25">
      <c r="B28" s="54" t="s">
        <v>294</v>
      </c>
      <c r="C28" s="54"/>
      <c r="D28" s="54"/>
      <c r="E28" s="54">
        <f t="shared" si="0"/>
        <v>0</v>
      </c>
      <c r="F28" s="54" t="s">
        <v>293</v>
      </c>
      <c r="G28" s="54"/>
      <c r="H28" s="54"/>
      <c r="I28" s="54">
        <f t="shared" si="1"/>
        <v>0</v>
      </c>
      <c r="J28" s="54"/>
      <c r="K28" s="54"/>
      <c r="L28" s="54">
        <f t="shared" si="2"/>
        <v>0</v>
      </c>
    </row>
    <row r="29" spans="2:12" x14ac:dyDescent="0.25">
      <c r="B29" s="54" t="s">
        <v>295</v>
      </c>
      <c r="C29" s="54"/>
      <c r="D29" s="54"/>
      <c r="E29" s="54">
        <f t="shared" si="0"/>
        <v>0</v>
      </c>
      <c r="F29" s="54" t="s">
        <v>293</v>
      </c>
      <c r="G29" s="54"/>
      <c r="H29" s="54"/>
      <c r="I29" s="54">
        <f t="shared" si="1"/>
        <v>0</v>
      </c>
      <c r="J29" s="54"/>
      <c r="K29" s="54"/>
      <c r="L29" s="54">
        <f t="shared" si="2"/>
        <v>0</v>
      </c>
    </row>
    <row r="30" spans="2:12" x14ac:dyDescent="0.25">
      <c r="B30" s="54" t="s">
        <v>296</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297</v>
      </c>
      <c r="C33" s="54"/>
      <c r="D33" s="54"/>
      <c r="E33" s="54">
        <f t="shared" si="0"/>
        <v>0</v>
      </c>
      <c r="F33" s="54"/>
      <c r="G33" s="54"/>
      <c r="H33" s="54"/>
      <c r="I33" s="54">
        <f t="shared" si="1"/>
        <v>0</v>
      </c>
      <c r="J33" s="54"/>
      <c r="K33" s="54"/>
      <c r="L33" s="54">
        <f t="shared" si="2"/>
        <v>0</v>
      </c>
    </row>
    <row r="34" spans="2:12" x14ac:dyDescent="0.25">
      <c r="B34" s="54" t="s">
        <v>298</v>
      </c>
      <c r="C34" s="54"/>
      <c r="D34" s="54"/>
      <c r="E34" s="54">
        <f t="shared" si="0"/>
        <v>0</v>
      </c>
      <c r="F34" s="54"/>
      <c r="G34" s="54"/>
      <c r="H34" s="54"/>
      <c r="I34" s="54">
        <f t="shared" si="1"/>
        <v>0</v>
      </c>
      <c r="J34" s="54"/>
      <c r="K34" s="54"/>
      <c r="L34" s="54">
        <f t="shared" si="2"/>
        <v>0</v>
      </c>
    </row>
    <row r="35" spans="2:12" x14ac:dyDescent="0.25">
      <c r="B35" s="54" t="s">
        <v>299</v>
      </c>
      <c r="C35" s="54"/>
      <c r="D35" s="54"/>
      <c r="E35" s="54">
        <f t="shared" si="0"/>
        <v>0</v>
      </c>
      <c r="F35" s="54"/>
      <c r="G35" s="54"/>
      <c r="H35" s="54"/>
      <c r="I35" s="54">
        <f t="shared" si="1"/>
        <v>0</v>
      </c>
      <c r="J35" s="54"/>
      <c r="K35" s="54"/>
      <c r="L35" s="54">
        <f t="shared" si="2"/>
        <v>0</v>
      </c>
    </row>
    <row r="36" spans="2:12" x14ac:dyDescent="0.25">
      <c r="B36" s="54" t="s">
        <v>300</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301</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157</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2025-07-23T06:35:45Z</cp:lastPrinted>
  <dcterms:created xsi:type="dcterms:W3CDTF">2010-11-23T11:42:48Z</dcterms:created>
  <dcterms:modified xsi:type="dcterms:W3CDTF">2025-07-23T06:38:05Z</dcterms:modified>
</cp:coreProperties>
</file>