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VSJCV\Making\AXIS\2025-26\Axis\APF Old\July 2025\22-07-2025\"/>
    </mc:Choice>
  </mc:AlternateContent>
  <bookViews>
    <workbookView xWindow="0" yWindow="0" windowWidth="19200" windowHeight="6640"/>
  </bookViews>
  <sheets>
    <sheet name="Report" sheetId="1" r:id="rId1"/>
    <sheet name="NOTE" sheetId="4" r:id="rId2"/>
    <sheet name="Flat detail" sheetId="3" r:id="rId3"/>
    <sheet name="VALUATION" sheetId="5" r:id="rId4"/>
  </sheets>
  <definedNames>
    <definedName name="_xlnm.Print_Area" localSheetId="0">Report!$A$1:$H$435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6" i="1" l="1"/>
  <c r="D75" i="1"/>
  <c r="D74" i="1"/>
  <c r="K73" i="1"/>
  <c r="D73" i="1"/>
  <c r="K72" i="1"/>
  <c r="D72" i="1"/>
  <c r="K71" i="1"/>
  <c r="D71" i="1"/>
  <c r="K70" i="1"/>
  <c r="D70" i="1"/>
  <c r="D69" i="1"/>
  <c r="K68" i="1"/>
  <c r="K69" i="1" s="1"/>
  <c r="K74" i="1" s="1"/>
  <c r="K75" i="1" s="1"/>
  <c r="D68" i="1"/>
  <c r="K67" i="1"/>
  <c r="G67" i="1"/>
  <c r="D67" i="1"/>
  <c r="K66" i="1"/>
  <c r="K65" i="1"/>
  <c r="C65" i="1"/>
  <c r="E67" i="1" s="1"/>
  <c r="C79" i="1" l="1"/>
  <c r="G11" i="5"/>
  <c r="F11" i="5"/>
  <c r="G10" i="5"/>
  <c r="F10" i="5"/>
  <c r="G9" i="5"/>
  <c r="F9" i="5"/>
  <c r="G8" i="5"/>
  <c r="F8" i="5"/>
  <c r="G7" i="5"/>
  <c r="F7" i="5"/>
  <c r="G6" i="5"/>
  <c r="F6" i="5"/>
  <c r="G5" i="5"/>
  <c r="F5" i="5"/>
  <c r="E36" i="3"/>
  <c r="D36" i="3"/>
  <c r="L34" i="3"/>
  <c r="K34" i="3"/>
  <c r="I34" i="3"/>
  <c r="H34" i="3"/>
  <c r="E34" i="3"/>
  <c r="D34" i="3"/>
  <c r="L33" i="3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D16" i="4"/>
  <c r="C16" i="4"/>
  <c r="D15" i="4"/>
  <c r="C15" i="4"/>
  <c r="D14" i="4"/>
  <c r="C14" i="4"/>
  <c r="D2" i="4"/>
  <c r="C2" i="4"/>
  <c r="D360" i="1"/>
  <c r="F345" i="1"/>
  <c r="D345" i="1"/>
  <c r="D343" i="1"/>
  <c r="F343" i="1" s="1"/>
  <c r="D342" i="1"/>
  <c r="F342" i="1" s="1"/>
  <c r="J341" i="1"/>
  <c r="K341" i="1" s="1"/>
  <c r="G341" i="1"/>
  <c r="D341" i="1"/>
  <c r="F341" i="1" s="1"/>
  <c r="J340" i="1"/>
  <c r="K340" i="1" s="1"/>
  <c r="I339" i="1"/>
  <c r="D339" i="1"/>
  <c r="F339" i="1" s="1"/>
  <c r="D338" i="1"/>
  <c r="F338" i="1" s="1"/>
  <c r="D337" i="1"/>
  <c r="F337" i="1" s="1"/>
  <c r="I336" i="1" s="1"/>
  <c r="D336" i="1"/>
  <c r="F336" i="1" s="1"/>
  <c r="J335" i="1"/>
  <c r="K335" i="1" s="1"/>
  <c r="G335" i="1"/>
  <c r="D335" i="1"/>
  <c r="F335" i="1" s="1"/>
  <c r="J334" i="1"/>
  <c r="K334" i="1" s="1"/>
  <c r="I333" i="1"/>
  <c r="D331" i="1"/>
  <c r="F331" i="1" s="1"/>
  <c r="D330" i="1"/>
  <c r="F330" i="1" s="1"/>
  <c r="G329" i="1"/>
  <c r="F329" i="1"/>
  <c r="D329" i="1"/>
  <c r="D327" i="1"/>
  <c r="F327" i="1" s="1"/>
  <c r="I326" i="1"/>
  <c r="I327" i="1" s="1"/>
  <c r="D326" i="1"/>
  <c r="F326" i="1" s="1"/>
  <c r="D325" i="1"/>
  <c r="F325" i="1" s="1"/>
  <c r="D324" i="1"/>
  <c r="F324" i="1" s="1"/>
  <c r="G323" i="1"/>
  <c r="D323" i="1"/>
  <c r="F323" i="1" s="1"/>
  <c r="D321" i="1"/>
  <c r="F321" i="1" s="1"/>
  <c r="D320" i="1"/>
  <c r="F320" i="1" s="1"/>
  <c r="D319" i="1"/>
  <c r="F319" i="1" s="1"/>
  <c r="D318" i="1"/>
  <c r="F318" i="1" s="1"/>
  <c r="J317" i="1"/>
  <c r="K317" i="1" s="1"/>
  <c r="G317" i="1"/>
  <c r="D317" i="1"/>
  <c r="F317" i="1" s="1"/>
  <c r="J316" i="1"/>
  <c r="K316" i="1" s="1"/>
  <c r="I315" i="1"/>
  <c r="D315" i="1"/>
  <c r="F315" i="1" s="1"/>
  <c r="F314" i="1"/>
  <c r="D314" i="1"/>
  <c r="D313" i="1"/>
  <c r="F313" i="1" s="1"/>
  <c r="D312" i="1"/>
  <c r="F312" i="1" s="1"/>
  <c r="J311" i="1"/>
  <c r="K311" i="1" s="1"/>
  <c r="G311" i="1"/>
  <c r="D311" i="1"/>
  <c r="F311" i="1" s="1"/>
  <c r="J310" i="1"/>
  <c r="K310" i="1" s="1"/>
  <c r="I309" i="1"/>
  <c r="D307" i="1"/>
  <c r="F307" i="1" s="1"/>
  <c r="D306" i="1"/>
  <c r="F306" i="1" s="1"/>
  <c r="G305" i="1"/>
  <c r="D305" i="1"/>
  <c r="F305" i="1" s="1"/>
  <c r="D303" i="1"/>
  <c r="F303" i="1" s="1"/>
  <c r="D302" i="1"/>
  <c r="F302" i="1" s="1"/>
  <c r="D301" i="1"/>
  <c r="F301" i="1" s="1"/>
  <c r="F300" i="1"/>
  <c r="D300" i="1"/>
  <c r="G299" i="1"/>
  <c r="D299" i="1"/>
  <c r="F299" i="1" s="1"/>
  <c r="D297" i="1"/>
  <c r="F297" i="1" s="1"/>
  <c r="D296" i="1"/>
  <c r="F296" i="1" s="1"/>
  <c r="D295" i="1"/>
  <c r="F295" i="1" s="1"/>
  <c r="D294" i="1"/>
  <c r="F294" i="1" s="1"/>
  <c r="G293" i="1"/>
  <c r="D293" i="1"/>
  <c r="F293" i="1" s="1"/>
  <c r="I291" i="1"/>
  <c r="D291" i="1"/>
  <c r="F291" i="1" s="1"/>
  <c r="D290" i="1"/>
  <c r="F290" i="1" s="1"/>
  <c r="D289" i="1"/>
  <c r="F289" i="1" s="1"/>
  <c r="D288" i="1"/>
  <c r="F288" i="1" s="1"/>
  <c r="G287" i="1"/>
  <c r="D287" i="1"/>
  <c r="F287" i="1" s="1"/>
  <c r="D283" i="1"/>
  <c r="F283" i="1" s="1"/>
  <c r="D282" i="1"/>
  <c r="F282" i="1" s="1"/>
  <c r="G281" i="1"/>
  <c r="D281" i="1"/>
  <c r="F281" i="1" s="1"/>
  <c r="D279" i="1"/>
  <c r="F279" i="1" s="1"/>
  <c r="D278" i="1"/>
  <c r="F278" i="1" s="1"/>
  <c r="D277" i="1"/>
  <c r="F277" i="1" s="1"/>
  <c r="D276" i="1"/>
  <c r="F276" i="1" s="1"/>
  <c r="G275" i="1"/>
  <c r="D275" i="1"/>
  <c r="F275" i="1" s="1"/>
  <c r="D273" i="1"/>
  <c r="F273" i="1" s="1"/>
  <c r="D272" i="1"/>
  <c r="F272" i="1" s="1"/>
  <c r="D271" i="1"/>
  <c r="F271" i="1" s="1"/>
  <c r="D270" i="1"/>
  <c r="F270" i="1" s="1"/>
  <c r="G269" i="1"/>
  <c r="D269" i="1"/>
  <c r="F269" i="1" s="1"/>
  <c r="D265" i="1"/>
  <c r="F265" i="1" s="1"/>
  <c r="D264" i="1"/>
  <c r="F264" i="1" s="1"/>
  <c r="G263" i="1"/>
  <c r="D263" i="1"/>
  <c r="F263" i="1" s="1"/>
  <c r="F261" i="1"/>
  <c r="D261" i="1"/>
  <c r="D260" i="1"/>
  <c r="F260" i="1" s="1"/>
  <c r="F259" i="1"/>
  <c r="D259" i="1"/>
  <c r="D258" i="1"/>
  <c r="F258" i="1" s="1"/>
  <c r="G257" i="1"/>
  <c r="D257" i="1"/>
  <c r="F257" i="1" s="1"/>
  <c r="D255" i="1"/>
  <c r="D254" i="1"/>
  <c r="F254" i="1" s="1"/>
  <c r="D253" i="1"/>
  <c r="F253" i="1" s="1"/>
  <c r="I252" i="1" s="1"/>
  <c r="D252" i="1"/>
  <c r="F252" i="1" s="1"/>
  <c r="I251" i="1" s="1"/>
  <c r="G251" i="1"/>
  <c r="D251" i="1"/>
  <c r="F251" i="1" s="1"/>
  <c r="I250" i="1" s="1"/>
  <c r="G249" i="1"/>
  <c r="F249" i="1"/>
  <c r="I248" i="1" s="1"/>
  <c r="D249" i="1"/>
  <c r="D243" i="1"/>
  <c r="F243" i="1" s="1"/>
  <c r="D242" i="1"/>
  <c r="F242" i="1" s="1"/>
  <c r="D241" i="1"/>
  <c r="F241" i="1" s="1"/>
  <c r="D240" i="1"/>
  <c r="F240" i="1" s="1"/>
  <c r="D239" i="1"/>
  <c r="F239" i="1" s="1"/>
  <c r="G238" i="1"/>
  <c r="D238" i="1"/>
  <c r="F238" i="1" s="1"/>
  <c r="D236" i="1"/>
  <c r="F236" i="1" s="1"/>
  <c r="D235" i="1"/>
  <c r="F235" i="1" s="1"/>
  <c r="D234" i="1"/>
  <c r="F234" i="1" s="1"/>
  <c r="D233" i="1"/>
  <c r="F233" i="1" s="1"/>
  <c r="G231" i="1"/>
  <c r="D231" i="1"/>
  <c r="F231" i="1" s="1"/>
  <c r="D229" i="1"/>
  <c r="F229" i="1" s="1"/>
  <c r="F228" i="1"/>
  <c r="D228" i="1"/>
  <c r="D227" i="1"/>
  <c r="F227" i="1" s="1"/>
  <c r="D226" i="1"/>
  <c r="F226" i="1" s="1"/>
  <c r="D225" i="1"/>
  <c r="F225" i="1" s="1"/>
  <c r="G224" i="1"/>
  <c r="D224" i="1"/>
  <c r="F224" i="1" s="1"/>
  <c r="D222" i="1"/>
  <c r="F222" i="1" s="1"/>
  <c r="D221" i="1"/>
  <c r="F221" i="1" s="1"/>
  <c r="D220" i="1"/>
  <c r="F220" i="1" s="1"/>
  <c r="D219" i="1"/>
  <c r="F219" i="1" s="1"/>
  <c r="G217" i="1"/>
  <c r="I216" i="1"/>
  <c r="D215" i="1"/>
  <c r="F215" i="1" s="1"/>
  <c r="D214" i="1"/>
  <c r="F214" i="1" s="1"/>
  <c r="D213" i="1"/>
  <c r="F213" i="1" s="1"/>
  <c r="D212" i="1"/>
  <c r="F212" i="1" s="1"/>
  <c r="D211" i="1"/>
  <c r="F211" i="1" s="1"/>
  <c r="G210" i="1"/>
  <c r="D210" i="1"/>
  <c r="F210" i="1" s="1"/>
  <c r="I209" i="1" s="1"/>
  <c r="J208" i="1"/>
  <c r="D208" i="1"/>
  <c r="F208" i="1" s="1"/>
  <c r="D207" i="1"/>
  <c r="F207" i="1" s="1"/>
  <c r="D206" i="1"/>
  <c r="F206" i="1" s="1"/>
  <c r="D205" i="1"/>
  <c r="F205" i="1" s="1"/>
  <c r="D204" i="1"/>
  <c r="F204" i="1" s="1"/>
  <c r="G203" i="1"/>
  <c r="D203" i="1"/>
  <c r="F203" i="1" s="1"/>
  <c r="I202" i="1" s="1"/>
  <c r="D201" i="1"/>
  <c r="F201" i="1" s="1"/>
  <c r="D200" i="1"/>
  <c r="F200" i="1" s="1"/>
  <c r="D199" i="1"/>
  <c r="F199" i="1" s="1"/>
  <c r="F198" i="1"/>
  <c r="D198" i="1"/>
  <c r="D197" i="1"/>
  <c r="F197" i="1" s="1"/>
  <c r="G196" i="1"/>
  <c r="D196" i="1"/>
  <c r="F196" i="1" s="1"/>
  <c r="I195" i="1" s="1"/>
  <c r="D194" i="1"/>
  <c r="F194" i="1" s="1"/>
  <c r="D193" i="1"/>
  <c r="F193" i="1" s="1"/>
  <c r="D192" i="1"/>
  <c r="F192" i="1" s="1"/>
  <c r="D191" i="1"/>
  <c r="F191" i="1" s="1"/>
  <c r="G189" i="1"/>
  <c r="I188" i="1"/>
  <c r="D187" i="1"/>
  <c r="F187" i="1" s="1"/>
  <c r="D186" i="1"/>
  <c r="F186" i="1" s="1"/>
  <c r="D185" i="1"/>
  <c r="F185" i="1" s="1"/>
  <c r="D184" i="1"/>
  <c r="F184" i="1" s="1"/>
  <c r="D183" i="1"/>
  <c r="F183" i="1" s="1"/>
  <c r="G182" i="1"/>
  <c r="D182" i="1"/>
  <c r="F182" i="1" s="1"/>
  <c r="I181" i="1" s="1"/>
  <c r="J180" i="1"/>
  <c r="D180" i="1"/>
  <c r="F180" i="1" s="1"/>
  <c r="D179" i="1"/>
  <c r="F179" i="1" s="1"/>
  <c r="D178" i="1"/>
  <c r="F178" i="1" s="1"/>
  <c r="D177" i="1"/>
  <c r="F177" i="1" s="1"/>
  <c r="D176" i="1"/>
  <c r="F176" i="1" s="1"/>
  <c r="G175" i="1"/>
  <c r="D175" i="1"/>
  <c r="F175" i="1" s="1"/>
  <c r="I174" i="1" s="1"/>
  <c r="F173" i="1"/>
  <c r="D173" i="1"/>
  <c r="D172" i="1"/>
  <c r="F172" i="1" s="1"/>
  <c r="D171" i="1"/>
  <c r="F171" i="1" s="1"/>
  <c r="D170" i="1"/>
  <c r="F170" i="1" s="1"/>
  <c r="D169" i="1"/>
  <c r="F169" i="1" s="1"/>
  <c r="G168" i="1"/>
  <c r="D168" i="1"/>
  <c r="F168" i="1" s="1"/>
  <c r="I167" i="1" s="1"/>
  <c r="D166" i="1"/>
  <c r="F166" i="1" s="1"/>
  <c r="D165" i="1"/>
  <c r="F165" i="1" s="1"/>
  <c r="D164" i="1"/>
  <c r="F164" i="1" s="1"/>
  <c r="D163" i="1"/>
  <c r="F163" i="1" s="1"/>
  <c r="D162" i="1"/>
  <c r="F162" i="1" s="1"/>
  <c r="I161" i="1"/>
  <c r="G161" i="1"/>
  <c r="D161" i="1"/>
  <c r="F161" i="1" s="1"/>
  <c r="I160" i="1" s="1"/>
  <c r="D159" i="1"/>
  <c r="F159" i="1" s="1"/>
  <c r="I158" i="1" s="1"/>
  <c r="D158" i="1"/>
  <c r="F158" i="1" s="1"/>
  <c r="I157" i="1" s="1"/>
  <c r="D157" i="1"/>
  <c r="F157" i="1" s="1"/>
  <c r="I156" i="1" s="1"/>
  <c r="D156" i="1"/>
  <c r="F156" i="1" s="1"/>
  <c r="I155" i="1" s="1"/>
  <c r="G154" i="1"/>
  <c r="D152" i="1"/>
  <c r="F152" i="1" s="1"/>
  <c r="D151" i="1"/>
  <c r="F151" i="1" s="1"/>
  <c r="D150" i="1"/>
  <c r="F150" i="1" s="1"/>
  <c r="F149" i="1"/>
  <c r="D149" i="1"/>
  <c r="D148" i="1"/>
  <c r="F148" i="1" s="1"/>
  <c r="G147" i="1"/>
  <c r="D147" i="1"/>
  <c r="F147" i="1" s="1"/>
  <c r="I146" i="1" s="1"/>
  <c r="F145" i="1"/>
  <c r="D145" i="1"/>
  <c r="D144" i="1"/>
  <c r="F144" i="1" s="1"/>
  <c r="F143" i="1"/>
  <c r="D143" i="1"/>
  <c r="D142" i="1"/>
  <c r="F142" i="1" s="1"/>
  <c r="J141" i="1" s="1"/>
  <c r="I141" i="1"/>
  <c r="D141" i="1"/>
  <c r="F141" i="1" s="1"/>
  <c r="G140" i="1"/>
  <c r="D140" i="1"/>
  <c r="F140" i="1" s="1"/>
  <c r="D138" i="1"/>
  <c r="F138" i="1" s="1"/>
  <c r="F137" i="1"/>
  <c r="D137" i="1"/>
  <c r="I136" i="1"/>
  <c r="D134" i="1"/>
  <c r="F134" i="1" s="1"/>
  <c r="G133" i="1"/>
  <c r="D133" i="1"/>
  <c r="F133" i="1" s="1"/>
  <c r="I132" i="1"/>
  <c r="D130" i="1"/>
  <c r="F130" i="1" s="1"/>
  <c r="D129" i="1"/>
  <c r="F129" i="1" s="1"/>
  <c r="D128" i="1"/>
  <c r="F128" i="1" s="1"/>
  <c r="D127" i="1"/>
  <c r="F127" i="1" s="1"/>
  <c r="D126" i="1"/>
  <c r="F126" i="1" s="1"/>
  <c r="F125" i="1"/>
  <c r="D125" i="1"/>
  <c r="D124" i="1"/>
  <c r="F124" i="1" s="1"/>
  <c r="G123" i="1"/>
  <c r="D123" i="1"/>
  <c r="F123" i="1" s="1"/>
  <c r="F108" i="1"/>
  <c r="D92" i="1"/>
  <c r="D91" i="1"/>
  <c r="D90" i="1"/>
  <c r="K89" i="1"/>
  <c r="D89" i="1"/>
  <c r="K88" i="1"/>
  <c r="D88" i="1"/>
  <c r="K87" i="1"/>
  <c r="D87" i="1"/>
  <c r="K86" i="1"/>
  <c r="D86" i="1"/>
  <c r="D85" i="1"/>
  <c r="K84" i="1"/>
  <c r="K85" i="1" s="1"/>
  <c r="D84" i="1"/>
  <c r="K83" i="1"/>
  <c r="G83" i="1"/>
  <c r="G80" i="1" s="1"/>
  <c r="D83" i="1"/>
  <c r="K82" i="1"/>
  <c r="K79" i="1"/>
  <c r="I55" i="1"/>
  <c r="D55" i="1"/>
  <c r="G47" i="1"/>
  <c r="C47" i="1"/>
  <c r="E41" i="1"/>
  <c r="E42" i="1" s="1"/>
  <c r="C14" i="1"/>
  <c r="E7" i="1"/>
  <c r="E3" i="1"/>
  <c r="C115" i="1" l="1"/>
  <c r="I122" i="1"/>
  <c r="D115" i="1"/>
  <c r="C111" i="1"/>
  <c r="I123" i="1"/>
  <c r="D111" i="1"/>
  <c r="C114" i="1"/>
  <c r="C116" i="1" s="1"/>
  <c r="D114" i="1"/>
  <c r="K90" i="1"/>
  <c r="K91" i="1" s="1"/>
  <c r="E83" i="1"/>
  <c r="C80" i="1" s="1"/>
  <c r="F111" i="1"/>
  <c r="F114" i="1"/>
  <c r="I253" i="1"/>
  <c r="F255" i="1"/>
  <c r="I254" i="1" s="1"/>
  <c r="D116" i="1" l="1"/>
  <c r="F115" i="1"/>
  <c r="F116" i="1" s="1"/>
  <c r="I62" i="1"/>
</calcChain>
</file>

<file path=xl/sharedStrings.xml><?xml version="1.0" encoding="utf-8"?>
<sst xmlns="http://schemas.openxmlformats.org/spreadsheetml/2006/main" count="574" uniqueCount="298">
  <si>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Email : vsjcapf@gmail.com. Web site : www.vsjadon.com
</t>
  </si>
  <si>
    <t xml:space="preserve">Valuation Report </t>
  </si>
  <si>
    <t>Date:</t>
  </si>
  <si>
    <t>CPC Name:</t>
  </si>
  <si>
    <t>Axis Goregaon</t>
  </si>
  <si>
    <t>Date Of Property Visit</t>
  </si>
  <si>
    <t>Name of the builder group</t>
  </si>
  <si>
    <t>M/s.Kalpataru Retail Ventures Private Limited</t>
  </si>
  <si>
    <t>Name of the builder company</t>
  </si>
  <si>
    <t>Name of the Project</t>
  </si>
  <si>
    <t>Kalpataru Vienta</t>
  </si>
  <si>
    <t>Contact Details ( Name &amp; Contact No.)</t>
  </si>
  <si>
    <t>Site Person - Contact Details (Name &amp; Contact No.)</t>
  </si>
  <si>
    <t>Name / No of the Building</t>
  </si>
  <si>
    <t>Sale Building No.1 - A &amp; B Wing</t>
  </si>
  <si>
    <t>Docouments Provided</t>
  </si>
  <si>
    <t>RERA No.</t>
  </si>
  <si>
    <t>A Wing - P51800027059
B Wing - P51800023768</t>
  </si>
  <si>
    <t xml:space="preserve">Project location details       </t>
  </si>
  <si>
    <t>CTS No</t>
  </si>
  <si>
    <t>94B (pt), 94C (pt) &amp; 94D (pt)</t>
  </si>
  <si>
    <t>Road</t>
  </si>
  <si>
    <t>Ashok Nagar Main Road</t>
  </si>
  <si>
    <t>Village</t>
  </si>
  <si>
    <t>Wadhvan</t>
  </si>
  <si>
    <t>City</t>
  </si>
  <si>
    <t>Kandivali</t>
  </si>
  <si>
    <t>District</t>
  </si>
  <si>
    <t>Mumbai</t>
  </si>
  <si>
    <t>Taluka</t>
  </si>
  <si>
    <t>Borivali</t>
  </si>
  <si>
    <t>Pin Code</t>
  </si>
  <si>
    <t>Near by Landmark</t>
  </si>
  <si>
    <t>Shabri Apartments</t>
  </si>
  <si>
    <t xml:space="preserve">Distance from city centre: </t>
  </si>
  <si>
    <t>2.2Km from Kandivali Railway Station</t>
  </si>
  <si>
    <t>Accessibility to the Project from the City: (Proximity to civic amenities like school, hospital, market, etc.)</t>
  </si>
  <si>
    <t>all available at  1 to 2 km.</t>
  </si>
  <si>
    <t>Does property have Electricity / Water / Drainage Connection</t>
  </si>
  <si>
    <t>Yes</t>
  </si>
  <si>
    <t>Class of locality</t>
  </si>
  <si>
    <t>Upper Class</t>
  </si>
  <si>
    <t>Nature of land with topographical condtion</t>
  </si>
  <si>
    <t>Plane</t>
  </si>
  <si>
    <t xml:space="preserve">Nature of the locality </t>
  </si>
  <si>
    <t>Developed</t>
  </si>
  <si>
    <t>Quality of infrastructure in vicinity</t>
  </si>
  <si>
    <t>Good</t>
  </si>
  <si>
    <t>Type of Structure</t>
  </si>
  <si>
    <t>RCC Frame Structure</t>
  </si>
  <si>
    <t xml:space="preserve">Approved usage of the Property:                                                                                                                                             </t>
  </si>
  <si>
    <t>Residential</t>
  </si>
  <si>
    <t>Restrictive Covenants in regard to Land Use</t>
  </si>
  <si>
    <t>No</t>
  </si>
  <si>
    <t>Boundries</t>
  </si>
  <si>
    <t>As per deed</t>
  </si>
  <si>
    <t>At site</t>
  </si>
  <si>
    <t>East</t>
  </si>
  <si>
    <t>NA</t>
  </si>
  <si>
    <t>Cross Road Number 4</t>
  </si>
  <si>
    <t>West</t>
  </si>
  <si>
    <t>North</t>
  </si>
  <si>
    <t>South</t>
  </si>
  <si>
    <t>Open Space</t>
  </si>
  <si>
    <t>Does the boundaries at site match, as mentioned in the Docoumentation: NA</t>
  </si>
  <si>
    <t>Latitude, Longitude</t>
  </si>
  <si>
    <t>19.1987923,72.8544986</t>
  </si>
  <si>
    <t>Location Link</t>
  </si>
  <si>
    <t>https://goo.gl/maps/YY4SExQdr9CdgRYY9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</si>
  <si>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</si>
  <si>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</si>
  <si>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</si>
  <si>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</si>
  <si>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</si>
  <si>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(Sq.Mt)</t>
  </si>
  <si>
    <t>Total number of Buildings</t>
  </si>
  <si>
    <t>02 Wings</t>
  </si>
  <si>
    <t xml:space="preserve">Approval Detail : Plan approval </t>
  </si>
  <si>
    <t xml:space="preserve">Layout Approval No     </t>
  </si>
  <si>
    <t>CE/A-4112/BP(WS)/AR</t>
  </si>
  <si>
    <t>Dated</t>
  </si>
  <si>
    <t>31/03/2023.</t>
  </si>
  <si>
    <t xml:space="preserve">Approved Floor plan No.  </t>
  </si>
  <si>
    <t>Commencement Certificate No.
Valid Up to:</t>
  </si>
  <si>
    <t>CHE/A-4112/BP(WS)/AR/FCC/3/Amend</t>
  </si>
  <si>
    <t>10/02/2022.</t>
  </si>
  <si>
    <t>The CC is hereby extended for Wing -A- up to top of 21st  Floor &amp; Wing-B- full C.C. up to 39th Floor as per plans approval dated 17.08.2021.</t>
  </si>
  <si>
    <t xml:space="preserve">Valid upto date: </t>
  </si>
  <si>
    <t>09/02/2023.</t>
  </si>
  <si>
    <t>Commencement Certificate No.
Valid Up to:</t>
  </si>
  <si>
    <t>CHE/A-4112/BP(WS)/AR/FCC/5/Amend</t>
  </si>
  <si>
    <t>06/04/2023.</t>
  </si>
  <si>
    <t>This C.C. is granted and extended further for entire work of Wing -A i.e. up to top of 39th floor + OHT &amp; LMR as per approved amended plans dated 31.03.2023.</t>
  </si>
  <si>
    <t>12/12/2023.</t>
  </si>
  <si>
    <t xml:space="preserve">O. Certificate No.: </t>
  </si>
  <si>
    <t xml:space="preserve">Date of approval: </t>
  </si>
  <si>
    <t>Building wise Construction details</t>
  </si>
  <si>
    <t>Approved area of building (Sq.Mt)</t>
  </si>
  <si>
    <t>Approved no of units</t>
  </si>
  <si>
    <t>Flats = 371, Shops = 8</t>
  </si>
  <si>
    <t>Approved no of Floors</t>
  </si>
  <si>
    <t>Wing A = 2 Basement + Ground/Stilt + 1st to 3rd Floor(Podium) + 4th Stilt Floor (Pod+Resi.) + 5th to 37th Floor + 39th Floor
Wing B = 2 Basement + Ground/Stilt + 1st to 3rd Floor(Podium) + 4th Stilt Floor (Pod+Resi.) + 5th to 39th Floor</t>
  </si>
  <si>
    <t>Proposed no of Floors</t>
  </si>
  <si>
    <t xml:space="preserve">Wing A &amp; B = 2 Basement + Ground/Stilt + 1st to 3rd Floor(Podium) + 4th Stilt Floor (Pod+Resi.) + 5th to 39th Floor
</t>
  </si>
  <si>
    <t>Expected Completion</t>
  </si>
  <si>
    <t>Projected life of the structure</t>
  </si>
  <si>
    <t>60 Years After Completion</t>
  </si>
  <si>
    <t xml:space="preserve">Quality of construction: </t>
  </si>
  <si>
    <t xml:space="preserve">Material laying at Site: </t>
  </si>
  <si>
    <t>Cement, Aggregate, Steel, etc</t>
  </si>
  <si>
    <t>Construction details:</t>
  </si>
  <si>
    <t>Wing A = 2 Basement + Ground/Stilt + 1st to 3rd Floor(Podium) + 4th Stilt Floor (Pod+Resi.) + 5th to 39th Floor</t>
  </si>
  <si>
    <t>All work Completed. Provide OC.</t>
  </si>
  <si>
    <t>Basement</t>
  </si>
  <si>
    <t>Ground</t>
  </si>
  <si>
    <t>Podium</t>
  </si>
  <si>
    <t>Floors</t>
  </si>
  <si>
    <t>All work Completed. OC Received.</t>
  </si>
  <si>
    <t xml:space="preserve">Stage of construction: </t>
  </si>
  <si>
    <t>Piling Work in process</t>
  </si>
  <si>
    <t>Type of Work</t>
  </si>
  <si>
    <t>Slab/Floor</t>
  </si>
  <si>
    <t>Complition %</t>
  </si>
  <si>
    <t>Progress %</t>
  </si>
  <si>
    <t>Disbursement %</t>
  </si>
  <si>
    <t>Excavation in process</t>
  </si>
  <si>
    <t>Excavation</t>
  </si>
  <si>
    <t>Excavation Completed</t>
  </si>
  <si>
    <t>Plinth</t>
  </si>
  <si>
    <t>Footing in Process</t>
  </si>
  <si>
    <t xml:space="preserve">RCC </t>
  </si>
  <si>
    <t>Footing Completed</t>
  </si>
  <si>
    <t>Brickwork</t>
  </si>
  <si>
    <t>Brickwork &amp; Internal Plaster</t>
  </si>
  <si>
    <t>Basement 1</t>
  </si>
  <si>
    <t>Internal Plaster</t>
  </si>
  <si>
    <t>Basement 2</t>
  </si>
  <si>
    <t>Ext. Plaster &amp; Plumbing</t>
  </si>
  <si>
    <t>External Plaster &amp; Plumbing</t>
  </si>
  <si>
    <t>Basement 3</t>
  </si>
  <si>
    <t>Flooring &amp; Fitting</t>
  </si>
  <si>
    <t>Basement 4</t>
  </si>
  <si>
    <t>Painting &amp; Wooden</t>
  </si>
  <si>
    <t>Plinth in process</t>
  </si>
  <si>
    <t>Building Common Amenities</t>
  </si>
  <si>
    <t>Plinth completed</t>
  </si>
  <si>
    <t>Possession</t>
  </si>
  <si>
    <t>Wing B = 2 Basement + Ground/Stilt + 1st to 3rd Floor(Podium) + 4th Stilt Floor (Pod+Resi.) + 5th to 39th Floor</t>
  </si>
  <si>
    <t>Wheather the construction is as per approved Building plan : Under Construction</t>
  </si>
  <si>
    <t>Violations Observed if any : NA</t>
  </si>
  <si>
    <r>
      <rPr>
        <b/>
        <sz val="12"/>
        <rFont val="Times New Roman"/>
        <family val="1"/>
      </rP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</si>
  <si>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</si>
  <si>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Rates of the Property :</t>
  </si>
  <si>
    <t>Other Charges are added by Gaurav on 28/01/2022</t>
  </si>
  <si>
    <t>Recommended rate of the flat Per Sq. Ft. ( on Saleable area)</t>
  </si>
  <si>
    <t>Recommended rate of the shop Per Sq. Ft. ( on Saleable area)</t>
  </si>
  <si>
    <t>Floor Rise Rate Per Sq.ft</t>
  </si>
  <si>
    <t>EMP Charges</t>
  </si>
  <si>
    <t>Infrastructure Charges</t>
  </si>
  <si>
    <t>Documentation Charges</t>
  </si>
  <si>
    <t>Gas Connection Charges</t>
  </si>
  <si>
    <t>Water, Electricity, Drainages, Sewerage Connection</t>
  </si>
  <si>
    <t>Society Formation Charges</t>
  </si>
  <si>
    <t>Advance Maintenance Charges</t>
  </si>
  <si>
    <t xml:space="preserve">Recommended rate of Parking </t>
  </si>
  <si>
    <t>Distressed valuation of the Property</t>
  </si>
  <si>
    <t>Commercial Area Details :</t>
  </si>
  <si>
    <t>Building &amp; Wing</t>
  </si>
  <si>
    <t>No. of Units</t>
  </si>
  <si>
    <t>Total Carpet Area</t>
  </si>
  <si>
    <t>Total Saleable Area</t>
  </si>
  <si>
    <t>A Wing</t>
  </si>
  <si>
    <t>Residential Area Details :</t>
  </si>
  <si>
    <t>B Wing</t>
  </si>
  <si>
    <t>Total</t>
  </si>
  <si>
    <t>Building details Floor Wise</t>
  </si>
  <si>
    <t xml:space="preserve">Details of Flats in Building   </t>
  </si>
  <si>
    <t>Flat/Shop No.</t>
  </si>
  <si>
    <t>Description</t>
  </si>
  <si>
    <t>Gross Carpet area</t>
  </si>
  <si>
    <t>Attached Terrace area</t>
  </si>
  <si>
    <t>Saleable area</t>
  </si>
  <si>
    <t>Floor</t>
  </si>
  <si>
    <t>1st &amp; 2nd Basement Floor for Parking</t>
  </si>
  <si>
    <t>Ground Floor + 1st For Commercial &amp; Parking</t>
  </si>
  <si>
    <r>
      <rPr>
        <sz val="12"/>
        <rFont val="Times New Roman"/>
        <family val="1"/>
      </rPr>
      <t xml:space="preserve">Shop
</t>
    </r>
    <r>
      <rPr>
        <sz val="11"/>
        <rFont val="Times New Roman"/>
        <family val="1"/>
      </rPr>
      <t>(Duplex G+1)</t>
    </r>
  </si>
  <si>
    <t>2nd &amp; 3rd Floor For  Parking</t>
  </si>
  <si>
    <t>4th Floor for Amenities &amp; Residential</t>
  </si>
  <si>
    <t>3BHK</t>
  </si>
  <si>
    <t>Void</t>
  </si>
  <si>
    <t>Fitness Center</t>
  </si>
  <si>
    <t>5th Floor for Residential</t>
  </si>
  <si>
    <t>2.5BHK</t>
  </si>
  <si>
    <t>2BHK</t>
  </si>
  <si>
    <t xml:space="preserve">   </t>
  </si>
  <si>
    <t xml:space="preserve">6th &amp; 13th Floor </t>
  </si>
  <si>
    <t>4BHK
(Duplex to 7th &amp; 14th Floor)</t>
  </si>
  <si>
    <t>7th &amp; 14 Floor (Part Refuge Area)</t>
  </si>
  <si>
    <t>Duplex to 6th &amp; 13th Floor</t>
  </si>
  <si>
    <t>Refuge Area</t>
  </si>
  <si>
    <t xml:space="preserve">8th to 12th Floor </t>
  </si>
  <si>
    <t xml:space="preserve">15th Floor </t>
  </si>
  <si>
    <t xml:space="preserve">16th to 19th, 22nd to 24th Floor </t>
  </si>
  <si>
    <t xml:space="preserve">20th Floor </t>
  </si>
  <si>
    <t>4BHK
(Duplex to 21st Floor)</t>
  </si>
  <si>
    <t>21st Floor (Part Refuge Area)</t>
  </si>
  <si>
    <t>(Duplex to 20th Floor)</t>
  </si>
  <si>
    <t>25th Floor</t>
  </si>
  <si>
    <t>26th &amp; 29th Floor</t>
  </si>
  <si>
    <t>27th Floor</t>
  </si>
  <si>
    <t>4BHK
(Duplex to 28th Floor)</t>
  </si>
  <si>
    <t>28th Floor (Part Refuge Area)</t>
  </si>
  <si>
    <t>(Duplex to 27th Floor)</t>
  </si>
  <si>
    <t>30th &amp; 31st Floor</t>
  </si>
  <si>
    <t>35th Floor (Part Refuge Area)</t>
  </si>
  <si>
    <t>32nd to 34th &amp; 36th to 39th Floor</t>
  </si>
  <si>
    <t>Ground Floor For Parking</t>
  </si>
  <si>
    <t>4th Floor For Amenities &amp; Residential</t>
  </si>
  <si>
    <t>4BHK</t>
  </si>
  <si>
    <t>5th Floor</t>
  </si>
  <si>
    <t>6th &amp; 13th Floor</t>
  </si>
  <si>
    <t>7th &amp; 14th Floor (Part Refuge Area)</t>
  </si>
  <si>
    <t>8th to 12th Floor</t>
  </si>
  <si>
    <t>13th Floor</t>
  </si>
  <si>
    <t>4BHK
(Duplex to 14th Floor)</t>
  </si>
  <si>
    <t>13th + 14th Floor</t>
  </si>
  <si>
    <t>14th Floor (Part Refuge Area)</t>
  </si>
  <si>
    <t>Duplex to 13th Floor</t>
  </si>
  <si>
    <t>15th Floor</t>
  </si>
  <si>
    <t>16th to 19th, 22nd to 24th Floor</t>
  </si>
  <si>
    <t>20th Floor</t>
  </si>
  <si>
    <t>Duplex to 20th Floor</t>
  </si>
  <si>
    <t>3BHK
(Duplex to 28th Floor)</t>
  </si>
  <si>
    <t>Duplex to 27th Floor</t>
  </si>
  <si>
    <t>30th to 34th &amp; 36th to 39th Floor</t>
  </si>
  <si>
    <t xml:space="preserve">Remarks:  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</si>
  <si>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</si>
  <si>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</si>
  <si>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</si>
  <si>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</si>
  <si>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</si>
  <si>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</si>
  <si>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</si>
  <si>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>Inspected By :</t>
  </si>
  <si>
    <t>Report prepared</t>
  </si>
  <si>
    <t>Authorized Signatory
Name &amp; Seal of the agency</t>
  </si>
  <si>
    <t xml:space="preserve">PHOTOGRAPHS OF PROPERTY : 
</t>
  </si>
  <si>
    <t>Google Map :</t>
  </si>
  <si>
    <t>29/10/2020.</t>
  </si>
  <si>
    <t>Dhanashree</t>
  </si>
  <si>
    <t>Old APF</t>
  </si>
  <si>
    <t>rate has not Changed.</t>
  </si>
  <si>
    <t>03/03/2021.</t>
  </si>
  <si>
    <t>asmi</t>
  </si>
  <si>
    <t>sanket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</si>
  <si>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</si>
  <si>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</si>
  <si>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</si>
  <si>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</si>
  <si>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</si>
  <si>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</si>
  <si>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</si>
  <si>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</si>
  <si>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A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</si>
  <si>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</si>
  <si>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</si>
  <si>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</si>
  <si>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</si>
  <si>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</si>
  <si>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</si>
  <si>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</si>
  <si>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</si>
  <si>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</si>
  <si>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</si>
  <si>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</si>
  <si>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</si>
  <si>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</si>
  <si>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</si>
  <si>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Market Research Data</t>
  </si>
  <si>
    <t>Source</t>
  </si>
  <si>
    <t>Distance from proposed property</t>
  </si>
  <si>
    <t>Net Carpet</t>
  </si>
  <si>
    <t>Saleable Area</t>
  </si>
  <si>
    <t>Rate on Saleable</t>
  </si>
  <si>
    <t>Market Value</t>
  </si>
  <si>
    <t>99acres</t>
  </si>
  <si>
    <t xml:space="preserve">Kalpataru Vienta </t>
  </si>
  <si>
    <t>housing</t>
  </si>
  <si>
    <t>Average</t>
  </si>
  <si>
    <t xml:space="preserve">Valuation Adopted </t>
  </si>
  <si>
    <t>Approved Plans, CC, OC Wing B</t>
  </si>
  <si>
    <t>CHE/A-4112/BP(WS)/AR/OCC/1/New
Wing B = 2nd Basement (pt) +1st Basement (pt) + Ground /stilt (Part) + 1st Podium (part) + 2nd to 3rd Podium (part) / Resi + 4th Podium (part) / Stilt / Resi +5th to 39th upper Residential floors</t>
  </si>
  <si>
    <t>Pooja</t>
  </si>
  <si>
    <t>Mr. Bony : 7972958190</t>
  </si>
  <si>
    <t>Sanket Salvi</t>
  </si>
  <si>
    <r>
      <t xml:space="preserve">CHE/A-4112/BP(WS)/AR/OCC/1/New
Approved Upto : </t>
    </r>
    <r>
      <rPr>
        <b/>
        <u/>
        <sz val="12"/>
        <rFont val="Times New Roman"/>
        <family val="1"/>
      </rPr>
      <t>Wing A</t>
    </r>
    <r>
      <rPr>
        <b/>
        <sz val="12"/>
        <rFont val="Times New Roman"/>
        <family val="1"/>
      </rPr>
      <t xml:space="preserve">- 2 basements + Stilt / Ground (shops) + 1st floor (shops) / podium for parking + 2nd podium for parking / residential + 3rd podium for parking / residential + 4th Level for residential flats / podium for Fitness Centre between both the wings/ open to sky Podium for open to sky swimming pool / open to sky badminton court + 5th to 39th upper residential floors and </t>
    </r>
    <r>
      <rPr>
        <b/>
        <u/>
        <sz val="12"/>
        <rFont val="Times New Roman"/>
        <family val="1"/>
      </rPr>
      <t>Wing ‘B’</t>
    </r>
    <r>
      <rPr>
        <b/>
        <sz val="12"/>
        <rFont val="Times New Roman"/>
        <family val="1"/>
      </rPr>
      <t xml:space="preserve"> comprising of - 2 basements + ground / stilt + 1st podium for parking / services + 2nd podium for parking /residential + 3rd podium for parking and residential flats + 4th Level for residential flats / podium for Fitness Centre between both the wings/
open to sky Podium for open to sky swimming pool / open to sky badminton court + 5th to 39th residential floors</t>
    </r>
  </si>
  <si>
    <t>1. A Wing = All work Completed. OC Received.
B Wing = All work Completed. OC Received.
2. We considered  Saleable area  as per our calculation.
3. We considered Carpet area as per Approved Plan.
4. We considered Gross carpet area = Net carpet + Enclose balcony + D.B Area + F.B Area.
5. We have considered rate by verifying it from market inquire.
6. Car parking is subjected to authentic documentation.
7. We have updated latest C.C (on 15/12/2022).
8.  We have updated latest Approved Floor plan (on 24/08/2021).
9. We have updated latest approved floor plans &amp; CC of Wing A &amp; B from MCGM site (On 28/04/2023).
10. We have updated full OC (On 07/08/2025).
7. Details of project are collected from Mr. Bonu Thakkar - 7972958190.
10. The Validity of CC has Expired. Please provide latest CC for Wing A.</t>
  </si>
  <si>
    <t>As per RERA - Tower A : 30/06/2027
                         Tower B :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</si>
</sst>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 * #,##0_ ;_ * \-#,##0_ ;_ * &quot;-&quot;??_ ;_ @_ "/>
  </numFmts>
  <fonts count="22">
    <font>
      <sz val="11"/>
      <color rgb="FF000000"/>
      <name val="Calibri"/>
      <charset val="134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1.5"/>
      <name val="Times New Roman"/>
      <family val="1"/>
    </font>
    <font>
      <b/>
      <sz val="12"/>
      <name val="Times New Roman"/>
      <family val="1"/>
    </font>
    <font>
      <u/>
      <sz val="11"/>
      <color theme="10"/>
      <name val="Calibri"/>
      <family val="2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1"/>
      <color rgb="FF000000"/>
      <name val="Calibri"/>
      <family val="2"/>
    </font>
    <font>
      <b/>
      <u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43" fontId="20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146">
    <xf numFmtId="0" fontId="0" fillId="0" borderId="0" xfId="0"/>
    <xf numFmtId="0" fontId="1" fillId="0" borderId="0" xfId="5"/>
    <xf numFmtId="0" fontId="2" fillId="0" borderId="0" xfId="8"/>
    <xf numFmtId="0" fontId="3" fillId="0" borderId="1" xfId="8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2" fillId="0" borderId="1" xfId="8" applyBorder="1" applyAlignment="1">
      <alignment horizontal="left" vertical="center"/>
    </xf>
    <xf numFmtId="0" fontId="2" fillId="0" borderId="1" xfId="8" applyBorder="1" applyAlignment="1">
      <alignment horizontal="center" vertical="center"/>
    </xf>
    <xf numFmtId="1" fontId="2" fillId="0" borderId="1" xfId="8" applyNumberFormat="1" applyBorder="1" applyAlignment="1">
      <alignment horizontal="center" vertical="center"/>
    </xf>
    <xf numFmtId="165" fontId="2" fillId="0" borderId="1" xfId="3" applyNumberFormat="1" applyFont="1" applyBorder="1" applyAlignment="1">
      <alignment horizontal="right" vertical="center"/>
    </xf>
    <xf numFmtId="0" fontId="3" fillId="0" borderId="1" xfId="8" applyFont="1" applyBorder="1" applyAlignment="1">
      <alignment horizontal="center" vertical="center"/>
    </xf>
    <xf numFmtId="1" fontId="5" fillId="0" borderId="1" xfId="8" applyNumberFormat="1" applyFont="1" applyBorder="1" applyAlignment="1">
      <alignment horizontal="center" vertical="center"/>
    </xf>
    <xf numFmtId="0" fontId="1" fillId="0" borderId="1" xfId="5" applyBorder="1" applyAlignment="1">
      <alignment horizontal="center" vertical="center"/>
    </xf>
    <xf numFmtId="1" fontId="1" fillId="0" borderId="0" xfId="5" applyNumberFormat="1"/>
    <xf numFmtId="0" fontId="1" fillId="0" borderId="0" xfId="5" applyAlignment="1">
      <alignment wrapText="1"/>
    </xf>
    <xf numFmtId="43" fontId="1" fillId="0" borderId="0" xfId="5" applyNumberFormat="1"/>
    <xf numFmtId="0" fontId="6" fillId="0" borderId="0" xfId="5" applyFont="1"/>
    <xf numFmtId="0" fontId="0" fillId="2" borderId="1" xfId="0" applyFill="1" applyBorder="1"/>
    <xf numFmtId="0" fontId="0" fillId="0" borderId="2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/>
    <xf numFmtId="14" fontId="0" fillId="0" borderId="0" xfId="0" applyNumberFormat="1"/>
    <xf numFmtId="0" fontId="7" fillId="0" borderId="0" xfId="7" applyFont="1"/>
    <xf numFmtId="0" fontId="8" fillId="0" borderId="0" xfId="7" applyFont="1"/>
    <xf numFmtId="0" fontId="9" fillId="0" borderId="0" xfId="7" applyFont="1"/>
    <xf numFmtId="0" fontId="10" fillId="0" borderId="0" xfId="4" applyFont="1"/>
    <xf numFmtId="0" fontId="11" fillId="0" borderId="0" xfId="0" applyFont="1" applyAlignment="1">
      <alignment horizontal="center" vertical="center"/>
    </xf>
    <xf numFmtId="0" fontId="11" fillId="0" borderId="0" xfId="7" applyFont="1" applyAlignment="1">
      <alignment horizontal="center" vertical="center"/>
    </xf>
    <xf numFmtId="0" fontId="11" fillId="0" borderId="0" xfId="0" applyFont="1"/>
    <xf numFmtId="0" fontId="11" fillId="0" borderId="0" xfId="7" applyFont="1" applyProtection="1">
      <protection locked="0"/>
    </xf>
    <xf numFmtId="0" fontId="11" fillId="0" borderId="0" xfId="7" applyFont="1"/>
    <xf numFmtId="0" fontId="8" fillId="0" borderId="1" xfId="7" applyFont="1" applyBorder="1" applyAlignment="1" applyProtection="1">
      <alignment horizontal="center" vertical="top"/>
      <protection locked="0"/>
    </xf>
    <xf numFmtId="0" fontId="8" fillId="3" borderId="1" xfId="7" applyFont="1" applyFill="1" applyBorder="1" applyAlignment="1" applyProtection="1">
      <alignment horizontal="left" vertical="top"/>
      <protection locked="0"/>
    </xf>
    <xf numFmtId="0" fontId="8" fillId="3" borderId="1" xfId="7" applyFont="1" applyFill="1" applyBorder="1" applyAlignment="1" applyProtection="1">
      <alignment vertical="top"/>
      <protection locked="0"/>
    </xf>
    <xf numFmtId="0" fontId="8" fillId="3" borderId="1" xfId="7" applyFont="1" applyFill="1" applyBorder="1" applyAlignment="1" applyProtection="1">
      <alignment vertical="top" wrapText="1"/>
      <protection locked="0"/>
    </xf>
    <xf numFmtId="0" fontId="11" fillId="0" borderId="0" xfId="7" applyFont="1" applyProtection="1">
      <protection hidden="1"/>
    </xf>
    <xf numFmtId="0" fontId="11" fillId="0" borderId="6" xfId="7" applyFont="1" applyBorder="1" applyProtection="1">
      <protection hidden="1"/>
    </xf>
    <xf numFmtId="0" fontId="11" fillId="0" borderId="7" xfId="7" applyFont="1" applyBorder="1" applyProtection="1">
      <protection hidden="1"/>
    </xf>
    <xf numFmtId="0" fontId="11" fillId="0" borderId="8" xfId="7" applyFont="1" applyBorder="1" applyProtection="1">
      <protection hidden="1"/>
    </xf>
    <xf numFmtId="0" fontId="15" fillId="0" borderId="0" xfId="0" applyFont="1" applyProtection="1">
      <protection hidden="1"/>
    </xf>
    <xf numFmtId="0" fontId="11" fillId="0" borderId="8" xfId="7" applyFont="1" applyBorder="1"/>
    <xf numFmtId="0" fontId="8" fillId="0" borderId="1" xfId="7" applyFont="1" applyBorder="1" applyAlignment="1" applyProtection="1">
      <alignment horizontal="center" vertical="top" wrapText="1"/>
      <protection locked="0"/>
    </xf>
    <xf numFmtId="0" fontId="8" fillId="0" borderId="1" xfId="7" applyFont="1" applyBorder="1" applyAlignment="1" applyProtection="1">
      <alignment horizontal="center" wrapText="1"/>
      <protection locked="0"/>
    </xf>
    <xf numFmtId="9" fontId="8" fillId="3" borderId="1" xfId="7" applyNumberFormat="1" applyFont="1" applyFill="1" applyBorder="1" applyAlignment="1" applyProtection="1">
      <alignment horizontal="center" vertical="center" wrapText="1"/>
      <protection hidden="1"/>
    </xf>
    <xf numFmtId="1" fontId="8" fillId="0" borderId="1" xfId="7" applyNumberFormat="1" applyFont="1" applyBorder="1" applyAlignment="1" applyProtection="1">
      <alignment horizont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1" fontId="13" fillId="0" borderId="1" xfId="0" applyNumberFormat="1" applyFont="1" applyBorder="1" applyAlignment="1" applyProtection="1">
      <alignment horizontal="center" vertical="center"/>
      <protection locked="0"/>
    </xf>
    <xf numFmtId="1" fontId="13" fillId="0" borderId="1" xfId="7" applyNumberFormat="1" applyFont="1" applyBorder="1" applyAlignment="1" applyProtection="1">
      <alignment horizontal="center" vertical="top" wrapText="1"/>
      <protection locked="0"/>
    </xf>
    <xf numFmtId="1" fontId="16" fillId="0" borderId="1" xfId="7" applyNumberFormat="1" applyFont="1" applyBorder="1" applyAlignment="1" applyProtection="1">
      <alignment horizontal="center" vertical="top" wrapText="1"/>
      <protection locked="0"/>
    </xf>
    <xf numFmtId="1" fontId="8" fillId="0" borderId="1" xfId="7" applyNumberFormat="1" applyFont="1" applyBorder="1" applyAlignment="1" applyProtection="1">
      <alignment horizontal="center" vertical="center" wrapText="1"/>
      <protection locked="0"/>
    </xf>
    <xf numFmtId="1" fontId="8" fillId="0" borderId="1" xfId="7" applyNumberFormat="1" applyFont="1" applyBorder="1" applyAlignment="1" applyProtection="1">
      <alignment horizontal="center" vertical="top" wrapText="1"/>
      <protection locked="0"/>
    </xf>
    <xf numFmtId="9" fontId="15" fillId="0" borderId="0" xfId="0" applyNumberFormat="1" applyFont="1" applyProtection="1">
      <protection hidden="1"/>
    </xf>
    <xf numFmtId="0" fontId="15" fillId="0" borderId="8" xfId="0" applyFont="1" applyBorder="1" applyProtection="1">
      <protection hidden="1"/>
    </xf>
    <xf numFmtId="1" fontId="0" fillId="0" borderId="8" xfId="0" applyNumberFormat="1" applyBorder="1"/>
    <xf numFmtId="1" fontId="0" fillId="0" borderId="0" xfId="0" applyNumberFormat="1"/>
    <xf numFmtId="166" fontId="0" fillId="0" borderId="0" xfId="0" applyNumberFormat="1"/>
    <xf numFmtId="1" fontId="0" fillId="0" borderId="8" xfId="0" applyNumberFormat="1" applyBorder="1" applyAlignment="1">
      <alignment horizontal="right"/>
    </xf>
    <xf numFmtId="0" fontId="0" fillId="0" borderId="8" xfId="0" applyBorder="1"/>
    <xf numFmtId="0" fontId="15" fillId="0" borderId="15" xfId="0" applyFont="1" applyBorder="1" applyProtection="1">
      <protection hidden="1"/>
    </xf>
    <xf numFmtId="9" fontId="15" fillId="0" borderId="15" xfId="0" applyNumberFormat="1" applyFont="1" applyBorder="1" applyProtection="1">
      <protection hidden="1"/>
    </xf>
    <xf numFmtId="1" fontId="0" fillId="0" borderId="16" xfId="0" applyNumberFormat="1" applyBorder="1"/>
    <xf numFmtId="0" fontId="11" fillId="2" borderId="0" xfId="7" applyFont="1" applyFill="1"/>
    <xf numFmtId="1" fontId="11" fillId="0" borderId="0" xfId="7" applyNumberFormat="1" applyFont="1"/>
    <xf numFmtId="1" fontId="11" fillId="0" borderId="1" xfId="7" applyNumberFormat="1" applyFont="1" applyBorder="1" applyAlignment="1">
      <alignment horizontal="center" vertical="center"/>
    </xf>
    <xf numFmtId="2" fontId="11" fillId="0" borderId="0" xfId="7" applyNumberFormat="1" applyFont="1"/>
    <xf numFmtId="0" fontId="18" fillId="0" borderId="0" xfId="7" applyFont="1" applyAlignment="1" applyProtection="1">
      <alignment vertical="top"/>
      <protection locked="0"/>
    </xf>
    <xf numFmtId="0" fontId="18" fillId="0" borderId="0" xfId="7" applyFont="1" applyAlignment="1" applyProtection="1">
      <alignment vertical="top" wrapText="1"/>
      <protection locked="0"/>
    </xf>
    <xf numFmtId="1" fontId="11" fillId="0" borderId="0" xfId="7" applyNumberFormat="1" applyFont="1" applyAlignment="1">
      <alignment horizontal="right"/>
    </xf>
    <xf numFmtId="0" fontId="19" fillId="0" borderId="0" xfId="7" applyFont="1" applyProtection="1">
      <protection locked="0"/>
    </xf>
    <xf numFmtId="0" fontId="13" fillId="3" borderId="1" xfId="7" applyFont="1" applyFill="1" applyBorder="1" applyAlignment="1" applyProtection="1">
      <alignment horizontal="left" vertical="top"/>
      <protection locked="0"/>
    </xf>
    <xf numFmtId="0" fontId="19" fillId="0" borderId="0" xfId="7" applyFont="1"/>
    <xf numFmtId="1" fontId="8" fillId="0" borderId="1" xfId="7" applyNumberFormat="1" applyFont="1" applyBorder="1" applyAlignment="1" applyProtection="1">
      <alignment horizontal="center" vertical="center" wrapText="1"/>
      <protection locked="0"/>
    </xf>
    <xf numFmtId="1" fontId="8" fillId="0" borderId="1" xfId="7" applyNumberFormat="1" applyFont="1" applyBorder="1" applyAlignment="1" applyProtection="1">
      <alignment horizontal="center" vertical="top" wrapText="1"/>
      <protection locked="0"/>
    </xf>
    <xf numFmtId="1" fontId="8" fillId="0" borderId="1" xfId="7" applyNumberFormat="1" applyFont="1" applyBorder="1" applyAlignment="1" applyProtection="1">
      <alignment horizontal="center" vertical="center" wrapText="1"/>
      <protection locked="0"/>
    </xf>
    <xf numFmtId="1" fontId="8" fillId="0" borderId="1" xfId="7" applyNumberFormat="1" applyFont="1" applyBorder="1" applyAlignment="1" applyProtection="1">
      <alignment horizontal="center" vertical="top" wrapText="1"/>
      <protection locked="0"/>
    </xf>
    <xf numFmtId="0" fontId="13" fillId="3" borderId="1" xfId="7" applyFont="1" applyFill="1" applyBorder="1" applyAlignment="1" applyProtection="1">
      <alignment horizontal="left" vertical="top"/>
      <protection locked="0"/>
    </xf>
    <xf numFmtId="0" fontId="8" fillId="0" borderId="1" xfId="7" applyFont="1" applyBorder="1" applyAlignment="1" applyProtection="1">
      <alignment horizontal="center" vertical="top"/>
      <protection locked="0"/>
    </xf>
    <xf numFmtId="0" fontId="8" fillId="0" borderId="1" xfId="7" applyFont="1" applyBorder="1" applyAlignment="1" applyProtection="1">
      <alignment horizontal="center" vertical="top" wrapText="1"/>
      <protection locked="0"/>
    </xf>
    <xf numFmtId="9" fontId="8" fillId="3" borderId="1" xfId="7" applyNumberFormat="1" applyFont="1" applyFill="1" applyBorder="1" applyAlignment="1" applyProtection="1">
      <alignment horizontal="center" vertical="center" wrapText="1"/>
      <protection hidden="1"/>
    </xf>
    <xf numFmtId="0" fontId="13" fillId="0" borderId="9" xfId="7" applyFont="1" applyBorder="1" applyAlignment="1" applyProtection="1">
      <alignment horizontal="center" vertical="center"/>
      <protection locked="0"/>
    </xf>
    <xf numFmtId="0" fontId="13" fillId="0" borderId="10" xfId="7" applyFont="1" applyBorder="1" applyAlignment="1" applyProtection="1">
      <alignment horizontal="center" vertical="center"/>
      <protection locked="0"/>
    </xf>
    <xf numFmtId="0" fontId="13" fillId="0" borderId="13" xfId="7" applyFont="1" applyBorder="1" applyAlignment="1" applyProtection="1">
      <alignment horizontal="center" vertical="center"/>
      <protection locked="0"/>
    </xf>
    <xf numFmtId="0" fontId="13" fillId="0" borderId="14" xfId="7" applyFont="1" applyBorder="1" applyAlignment="1" applyProtection="1">
      <alignment horizontal="center" vertical="center"/>
      <protection locked="0"/>
    </xf>
    <xf numFmtId="9" fontId="13" fillId="0" borderId="9" xfId="7" applyNumberFormat="1" applyFont="1" applyBorder="1" applyAlignment="1" applyProtection="1">
      <alignment horizontal="center" vertical="center" wrapText="1"/>
      <protection locked="0"/>
    </xf>
    <xf numFmtId="0" fontId="13" fillId="0" borderId="10" xfId="7" applyFont="1" applyBorder="1" applyAlignment="1" applyProtection="1">
      <alignment horizontal="center" vertical="center" wrapText="1"/>
      <protection locked="0"/>
    </xf>
    <xf numFmtId="0" fontId="13" fillId="0" borderId="13" xfId="7" applyFont="1" applyBorder="1" applyAlignment="1" applyProtection="1">
      <alignment horizontal="center" vertical="center" wrapText="1"/>
      <protection locked="0"/>
    </xf>
    <xf numFmtId="0" fontId="13" fillId="0" borderId="14" xfId="7" applyFont="1" applyBorder="1" applyAlignment="1" applyProtection="1">
      <alignment horizontal="center" vertical="center" wrapText="1"/>
      <protection locked="0"/>
    </xf>
    <xf numFmtId="0" fontId="13" fillId="0" borderId="9" xfId="7" applyFont="1" applyBorder="1" applyAlignment="1" applyProtection="1">
      <alignment horizontal="center" vertical="center" wrapText="1"/>
      <protection locked="0"/>
    </xf>
    <xf numFmtId="0" fontId="8" fillId="0" borderId="1" xfId="7" applyFont="1" applyBorder="1" applyAlignment="1" applyProtection="1">
      <alignment horizontal="left" vertical="top" wrapText="1"/>
      <protection locked="0"/>
    </xf>
    <xf numFmtId="0" fontId="8" fillId="0" borderId="1" xfId="7" applyFont="1" applyBorder="1" applyAlignment="1" applyProtection="1">
      <alignment horizontal="left" vertical="top"/>
      <protection locked="0"/>
    </xf>
    <xf numFmtId="0" fontId="13" fillId="0" borderId="1" xfId="7" applyFont="1" applyBorder="1" applyAlignment="1" applyProtection="1">
      <alignment horizontal="center" vertical="top" wrapText="1"/>
      <protection locked="0"/>
    </xf>
    <xf numFmtId="1" fontId="8" fillId="0" borderId="1" xfId="7" applyNumberFormat="1" applyFont="1" applyBorder="1" applyAlignment="1" applyProtection="1">
      <alignment horizontal="center" vertical="center" wrapText="1"/>
      <protection locked="0"/>
    </xf>
    <xf numFmtId="1" fontId="8" fillId="0" borderId="9" xfId="7" applyNumberFormat="1" applyFont="1" applyBorder="1" applyAlignment="1" applyProtection="1">
      <alignment horizontal="center" vertical="center" wrapText="1"/>
      <protection locked="0"/>
    </xf>
    <xf numFmtId="1" fontId="8" fillId="0" borderId="10" xfId="7" applyNumberFormat="1" applyFont="1" applyBorder="1" applyAlignment="1" applyProtection="1">
      <alignment horizontal="center" vertical="center" wrapText="1"/>
      <protection locked="0"/>
    </xf>
    <xf numFmtId="1" fontId="8" fillId="0" borderId="11" xfId="7" applyNumberFormat="1" applyFont="1" applyBorder="1" applyAlignment="1" applyProtection="1">
      <alignment horizontal="center" vertical="center" wrapText="1"/>
      <protection locked="0"/>
    </xf>
    <xf numFmtId="1" fontId="8" fillId="0" borderId="12" xfId="7" applyNumberFormat="1" applyFont="1" applyBorder="1" applyAlignment="1" applyProtection="1">
      <alignment horizontal="center" vertical="center" wrapText="1"/>
      <protection locked="0"/>
    </xf>
    <xf numFmtId="1" fontId="8" fillId="0" borderId="13" xfId="7" applyNumberFormat="1" applyFont="1" applyBorder="1" applyAlignment="1" applyProtection="1">
      <alignment horizontal="center" vertical="center" wrapText="1"/>
      <protection locked="0"/>
    </xf>
    <xf numFmtId="1" fontId="8" fillId="0" borderId="14" xfId="7" applyNumberFormat="1" applyFont="1" applyBorder="1" applyAlignment="1" applyProtection="1">
      <alignment horizontal="center" vertical="center" wrapText="1"/>
      <protection locked="0"/>
    </xf>
    <xf numFmtId="0" fontId="17" fillId="0" borderId="1" xfId="7" applyFont="1" applyBorder="1" applyAlignment="1" applyProtection="1">
      <alignment horizontal="center" vertical="top" wrapText="1"/>
      <protection locked="0"/>
    </xf>
    <xf numFmtId="1" fontId="8" fillId="0" borderId="1" xfId="7" applyNumberFormat="1" applyFont="1" applyBorder="1" applyAlignment="1" applyProtection="1">
      <alignment horizontal="center" vertical="top" wrapText="1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1" xfId="4" applyFont="1" applyBorder="1" applyAlignment="1" applyProtection="1">
      <alignment horizontal="left" vertical="top" wrapText="1"/>
      <protection locked="0"/>
    </xf>
    <xf numFmtId="0" fontId="8" fillId="0" borderId="1" xfId="7" applyFont="1" applyBorder="1" applyAlignment="1" applyProtection="1">
      <alignment vertical="top"/>
      <protection locked="0"/>
    </xf>
    <xf numFmtId="1" fontId="13" fillId="0" borderId="1" xfId="7" applyNumberFormat="1" applyFont="1" applyBorder="1" applyAlignment="1" applyProtection="1">
      <alignment horizontal="center" vertical="center" wrapText="1"/>
      <protection locked="0"/>
    </xf>
    <xf numFmtId="1" fontId="8" fillId="0" borderId="3" xfId="7" applyNumberFormat="1" applyFont="1" applyBorder="1" applyAlignment="1" applyProtection="1">
      <alignment horizontal="center" vertical="top" wrapText="1"/>
      <protection locked="0"/>
    </xf>
    <xf numFmtId="1" fontId="8" fillId="0" borderId="4" xfId="7" applyNumberFormat="1" applyFont="1" applyBorder="1" applyAlignment="1" applyProtection="1">
      <alignment horizontal="center" vertical="top" wrapText="1"/>
      <protection locked="0"/>
    </xf>
    <xf numFmtId="1" fontId="8" fillId="0" borderId="5" xfId="7" applyNumberFormat="1" applyFont="1" applyBorder="1" applyAlignment="1" applyProtection="1">
      <alignment horizontal="center" vertical="top" wrapText="1"/>
      <protection locked="0"/>
    </xf>
    <xf numFmtId="1" fontId="8" fillId="0" borderId="17" xfId="7" applyNumberFormat="1" applyFont="1" applyBorder="1" applyAlignment="1" applyProtection="1">
      <alignment horizontal="center" vertical="center" wrapText="1"/>
      <protection locked="0"/>
    </xf>
    <xf numFmtId="1" fontId="8" fillId="0" borderId="2" xfId="7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7" applyFont="1" applyBorder="1" applyAlignment="1" applyProtection="1">
      <alignment horizontal="center" vertical="top"/>
      <protection locked="0"/>
    </xf>
    <xf numFmtId="1" fontId="13" fillId="0" borderId="1" xfId="7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67" fontId="8" fillId="3" borderId="1" xfId="1" applyNumberFormat="1" applyFont="1" applyFill="1" applyBorder="1" applyAlignment="1" applyProtection="1">
      <alignment horizontal="left" vertical="top"/>
      <protection locked="0"/>
    </xf>
    <xf numFmtId="0" fontId="13" fillId="0" borderId="1" xfId="7" applyFont="1" applyBorder="1" applyAlignment="1" applyProtection="1">
      <alignment horizontal="left" vertical="top"/>
      <protection locked="0"/>
    </xf>
    <xf numFmtId="0" fontId="8" fillId="0" borderId="1" xfId="7" applyFont="1" applyBorder="1" applyAlignment="1" applyProtection="1">
      <alignment horizontal="center" vertical="top" wrapText="1"/>
      <protection locked="0"/>
    </xf>
    <xf numFmtId="0" fontId="13" fillId="0" borderId="1" xfId="7" applyFont="1" applyBorder="1" applyAlignment="1" applyProtection="1">
      <alignment horizontal="left" vertical="top" wrapText="1"/>
      <protection locked="0"/>
    </xf>
    <xf numFmtId="9" fontId="8" fillId="3" borderId="1" xfId="7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7" applyFont="1" applyBorder="1" applyAlignment="1" applyProtection="1">
      <alignment horizontal="center" vertical="top"/>
      <protection locked="0"/>
    </xf>
    <xf numFmtId="0" fontId="13" fillId="0" borderId="1" xfId="7" applyFont="1" applyBorder="1" applyAlignment="1" applyProtection="1">
      <alignment vertical="top"/>
      <protection locked="0"/>
    </xf>
    <xf numFmtId="0" fontId="8" fillId="3" borderId="1" xfId="7" applyFont="1" applyFill="1" applyBorder="1" applyAlignment="1" applyProtection="1">
      <alignment horizontal="left" vertical="top" wrapText="1"/>
      <protection locked="0"/>
    </xf>
    <xf numFmtId="14" fontId="8" fillId="3" borderId="1" xfId="7" applyNumberFormat="1" applyFont="1" applyFill="1" applyBorder="1" applyAlignment="1" applyProtection="1">
      <alignment horizontal="left" vertical="top"/>
      <protection locked="0"/>
    </xf>
    <xf numFmtId="14" fontId="8" fillId="3" borderId="1" xfId="7" applyNumberFormat="1" applyFont="1" applyFill="1" applyBorder="1" applyAlignment="1" applyProtection="1">
      <alignment horizontal="left" vertical="top" wrapText="1"/>
      <protection locked="0"/>
    </xf>
    <xf numFmtId="0" fontId="13" fillId="3" borderId="1" xfId="7" applyFont="1" applyFill="1" applyBorder="1" applyAlignment="1" applyProtection="1">
      <alignment horizontal="left" vertical="top" wrapText="1"/>
      <protection locked="0"/>
    </xf>
    <xf numFmtId="0" fontId="13" fillId="3" borderId="1" xfId="7" applyFont="1" applyFill="1" applyBorder="1" applyAlignment="1" applyProtection="1">
      <alignment horizontal="left" vertical="top"/>
      <protection locked="0"/>
    </xf>
    <xf numFmtId="14" fontId="13" fillId="0" borderId="1" xfId="7" applyNumberFormat="1" applyFont="1" applyBorder="1" applyAlignment="1" applyProtection="1">
      <alignment horizontal="left" vertical="top" wrapText="1"/>
      <protection locked="0"/>
    </xf>
    <xf numFmtId="14" fontId="8" fillId="0" borderId="1" xfId="7" applyNumberFormat="1" applyFont="1" applyBorder="1" applyAlignment="1" applyProtection="1">
      <alignment horizontal="left" vertical="top" wrapText="1"/>
      <protection locked="0"/>
    </xf>
    <xf numFmtId="2" fontId="8" fillId="0" borderId="1" xfId="7" applyNumberFormat="1" applyFont="1" applyBorder="1" applyAlignment="1" applyProtection="1">
      <alignment horizontal="left" vertical="top" wrapText="1"/>
      <protection locked="0"/>
    </xf>
    <xf numFmtId="166" fontId="8" fillId="0" borderId="1" xfId="7" applyNumberFormat="1" applyFont="1" applyBorder="1" applyAlignment="1" applyProtection="1">
      <alignment horizontal="left" vertical="top"/>
      <protection locked="0"/>
    </xf>
    <xf numFmtId="2" fontId="8" fillId="0" borderId="1" xfId="7" applyNumberFormat="1" applyFont="1" applyBorder="1" applyAlignment="1" applyProtection="1">
      <alignment horizontal="left" vertical="top"/>
      <protection locked="0"/>
    </xf>
    <xf numFmtId="0" fontId="8" fillId="0" borderId="1" xfId="7" applyFont="1" applyBorder="1" applyAlignment="1" applyProtection="1">
      <alignment horizontal="center"/>
      <protection locked="0"/>
    </xf>
    <xf numFmtId="0" fontId="8" fillId="0" borderId="1" xfId="7" applyFont="1" applyBorder="1" applyAlignment="1" applyProtection="1">
      <alignment horizontal="left"/>
      <protection locked="0"/>
    </xf>
    <xf numFmtId="0" fontId="14" fillId="0" borderId="1" xfId="2" applyBorder="1" applyAlignment="1" applyProtection="1">
      <alignment horizontal="left"/>
      <protection locked="0"/>
    </xf>
    <xf numFmtId="0" fontId="8" fillId="0" borderId="1" xfId="7" applyFont="1" applyBorder="1" applyAlignment="1" applyProtection="1">
      <alignment horizontal="left" vertical="center" wrapText="1"/>
      <protection locked="0"/>
    </xf>
    <xf numFmtId="0" fontId="13" fillId="0" borderId="1" xfId="7" applyFont="1" applyBorder="1" applyAlignment="1" applyProtection="1">
      <alignment horizontal="center"/>
      <protection locked="0"/>
    </xf>
    <xf numFmtId="0" fontId="12" fillId="0" borderId="1" xfId="7" applyFont="1" applyBorder="1" applyAlignment="1" applyProtection="1">
      <alignment horizontal="center" vertical="top" wrapText="1"/>
      <protection locked="0"/>
    </xf>
    <xf numFmtId="14" fontId="8" fillId="0" borderId="1" xfId="7" applyNumberFormat="1" applyFont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8" applyFont="1" applyBorder="1" applyAlignment="1">
      <alignment horizontal="left"/>
    </xf>
    <xf numFmtId="0" fontId="13" fillId="0" borderId="1" xfId="7" applyFont="1" applyBorder="1" applyAlignment="1" applyProtection="1">
      <alignment horizontal="left" vertical="center"/>
      <protection locked="0"/>
    </xf>
    <xf numFmtId="0" fontId="13" fillId="0" borderId="1" xfId="7" applyFont="1" applyBorder="1" applyAlignment="1" applyProtection="1">
      <alignment horizontal="left" vertical="center" wrapText="1"/>
      <protection locked="0"/>
    </xf>
  </cellXfs>
  <cellStyles count="9">
    <cellStyle name="Comma" xfId="1" builtinId="3"/>
    <cellStyle name="Comma 2" xfId="3"/>
    <cellStyle name="Excel Built-in Normal" xfId="4"/>
    <cellStyle name="Excel Built-in Normal 2" xfId="5"/>
    <cellStyle name="Hyperlink" xfId="2" builtinId="8"/>
    <cellStyle name="Normal" xfId="0" builtinId="0"/>
    <cellStyle name="Normal 2" xfId="6"/>
    <cellStyle name="Normal 3" xfId="7"/>
    <cellStyle name="Normal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jpeg"/><Relationship Id="rId5" Type="http://schemas.openxmlformats.org/officeDocument/2006/relationships/image" Target="../media/image18.jpeg"/><Relationship Id="rId4" Type="http://schemas.openxmlformats.org/officeDocument/2006/relationships/image" Target="../media/image17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7" Type="http://schemas.openxmlformats.org/officeDocument/2006/relationships/image" Target="../media/image26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Relationship Id="rId6" Type="http://schemas.openxmlformats.org/officeDocument/2006/relationships/image" Target="../media/image25.png"/><Relationship Id="rId5" Type="http://schemas.openxmlformats.org/officeDocument/2006/relationships/image" Target="../media/image24.png"/><Relationship Id="rId4" Type="http://schemas.openxmlformats.org/officeDocument/2006/relationships/image" Target="../media/image2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emf"/><Relationship Id="rId1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172575</xdr:colOff>
      <xdr:row>404</xdr:row>
      <xdr:rowOff>22412</xdr:rowOff>
    </xdr:from>
    <xdr:to>
      <xdr:col>6</xdr:col>
      <xdr:colOff>313765</xdr:colOff>
      <xdr:row>418</xdr:row>
      <xdr:rowOff>78531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35990" y="88055450"/>
          <a:ext cx="4153535" cy="285623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179299</xdr:colOff>
      <xdr:row>419</xdr:row>
      <xdr:rowOff>61578</xdr:rowOff>
    </xdr:from>
    <xdr:to>
      <xdr:col>6</xdr:col>
      <xdr:colOff>338353</xdr:colOff>
      <xdr:row>433</xdr:row>
      <xdr:rowOff>117694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942975" y="91094560"/>
          <a:ext cx="4170680" cy="285686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9</xdr:col>
      <xdr:colOff>285750</xdr:colOff>
      <xdr:row>366</xdr:row>
      <xdr:rowOff>76200</xdr:rowOff>
    </xdr:from>
    <xdr:ext cx="634084" cy="280205"/>
    <xdr:sp macro="" textlink="">
      <xdr:nvSpPr>
        <xdr:cNvPr id="3" name="TextBox 2"/>
        <xdr:cNvSpPr txBox="1"/>
      </xdr:nvSpPr>
      <xdr:spPr>
        <a:xfrm>
          <a:off x="8407400" y="80187800"/>
          <a:ext cx="63408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 Wing</a:t>
          </a:r>
        </a:p>
      </xdr:txBody>
    </xdr:sp>
    <xdr:clientData/>
  </xdr:oneCellAnchor>
  <xdr:twoCellAnchor>
    <xdr:from>
      <xdr:col>0</xdr:col>
      <xdr:colOff>152400</xdr:colOff>
      <xdr:row>360</xdr:row>
      <xdr:rowOff>69850</xdr:rowOff>
    </xdr:from>
    <xdr:to>
      <xdr:col>7</xdr:col>
      <xdr:colOff>669951</xdr:colOff>
      <xdr:row>400</xdr:row>
      <xdr:rowOff>182036</xdr:rowOff>
    </xdr:to>
    <xdr:grpSp>
      <xdr:nvGrpSpPr>
        <xdr:cNvPr id="4" name="Group 3"/>
        <xdr:cNvGrpSpPr/>
      </xdr:nvGrpSpPr>
      <xdr:grpSpPr>
        <a:xfrm>
          <a:off x="152400" y="82892900"/>
          <a:ext cx="6340501" cy="7979836"/>
          <a:chOff x="152400" y="79006700"/>
          <a:chExt cx="6340501" cy="7979836"/>
        </a:xfrm>
      </xdr:grpSpPr>
      <xdr:pic>
        <xdr:nvPicPr>
          <xdr:cNvPr id="16" name="Picture 15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75918" y="84826536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11205" y="82006618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70010" y="82006618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2400" y="82006618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3748" y="79006700"/>
            <a:ext cx="2157751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90396" y="79006700"/>
            <a:ext cx="3836444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18179" y="84826536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4" name="TextBox 23"/>
          <xdr:cNvSpPr txBox="1"/>
        </xdr:nvSpPr>
        <xdr:spPr>
          <a:xfrm>
            <a:off x="1179098" y="80714850"/>
            <a:ext cx="63408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</a:t>
            </a:r>
          </a:p>
        </xdr:txBody>
      </xdr:sp>
      <xdr:sp macro="" textlink="">
        <xdr:nvSpPr>
          <xdr:cNvPr id="25" name="TextBox 24"/>
          <xdr:cNvSpPr txBox="1"/>
        </xdr:nvSpPr>
        <xdr:spPr>
          <a:xfrm>
            <a:off x="4577946" y="80556100"/>
            <a:ext cx="63408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</a:t>
            </a:r>
          </a:p>
        </xdr:txBody>
      </xdr:sp>
      <xdr:sp macro="" textlink="">
        <xdr:nvSpPr>
          <xdr:cNvPr id="26" name="TextBox 25"/>
          <xdr:cNvSpPr txBox="1"/>
        </xdr:nvSpPr>
        <xdr:spPr>
          <a:xfrm>
            <a:off x="3085905" y="82908318"/>
            <a:ext cx="63408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1</xdr:row>
      <xdr:rowOff>28575</xdr:rowOff>
    </xdr:from>
    <xdr:to>
      <xdr:col>10</xdr:col>
      <xdr:colOff>412876</xdr:colOff>
      <xdr:row>12</xdr:row>
      <xdr:rowOff>93075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4340" y="219075"/>
          <a:ext cx="3784600" cy="2159635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200026</xdr:colOff>
      <xdr:row>13</xdr:row>
      <xdr:rowOff>19050</xdr:rowOff>
    </xdr:from>
    <xdr:to>
      <xdr:col>10</xdr:col>
      <xdr:colOff>384301</xdr:colOff>
      <xdr:row>24</xdr:row>
      <xdr:rowOff>83550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45765" y="2495550"/>
          <a:ext cx="3784600" cy="215963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14</xdr:col>
      <xdr:colOff>331200</xdr:colOff>
      <xdr:row>41</xdr:row>
      <xdr:rowOff>19833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6572885" y="5325745"/>
          <a:ext cx="2877185" cy="213106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14</xdr:col>
      <xdr:colOff>575319</xdr:colOff>
      <xdr:row>26</xdr:row>
      <xdr:rowOff>0</xdr:rowOff>
    </xdr:from>
    <xdr:to>
      <xdr:col>18</xdr:col>
      <xdr:colOff>294669</xdr:colOff>
      <xdr:row>41</xdr:row>
      <xdr:rowOff>22500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1800" y="4953000"/>
          <a:ext cx="2119630" cy="287972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13</xdr:col>
      <xdr:colOff>399112</xdr:colOff>
      <xdr:row>56</xdr:row>
      <xdr:rowOff>64500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6265" y="8572500"/>
          <a:ext cx="1598930" cy="215963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13</xdr:col>
      <xdr:colOff>491729</xdr:colOff>
      <xdr:row>45</xdr:row>
      <xdr:rowOff>0</xdr:rowOff>
    </xdr:from>
    <xdr:to>
      <xdr:col>17</xdr:col>
      <xdr:colOff>213329</xdr:colOff>
      <xdr:row>60</xdr:row>
      <xdr:rowOff>19833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8260080" y="8949690"/>
          <a:ext cx="2877185" cy="212217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62</xdr:row>
          <xdr:rowOff>0</xdr:rowOff>
        </xdr:from>
        <xdr:to>
          <xdr:col>4</xdr:col>
          <xdr:colOff>304800</xdr:colOff>
          <xdr:row>66</xdr:row>
          <xdr:rowOff>12700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62</xdr:row>
          <xdr:rowOff>0</xdr:rowOff>
        </xdr:from>
        <xdr:to>
          <xdr:col>6</xdr:col>
          <xdr:colOff>304800</xdr:colOff>
          <xdr:row>66</xdr:row>
          <xdr:rowOff>12700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52</xdr:row>
      <xdr:rowOff>180340</xdr:rowOff>
    </xdr:from>
    <xdr:to>
      <xdr:col>7</xdr:col>
      <xdr:colOff>182695</xdr:colOff>
      <xdr:row>71</xdr:row>
      <xdr:rowOff>160840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0575" y="10086340"/>
          <a:ext cx="6443980" cy="359981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3441</xdr:colOff>
      <xdr:row>13</xdr:row>
      <xdr:rowOff>0</xdr:rowOff>
    </xdr:from>
    <xdr:to>
      <xdr:col>6</xdr:col>
      <xdr:colOff>5766</xdr:colOff>
      <xdr:row>31</xdr:row>
      <xdr:rowOff>171000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4835" y="2476500"/>
          <a:ext cx="6409690" cy="359981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3440</xdr:colOff>
      <xdr:row>32</xdr:row>
      <xdr:rowOff>186442</xdr:rowOff>
    </xdr:from>
    <xdr:to>
      <xdr:col>6</xdr:col>
      <xdr:colOff>5765</xdr:colOff>
      <xdr:row>51</xdr:row>
      <xdr:rowOff>166942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4835" y="6282055"/>
          <a:ext cx="6409690" cy="359981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52</xdr:row>
      <xdr:rowOff>182384</xdr:rowOff>
    </xdr:from>
    <xdr:to>
      <xdr:col>6</xdr:col>
      <xdr:colOff>2325</xdr:colOff>
      <xdr:row>71</xdr:row>
      <xdr:rowOff>162884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1660" y="10088245"/>
          <a:ext cx="6409055" cy="359981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155369</xdr:colOff>
      <xdr:row>13</xdr:row>
      <xdr:rowOff>0</xdr:rowOff>
    </xdr:from>
    <xdr:to>
      <xdr:col>14</xdr:col>
      <xdr:colOff>567269</xdr:colOff>
      <xdr:row>31</xdr:row>
      <xdr:rowOff>171000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43750" y="2476500"/>
          <a:ext cx="6405880" cy="359981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155368</xdr:colOff>
      <xdr:row>32</xdr:row>
      <xdr:rowOff>186442</xdr:rowOff>
    </xdr:from>
    <xdr:to>
      <xdr:col>14</xdr:col>
      <xdr:colOff>567268</xdr:colOff>
      <xdr:row>51</xdr:row>
      <xdr:rowOff>166942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43750" y="6282055"/>
          <a:ext cx="6405880" cy="359981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155368</xdr:colOff>
      <xdr:row>52</xdr:row>
      <xdr:rowOff>182384</xdr:rowOff>
    </xdr:from>
    <xdr:to>
      <xdr:col>14</xdr:col>
      <xdr:colOff>567268</xdr:colOff>
      <xdr:row>71</xdr:row>
      <xdr:rowOff>162884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143750" y="10088245"/>
          <a:ext cx="6405880" cy="359981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YY4SExQdr9CdgRYY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image" Target="../media/image13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12.emf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3"/>
  <sheetViews>
    <sheetView tabSelected="1" view="pageBreakPreview" topLeftCell="A57" zoomScaleNormal="100" zoomScaleSheetLayoutView="100" zoomScalePageLayoutView="115" workbookViewId="0">
      <selection activeCell="J58" sqref="J58"/>
    </sheetView>
  </sheetViews>
  <sheetFormatPr defaultColWidth="9.1796875" defaultRowHeight="15.5"/>
  <cols>
    <col min="1" max="1" width="11.453125" style="29" customWidth="1"/>
    <col min="2" max="2" width="11.1796875" style="29" customWidth="1"/>
    <col min="3" max="3" width="12.7265625" style="29" customWidth="1"/>
    <col min="4" max="4" width="12.81640625" style="29" customWidth="1"/>
    <col min="5" max="7" width="11.7265625" style="29" customWidth="1"/>
    <col min="8" max="8" width="12.453125" style="29" customWidth="1"/>
    <col min="9" max="9" width="20.453125" style="30" customWidth="1"/>
    <col min="10" max="10" width="12.81640625" style="30" customWidth="1"/>
    <col min="11" max="252" width="9.1796875" style="30"/>
    <col min="253" max="253" width="8.7265625" style="30" customWidth="1"/>
    <col min="254" max="254" width="9.81640625" style="30" customWidth="1"/>
    <col min="255" max="255" width="14.453125" style="30" customWidth="1"/>
    <col min="256" max="256" width="7.26953125" style="30" customWidth="1"/>
    <col min="257" max="257" width="5.54296875" style="30" customWidth="1"/>
    <col min="258" max="258" width="9" style="30" customWidth="1"/>
    <col min="259" max="260" width="9.81640625" style="30" customWidth="1"/>
    <col min="261" max="261" width="11.1796875" style="30" customWidth="1"/>
    <col min="262" max="262" width="2.81640625" style="30" customWidth="1"/>
    <col min="263" max="263" width="3.54296875" style="30" customWidth="1"/>
    <col min="264" max="508" width="9.1796875" style="30"/>
    <col min="509" max="509" width="8.7265625" style="30" customWidth="1"/>
    <col min="510" max="510" width="9.81640625" style="30" customWidth="1"/>
    <col min="511" max="511" width="14.453125" style="30" customWidth="1"/>
    <col min="512" max="512" width="7.26953125" style="30" customWidth="1"/>
    <col min="513" max="513" width="5.54296875" style="30" customWidth="1"/>
    <col min="514" max="514" width="9" style="30" customWidth="1"/>
    <col min="515" max="516" width="9.81640625" style="30" customWidth="1"/>
    <col min="517" max="517" width="11.1796875" style="30" customWidth="1"/>
    <col min="518" max="518" width="2.81640625" style="30" customWidth="1"/>
    <col min="519" max="519" width="3.54296875" style="30" customWidth="1"/>
    <col min="520" max="764" width="9.1796875" style="30"/>
    <col min="765" max="765" width="8.7265625" style="30" customWidth="1"/>
    <col min="766" max="766" width="9.81640625" style="30" customWidth="1"/>
    <col min="767" max="767" width="14.453125" style="30" customWidth="1"/>
    <col min="768" max="768" width="7.26953125" style="30" customWidth="1"/>
    <col min="769" max="769" width="5.54296875" style="30" customWidth="1"/>
    <col min="770" max="770" width="9" style="30" customWidth="1"/>
    <col min="771" max="772" width="9.81640625" style="30" customWidth="1"/>
    <col min="773" max="773" width="11.1796875" style="30" customWidth="1"/>
    <col min="774" max="774" width="2.81640625" style="30" customWidth="1"/>
    <col min="775" max="775" width="3.54296875" style="30" customWidth="1"/>
    <col min="776" max="1020" width="9.1796875" style="30"/>
    <col min="1021" max="1021" width="8.7265625" style="30" customWidth="1"/>
    <col min="1022" max="1022" width="9.81640625" style="30" customWidth="1"/>
    <col min="1023" max="1023" width="14.453125" style="30" customWidth="1"/>
    <col min="1024" max="1024" width="7.26953125" style="30" customWidth="1"/>
    <col min="1025" max="1025" width="5.54296875" style="30" customWidth="1"/>
    <col min="1026" max="1026" width="9" style="30" customWidth="1"/>
    <col min="1027" max="1028" width="9.81640625" style="30" customWidth="1"/>
    <col min="1029" max="1029" width="11.1796875" style="30" customWidth="1"/>
    <col min="1030" max="1030" width="2.81640625" style="30" customWidth="1"/>
    <col min="1031" max="1031" width="3.54296875" style="30" customWidth="1"/>
    <col min="1032" max="1276" width="9.1796875" style="30"/>
    <col min="1277" max="1277" width="8.7265625" style="30" customWidth="1"/>
    <col min="1278" max="1278" width="9.81640625" style="30" customWidth="1"/>
    <col min="1279" max="1279" width="14.453125" style="30" customWidth="1"/>
    <col min="1280" max="1280" width="7.26953125" style="30" customWidth="1"/>
    <col min="1281" max="1281" width="5.54296875" style="30" customWidth="1"/>
    <col min="1282" max="1282" width="9" style="30" customWidth="1"/>
    <col min="1283" max="1284" width="9.81640625" style="30" customWidth="1"/>
    <col min="1285" max="1285" width="11.1796875" style="30" customWidth="1"/>
    <col min="1286" max="1286" width="2.81640625" style="30" customWidth="1"/>
    <col min="1287" max="1287" width="3.54296875" style="30" customWidth="1"/>
    <col min="1288" max="1532" width="9.1796875" style="30"/>
    <col min="1533" max="1533" width="8.7265625" style="30" customWidth="1"/>
    <col min="1534" max="1534" width="9.81640625" style="30" customWidth="1"/>
    <col min="1535" max="1535" width="14.453125" style="30" customWidth="1"/>
    <col min="1536" max="1536" width="7.26953125" style="30" customWidth="1"/>
    <col min="1537" max="1537" width="5.54296875" style="30" customWidth="1"/>
    <col min="1538" max="1538" width="9" style="30" customWidth="1"/>
    <col min="1539" max="1540" width="9.81640625" style="30" customWidth="1"/>
    <col min="1541" max="1541" width="11.1796875" style="30" customWidth="1"/>
    <col min="1542" max="1542" width="2.81640625" style="30" customWidth="1"/>
    <col min="1543" max="1543" width="3.54296875" style="30" customWidth="1"/>
    <col min="1544" max="1788" width="9.1796875" style="30"/>
    <col min="1789" max="1789" width="8.7265625" style="30" customWidth="1"/>
    <col min="1790" max="1790" width="9.81640625" style="30" customWidth="1"/>
    <col min="1791" max="1791" width="14.453125" style="30" customWidth="1"/>
    <col min="1792" max="1792" width="7.26953125" style="30" customWidth="1"/>
    <col min="1793" max="1793" width="5.54296875" style="30" customWidth="1"/>
    <col min="1794" max="1794" width="9" style="30" customWidth="1"/>
    <col min="1795" max="1796" width="9.81640625" style="30" customWidth="1"/>
    <col min="1797" max="1797" width="11.1796875" style="30" customWidth="1"/>
    <col min="1798" max="1798" width="2.81640625" style="30" customWidth="1"/>
    <col min="1799" max="1799" width="3.54296875" style="30" customWidth="1"/>
    <col min="1800" max="2044" width="9.1796875" style="30"/>
    <col min="2045" max="2045" width="8.7265625" style="30" customWidth="1"/>
    <col min="2046" max="2046" width="9.81640625" style="30" customWidth="1"/>
    <col min="2047" max="2047" width="14.453125" style="30" customWidth="1"/>
    <col min="2048" max="2048" width="7.26953125" style="30" customWidth="1"/>
    <col min="2049" max="2049" width="5.54296875" style="30" customWidth="1"/>
    <col min="2050" max="2050" width="9" style="30" customWidth="1"/>
    <col min="2051" max="2052" width="9.81640625" style="30" customWidth="1"/>
    <col min="2053" max="2053" width="11.1796875" style="30" customWidth="1"/>
    <col min="2054" max="2054" width="2.81640625" style="30" customWidth="1"/>
    <col min="2055" max="2055" width="3.54296875" style="30" customWidth="1"/>
    <col min="2056" max="2300" width="9.1796875" style="30"/>
    <col min="2301" max="2301" width="8.7265625" style="30" customWidth="1"/>
    <col min="2302" max="2302" width="9.81640625" style="30" customWidth="1"/>
    <col min="2303" max="2303" width="14.453125" style="30" customWidth="1"/>
    <col min="2304" max="2304" width="7.26953125" style="30" customWidth="1"/>
    <col min="2305" max="2305" width="5.54296875" style="30" customWidth="1"/>
    <col min="2306" max="2306" width="9" style="30" customWidth="1"/>
    <col min="2307" max="2308" width="9.81640625" style="30" customWidth="1"/>
    <col min="2309" max="2309" width="11.1796875" style="30" customWidth="1"/>
    <col min="2310" max="2310" width="2.81640625" style="30" customWidth="1"/>
    <col min="2311" max="2311" width="3.54296875" style="30" customWidth="1"/>
    <col min="2312" max="2556" width="9.1796875" style="30"/>
    <col min="2557" max="2557" width="8.7265625" style="30" customWidth="1"/>
    <col min="2558" max="2558" width="9.81640625" style="30" customWidth="1"/>
    <col min="2559" max="2559" width="14.453125" style="30" customWidth="1"/>
    <col min="2560" max="2560" width="7.26953125" style="30" customWidth="1"/>
    <col min="2561" max="2561" width="5.54296875" style="30" customWidth="1"/>
    <col min="2562" max="2562" width="9" style="30" customWidth="1"/>
    <col min="2563" max="2564" width="9.81640625" style="30" customWidth="1"/>
    <col min="2565" max="2565" width="11.1796875" style="30" customWidth="1"/>
    <col min="2566" max="2566" width="2.81640625" style="30" customWidth="1"/>
    <col min="2567" max="2567" width="3.54296875" style="30" customWidth="1"/>
    <col min="2568" max="2812" width="9.1796875" style="30"/>
    <col min="2813" max="2813" width="8.7265625" style="30" customWidth="1"/>
    <col min="2814" max="2814" width="9.81640625" style="30" customWidth="1"/>
    <col min="2815" max="2815" width="14.453125" style="30" customWidth="1"/>
    <col min="2816" max="2816" width="7.26953125" style="30" customWidth="1"/>
    <col min="2817" max="2817" width="5.54296875" style="30" customWidth="1"/>
    <col min="2818" max="2818" width="9" style="30" customWidth="1"/>
    <col min="2819" max="2820" width="9.81640625" style="30" customWidth="1"/>
    <col min="2821" max="2821" width="11.1796875" style="30" customWidth="1"/>
    <col min="2822" max="2822" width="2.81640625" style="30" customWidth="1"/>
    <col min="2823" max="2823" width="3.54296875" style="30" customWidth="1"/>
    <col min="2824" max="3068" width="9.1796875" style="30"/>
    <col min="3069" max="3069" width="8.7265625" style="30" customWidth="1"/>
    <col min="3070" max="3070" width="9.81640625" style="30" customWidth="1"/>
    <col min="3071" max="3071" width="14.453125" style="30" customWidth="1"/>
    <col min="3072" max="3072" width="7.26953125" style="30" customWidth="1"/>
    <col min="3073" max="3073" width="5.54296875" style="30" customWidth="1"/>
    <col min="3074" max="3074" width="9" style="30" customWidth="1"/>
    <col min="3075" max="3076" width="9.81640625" style="30" customWidth="1"/>
    <col min="3077" max="3077" width="11.1796875" style="30" customWidth="1"/>
    <col min="3078" max="3078" width="2.81640625" style="30" customWidth="1"/>
    <col min="3079" max="3079" width="3.54296875" style="30" customWidth="1"/>
    <col min="3080" max="3324" width="9.1796875" style="30"/>
    <col min="3325" max="3325" width="8.7265625" style="30" customWidth="1"/>
    <col min="3326" max="3326" width="9.81640625" style="30" customWidth="1"/>
    <col min="3327" max="3327" width="14.453125" style="30" customWidth="1"/>
    <col min="3328" max="3328" width="7.26953125" style="30" customWidth="1"/>
    <col min="3329" max="3329" width="5.54296875" style="30" customWidth="1"/>
    <col min="3330" max="3330" width="9" style="30" customWidth="1"/>
    <col min="3331" max="3332" width="9.81640625" style="30" customWidth="1"/>
    <col min="3333" max="3333" width="11.1796875" style="30" customWidth="1"/>
    <col min="3334" max="3334" width="2.81640625" style="30" customWidth="1"/>
    <col min="3335" max="3335" width="3.54296875" style="30" customWidth="1"/>
    <col min="3336" max="3580" width="9.1796875" style="30"/>
    <col min="3581" max="3581" width="8.7265625" style="30" customWidth="1"/>
    <col min="3582" max="3582" width="9.81640625" style="30" customWidth="1"/>
    <col min="3583" max="3583" width="14.453125" style="30" customWidth="1"/>
    <col min="3584" max="3584" width="7.26953125" style="30" customWidth="1"/>
    <col min="3585" max="3585" width="5.54296875" style="30" customWidth="1"/>
    <col min="3586" max="3586" width="9" style="30" customWidth="1"/>
    <col min="3587" max="3588" width="9.81640625" style="30" customWidth="1"/>
    <col min="3589" max="3589" width="11.1796875" style="30" customWidth="1"/>
    <col min="3590" max="3590" width="2.81640625" style="30" customWidth="1"/>
    <col min="3591" max="3591" width="3.54296875" style="30" customWidth="1"/>
    <col min="3592" max="3836" width="9.1796875" style="30"/>
    <col min="3837" max="3837" width="8.7265625" style="30" customWidth="1"/>
    <col min="3838" max="3838" width="9.81640625" style="30" customWidth="1"/>
    <col min="3839" max="3839" width="14.453125" style="30" customWidth="1"/>
    <col min="3840" max="3840" width="7.26953125" style="30" customWidth="1"/>
    <col min="3841" max="3841" width="5.54296875" style="30" customWidth="1"/>
    <col min="3842" max="3842" width="9" style="30" customWidth="1"/>
    <col min="3843" max="3844" width="9.81640625" style="30" customWidth="1"/>
    <col min="3845" max="3845" width="11.1796875" style="30" customWidth="1"/>
    <col min="3846" max="3846" width="2.81640625" style="30" customWidth="1"/>
    <col min="3847" max="3847" width="3.54296875" style="30" customWidth="1"/>
    <col min="3848" max="4092" width="9.1796875" style="30"/>
    <col min="4093" max="4093" width="8.7265625" style="30" customWidth="1"/>
    <col min="4094" max="4094" width="9.81640625" style="30" customWidth="1"/>
    <col min="4095" max="4095" width="14.453125" style="30" customWidth="1"/>
    <col min="4096" max="4096" width="7.26953125" style="30" customWidth="1"/>
    <col min="4097" max="4097" width="5.54296875" style="30" customWidth="1"/>
    <col min="4098" max="4098" width="9" style="30" customWidth="1"/>
    <col min="4099" max="4100" width="9.81640625" style="30" customWidth="1"/>
    <col min="4101" max="4101" width="11.1796875" style="30" customWidth="1"/>
    <col min="4102" max="4102" width="2.81640625" style="30" customWidth="1"/>
    <col min="4103" max="4103" width="3.54296875" style="30" customWidth="1"/>
    <col min="4104" max="4348" width="9.1796875" style="30"/>
    <col min="4349" max="4349" width="8.7265625" style="30" customWidth="1"/>
    <col min="4350" max="4350" width="9.81640625" style="30" customWidth="1"/>
    <col min="4351" max="4351" width="14.453125" style="30" customWidth="1"/>
    <col min="4352" max="4352" width="7.26953125" style="30" customWidth="1"/>
    <col min="4353" max="4353" width="5.54296875" style="30" customWidth="1"/>
    <col min="4354" max="4354" width="9" style="30" customWidth="1"/>
    <col min="4355" max="4356" width="9.81640625" style="30" customWidth="1"/>
    <col min="4357" max="4357" width="11.1796875" style="30" customWidth="1"/>
    <col min="4358" max="4358" width="2.81640625" style="30" customWidth="1"/>
    <col min="4359" max="4359" width="3.54296875" style="30" customWidth="1"/>
    <col min="4360" max="4604" width="9.1796875" style="30"/>
    <col min="4605" max="4605" width="8.7265625" style="30" customWidth="1"/>
    <col min="4606" max="4606" width="9.81640625" style="30" customWidth="1"/>
    <col min="4607" max="4607" width="14.453125" style="30" customWidth="1"/>
    <col min="4608" max="4608" width="7.26953125" style="30" customWidth="1"/>
    <col min="4609" max="4609" width="5.54296875" style="30" customWidth="1"/>
    <col min="4610" max="4610" width="9" style="30" customWidth="1"/>
    <col min="4611" max="4612" width="9.81640625" style="30" customWidth="1"/>
    <col min="4613" max="4613" width="11.1796875" style="30" customWidth="1"/>
    <col min="4614" max="4614" width="2.81640625" style="30" customWidth="1"/>
    <col min="4615" max="4615" width="3.54296875" style="30" customWidth="1"/>
    <col min="4616" max="4860" width="9.1796875" style="30"/>
    <col min="4861" max="4861" width="8.7265625" style="30" customWidth="1"/>
    <col min="4862" max="4862" width="9.81640625" style="30" customWidth="1"/>
    <col min="4863" max="4863" width="14.453125" style="30" customWidth="1"/>
    <col min="4864" max="4864" width="7.26953125" style="30" customWidth="1"/>
    <col min="4865" max="4865" width="5.54296875" style="30" customWidth="1"/>
    <col min="4866" max="4866" width="9" style="30" customWidth="1"/>
    <col min="4867" max="4868" width="9.81640625" style="30" customWidth="1"/>
    <col min="4869" max="4869" width="11.1796875" style="30" customWidth="1"/>
    <col min="4870" max="4870" width="2.81640625" style="30" customWidth="1"/>
    <col min="4871" max="4871" width="3.54296875" style="30" customWidth="1"/>
    <col min="4872" max="5116" width="9.1796875" style="30"/>
    <col min="5117" max="5117" width="8.7265625" style="30" customWidth="1"/>
    <col min="5118" max="5118" width="9.81640625" style="30" customWidth="1"/>
    <col min="5119" max="5119" width="14.453125" style="30" customWidth="1"/>
    <col min="5120" max="5120" width="7.26953125" style="30" customWidth="1"/>
    <col min="5121" max="5121" width="5.54296875" style="30" customWidth="1"/>
    <col min="5122" max="5122" width="9" style="30" customWidth="1"/>
    <col min="5123" max="5124" width="9.81640625" style="30" customWidth="1"/>
    <col min="5125" max="5125" width="11.1796875" style="30" customWidth="1"/>
    <col min="5126" max="5126" width="2.81640625" style="30" customWidth="1"/>
    <col min="5127" max="5127" width="3.54296875" style="30" customWidth="1"/>
    <col min="5128" max="5372" width="9.1796875" style="30"/>
    <col min="5373" max="5373" width="8.7265625" style="30" customWidth="1"/>
    <col min="5374" max="5374" width="9.81640625" style="30" customWidth="1"/>
    <col min="5375" max="5375" width="14.453125" style="30" customWidth="1"/>
    <col min="5376" max="5376" width="7.26953125" style="30" customWidth="1"/>
    <col min="5377" max="5377" width="5.54296875" style="30" customWidth="1"/>
    <col min="5378" max="5378" width="9" style="30" customWidth="1"/>
    <col min="5379" max="5380" width="9.81640625" style="30" customWidth="1"/>
    <col min="5381" max="5381" width="11.1796875" style="30" customWidth="1"/>
    <col min="5382" max="5382" width="2.81640625" style="30" customWidth="1"/>
    <col min="5383" max="5383" width="3.54296875" style="30" customWidth="1"/>
    <col min="5384" max="5628" width="9.1796875" style="30"/>
    <col min="5629" max="5629" width="8.7265625" style="30" customWidth="1"/>
    <col min="5630" max="5630" width="9.81640625" style="30" customWidth="1"/>
    <col min="5631" max="5631" width="14.453125" style="30" customWidth="1"/>
    <col min="5632" max="5632" width="7.26953125" style="30" customWidth="1"/>
    <col min="5633" max="5633" width="5.54296875" style="30" customWidth="1"/>
    <col min="5634" max="5634" width="9" style="30" customWidth="1"/>
    <col min="5635" max="5636" width="9.81640625" style="30" customWidth="1"/>
    <col min="5637" max="5637" width="11.1796875" style="30" customWidth="1"/>
    <col min="5638" max="5638" width="2.81640625" style="30" customWidth="1"/>
    <col min="5639" max="5639" width="3.54296875" style="30" customWidth="1"/>
    <col min="5640" max="5884" width="9.1796875" style="30"/>
    <col min="5885" max="5885" width="8.7265625" style="30" customWidth="1"/>
    <col min="5886" max="5886" width="9.81640625" style="30" customWidth="1"/>
    <col min="5887" max="5887" width="14.453125" style="30" customWidth="1"/>
    <col min="5888" max="5888" width="7.26953125" style="30" customWidth="1"/>
    <col min="5889" max="5889" width="5.54296875" style="30" customWidth="1"/>
    <col min="5890" max="5890" width="9" style="30" customWidth="1"/>
    <col min="5891" max="5892" width="9.81640625" style="30" customWidth="1"/>
    <col min="5893" max="5893" width="11.1796875" style="30" customWidth="1"/>
    <col min="5894" max="5894" width="2.81640625" style="30" customWidth="1"/>
    <col min="5895" max="5895" width="3.54296875" style="30" customWidth="1"/>
    <col min="5896" max="6140" width="9.1796875" style="30"/>
    <col min="6141" max="6141" width="8.7265625" style="30" customWidth="1"/>
    <col min="6142" max="6142" width="9.81640625" style="30" customWidth="1"/>
    <col min="6143" max="6143" width="14.453125" style="30" customWidth="1"/>
    <col min="6144" max="6144" width="7.26953125" style="30" customWidth="1"/>
    <col min="6145" max="6145" width="5.54296875" style="30" customWidth="1"/>
    <col min="6146" max="6146" width="9" style="30" customWidth="1"/>
    <col min="6147" max="6148" width="9.81640625" style="30" customWidth="1"/>
    <col min="6149" max="6149" width="11.1796875" style="30" customWidth="1"/>
    <col min="6150" max="6150" width="2.81640625" style="30" customWidth="1"/>
    <col min="6151" max="6151" width="3.54296875" style="30" customWidth="1"/>
    <col min="6152" max="6396" width="9.1796875" style="30"/>
    <col min="6397" max="6397" width="8.7265625" style="30" customWidth="1"/>
    <col min="6398" max="6398" width="9.81640625" style="30" customWidth="1"/>
    <col min="6399" max="6399" width="14.453125" style="30" customWidth="1"/>
    <col min="6400" max="6400" width="7.26953125" style="30" customWidth="1"/>
    <col min="6401" max="6401" width="5.54296875" style="30" customWidth="1"/>
    <col min="6402" max="6402" width="9" style="30" customWidth="1"/>
    <col min="6403" max="6404" width="9.81640625" style="30" customWidth="1"/>
    <col min="6405" max="6405" width="11.1796875" style="30" customWidth="1"/>
    <col min="6406" max="6406" width="2.81640625" style="30" customWidth="1"/>
    <col min="6407" max="6407" width="3.54296875" style="30" customWidth="1"/>
    <col min="6408" max="6652" width="9.1796875" style="30"/>
    <col min="6653" max="6653" width="8.7265625" style="30" customWidth="1"/>
    <col min="6654" max="6654" width="9.81640625" style="30" customWidth="1"/>
    <col min="6655" max="6655" width="14.453125" style="30" customWidth="1"/>
    <col min="6656" max="6656" width="7.26953125" style="30" customWidth="1"/>
    <col min="6657" max="6657" width="5.54296875" style="30" customWidth="1"/>
    <col min="6658" max="6658" width="9" style="30" customWidth="1"/>
    <col min="6659" max="6660" width="9.81640625" style="30" customWidth="1"/>
    <col min="6661" max="6661" width="11.1796875" style="30" customWidth="1"/>
    <col min="6662" max="6662" width="2.81640625" style="30" customWidth="1"/>
    <col min="6663" max="6663" width="3.54296875" style="30" customWidth="1"/>
    <col min="6664" max="6908" width="9.1796875" style="30"/>
    <col min="6909" max="6909" width="8.7265625" style="30" customWidth="1"/>
    <col min="6910" max="6910" width="9.81640625" style="30" customWidth="1"/>
    <col min="6911" max="6911" width="14.453125" style="30" customWidth="1"/>
    <col min="6912" max="6912" width="7.26953125" style="30" customWidth="1"/>
    <col min="6913" max="6913" width="5.54296875" style="30" customWidth="1"/>
    <col min="6914" max="6914" width="9" style="30" customWidth="1"/>
    <col min="6915" max="6916" width="9.81640625" style="30" customWidth="1"/>
    <col min="6917" max="6917" width="11.1796875" style="30" customWidth="1"/>
    <col min="6918" max="6918" width="2.81640625" style="30" customWidth="1"/>
    <col min="6919" max="6919" width="3.54296875" style="30" customWidth="1"/>
    <col min="6920" max="7164" width="9.1796875" style="30"/>
    <col min="7165" max="7165" width="8.7265625" style="30" customWidth="1"/>
    <col min="7166" max="7166" width="9.81640625" style="30" customWidth="1"/>
    <col min="7167" max="7167" width="14.453125" style="30" customWidth="1"/>
    <col min="7168" max="7168" width="7.26953125" style="30" customWidth="1"/>
    <col min="7169" max="7169" width="5.54296875" style="30" customWidth="1"/>
    <col min="7170" max="7170" width="9" style="30" customWidth="1"/>
    <col min="7171" max="7172" width="9.81640625" style="30" customWidth="1"/>
    <col min="7173" max="7173" width="11.1796875" style="30" customWidth="1"/>
    <col min="7174" max="7174" width="2.81640625" style="30" customWidth="1"/>
    <col min="7175" max="7175" width="3.54296875" style="30" customWidth="1"/>
    <col min="7176" max="7420" width="9.1796875" style="30"/>
    <col min="7421" max="7421" width="8.7265625" style="30" customWidth="1"/>
    <col min="7422" max="7422" width="9.81640625" style="30" customWidth="1"/>
    <col min="7423" max="7423" width="14.453125" style="30" customWidth="1"/>
    <col min="7424" max="7424" width="7.26953125" style="30" customWidth="1"/>
    <col min="7425" max="7425" width="5.54296875" style="30" customWidth="1"/>
    <col min="7426" max="7426" width="9" style="30" customWidth="1"/>
    <col min="7427" max="7428" width="9.81640625" style="30" customWidth="1"/>
    <col min="7429" max="7429" width="11.1796875" style="30" customWidth="1"/>
    <col min="7430" max="7430" width="2.81640625" style="30" customWidth="1"/>
    <col min="7431" max="7431" width="3.54296875" style="30" customWidth="1"/>
    <col min="7432" max="7676" width="9.1796875" style="30"/>
    <col min="7677" max="7677" width="8.7265625" style="30" customWidth="1"/>
    <col min="7678" max="7678" width="9.81640625" style="30" customWidth="1"/>
    <col min="7679" max="7679" width="14.453125" style="30" customWidth="1"/>
    <col min="7680" max="7680" width="7.26953125" style="30" customWidth="1"/>
    <col min="7681" max="7681" width="5.54296875" style="30" customWidth="1"/>
    <col min="7682" max="7682" width="9" style="30" customWidth="1"/>
    <col min="7683" max="7684" width="9.81640625" style="30" customWidth="1"/>
    <col min="7685" max="7685" width="11.1796875" style="30" customWidth="1"/>
    <col min="7686" max="7686" width="2.81640625" style="30" customWidth="1"/>
    <col min="7687" max="7687" width="3.54296875" style="30" customWidth="1"/>
    <col min="7688" max="7932" width="9.1796875" style="30"/>
    <col min="7933" max="7933" width="8.7265625" style="30" customWidth="1"/>
    <col min="7934" max="7934" width="9.81640625" style="30" customWidth="1"/>
    <col min="7935" max="7935" width="14.453125" style="30" customWidth="1"/>
    <col min="7936" max="7936" width="7.26953125" style="30" customWidth="1"/>
    <col min="7937" max="7937" width="5.54296875" style="30" customWidth="1"/>
    <col min="7938" max="7938" width="9" style="30" customWidth="1"/>
    <col min="7939" max="7940" width="9.81640625" style="30" customWidth="1"/>
    <col min="7941" max="7941" width="11.1796875" style="30" customWidth="1"/>
    <col min="7942" max="7942" width="2.81640625" style="30" customWidth="1"/>
    <col min="7943" max="7943" width="3.54296875" style="30" customWidth="1"/>
    <col min="7944" max="8188" width="9.1796875" style="30"/>
    <col min="8189" max="8189" width="8.7265625" style="30" customWidth="1"/>
    <col min="8190" max="8190" width="9.81640625" style="30" customWidth="1"/>
    <col min="8191" max="8191" width="14.453125" style="30" customWidth="1"/>
    <col min="8192" max="8192" width="7.26953125" style="30" customWidth="1"/>
    <col min="8193" max="8193" width="5.54296875" style="30" customWidth="1"/>
    <col min="8194" max="8194" width="9" style="30" customWidth="1"/>
    <col min="8195" max="8196" width="9.81640625" style="30" customWidth="1"/>
    <col min="8197" max="8197" width="11.1796875" style="30" customWidth="1"/>
    <col min="8198" max="8198" width="2.81640625" style="30" customWidth="1"/>
    <col min="8199" max="8199" width="3.54296875" style="30" customWidth="1"/>
    <col min="8200" max="8444" width="9.1796875" style="30"/>
    <col min="8445" max="8445" width="8.7265625" style="30" customWidth="1"/>
    <col min="8446" max="8446" width="9.81640625" style="30" customWidth="1"/>
    <col min="8447" max="8447" width="14.453125" style="30" customWidth="1"/>
    <col min="8448" max="8448" width="7.26953125" style="30" customWidth="1"/>
    <col min="8449" max="8449" width="5.54296875" style="30" customWidth="1"/>
    <col min="8450" max="8450" width="9" style="30" customWidth="1"/>
    <col min="8451" max="8452" width="9.81640625" style="30" customWidth="1"/>
    <col min="8453" max="8453" width="11.1796875" style="30" customWidth="1"/>
    <col min="8454" max="8454" width="2.81640625" style="30" customWidth="1"/>
    <col min="8455" max="8455" width="3.54296875" style="30" customWidth="1"/>
    <col min="8456" max="8700" width="9.1796875" style="30"/>
    <col min="8701" max="8701" width="8.7265625" style="30" customWidth="1"/>
    <col min="8702" max="8702" width="9.81640625" style="30" customWidth="1"/>
    <col min="8703" max="8703" width="14.453125" style="30" customWidth="1"/>
    <col min="8704" max="8704" width="7.26953125" style="30" customWidth="1"/>
    <col min="8705" max="8705" width="5.54296875" style="30" customWidth="1"/>
    <col min="8706" max="8706" width="9" style="30" customWidth="1"/>
    <col min="8707" max="8708" width="9.81640625" style="30" customWidth="1"/>
    <col min="8709" max="8709" width="11.1796875" style="30" customWidth="1"/>
    <col min="8710" max="8710" width="2.81640625" style="30" customWidth="1"/>
    <col min="8711" max="8711" width="3.54296875" style="30" customWidth="1"/>
    <col min="8712" max="8956" width="9.1796875" style="30"/>
    <col min="8957" max="8957" width="8.7265625" style="30" customWidth="1"/>
    <col min="8958" max="8958" width="9.81640625" style="30" customWidth="1"/>
    <col min="8959" max="8959" width="14.453125" style="30" customWidth="1"/>
    <col min="8960" max="8960" width="7.26953125" style="30" customWidth="1"/>
    <col min="8961" max="8961" width="5.54296875" style="30" customWidth="1"/>
    <col min="8962" max="8962" width="9" style="30" customWidth="1"/>
    <col min="8963" max="8964" width="9.81640625" style="30" customWidth="1"/>
    <col min="8965" max="8965" width="11.1796875" style="30" customWidth="1"/>
    <col min="8966" max="8966" width="2.81640625" style="30" customWidth="1"/>
    <col min="8967" max="8967" width="3.54296875" style="30" customWidth="1"/>
    <col min="8968" max="9212" width="9.1796875" style="30"/>
    <col min="9213" max="9213" width="8.7265625" style="30" customWidth="1"/>
    <col min="9214" max="9214" width="9.81640625" style="30" customWidth="1"/>
    <col min="9215" max="9215" width="14.453125" style="30" customWidth="1"/>
    <col min="9216" max="9216" width="7.26953125" style="30" customWidth="1"/>
    <col min="9217" max="9217" width="5.54296875" style="30" customWidth="1"/>
    <col min="9218" max="9218" width="9" style="30" customWidth="1"/>
    <col min="9219" max="9220" width="9.81640625" style="30" customWidth="1"/>
    <col min="9221" max="9221" width="11.1796875" style="30" customWidth="1"/>
    <col min="9222" max="9222" width="2.81640625" style="30" customWidth="1"/>
    <col min="9223" max="9223" width="3.54296875" style="30" customWidth="1"/>
    <col min="9224" max="9468" width="9.1796875" style="30"/>
    <col min="9469" max="9469" width="8.7265625" style="30" customWidth="1"/>
    <col min="9470" max="9470" width="9.81640625" style="30" customWidth="1"/>
    <col min="9471" max="9471" width="14.453125" style="30" customWidth="1"/>
    <col min="9472" max="9472" width="7.26953125" style="30" customWidth="1"/>
    <col min="9473" max="9473" width="5.54296875" style="30" customWidth="1"/>
    <col min="9474" max="9474" width="9" style="30" customWidth="1"/>
    <col min="9475" max="9476" width="9.81640625" style="30" customWidth="1"/>
    <col min="9477" max="9477" width="11.1796875" style="30" customWidth="1"/>
    <col min="9478" max="9478" width="2.81640625" style="30" customWidth="1"/>
    <col min="9479" max="9479" width="3.54296875" style="30" customWidth="1"/>
    <col min="9480" max="9724" width="9.1796875" style="30"/>
    <col min="9725" max="9725" width="8.7265625" style="30" customWidth="1"/>
    <col min="9726" max="9726" width="9.81640625" style="30" customWidth="1"/>
    <col min="9727" max="9727" width="14.453125" style="30" customWidth="1"/>
    <col min="9728" max="9728" width="7.26953125" style="30" customWidth="1"/>
    <col min="9729" max="9729" width="5.54296875" style="30" customWidth="1"/>
    <col min="9730" max="9730" width="9" style="30" customWidth="1"/>
    <col min="9731" max="9732" width="9.81640625" style="30" customWidth="1"/>
    <col min="9733" max="9733" width="11.1796875" style="30" customWidth="1"/>
    <col min="9734" max="9734" width="2.81640625" style="30" customWidth="1"/>
    <col min="9735" max="9735" width="3.54296875" style="30" customWidth="1"/>
    <col min="9736" max="9980" width="9.1796875" style="30"/>
    <col min="9981" max="9981" width="8.7265625" style="30" customWidth="1"/>
    <col min="9982" max="9982" width="9.81640625" style="30" customWidth="1"/>
    <col min="9983" max="9983" width="14.453125" style="30" customWidth="1"/>
    <col min="9984" max="9984" width="7.26953125" style="30" customWidth="1"/>
    <col min="9985" max="9985" width="5.54296875" style="30" customWidth="1"/>
    <col min="9986" max="9986" width="9" style="30" customWidth="1"/>
    <col min="9987" max="9988" width="9.81640625" style="30" customWidth="1"/>
    <col min="9989" max="9989" width="11.1796875" style="30" customWidth="1"/>
    <col min="9990" max="9990" width="2.81640625" style="30" customWidth="1"/>
    <col min="9991" max="9991" width="3.54296875" style="30" customWidth="1"/>
    <col min="9992" max="10236" width="9.1796875" style="30"/>
    <col min="10237" max="10237" width="8.7265625" style="30" customWidth="1"/>
    <col min="10238" max="10238" width="9.81640625" style="30" customWidth="1"/>
    <col min="10239" max="10239" width="14.453125" style="30" customWidth="1"/>
    <col min="10240" max="10240" width="7.26953125" style="30" customWidth="1"/>
    <col min="10241" max="10241" width="5.54296875" style="30" customWidth="1"/>
    <col min="10242" max="10242" width="9" style="30" customWidth="1"/>
    <col min="10243" max="10244" width="9.81640625" style="30" customWidth="1"/>
    <col min="10245" max="10245" width="11.1796875" style="30" customWidth="1"/>
    <col min="10246" max="10246" width="2.81640625" style="30" customWidth="1"/>
    <col min="10247" max="10247" width="3.54296875" style="30" customWidth="1"/>
    <col min="10248" max="10492" width="9.1796875" style="30"/>
    <col min="10493" max="10493" width="8.7265625" style="30" customWidth="1"/>
    <col min="10494" max="10494" width="9.81640625" style="30" customWidth="1"/>
    <col min="10495" max="10495" width="14.453125" style="30" customWidth="1"/>
    <col min="10496" max="10496" width="7.26953125" style="30" customWidth="1"/>
    <col min="10497" max="10497" width="5.54296875" style="30" customWidth="1"/>
    <col min="10498" max="10498" width="9" style="30" customWidth="1"/>
    <col min="10499" max="10500" width="9.81640625" style="30" customWidth="1"/>
    <col min="10501" max="10501" width="11.1796875" style="30" customWidth="1"/>
    <col min="10502" max="10502" width="2.81640625" style="30" customWidth="1"/>
    <col min="10503" max="10503" width="3.54296875" style="30" customWidth="1"/>
    <col min="10504" max="10748" width="9.1796875" style="30"/>
    <col min="10749" max="10749" width="8.7265625" style="30" customWidth="1"/>
    <col min="10750" max="10750" width="9.81640625" style="30" customWidth="1"/>
    <col min="10751" max="10751" width="14.453125" style="30" customWidth="1"/>
    <col min="10752" max="10752" width="7.26953125" style="30" customWidth="1"/>
    <col min="10753" max="10753" width="5.54296875" style="30" customWidth="1"/>
    <col min="10754" max="10754" width="9" style="30" customWidth="1"/>
    <col min="10755" max="10756" width="9.81640625" style="30" customWidth="1"/>
    <col min="10757" max="10757" width="11.1796875" style="30" customWidth="1"/>
    <col min="10758" max="10758" width="2.81640625" style="30" customWidth="1"/>
    <col min="10759" max="10759" width="3.54296875" style="30" customWidth="1"/>
    <col min="10760" max="11004" width="9.1796875" style="30"/>
    <col min="11005" max="11005" width="8.7265625" style="30" customWidth="1"/>
    <col min="11006" max="11006" width="9.81640625" style="30" customWidth="1"/>
    <col min="11007" max="11007" width="14.453125" style="30" customWidth="1"/>
    <col min="11008" max="11008" width="7.26953125" style="30" customWidth="1"/>
    <col min="11009" max="11009" width="5.54296875" style="30" customWidth="1"/>
    <col min="11010" max="11010" width="9" style="30" customWidth="1"/>
    <col min="11011" max="11012" width="9.81640625" style="30" customWidth="1"/>
    <col min="11013" max="11013" width="11.1796875" style="30" customWidth="1"/>
    <col min="11014" max="11014" width="2.81640625" style="30" customWidth="1"/>
    <col min="11015" max="11015" width="3.54296875" style="30" customWidth="1"/>
    <col min="11016" max="11260" width="9.1796875" style="30"/>
    <col min="11261" max="11261" width="8.7265625" style="30" customWidth="1"/>
    <col min="11262" max="11262" width="9.81640625" style="30" customWidth="1"/>
    <col min="11263" max="11263" width="14.453125" style="30" customWidth="1"/>
    <col min="11264" max="11264" width="7.26953125" style="30" customWidth="1"/>
    <col min="11265" max="11265" width="5.54296875" style="30" customWidth="1"/>
    <col min="11266" max="11266" width="9" style="30" customWidth="1"/>
    <col min="11267" max="11268" width="9.81640625" style="30" customWidth="1"/>
    <col min="11269" max="11269" width="11.1796875" style="30" customWidth="1"/>
    <col min="11270" max="11270" width="2.81640625" style="30" customWidth="1"/>
    <col min="11271" max="11271" width="3.54296875" style="30" customWidth="1"/>
    <col min="11272" max="11516" width="9.1796875" style="30"/>
    <col min="11517" max="11517" width="8.7265625" style="30" customWidth="1"/>
    <col min="11518" max="11518" width="9.81640625" style="30" customWidth="1"/>
    <col min="11519" max="11519" width="14.453125" style="30" customWidth="1"/>
    <col min="11520" max="11520" width="7.26953125" style="30" customWidth="1"/>
    <col min="11521" max="11521" width="5.54296875" style="30" customWidth="1"/>
    <col min="11522" max="11522" width="9" style="30" customWidth="1"/>
    <col min="11523" max="11524" width="9.81640625" style="30" customWidth="1"/>
    <col min="11525" max="11525" width="11.1796875" style="30" customWidth="1"/>
    <col min="11526" max="11526" width="2.81640625" style="30" customWidth="1"/>
    <col min="11527" max="11527" width="3.54296875" style="30" customWidth="1"/>
    <col min="11528" max="11772" width="9.1796875" style="30"/>
    <col min="11773" max="11773" width="8.7265625" style="30" customWidth="1"/>
    <col min="11774" max="11774" width="9.81640625" style="30" customWidth="1"/>
    <col min="11775" max="11775" width="14.453125" style="30" customWidth="1"/>
    <col min="11776" max="11776" width="7.26953125" style="30" customWidth="1"/>
    <col min="11777" max="11777" width="5.54296875" style="30" customWidth="1"/>
    <col min="11778" max="11778" width="9" style="30" customWidth="1"/>
    <col min="11779" max="11780" width="9.81640625" style="30" customWidth="1"/>
    <col min="11781" max="11781" width="11.1796875" style="30" customWidth="1"/>
    <col min="11782" max="11782" width="2.81640625" style="30" customWidth="1"/>
    <col min="11783" max="11783" width="3.54296875" style="30" customWidth="1"/>
    <col min="11784" max="12028" width="9.1796875" style="30"/>
    <col min="12029" max="12029" width="8.7265625" style="30" customWidth="1"/>
    <col min="12030" max="12030" width="9.81640625" style="30" customWidth="1"/>
    <col min="12031" max="12031" width="14.453125" style="30" customWidth="1"/>
    <col min="12032" max="12032" width="7.26953125" style="30" customWidth="1"/>
    <col min="12033" max="12033" width="5.54296875" style="30" customWidth="1"/>
    <col min="12034" max="12034" width="9" style="30" customWidth="1"/>
    <col min="12035" max="12036" width="9.81640625" style="30" customWidth="1"/>
    <col min="12037" max="12037" width="11.1796875" style="30" customWidth="1"/>
    <col min="12038" max="12038" width="2.81640625" style="30" customWidth="1"/>
    <col min="12039" max="12039" width="3.54296875" style="30" customWidth="1"/>
    <col min="12040" max="12284" width="9.1796875" style="30"/>
    <col min="12285" max="12285" width="8.7265625" style="30" customWidth="1"/>
    <col min="12286" max="12286" width="9.81640625" style="30" customWidth="1"/>
    <col min="12287" max="12287" width="14.453125" style="30" customWidth="1"/>
    <col min="12288" max="12288" width="7.26953125" style="30" customWidth="1"/>
    <col min="12289" max="12289" width="5.54296875" style="30" customWidth="1"/>
    <col min="12290" max="12290" width="9" style="30" customWidth="1"/>
    <col min="12291" max="12292" width="9.81640625" style="30" customWidth="1"/>
    <col min="12293" max="12293" width="11.1796875" style="30" customWidth="1"/>
    <col min="12294" max="12294" width="2.81640625" style="30" customWidth="1"/>
    <col min="12295" max="12295" width="3.54296875" style="30" customWidth="1"/>
    <col min="12296" max="12540" width="9.1796875" style="30"/>
    <col min="12541" max="12541" width="8.7265625" style="30" customWidth="1"/>
    <col min="12542" max="12542" width="9.81640625" style="30" customWidth="1"/>
    <col min="12543" max="12543" width="14.453125" style="30" customWidth="1"/>
    <col min="12544" max="12544" width="7.26953125" style="30" customWidth="1"/>
    <col min="12545" max="12545" width="5.54296875" style="30" customWidth="1"/>
    <col min="12546" max="12546" width="9" style="30" customWidth="1"/>
    <col min="12547" max="12548" width="9.81640625" style="30" customWidth="1"/>
    <col min="12549" max="12549" width="11.1796875" style="30" customWidth="1"/>
    <col min="12550" max="12550" width="2.81640625" style="30" customWidth="1"/>
    <col min="12551" max="12551" width="3.54296875" style="30" customWidth="1"/>
    <col min="12552" max="12796" width="9.1796875" style="30"/>
    <col min="12797" max="12797" width="8.7265625" style="30" customWidth="1"/>
    <col min="12798" max="12798" width="9.81640625" style="30" customWidth="1"/>
    <col min="12799" max="12799" width="14.453125" style="30" customWidth="1"/>
    <col min="12800" max="12800" width="7.26953125" style="30" customWidth="1"/>
    <col min="12801" max="12801" width="5.54296875" style="30" customWidth="1"/>
    <col min="12802" max="12802" width="9" style="30" customWidth="1"/>
    <col min="12803" max="12804" width="9.81640625" style="30" customWidth="1"/>
    <col min="12805" max="12805" width="11.1796875" style="30" customWidth="1"/>
    <col min="12806" max="12806" width="2.81640625" style="30" customWidth="1"/>
    <col min="12807" max="12807" width="3.54296875" style="30" customWidth="1"/>
    <col min="12808" max="13052" width="9.1796875" style="30"/>
    <col min="13053" max="13053" width="8.7265625" style="30" customWidth="1"/>
    <col min="13054" max="13054" width="9.81640625" style="30" customWidth="1"/>
    <col min="13055" max="13055" width="14.453125" style="30" customWidth="1"/>
    <col min="13056" max="13056" width="7.26953125" style="30" customWidth="1"/>
    <col min="13057" max="13057" width="5.54296875" style="30" customWidth="1"/>
    <col min="13058" max="13058" width="9" style="30" customWidth="1"/>
    <col min="13059" max="13060" width="9.81640625" style="30" customWidth="1"/>
    <col min="13061" max="13061" width="11.1796875" style="30" customWidth="1"/>
    <col min="13062" max="13062" width="2.81640625" style="30" customWidth="1"/>
    <col min="13063" max="13063" width="3.54296875" style="30" customWidth="1"/>
    <col min="13064" max="13308" width="9.1796875" style="30"/>
    <col min="13309" max="13309" width="8.7265625" style="30" customWidth="1"/>
    <col min="13310" max="13310" width="9.81640625" style="30" customWidth="1"/>
    <col min="13311" max="13311" width="14.453125" style="30" customWidth="1"/>
    <col min="13312" max="13312" width="7.26953125" style="30" customWidth="1"/>
    <col min="13313" max="13313" width="5.54296875" style="30" customWidth="1"/>
    <col min="13314" max="13314" width="9" style="30" customWidth="1"/>
    <col min="13315" max="13316" width="9.81640625" style="30" customWidth="1"/>
    <col min="13317" max="13317" width="11.1796875" style="30" customWidth="1"/>
    <col min="13318" max="13318" width="2.81640625" style="30" customWidth="1"/>
    <col min="13319" max="13319" width="3.54296875" style="30" customWidth="1"/>
    <col min="13320" max="13564" width="9.1796875" style="30"/>
    <col min="13565" max="13565" width="8.7265625" style="30" customWidth="1"/>
    <col min="13566" max="13566" width="9.81640625" style="30" customWidth="1"/>
    <col min="13567" max="13567" width="14.453125" style="30" customWidth="1"/>
    <col min="13568" max="13568" width="7.26953125" style="30" customWidth="1"/>
    <col min="13569" max="13569" width="5.54296875" style="30" customWidth="1"/>
    <col min="13570" max="13570" width="9" style="30" customWidth="1"/>
    <col min="13571" max="13572" width="9.81640625" style="30" customWidth="1"/>
    <col min="13573" max="13573" width="11.1796875" style="30" customWidth="1"/>
    <col min="13574" max="13574" width="2.81640625" style="30" customWidth="1"/>
    <col min="13575" max="13575" width="3.54296875" style="30" customWidth="1"/>
    <col min="13576" max="13820" width="9.1796875" style="30"/>
    <col min="13821" max="13821" width="8.7265625" style="30" customWidth="1"/>
    <col min="13822" max="13822" width="9.81640625" style="30" customWidth="1"/>
    <col min="13823" max="13823" width="14.453125" style="30" customWidth="1"/>
    <col min="13824" max="13824" width="7.26953125" style="30" customWidth="1"/>
    <col min="13825" max="13825" width="5.54296875" style="30" customWidth="1"/>
    <col min="13826" max="13826" width="9" style="30" customWidth="1"/>
    <col min="13827" max="13828" width="9.81640625" style="30" customWidth="1"/>
    <col min="13829" max="13829" width="11.1796875" style="30" customWidth="1"/>
    <col min="13830" max="13830" width="2.81640625" style="30" customWidth="1"/>
    <col min="13831" max="13831" width="3.54296875" style="30" customWidth="1"/>
    <col min="13832" max="14076" width="9.1796875" style="30"/>
    <col min="14077" max="14077" width="8.7265625" style="30" customWidth="1"/>
    <col min="14078" max="14078" width="9.81640625" style="30" customWidth="1"/>
    <col min="14079" max="14079" width="14.453125" style="30" customWidth="1"/>
    <col min="14080" max="14080" width="7.26953125" style="30" customWidth="1"/>
    <col min="14081" max="14081" width="5.54296875" style="30" customWidth="1"/>
    <col min="14082" max="14082" width="9" style="30" customWidth="1"/>
    <col min="14083" max="14084" width="9.81640625" style="30" customWidth="1"/>
    <col min="14085" max="14085" width="11.1796875" style="30" customWidth="1"/>
    <col min="14086" max="14086" width="2.81640625" style="30" customWidth="1"/>
    <col min="14087" max="14087" width="3.54296875" style="30" customWidth="1"/>
    <col min="14088" max="14332" width="9.1796875" style="30"/>
    <col min="14333" max="14333" width="8.7265625" style="30" customWidth="1"/>
    <col min="14334" max="14334" width="9.81640625" style="30" customWidth="1"/>
    <col min="14335" max="14335" width="14.453125" style="30" customWidth="1"/>
    <col min="14336" max="14336" width="7.26953125" style="30" customWidth="1"/>
    <col min="14337" max="14337" width="5.54296875" style="30" customWidth="1"/>
    <col min="14338" max="14338" width="9" style="30" customWidth="1"/>
    <col min="14339" max="14340" width="9.81640625" style="30" customWidth="1"/>
    <col min="14341" max="14341" width="11.1796875" style="30" customWidth="1"/>
    <col min="14342" max="14342" width="2.81640625" style="30" customWidth="1"/>
    <col min="14343" max="14343" width="3.54296875" style="30" customWidth="1"/>
    <col min="14344" max="14588" width="9.1796875" style="30"/>
    <col min="14589" max="14589" width="8.7265625" style="30" customWidth="1"/>
    <col min="14590" max="14590" width="9.81640625" style="30" customWidth="1"/>
    <col min="14591" max="14591" width="14.453125" style="30" customWidth="1"/>
    <col min="14592" max="14592" width="7.26953125" style="30" customWidth="1"/>
    <col min="14593" max="14593" width="5.54296875" style="30" customWidth="1"/>
    <col min="14594" max="14594" width="9" style="30" customWidth="1"/>
    <col min="14595" max="14596" width="9.81640625" style="30" customWidth="1"/>
    <col min="14597" max="14597" width="11.1796875" style="30" customWidth="1"/>
    <col min="14598" max="14598" width="2.81640625" style="30" customWidth="1"/>
    <col min="14599" max="14599" width="3.54296875" style="30" customWidth="1"/>
    <col min="14600" max="14844" width="9.1796875" style="30"/>
    <col min="14845" max="14845" width="8.7265625" style="30" customWidth="1"/>
    <col min="14846" max="14846" width="9.81640625" style="30" customWidth="1"/>
    <col min="14847" max="14847" width="14.453125" style="30" customWidth="1"/>
    <col min="14848" max="14848" width="7.26953125" style="30" customWidth="1"/>
    <col min="14849" max="14849" width="5.54296875" style="30" customWidth="1"/>
    <col min="14850" max="14850" width="9" style="30" customWidth="1"/>
    <col min="14851" max="14852" width="9.81640625" style="30" customWidth="1"/>
    <col min="14853" max="14853" width="11.1796875" style="30" customWidth="1"/>
    <col min="14854" max="14854" width="2.81640625" style="30" customWidth="1"/>
    <col min="14855" max="14855" width="3.54296875" style="30" customWidth="1"/>
    <col min="14856" max="15100" width="9.1796875" style="30"/>
    <col min="15101" max="15101" width="8.7265625" style="30" customWidth="1"/>
    <col min="15102" max="15102" width="9.81640625" style="30" customWidth="1"/>
    <col min="15103" max="15103" width="14.453125" style="30" customWidth="1"/>
    <col min="15104" max="15104" width="7.26953125" style="30" customWidth="1"/>
    <col min="15105" max="15105" width="5.54296875" style="30" customWidth="1"/>
    <col min="15106" max="15106" width="9" style="30" customWidth="1"/>
    <col min="15107" max="15108" width="9.81640625" style="30" customWidth="1"/>
    <col min="15109" max="15109" width="11.1796875" style="30" customWidth="1"/>
    <col min="15110" max="15110" width="2.81640625" style="30" customWidth="1"/>
    <col min="15111" max="15111" width="3.54296875" style="30" customWidth="1"/>
    <col min="15112" max="15356" width="9.1796875" style="30"/>
    <col min="15357" max="15357" width="8.7265625" style="30" customWidth="1"/>
    <col min="15358" max="15358" width="9.81640625" style="30" customWidth="1"/>
    <col min="15359" max="15359" width="14.453125" style="30" customWidth="1"/>
    <col min="15360" max="15360" width="7.26953125" style="30" customWidth="1"/>
    <col min="15361" max="15361" width="5.54296875" style="30" customWidth="1"/>
    <col min="15362" max="15362" width="9" style="30" customWidth="1"/>
    <col min="15363" max="15364" width="9.81640625" style="30" customWidth="1"/>
    <col min="15365" max="15365" width="11.1796875" style="30" customWidth="1"/>
    <col min="15366" max="15366" width="2.81640625" style="30" customWidth="1"/>
    <col min="15367" max="15367" width="3.54296875" style="30" customWidth="1"/>
    <col min="15368" max="15612" width="9.1796875" style="30"/>
    <col min="15613" max="15613" width="8.7265625" style="30" customWidth="1"/>
    <col min="15614" max="15614" width="9.81640625" style="30" customWidth="1"/>
    <col min="15615" max="15615" width="14.453125" style="30" customWidth="1"/>
    <col min="15616" max="15616" width="7.26953125" style="30" customWidth="1"/>
    <col min="15617" max="15617" width="5.54296875" style="30" customWidth="1"/>
    <col min="15618" max="15618" width="9" style="30" customWidth="1"/>
    <col min="15619" max="15620" width="9.81640625" style="30" customWidth="1"/>
    <col min="15621" max="15621" width="11.1796875" style="30" customWidth="1"/>
    <col min="15622" max="15622" width="2.81640625" style="30" customWidth="1"/>
    <col min="15623" max="15623" width="3.54296875" style="30" customWidth="1"/>
    <col min="15624" max="15868" width="9.1796875" style="30"/>
    <col min="15869" max="15869" width="8.7265625" style="30" customWidth="1"/>
    <col min="15870" max="15870" width="9.81640625" style="30" customWidth="1"/>
    <col min="15871" max="15871" width="14.453125" style="30" customWidth="1"/>
    <col min="15872" max="15872" width="7.26953125" style="30" customWidth="1"/>
    <col min="15873" max="15873" width="5.54296875" style="30" customWidth="1"/>
    <col min="15874" max="15874" width="9" style="30" customWidth="1"/>
    <col min="15875" max="15876" width="9.81640625" style="30" customWidth="1"/>
    <col min="15877" max="15877" width="11.1796875" style="30" customWidth="1"/>
    <col min="15878" max="15878" width="2.81640625" style="30" customWidth="1"/>
    <col min="15879" max="15879" width="3.54296875" style="30" customWidth="1"/>
    <col min="15880" max="16124" width="9.1796875" style="30"/>
    <col min="16125" max="16125" width="8.7265625" style="30" customWidth="1"/>
    <col min="16126" max="16126" width="9.81640625" style="30" customWidth="1"/>
    <col min="16127" max="16127" width="14.453125" style="30" customWidth="1"/>
    <col min="16128" max="16128" width="7.26953125" style="30" customWidth="1"/>
    <col min="16129" max="16129" width="5.54296875" style="30" customWidth="1"/>
    <col min="16130" max="16130" width="9" style="30" customWidth="1"/>
    <col min="16131" max="16132" width="9.81640625" style="30" customWidth="1"/>
    <col min="16133" max="16133" width="11.1796875" style="30" customWidth="1"/>
    <col min="16134" max="16134" width="2.81640625" style="30" customWidth="1"/>
    <col min="16135" max="16135" width="3.54296875" style="30" customWidth="1"/>
    <col min="16136" max="16384" width="9.1796875" style="30"/>
  </cols>
  <sheetData>
    <row r="1" spans="1:8" ht="46.5" customHeight="1">
      <c r="A1" s="139" t="s">
        <v>0</v>
      </c>
      <c r="B1" s="139"/>
      <c r="C1" s="139"/>
      <c r="D1" s="139"/>
      <c r="E1" s="139"/>
      <c r="F1" s="139"/>
      <c r="G1" s="139"/>
      <c r="H1" s="139"/>
    </row>
    <row r="2" spans="1:8" ht="16.5" customHeight="1">
      <c r="A2" s="112" t="s">
        <v>1</v>
      </c>
      <c r="B2" s="112"/>
      <c r="C2" s="112"/>
      <c r="D2" s="112"/>
      <c r="E2" s="112"/>
      <c r="F2" s="112"/>
      <c r="G2" s="112"/>
      <c r="H2" s="112"/>
    </row>
    <row r="3" spans="1:8">
      <c r="A3" s="90" t="s">
        <v>2</v>
      </c>
      <c r="B3" s="90"/>
      <c r="C3" s="90"/>
      <c r="D3" s="90"/>
      <c r="E3" s="140" t="str">
        <f ca="1">TEXT(TODAY(),"DD/MM/YYYY")</f>
        <v>08/08/2025</v>
      </c>
      <c r="F3" s="140"/>
      <c r="G3" s="140"/>
      <c r="H3" s="140"/>
    </row>
    <row r="4" spans="1:8" ht="15" customHeight="1">
      <c r="A4" s="90" t="s">
        <v>3</v>
      </c>
      <c r="B4" s="90"/>
      <c r="C4" s="90"/>
      <c r="D4" s="90"/>
      <c r="E4" s="137" t="s">
        <v>4</v>
      </c>
      <c r="F4" s="137"/>
      <c r="G4" s="137"/>
      <c r="H4" s="137"/>
    </row>
    <row r="5" spans="1:8">
      <c r="A5" s="90" t="s">
        <v>5</v>
      </c>
      <c r="B5" s="90"/>
      <c r="C5" s="90"/>
      <c r="D5" s="90"/>
      <c r="E5" s="140">
        <v>45859</v>
      </c>
      <c r="F5" s="140"/>
      <c r="G5" s="140"/>
      <c r="H5" s="140"/>
    </row>
    <row r="6" spans="1:8" ht="16.5" customHeight="1">
      <c r="A6" s="90" t="s">
        <v>6</v>
      </c>
      <c r="B6" s="90"/>
      <c r="C6" s="90"/>
      <c r="D6" s="90"/>
      <c r="E6" s="89" t="s">
        <v>7</v>
      </c>
      <c r="F6" s="89"/>
      <c r="G6" s="89"/>
      <c r="H6" s="89"/>
    </row>
    <row r="7" spans="1:8" ht="15" customHeight="1">
      <c r="A7" s="90" t="s">
        <v>8</v>
      </c>
      <c r="B7" s="90"/>
      <c r="C7" s="90"/>
      <c r="D7" s="90"/>
      <c r="E7" s="89" t="str">
        <f>E6</f>
        <v>M/s.Kalpataru Retail Ventures Private Limited</v>
      </c>
      <c r="F7" s="89"/>
      <c r="G7" s="89"/>
      <c r="H7" s="89"/>
    </row>
    <row r="8" spans="1:8">
      <c r="A8" s="90" t="s">
        <v>9</v>
      </c>
      <c r="B8" s="90"/>
      <c r="C8" s="90"/>
      <c r="D8" s="90"/>
      <c r="E8" s="118" t="s">
        <v>10</v>
      </c>
      <c r="F8" s="90"/>
      <c r="G8" s="90"/>
      <c r="H8" s="90"/>
    </row>
    <row r="9" spans="1:8">
      <c r="A9" s="90" t="s">
        <v>11</v>
      </c>
      <c r="B9" s="90"/>
      <c r="C9" s="90"/>
      <c r="D9" s="90"/>
      <c r="E9" s="90">
        <v>2230653278</v>
      </c>
      <c r="F9" s="90"/>
      <c r="G9" s="90"/>
      <c r="H9" s="90"/>
    </row>
    <row r="10" spans="1:8">
      <c r="A10" s="90" t="s">
        <v>12</v>
      </c>
      <c r="B10" s="90"/>
      <c r="C10" s="90"/>
      <c r="D10" s="90"/>
      <c r="E10" s="90" t="s">
        <v>293</v>
      </c>
      <c r="F10" s="90"/>
      <c r="G10" s="90"/>
      <c r="H10" s="90"/>
    </row>
    <row r="11" spans="1:8">
      <c r="A11" s="90" t="s">
        <v>13</v>
      </c>
      <c r="B11" s="90"/>
      <c r="C11" s="90"/>
      <c r="D11" s="90"/>
      <c r="E11" s="90" t="s">
        <v>14</v>
      </c>
      <c r="F11" s="90"/>
      <c r="G11" s="90"/>
      <c r="H11" s="90"/>
    </row>
    <row r="12" spans="1:8">
      <c r="A12" s="90" t="s">
        <v>15</v>
      </c>
      <c r="B12" s="90"/>
      <c r="C12" s="90"/>
      <c r="D12" s="90"/>
      <c r="E12" s="89" t="s">
        <v>290</v>
      </c>
      <c r="F12" s="89"/>
      <c r="G12" s="89"/>
      <c r="H12" s="89"/>
    </row>
    <row r="13" spans="1:8" ht="34.5" customHeight="1">
      <c r="A13" s="90" t="s">
        <v>16</v>
      </c>
      <c r="B13" s="90"/>
      <c r="C13" s="90"/>
      <c r="D13" s="90"/>
      <c r="E13" s="89" t="s">
        <v>17</v>
      </c>
      <c r="F13" s="90"/>
      <c r="G13" s="90"/>
      <c r="H13" s="90"/>
    </row>
    <row r="14" spans="1:8" ht="32.25" customHeight="1">
      <c r="A14" s="89" t="s">
        <v>18</v>
      </c>
      <c r="B14" s="89"/>
      <c r="C14" s="89" t="str">
        <f>CONCATENATE((IF(OR(E8="",E8="NA"),"",E8)),", ",(IF(OR(A15="",A15="NA"),"",A15)),".",(IF(OR(C15="",C15="NA"),"",C15)),", ",(IF(OR(C16="",C16="NA"),"",C16)),", ",(IF(OR(G16="",G16="NA"),"",G16)),", ",(IF(OR(G17="",G17="NA"),"",G17)),".")</f>
        <v>Kalpataru Vienta, CTS No.94B (pt), 94C (pt) &amp; 94D (pt), Ashok Nagar Main Road, Wadhvan, Mumbai.</v>
      </c>
      <c r="D14" s="89"/>
      <c r="E14" s="89"/>
      <c r="F14" s="89"/>
      <c r="G14" s="89"/>
      <c r="H14" s="89"/>
    </row>
    <row r="15" spans="1:8" ht="15.75" customHeight="1">
      <c r="A15" s="89" t="s">
        <v>19</v>
      </c>
      <c r="B15" s="89"/>
      <c r="C15" s="89" t="s">
        <v>20</v>
      </c>
      <c r="D15" s="89"/>
      <c r="E15" s="89"/>
      <c r="F15" s="89"/>
      <c r="G15" s="89"/>
      <c r="H15" s="89"/>
    </row>
    <row r="16" spans="1:8">
      <c r="A16" s="89" t="s">
        <v>21</v>
      </c>
      <c r="B16" s="89"/>
      <c r="C16" s="90" t="s">
        <v>22</v>
      </c>
      <c r="D16" s="90"/>
      <c r="E16" s="89" t="s">
        <v>23</v>
      </c>
      <c r="F16" s="89"/>
      <c r="G16" s="89" t="s">
        <v>24</v>
      </c>
      <c r="H16" s="89"/>
    </row>
    <row r="17" spans="1:8">
      <c r="A17" s="90" t="s">
        <v>25</v>
      </c>
      <c r="B17" s="90"/>
      <c r="C17" s="89" t="s">
        <v>26</v>
      </c>
      <c r="D17" s="89"/>
      <c r="E17" s="89" t="s">
        <v>27</v>
      </c>
      <c r="F17" s="89"/>
      <c r="G17" s="135" t="s">
        <v>28</v>
      </c>
      <c r="H17" s="135"/>
    </row>
    <row r="18" spans="1:8" ht="15.75" customHeight="1">
      <c r="A18" s="90" t="s">
        <v>29</v>
      </c>
      <c r="B18" s="90"/>
      <c r="C18" s="89" t="s">
        <v>30</v>
      </c>
      <c r="D18" s="89"/>
      <c r="E18" s="89" t="s">
        <v>31</v>
      </c>
      <c r="F18" s="89"/>
      <c r="G18" s="89">
        <v>400101</v>
      </c>
      <c r="H18" s="89"/>
    </row>
    <row r="19" spans="1:8" ht="37.5" customHeight="1">
      <c r="A19" s="90" t="s">
        <v>32</v>
      </c>
      <c r="B19" s="90"/>
      <c r="C19" s="124" t="s">
        <v>33</v>
      </c>
      <c r="D19" s="124"/>
      <c r="E19" s="89" t="s">
        <v>34</v>
      </c>
      <c r="F19" s="89"/>
      <c r="G19" s="89" t="s">
        <v>35</v>
      </c>
      <c r="H19" s="89"/>
    </row>
    <row r="20" spans="1:8" ht="18.75" customHeight="1">
      <c r="A20" s="89" t="s">
        <v>36</v>
      </c>
      <c r="B20" s="89"/>
      <c r="C20" s="89"/>
      <c r="D20" s="89"/>
      <c r="E20" s="90" t="s">
        <v>37</v>
      </c>
      <c r="F20" s="90"/>
      <c r="G20" s="90"/>
      <c r="H20" s="90"/>
    </row>
    <row r="21" spans="1:8" ht="15" customHeight="1">
      <c r="A21" s="89"/>
      <c r="B21" s="89"/>
      <c r="C21" s="89"/>
      <c r="D21" s="89"/>
      <c r="E21" s="90"/>
      <c r="F21" s="90"/>
      <c r="G21" s="90"/>
      <c r="H21" s="90"/>
    </row>
    <row r="22" spans="1:8" ht="15" customHeight="1">
      <c r="A22" s="89" t="s">
        <v>38</v>
      </c>
      <c r="B22" s="89"/>
      <c r="C22" s="89"/>
      <c r="D22" s="89"/>
      <c r="E22" s="89" t="s">
        <v>39</v>
      </c>
      <c r="F22" s="89"/>
      <c r="G22" s="89"/>
      <c r="H22" s="89"/>
    </row>
    <row r="23" spans="1:8">
      <c r="A23" s="90" t="s">
        <v>40</v>
      </c>
      <c r="B23" s="90"/>
      <c r="C23" s="90"/>
      <c r="D23" s="90"/>
      <c r="E23" s="89" t="s">
        <v>41</v>
      </c>
      <c r="F23" s="89"/>
      <c r="G23" s="89"/>
      <c r="H23" s="89"/>
    </row>
    <row r="24" spans="1:8">
      <c r="A24" s="90" t="s">
        <v>42</v>
      </c>
      <c r="B24" s="90"/>
      <c r="C24" s="90"/>
      <c r="D24" s="90"/>
      <c r="E24" s="89" t="s">
        <v>43</v>
      </c>
      <c r="F24" s="89"/>
      <c r="G24" s="89"/>
      <c r="H24" s="89"/>
    </row>
    <row r="25" spans="1:8">
      <c r="A25" s="90" t="s">
        <v>44</v>
      </c>
      <c r="B25" s="90"/>
      <c r="C25" s="90"/>
      <c r="D25" s="90"/>
      <c r="E25" s="89" t="s">
        <v>45</v>
      </c>
      <c r="F25" s="89"/>
      <c r="G25" s="89"/>
      <c r="H25" s="89"/>
    </row>
    <row r="26" spans="1:8">
      <c r="A26" s="90" t="s">
        <v>46</v>
      </c>
      <c r="B26" s="90"/>
      <c r="C26" s="90"/>
      <c r="D26" s="90"/>
      <c r="E26" s="89" t="s">
        <v>47</v>
      </c>
      <c r="F26" s="89"/>
      <c r="G26" s="89"/>
      <c r="H26" s="89"/>
    </row>
    <row r="27" spans="1:8" ht="15" customHeight="1">
      <c r="A27" s="90" t="s">
        <v>48</v>
      </c>
      <c r="B27" s="90"/>
      <c r="C27" s="90"/>
      <c r="D27" s="90"/>
      <c r="E27" s="89" t="s">
        <v>49</v>
      </c>
      <c r="F27" s="89"/>
      <c r="G27" s="89"/>
      <c r="H27" s="89"/>
    </row>
    <row r="28" spans="1:8">
      <c r="A28" s="89" t="s">
        <v>50</v>
      </c>
      <c r="B28" s="89"/>
      <c r="C28" s="89"/>
      <c r="D28" s="89"/>
      <c r="E28" s="137" t="s">
        <v>51</v>
      </c>
      <c r="F28" s="137"/>
      <c r="G28" s="137"/>
      <c r="H28" s="137"/>
    </row>
    <row r="29" spans="1:8" s="22" customFormat="1">
      <c r="A29" s="89" t="s">
        <v>52</v>
      </c>
      <c r="B29" s="89"/>
      <c r="C29" s="89"/>
      <c r="D29" s="89"/>
      <c r="E29" s="89" t="s">
        <v>53</v>
      </c>
      <c r="F29" s="89"/>
      <c r="G29" s="89"/>
      <c r="H29" s="89"/>
    </row>
    <row r="30" spans="1:8" s="22" customFormat="1">
      <c r="A30" s="138" t="s">
        <v>54</v>
      </c>
      <c r="B30" s="138"/>
      <c r="C30" s="112" t="s">
        <v>55</v>
      </c>
      <c r="D30" s="112"/>
      <c r="E30" s="112"/>
      <c r="F30" s="112" t="s">
        <v>56</v>
      </c>
      <c r="G30" s="112"/>
      <c r="H30" s="112"/>
    </row>
    <row r="31" spans="1:8">
      <c r="A31" s="134" t="s">
        <v>57</v>
      </c>
      <c r="B31" s="134" t="s">
        <v>58</v>
      </c>
      <c r="C31" s="122" t="s">
        <v>58</v>
      </c>
      <c r="D31" s="122"/>
      <c r="E31" s="122"/>
      <c r="F31" s="122" t="s">
        <v>59</v>
      </c>
      <c r="G31" s="122"/>
      <c r="H31" s="122"/>
    </row>
    <row r="32" spans="1:8" s="22" customFormat="1">
      <c r="A32" s="134" t="s">
        <v>60</v>
      </c>
      <c r="B32" s="134" t="s">
        <v>58</v>
      </c>
      <c r="C32" s="122" t="s">
        <v>58</v>
      </c>
      <c r="D32" s="122"/>
      <c r="E32" s="122"/>
      <c r="F32" s="122" t="s">
        <v>33</v>
      </c>
      <c r="G32" s="122"/>
      <c r="H32" s="122"/>
    </row>
    <row r="33" spans="1:8">
      <c r="A33" s="134" t="s">
        <v>61</v>
      </c>
      <c r="B33" s="134" t="s">
        <v>58</v>
      </c>
      <c r="C33" s="122" t="s">
        <v>58</v>
      </c>
      <c r="D33" s="122"/>
      <c r="E33" s="122"/>
      <c r="F33" s="122" t="s">
        <v>22</v>
      </c>
      <c r="G33" s="122"/>
      <c r="H33" s="122"/>
    </row>
    <row r="34" spans="1:8">
      <c r="A34" s="134" t="s">
        <v>62</v>
      </c>
      <c r="B34" s="134" t="s">
        <v>58</v>
      </c>
      <c r="C34" s="122" t="s">
        <v>58</v>
      </c>
      <c r="D34" s="122"/>
      <c r="E34" s="122"/>
      <c r="F34" s="122" t="s">
        <v>63</v>
      </c>
      <c r="G34" s="122"/>
      <c r="H34" s="122"/>
    </row>
    <row r="35" spans="1:8" ht="15.75" customHeight="1">
      <c r="A35" s="90" t="s">
        <v>64</v>
      </c>
      <c r="B35" s="90"/>
      <c r="C35" s="90"/>
      <c r="D35" s="90"/>
      <c r="E35" s="90"/>
      <c r="F35" s="90"/>
      <c r="G35" s="90"/>
      <c r="H35" s="90"/>
    </row>
    <row r="36" spans="1:8" ht="15.75" customHeight="1">
      <c r="A36" s="112" t="s">
        <v>65</v>
      </c>
      <c r="B36" s="112"/>
      <c r="C36" s="135" t="s">
        <v>66</v>
      </c>
      <c r="D36" s="135"/>
      <c r="E36" s="135"/>
      <c r="F36" s="135"/>
      <c r="G36" s="135"/>
      <c r="H36" s="135"/>
    </row>
    <row r="37" spans="1:8">
      <c r="A37" s="112" t="s">
        <v>67</v>
      </c>
      <c r="B37" s="112"/>
      <c r="C37" s="136" t="s">
        <v>68</v>
      </c>
      <c r="D37" s="135"/>
      <c r="E37" s="135"/>
      <c r="F37" s="135"/>
      <c r="G37" s="135"/>
      <c r="H37" s="135"/>
    </row>
    <row r="38" spans="1:8">
      <c r="A38" s="118" t="s">
        <v>69</v>
      </c>
      <c r="B38" s="118"/>
      <c r="C38" s="118"/>
      <c r="D38" s="118"/>
      <c r="E38" s="118"/>
      <c r="F38" s="118"/>
      <c r="G38" s="118"/>
      <c r="H38" s="118"/>
    </row>
    <row r="39" spans="1:8">
      <c r="A39" s="90" t="s">
        <v>70</v>
      </c>
      <c r="B39" s="90"/>
      <c r="C39" s="90"/>
      <c r="D39" s="90"/>
      <c r="E39" s="131">
        <v>9215.33</v>
      </c>
      <c r="F39" s="131"/>
      <c r="G39" s="131"/>
      <c r="H39" s="131"/>
    </row>
    <row r="40" spans="1:8">
      <c r="A40" s="90" t="s">
        <v>71</v>
      </c>
      <c r="B40" s="90"/>
      <c r="C40" s="90"/>
      <c r="D40" s="90"/>
      <c r="E40" s="132">
        <v>1</v>
      </c>
      <c r="F40" s="132"/>
      <c r="G40" s="132"/>
      <c r="H40" s="132"/>
    </row>
    <row r="41" spans="1:8">
      <c r="A41" s="90" t="s">
        <v>72</v>
      </c>
      <c r="B41" s="90"/>
      <c r="C41" s="90"/>
      <c r="D41" s="90"/>
      <c r="E41" s="132">
        <f>E43/E39-E40</f>
        <v>3.2842882457817568</v>
      </c>
      <c r="F41" s="132"/>
      <c r="G41" s="132"/>
      <c r="H41" s="132"/>
    </row>
    <row r="42" spans="1:8">
      <c r="A42" s="90" t="s">
        <v>73</v>
      </c>
      <c r="B42" s="90"/>
      <c r="C42" s="90"/>
      <c r="D42" s="90"/>
      <c r="E42" s="132">
        <f>E40+E41</f>
        <v>4.2842882457817568</v>
      </c>
      <c r="F42" s="132"/>
      <c r="G42" s="132"/>
      <c r="H42" s="132"/>
    </row>
    <row r="43" spans="1:8">
      <c r="A43" s="90" t="s">
        <v>74</v>
      </c>
      <c r="B43" s="90"/>
      <c r="C43" s="90"/>
      <c r="D43" s="90"/>
      <c r="E43" s="133">
        <v>39481.129999999997</v>
      </c>
      <c r="F43" s="133"/>
      <c r="G43" s="133"/>
      <c r="H43" s="133"/>
    </row>
    <row r="44" spans="1:8">
      <c r="A44" s="90" t="s">
        <v>75</v>
      </c>
      <c r="B44" s="90"/>
      <c r="C44" s="90"/>
      <c r="D44" s="90"/>
      <c r="E44" s="90" t="s">
        <v>76</v>
      </c>
      <c r="F44" s="90"/>
      <c r="G44" s="90"/>
      <c r="H44" s="90"/>
    </row>
    <row r="45" spans="1:8">
      <c r="A45" s="118" t="s">
        <v>77</v>
      </c>
      <c r="B45" s="118"/>
      <c r="C45" s="118"/>
      <c r="D45" s="118"/>
      <c r="E45" s="118"/>
      <c r="F45" s="118"/>
      <c r="G45" s="118"/>
      <c r="H45" s="118"/>
    </row>
    <row r="46" spans="1:8">
      <c r="A46" s="89" t="s">
        <v>78</v>
      </c>
      <c r="B46" s="89"/>
      <c r="C46" s="124" t="s">
        <v>79</v>
      </c>
      <c r="D46" s="124"/>
      <c r="E46" s="124"/>
      <c r="F46" s="32" t="s">
        <v>80</v>
      </c>
      <c r="G46" s="130" t="s">
        <v>81</v>
      </c>
      <c r="H46" s="89"/>
    </row>
    <row r="47" spans="1:8" s="23" customFormat="1">
      <c r="A47" s="89" t="s">
        <v>82</v>
      </c>
      <c r="B47" s="89"/>
      <c r="C47" s="124" t="str">
        <f>C46</f>
        <v>CE/A-4112/BP(WS)/AR</v>
      </c>
      <c r="D47" s="124"/>
      <c r="E47" s="124"/>
      <c r="F47" s="32" t="s">
        <v>80</v>
      </c>
      <c r="G47" s="130" t="str">
        <f>G46</f>
        <v>31/03/2023.</v>
      </c>
      <c r="H47" s="130"/>
    </row>
    <row r="48" spans="1:8" s="23" customFormat="1" ht="32.25" customHeight="1">
      <c r="A48" s="89" t="s">
        <v>83</v>
      </c>
      <c r="B48" s="89"/>
      <c r="C48" s="124" t="s">
        <v>84</v>
      </c>
      <c r="D48" s="124"/>
      <c r="E48" s="124"/>
      <c r="F48" s="33" t="s">
        <v>80</v>
      </c>
      <c r="G48" s="125" t="s">
        <v>85</v>
      </c>
      <c r="H48" s="125"/>
    </row>
    <row r="49" spans="1:11" s="23" customFormat="1" ht="69.75" customHeight="1">
      <c r="A49" s="89"/>
      <c r="B49" s="89"/>
      <c r="C49" s="124" t="s">
        <v>86</v>
      </c>
      <c r="D49" s="124"/>
      <c r="E49" s="124"/>
      <c r="F49" s="34" t="s">
        <v>87</v>
      </c>
      <c r="G49" s="126" t="s">
        <v>88</v>
      </c>
      <c r="H49" s="126"/>
    </row>
    <row r="50" spans="1:11" s="23" customFormat="1" ht="35.25" customHeight="1">
      <c r="A50" s="89" t="s">
        <v>89</v>
      </c>
      <c r="B50" s="89"/>
      <c r="C50" s="124" t="s">
        <v>90</v>
      </c>
      <c r="D50" s="124"/>
      <c r="E50" s="124"/>
      <c r="F50" s="33" t="s">
        <v>80</v>
      </c>
      <c r="G50" s="125" t="s">
        <v>91</v>
      </c>
      <c r="H50" s="125"/>
    </row>
    <row r="51" spans="1:11" ht="78.75" customHeight="1">
      <c r="A51" s="89"/>
      <c r="B51" s="89"/>
      <c r="C51" s="124" t="s">
        <v>92</v>
      </c>
      <c r="D51" s="124"/>
      <c r="E51" s="124"/>
      <c r="F51" s="34" t="s">
        <v>87</v>
      </c>
      <c r="G51" s="126" t="s">
        <v>93</v>
      </c>
      <c r="H51" s="126"/>
    </row>
    <row r="52" spans="1:11" s="71" customFormat="1" ht="111.75" customHeight="1">
      <c r="A52" s="120" t="s">
        <v>94</v>
      </c>
      <c r="B52" s="120"/>
      <c r="C52" s="127" t="s">
        <v>291</v>
      </c>
      <c r="D52" s="128"/>
      <c r="E52" s="128" t="s">
        <v>95</v>
      </c>
      <c r="F52" s="70" t="s">
        <v>80</v>
      </c>
      <c r="G52" s="129">
        <v>45642</v>
      </c>
      <c r="H52" s="120"/>
    </row>
    <row r="53" spans="1:11" s="71" customFormat="1" ht="323.5" customHeight="1">
      <c r="A53" s="120"/>
      <c r="B53" s="120"/>
      <c r="C53" s="127" t="s">
        <v>295</v>
      </c>
      <c r="D53" s="128"/>
      <c r="E53" s="128"/>
      <c r="F53" s="76" t="s">
        <v>80</v>
      </c>
      <c r="G53" s="129">
        <v>45841</v>
      </c>
      <c r="H53" s="120"/>
    </row>
    <row r="54" spans="1:11">
      <c r="A54" s="123" t="s">
        <v>96</v>
      </c>
      <c r="B54" s="123"/>
      <c r="C54" s="123"/>
      <c r="D54" s="123"/>
      <c r="E54" s="123"/>
      <c r="F54" s="123"/>
      <c r="G54" s="123"/>
      <c r="H54" s="123"/>
    </row>
    <row r="55" spans="1:11">
      <c r="A55" s="89" t="s">
        <v>97</v>
      </c>
      <c r="B55" s="89"/>
      <c r="C55" s="89"/>
      <c r="D55" s="90">
        <f>E43</f>
        <v>39481.129999999997</v>
      </c>
      <c r="E55" s="90"/>
      <c r="F55" s="90"/>
      <c r="G55" s="90"/>
      <c r="H55" s="90"/>
      <c r="I55" s="30">
        <f>14</f>
        <v>14</v>
      </c>
    </row>
    <row r="56" spans="1:11" ht="15" customHeight="1">
      <c r="A56" s="89" t="s">
        <v>98</v>
      </c>
      <c r="B56" s="90"/>
      <c r="C56" s="90"/>
      <c r="D56" s="90" t="s">
        <v>99</v>
      </c>
      <c r="E56" s="90"/>
      <c r="F56" s="90"/>
      <c r="G56" s="90"/>
      <c r="H56" s="90"/>
    </row>
    <row r="57" spans="1:11" ht="66.75" customHeight="1">
      <c r="A57" s="89" t="s">
        <v>100</v>
      </c>
      <c r="B57" s="90"/>
      <c r="C57" s="90"/>
      <c r="D57" s="89" t="s">
        <v>101</v>
      </c>
      <c r="E57" s="89"/>
      <c r="F57" s="89"/>
      <c r="G57" s="89"/>
      <c r="H57" s="89"/>
    </row>
    <row r="58" spans="1:11" ht="33" customHeight="1">
      <c r="A58" s="89" t="s">
        <v>102</v>
      </c>
      <c r="B58" s="90"/>
      <c r="C58" s="90"/>
      <c r="D58" s="89" t="s">
        <v>103</v>
      </c>
      <c r="E58" s="89"/>
      <c r="F58" s="89"/>
      <c r="G58" s="89"/>
      <c r="H58" s="89"/>
    </row>
    <row r="59" spans="1:11" ht="33.5" customHeight="1">
      <c r="A59" s="90" t="s">
        <v>104</v>
      </c>
      <c r="B59" s="90"/>
      <c r="C59" s="90"/>
      <c r="D59" s="89" t="s">
        <v>297</v>
      </c>
      <c r="E59" s="89"/>
      <c r="F59" s="89"/>
      <c r="G59" s="89"/>
      <c r="H59" s="89"/>
    </row>
    <row r="60" spans="1:11" ht="15.75" customHeight="1">
      <c r="A60" s="90" t="s">
        <v>105</v>
      </c>
      <c r="B60" s="90"/>
      <c r="C60" s="90"/>
      <c r="D60" s="89" t="s">
        <v>106</v>
      </c>
      <c r="E60" s="89"/>
      <c r="F60" s="89"/>
      <c r="G60" s="89"/>
      <c r="H60" s="89"/>
      <c r="J60" s="35"/>
      <c r="K60" s="35"/>
    </row>
    <row r="61" spans="1:11" ht="15.75" customHeight="1">
      <c r="A61" s="90" t="s">
        <v>107</v>
      </c>
      <c r="B61" s="90"/>
      <c r="C61" s="90"/>
      <c r="D61" s="89" t="s">
        <v>47</v>
      </c>
      <c r="E61" s="89"/>
      <c r="F61" s="89"/>
      <c r="G61" s="89"/>
      <c r="H61" s="89"/>
      <c r="J61" s="35"/>
      <c r="K61" s="35"/>
    </row>
    <row r="62" spans="1:11">
      <c r="A62" s="90" t="s">
        <v>108</v>
      </c>
      <c r="B62" s="90"/>
      <c r="C62" s="90"/>
      <c r="D62" s="89" t="s">
        <v>109</v>
      </c>
      <c r="E62" s="89"/>
      <c r="F62" s="89"/>
      <c r="G62" s="89"/>
      <c r="H62" s="89"/>
      <c r="I62" s="36" t="e">
        <f>(IF(#REF!=0,"Work not yet Started.",IF(#REF!=25%,"Piling work in process",IF(#REF!=50%,"Excavation work in process",IF(#REF!=100%,"Excavation work completed, ","0")))&amp;(IF(#REF!=0%,"",IF(#REF!=#REF!,"Footing work is process",IF(#REF!=#REF!,"Footing work Completed",IF(#REF!=#REF!,"1st Basement Completed",IF(#REF!=#REF!,"1st &amp; 2nd Basement Completed",IF(#REF!=#REF!,"1st to 3rd Basement Completed",IF(#REF!=#REF!,"1st to 4th Basement Completed",IF(#REF!=#REF!,"Plinth work is process",IF(#REF!=#REF!,"Plinth work completed","0")))))))))))&amp;(IF(#REF!&gt;0,", RCC upto "&amp;#REF!&amp;" Slab completed",""))&amp;(IF(#REF!&gt;0,", Brickwork upto "&amp;#REF!&amp;" Floor completed"," "))&amp;(IF(#REF!&gt;0,", Internal Plaster upto "&amp;#REF!&amp;" Floor completed"," "))&amp;(IF(#REF!&gt;0,", External Plaster upto "&amp;#REF!&amp;" Floor completed"," "))&amp;(IF(#REF!&gt;0,", Flooring upto "&amp;#REF!&amp;" Floor completed"," "))&amp;(IF(#REF!&gt;0,", Painting upto "&amp;#REF!&amp;" Floor completed"," "))&amp;(IF(#REF!&gt;0,", Finishing upto "&amp;#REF!&amp;" Floor completed"," ")))</f>
        <v>#REF!</v>
      </c>
      <c r="J62" s="36"/>
      <c r="K62" s="37"/>
    </row>
    <row r="63" spans="1:11" ht="32.25" customHeight="1">
      <c r="A63" s="91" t="s">
        <v>110</v>
      </c>
      <c r="B63" s="91"/>
      <c r="C63" s="120" t="s">
        <v>111</v>
      </c>
      <c r="D63" s="120"/>
      <c r="E63" s="120"/>
      <c r="F63" s="120"/>
      <c r="G63" s="120"/>
      <c r="H63" s="120"/>
      <c r="I63" s="35" t="s">
        <v>112</v>
      </c>
      <c r="J63" s="35"/>
      <c r="K63" s="38"/>
    </row>
    <row r="64" spans="1:11">
      <c r="A64" s="77" t="s">
        <v>113</v>
      </c>
      <c r="B64" s="77">
        <v>0</v>
      </c>
      <c r="C64" s="77" t="s">
        <v>114</v>
      </c>
      <c r="D64" s="77">
        <v>1</v>
      </c>
      <c r="E64" s="77" t="s">
        <v>115</v>
      </c>
      <c r="F64" s="77">
        <v>0</v>
      </c>
      <c r="G64" s="77" t="s">
        <v>116</v>
      </c>
      <c r="H64" s="77">
        <v>39</v>
      </c>
      <c r="I64" s="35" t="s">
        <v>117</v>
      </c>
      <c r="J64" s="35"/>
      <c r="K64" s="38"/>
    </row>
    <row r="65" spans="1:11" ht="21.5" customHeight="1">
      <c r="A65" s="144" t="s">
        <v>118</v>
      </c>
      <c r="B65" s="144"/>
      <c r="C65" s="145" t="str">
        <f>I64</f>
        <v>All work Completed. OC Received.</v>
      </c>
      <c r="D65" s="145"/>
      <c r="E65" s="145"/>
      <c r="F65" s="145"/>
      <c r="G65" s="145"/>
      <c r="H65" s="145"/>
      <c r="I65" s="39" t="s">
        <v>119</v>
      </c>
      <c r="K65" s="40">
        <f>H64*25%</f>
        <v>9.75</v>
      </c>
    </row>
    <row r="66" spans="1:11" ht="31">
      <c r="A66" s="119" t="s">
        <v>120</v>
      </c>
      <c r="B66" s="119"/>
      <c r="C66" s="78" t="s">
        <v>121</v>
      </c>
      <c r="D66" s="78" t="s">
        <v>122</v>
      </c>
      <c r="E66" s="119" t="s">
        <v>123</v>
      </c>
      <c r="F66" s="119"/>
      <c r="G66" s="119" t="s">
        <v>124</v>
      </c>
      <c r="H66" s="119"/>
      <c r="I66" s="39" t="s">
        <v>125</v>
      </c>
      <c r="J66" s="52"/>
      <c r="K66" s="53">
        <f>H64*50%</f>
        <v>19.5</v>
      </c>
    </row>
    <row r="67" spans="1:11">
      <c r="A67" s="119" t="s">
        <v>126</v>
      </c>
      <c r="B67" s="119"/>
      <c r="C67" s="42">
        <v>39</v>
      </c>
      <c r="D67" s="79">
        <f>((100/H64)*C67)/100</f>
        <v>1.0000000000000002</v>
      </c>
      <c r="E67" s="121" t="str">
        <f>(IF(C65=I63,"100%",IF(C65=I64,"100%",(((C68/H64*10)+(40/(B64+D64+F64+H64)*C69)+(7.5/(H64)*C70)+(7.5/(H64)*C71)+(10/H64*C72)+(10/H64*C73)+(5/H64*C74)+(5/H64*C75)+(5/H64*C76))/100))))</f>
        <v>100%</v>
      </c>
      <c r="F67" s="121"/>
      <c r="G67" s="121">
        <f>((((C67/H64)*20)+((C68/H64)*25)+(30/(B64+H64+F64+D64)*C69)+(5/H64*C70)+(5/H64*C71)+(5/H64*C72)+(5/H64*C73)+(0/H64*C74)+(0/H64*C75)+(5/H64*C76))/100)</f>
        <v>1</v>
      </c>
      <c r="H67" s="121"/>
      <c r="I67" s="39" t="s">
        <v>127</v>
      </c>
      <c r="J67" s="52"/>
      <c r="K67" s="53">
        <f>H64</f>
        <v>39</v>
      </c>
    </row>
    <row r="68" spans="1:11">
      <c r="A68" s="119" t="s">
        <v>128</v>
      </c>
      <c r="B68" s="119"/>
      <c r="C68" s="44">
        <v>39</v>
      </c>
      <c r="D68" s="79">
        <f>((100/H64)*C68)/100</f>
        <v>1.0000000000000002</v>
      </c>
      <c r="E68" s="121"/>
      <c r="F68" s="121"/>
      <c r="G68" s="121"/>
      <c r="H68" s="121"/>
      <c r="I68" s="39" t="s">
        <v>129</v>
      </c>
      <c r="J68" s="52"/>
      <c r="K68" s="54">
        <f>(IF(B64=0,H64/4,(H64/(B64+4))))</f>
        <v>9.75</v>
      </c>
    </row>
    <row r="69" spans="1:11">
      <c r="A69" s="119" t="s">
        <v>130</v>
      </c>
      <c r="B69" s="119"/>
      <c r="C69" s="44">
        <v>40</v>
      </c>
      <c r="D69" s="79">
        <f>((100/(B64+D64+F64+H64))*C69)/100</f>
        <v>1</v>
      </c>
      <c r="E69" s="121"/>
      <c r="F69" s="121"/>
      <c r="G69" s="121"/>
      <c r="H69" s="121"/>
      <c r="I69" s="39" t="s">
        <v>131</v>
      </c>
      <c r="J69" s="52"/>
      <c r="K69" s="54">
        <f>(IF(B64=0,H64/4+K68,(H64/(B64+4)+K68)))</f>
        <v>19.5</v>
      </c>
    </row>
    <row r="70" spans="1:11">
      <c r="A70" s="119" t="s">
        <v>132</v>
      </c>
      <c r="B70" s="119" t="s">
        <v>133</v>
      </c>
      <c r="C70" s="44">
        <v>39</v>
      </c>
      <c r="D70" s="79">
        <f>((100/H64)*C70)/100</f>
        <v>1.0000000000000002</v>
      </c>
      <c r="E70" s="121"/>
      <c r="F70" s="121"/>
      <c r="G70" s="121"/>
      <c r="H70" s="121"/>
      <c r="I70" s="39" t="s">
        <v>134</v>
      </c>
      <c r="J70" s="55"/>
      <c r="K70" s="54">
        <f>(IF(B64=0,0,(H64/(B64+4)+K69)))</f>
        <v>0</v>
      </c>
    </row>
    <row r="71" spans="1:11">
      <c r="A71" s="119" t="s">
        <v>135</v>
      </c>
      <c r="B71" s="119" t="s">
        <v>133</v>
      </c>
      <c r="C71" s="44">
        <v>39</v>
      </c>
      <c r="D71" s="79">
        <f>((100/H64)*C71)/100</f>
        <v>1.0000000000000002</v>
      </c>
      <c r="E71" s="121"/>
      <c r="F71" s="121"/>
      <c r="G71" s="121"/>
      <c r="H71" s="121"/>
      <c r="I71" s="39" t="s">
        <v>136</v>
      </c>
      <c r="J71" s="55"/>
      <c r="K71" s="54">
        <f>(IF(B64&gt;1,(H64/(B64+4)+K70),0))</f>
        <v>0</v>
      </c>
    </row>
    <row r="72" spans="1:11">
      <c r="A72" s="122" t="s">
        <v>137</v>
      </c>
      <c r="B72" s="122" t="s">
        <v>138</v>
      </c>
      <c r="C72" s="44">
        <v>39</v>
      </c>
      <c r="D72" s="79">
        <f>((100/(H64))*C72)/100</f>
        <v>1.0000000000000002</v>
      </c>
      <c r="E72" s="121"/>
      <c r="F72" s="121"/>
      <c r="G72" s="121"/>
      <c r="H72" s="121"/>
      <c r="I72" s="39" t="s">
        <v>139</v>
      </c>
      <c r="J72" s="56"/>
      <c r="K72" s="57">
        <f>(IF(B64&gt;2,(H64/(B64+4)+K71),0))</f>
        <v>0</v>
      </c>
    </row>
    <row r="73" spans="1:11">
      <c r="A73" s="119" t="s">
        <v>140</v>
      </c>
      <c r="B73" s="119" t="s">
        <v>140</v>
      </c>
      <c r="C73" s="42">
        <v>39</v>
      </c>
      <c r="D73" s="79">
        <f>((100/H64)*C73)/100</f>
        <v>1.0000000000000002</v>
      </c>
      <c r="E73" s="121"/>
      <c r="F73" s="121"/>
      <c r="G73" s="121"/>
      <c r="H73" s="121"/>
      <c r="I73" s="39" t="s">
        <v>141</v>
      </c>
      <c r="J73"/>
      <c r="K73" s="58">
        <f>(IF(B64&gt;3,(H64/(B64+4)+K72),0))</f>
        <v>0</v>
      </c>
    </row>
    <row r="74" spans="1:11">
      <c r="A74" s="119" t="s">
        <v>142</v>
      </c>
      <c r="B74" s="119"/>
      <c r="C74" s="42">
        <v>39</v>
      </c>
      <c r="D74" s="79">
        <f>((100/H64)*C74)/100</f>
        <v>1.0000000000000002</v>
      </c>
      <c r="E74" s="121"/>
      <c r="F74" s="121"/>
      <c r="G74" s="121"/>
      <c r="H74" s="121"/>
      <c r="I74" s="39" t="s">
        <v>143</v>
      </c>
      <c r="J74" s="52"/>
      <c r="K74" s="54">
        <f>(IF(B64=0,H64/4+K69,(H64/(B64+4)+K69+MAX(0,K70-K69)+MAX(0,K71-K70)+MAX(0,K72-K71)+MAX(0,K73-K72))))</f>
        <v>29.25</v>
      </c>
    </row>
    <row r="75" spans="1:11" ht="16" thickBot="1">
      <c r="A75" s="119" t="s">
        <v>144</v>
      </c>
      <c r="B75" s="119" t="s">
        <v>144</v>
      </c>
      <c r="C75" s="42">
        <v>39</v>
      </c>
      <c r="D75" s="79">
        <f>((100/(H64))*C75)/100</f>
        <v>1.0000000000000002</v>
      </c>
      <c r="E75" s="121"/>
      <c r="F75" s="121"/>
      <c r="G75" s="121"/>
      <c r="H75" s="121"/>
      <c r="I75" s="59" t="s">
        <v>145</v>
      </c>
      <c r="J75" s="60"/>
      <c r="K75" s="61">
        <f>(IF(B64=0,H64/4+K74,(H64/(B64+4)+K74)))</f>
        <v>39</v>
      </c>
    </row>
    <row r="76" spans="1:11">
      <c r="A76" s="119" t="s">
        <v>146</v>
      </c>
      <c r="B76" s="119"/>
      <c r="C76" s="42">
        <v>39</v>
      </c>
      <c r="D76" s="79">
        <f>((100/(H64))*C76)/100</f>
        <v>1.0000000000000002</v>
      </c>
      <c r="E76" s="121"/>
      <c r="F76" s="121"/>
      <c r="G76" s="121"/>
      <c r="H76" s="121"/>
    </row>
    <row r="77" spans="1:11" ht="32.25" customHeight="1">
      <c r="A77" s="91" t="s">
        <v>110</v>
      </c>
      <c r="B77" s="91"/>
      <c r="C77" s="120" t="s">
        <v>147</v>
      </c>
      <c r="D77" s="120"/>
      <c r="E77" s="120"/>
      <c r="F77" s="120"/>
      <c r="G77" s="120"/>
      <c r="H77" s="120"/>
      <c r="I77" s="35" t="s">
        <v>112</v>
      </c>
      <c r="J77" s="35"/>
      <c r="K77" s="38"/>
    </row>
    <row r="78" spans="1:11">
      <c r="A78" s="31" t="s">
        <v>113</v>
      </c>
      <c r="B78" s="31">
        <v>0</v>
      </c>
      <c r="C78" s="31" t="s">
        <v>114</v>
      </c>
      <c r="D78" s="31">
        <v>1</v>
      </c>
      <c r="E78" s="31" t="s">
        <v>115</v>
      </c>
      <c r="F78" s="31">
        <v>0</v>
      </c>
      <c r="G78" s="31" t="s">
        <v>116</v>
      </c>
      <c r="H78" s="31">
        <v>39</v>
      </c>
      <c r="I78" s="35" t="s">
        <v>117</v>
      </c>
      <c r="J78" s="35"/>
      <c r="K78" s="38"/>
    </row>
    <row r="79" spans="1:11" ht="22.5" customHeight="1">
      <c r="A79" s="144" t="s">
        <v>118</v>
      </c>
      <c r="B79" s="144"/>
      <c r="C79" s="145" t="str">
        <f>I78</f>
        <v>All work Completed. OC Received.</v>
      </c>
      <c r="D79" s="145"/>
      <c r="E79" s="145"/>
      <c r="F79" s="145"/>
      <c r="G79" s="145"/>
      <c r="H79" s="145"/>
      <c r="I79" s="39" t="s">
        <v>119</v>
      </c>
      <c r="K79" s="40">
        <f>H78*25%</f>
        <v>9.75</v>
      </c>
    </row>
    <row r="80" spans="1:11">
      <c r="A80" s="80" t="s">
        <v>123</v>
      </c>
      <c r="B80" s="81"/>
      <c r="C80" s="84" t="str">
        <f>E83</f>
        <v>100%</v>
      </c>
      <c r="D80" s="85"/>
      <c r="E80" s="88" t="s">
        <v>124</v>
      </c>
      <c r="F80" s="85"/>
      <c r="G80" s="84">
        <f>G83</f>
        <v>1</v>
      </c>
      <c r="H80" s="85"/>
      <c r="I80" s="39"/>
      <c r="K80" s="40"/>
    </row>
    <row r="81" spans="1:12">
      <c r="A81" s="82"/>
      <c r="B81" s="83"/>
      <c r="C81" s="86"/>
      <c r="D81" s="87"/>
      <c r="E81" s="86"/>
      <c r="F81" s="87"/>
      <c r="G81" s="86"/>
      <c r="H81" s="87"/>
      <c r="I81" s="39"/>
      <c r="K81" s="40"/>
    </row>
    <row r="82" spans="1:12" ht="31" hidden="1">
      <c r="A82" s="119" t="s">
        <v>120</v>
      </c>
      <c r="B82" s="119"/>
      <c r="C82" s="41" t="s">
        <v>121</v>
      </c>
      <c r="D82" s="41" t="s">
        <v>122</v>
      </c>
      <c r="E82" s="119" t="s">
        <v>123</v>
      </c>
      <c r="F82" s="119"/>
      <c r="G82" s="119" t="s">
        <v>124</v>
      </c>
      <c r="H82" s="119"/>
      <c r="I82" s="39" t="s">
        <v>125</v>
      </c>
      <c r="J82" s="52"/>
      <c r="K82" s="53">
        <f>H78*50%</f>
        <v>19.5</v>
      </c>
    </row>
    <row r="83" spans="1:12" hidden="1">
      <c r="A83" s="119" t="s">
        <v>126</v>
      </c>
      <c r="B83" s="119"/>
      <c r="C83" s="42">
        <v>39</v>
      </c>
      <c r="D83" s="43">
        <f>((100/H78)*C83)/100</f>
        <v>1.0000000000000002</v>
      </c>
      <c r="E83" s="121" t="str">
        <f>(IF(C79=I77,"100%",IF(C79=I78,"100%",(((C84/H78*10)+(40/(B78+D78+F78+H78)*C85)+(7.5/(H78)*C86)+(7.5/(H78)*C87)+(10/H78*C88)+(10/H78*C89)+(5/H78*C90)+(5/H78*C91)+(5/H78*C92))/100))))</f>
        <v>100%</v>
      </c>
      <c r="F83" s="121"/>
      <c r="G83" s="121">
        <f>((((C83/H78)*20)+((C84/H78)*25)+(30/(B78+H78+F78+D78)*C85)+(5/H78*C86)+(5/H78*C87)+(5/H78*C88)+(5/H78*C89)+(0/H78*C90)+(0/H78*C91)+(5/H78*C92))/100)</f>
        <v>1</v>
      </c>
      <c r="H83" s="121"/>
      <c r="I83" s="39" t="s">
        <v>127</v>
      </c>
      <c r="J83" s="52"/>
      <c r="K83" s="53">
        <f>H78</f>
        <v>39</v>
      </c>
    </row>
    <row r="84" spans="1:12" hidden="1">
      <c r="A84" s="119" t="s">
        <v>128</v>
      </c>
      <c r="B84" s="119"/>
      <c r="C84" s="44">
        <v>39</v>
      </c>
      <c r="D84" s="43">
        <f>((100/H78)*C84)/100</f>
        <v>1.0000000000000002</v>
      </c>
      <c r="E84" s="121"/>
      <c r="F84" s="121"/>
      <c r="G84" s="121"/>
      <c r="H84" s="121"/>
      <c r="I84" s="39" t="s">
        <v>129</v>
      </c>
      <c r="J84" s="52"/>
      <c r="K84" s="54">
        <f>(IF(B78=0,H78/4,(H78/(B78+4))))</f>
        <v>9.75</v>
      </c>
    </row>
    <row r="85" spans="1:12" hidden="1">
      <c r="A85" s="119" t="s">
        <v>130</v>
      </c>
      <c r="B85" s="119"/>
      <c r="C85" s="44">
        <v>40</v>
      </c>
      <c r="D85" s="43">
        <f>((100/(B78+D78+F78+H78))*C85)/100</f>
        <v>1</v>
      </c>
      <c r="E85" s="121"/>
      <c r="F85" s="121"/>
      <c r="G85" s="121"/>
      <c r="H85" s="121"/>
      <c r="I85" s="39" t="s">
        <v>131</v>
      </c>
      <c r="J85" s="52"/>
      <c r="K85" s="54">
        <f>(IF(B78=0,H78/4+K84,(H78/(B78+4)+K84)))</f>
        <v>19.5</v>
      </c>
    </row>
    <row r="86" spans="1:12" hidden="1">
      <c r="A86" s="119" t="s">
        <v>132</v>
      </c>
      <c r="B86" s="119" t="s">
        <v>133</v>
      </c>
      <c r="C86" s="44">
        <v>39</v>
      </c>
      <c r="D86" s="43">
        <f>((100/H78)*C86)/100</f>
        <v>1.0000000000000002</v>
      </c>
      <c r="E86" s="121"/>
      <c r="F86" s="121"/>
      <c r="G86" s="121"/>
      <c r="H86" s="121"/>
      <c r="I86" s="39" t="s">
        <v>134</v>
      </c>
      <c r="J86" s="55"/>
      <c r="K86" s="54">
        <f>(IF(B78=0,0,(H78/(B78+4)+K85)))</f>
        <v>0</v>
      </c>
    </row>
    <row r="87" spans="1:12" hidden="1">
      <c r="A87" s="119" t="s">
        <v>135</v>
      </c>
      <c r="B87" s="119" t="s">
        <v>133</v>
      </c>
      <c r="C87" s="44">
        <v>39</v>
      </c>
      <c r="D87" s="43">
        <f>((100/H78)*C87)/100</f>
        <v>1.0000000000000002</v>
      </c>
      <c r="E87" s="121"/>
      <c r="F87" s="121"/>
      <c r="G87" s="121"/>
      <c r="H87" s="121"/>
      <c r="I87" s="39" t="s">
        <v>136</v>
      </c>
      <c r="J87" s="55"/>
      <c r="K87" s="54">
        <f>(IF(B78&gt;1,(H78/(B78+4)+K86),0))</f>
        <v>0</v>
      </c>
    </row>
    <row r="88" spans="1:12" hidden="1">
      <c r="A88" s="122" t="s">
        <v>137</v>
      </c>
      <c r="B88" s="122" t="s">
        <v>138</v>
      </c>
      <c r="C88" s="44">
        <v>39</v>
      </c>
      <c r="D88" s="43">
        <f>((100/(H78))*C88)/100</f>
        <v>1.0000000000000002</v>
      </c>
      <c r="E88" s="121"/>
      <c r="F88" s="121"/>
      <c r="G88" s="121"/>
      <c r="H88" s="121"/>
      <c r="I88" s="39" t="s">
        <v>139</v>
      </c>
      <c r="J88" s="56"/>
      <c r="K88" s="57">
        <f>(IF(B78&gt;2,(H78/(B78+4)+K87),0))</f>
        <v>0</v>
      </c>
    </row>
    <row r="89" spans="1:12" hidden="1">
      <c r="A89" s="119" t="s">
        <v>140</v>
      </c>
      <c r="B89" s="119" t="s">
        <v>140</v>
      </c>
      <c r="C89" s="42">
        <v>39</v>
      </c>
      <c r="D89" s="43">
        <f>((100/H78)*C89)/100</f>
        <v>1.0000000000000002</v>
      </c>
      <c r="E89" s="121"/>
      <c r="F89" s="121"/>
      <c r="G89" s="121"/>
      <c r="H89" s="121"/>
      <c r="I89" s="39" t="s">
        <v>141</v>
      </c>
      <c r="J89"/>
      <c r="K89" s="58">
        <f>(IF(B78&gt;3,(H78/(B78+4)+K88),0))</f>
        <v>0</v>
      </c>
    </row>
    <row r="90" spans="1:12" hidden="1">
      <c r="A90" s="119" t="s">
        <v>142</v>
      </c>
      <c r="B90" s="119"/>
      <c r="C90" s="42">
        <v>39</v>
      </c>
      <c r="D90" s="43">
        <f>((100/H78)*C90)/100</f>
        <v>1.0000000000000002</v>
      </c>
      <c r="E90" s="121"/>
      <c r="F90" s="121"/>
      <c r="G90" s="121"/>
      <c r="H90" s="121"/>
      <c r="I90" s="39" t="s">
        <v>143</v>
      </c>
      <c r="J90" s="52"/>
      <c r="K90" s="54">
        <f>(IF(B78=0,H78/4+K85,(H78/(B78+4)+K85+MAX(0,K86-K85)+MAX(0,K87-K86)+MAX(0,K88-K87)+MAX(0,K89-K88))))</f>
        <v>29.25</v>
      </c>
    </row>
    <row r="91" spans="1:12" hidden="1">
      <c r="A91" s="119" t="s">
        <v>144</v>
      </c>
      <c r="B91" s="119" t="s">
        <v>144</v>
      </c>
      <c r="C91" s="42">
        <v>39</v>
      </c>
      <c r="D91" s="43">
        <f>((100/(H78))*C91)/100</f>
        <v>1.0000000000000002</v>
      </c>
      <c r="E91" s="121"/>
      <c r="F91" s="121"/>
      <c r="G91" s="121"/>
      <c r="H91" s="121"/>
      <c r="I91" s="59" t="s">
        <v>145</v>
      </c>
      <c r="J91" s="60"/>
      <c r="K91" s="61">
        <f>(IF(B78=0,H78/4+K90,(H78/(B78+4)+K90)))</f>
        <v>39</v>
      </c>
    </row>
    <row r="92" spans="1:12" hidden="1">
      <c r="A92" s="119" t="s">
        <v>146</v>
      </c>
      <c r="B92" s="119"/>
      <c r="C92" s="42">
        <v>39</v>
      </c>
      <c r="D92" s="43">
        <f>((100/(H78))*C92)/100</f>
        <v>1.0000000000000002</v>
      </c>
      <c r="E92" s="121"/>
      <c r="F92" s="121"/>
      <c r="G92" s="121"/>
      <c r="H92" s="121"/>
    </row>
    <row r="93" spans="1:12">
      <c r="A93" s="90" t="s">
        <v>148</v>
      </c>
      <c r="B93" s="90"/>
      <c r="C93" s="90"/>
      <c r="D93" s="90"/>
      <c r="E93" s="90"/>
      <c r="F93" s="90"/>
      <c r="G93" s="90"/>
      <c r="H93" s="90"/>
    </row>
    <row r="94" spans="1:12" ht="15" customHeight="1">
      <c r="A94" s="90" t="s">
        <v>149</v>
      </c>
      <c r="B94" s="90"/>
      <c r="C94" s="90"/>
      <c r="D94" s="90"/>
      <c r="E94" s="90"/>
      <c r="F94" s="90"/>
      <c r="G94" s="90"/>
      <c r="H94" s="90"/>
    </row>
    <row r="95" spans="1:12">
      <c r="A95" s="118" t="s">
        <v>150</v>
      </c>
      <c r="B95" s="118"/>
      <c r="C95" s="120" t="s">
        <v>151</v>
      </c>
      <c r="D95" s="120"/>
      <c r="E95" s="120"/>
      <c r="F95" s="120"/>
      <c r="G95" s="120"/>
      <c r="H95" s="120"/>
    </row>
    <row r="96" spans="1:12">
      <c r="A96" s="118" t="s">
        <v>152</v>
      </c>
      <c r="B96" s="118"/>
      <c r="C96" s="118"/>
      <c r="D96" s="118"/>
      <c r="E96" s="118"/>
      <c r="F96" s="118"/>
      <c r="G96" s="118"/>
      <c r="H96" s="118"/>
      <c r="I96" s="62" t="s">
        <v>153</v>
      </c>
      <c r="J96" s="62"/>
      <c r="K96" s="62"/>
      <c r="L96" s="62"/>
    </row>
    <row r="97" spans="1:8">
      <c r="A97" s="90" t="s">
        <v>154</v>
      </c>
      <c r="B97" s="90"/>
      <c r="C97" s="90"/>
      <c r="D97" s="90"/>
      <c r="E97" s="90"/>
      <c r="F97" s="117">
        <v>21050</v>
      </c>
      <c r="G97" s="117"/>
      <c r="H97" s="117"/>
    </row>
    <row r="98" spans="1:8" s="24" customFormat="1">
      <c r="A98" s="90" t="s">
        <v>155</v>
      </c>
      <c r="B98" s="90"/>
      <c r="C98" s="90"/>
      <c r="D98" s="90"/>
      <c r="E98" s="90"/>
      <c r="F98" s="117">
        <v>25000</v>
      </c>
      <c r="G98" s="117"/>
      <c r="H98" s="117"/>
    </row>
    <row r="99" spans="1:8" s="24" customFormat="1" hidden="1">
      <c r="A99" s="90" t="s">
        <v>156</v>
      </c>
      <c r="B99" s="90"/>
      <c r="C99" s="90"/>
      <c r="D99" s="90"/>
      <c r="E99" s="90"/>
      <c r="F99" s="117" t="s">
        <v>58</v>
      </c>
      <c r="G99" s="117"/>
      <c r="H99" s="117"/>
    </row>
    <row r="100" spans="1:8" s="24" customFormat="1">
      <c r="A100" s="90" t="s">
        <v>157</v>
      </c>
      <c r="B100" s="90"/>
      <c r="C100" s="90"/>
      <c r="D100" s="90"/>
      <c r="E100" s="90"/>
      <c r="F100" s="117">
        <v>38000</v>
      </c>
      <c r="G100" s="117"/>
      <c r="H100" s="117"/>
    </row>
    <row r="101" spans="1:8" s="24" customFormat="1">
      <c r="A101" s="90" t="s">
        <v>158</v>
      </c>
      <c r="B101" s="90"/>
      <c r="C101" s="90"/>
      <c r="D101" s="90"/>
      <c r="E101" s="90"/>
      <c r="F101" s="117">
        <v>300000</v>
      </c>
      <c r="G101" s="117"/>
      <c r="H101" s="117"/>
    </row>
    <row r="102" spans="1:8" s="24" customFormat="1">
      <c r="A102" s="90" t="s">
        <v>159</v>
      </c>
      <c r="B102" s="90"/>
      <c r="C102" s="90"/>
      <c r="D102" s="90"/>
      <c r="E102" s="90"/>
      <c r="F102" s="117">
        <v>15000</v>
      </c>
      <c r="G102" s="117"/>
      <c r="H102" s="117"/>
    </row>
    <row r="103" spans="1:8" s="24" customFormat="1">
      <c r="A103" s="90" t="s">
        <v>160</v>
      </c>
      <c r="B103" s="90"/>
      <c r="C103" s="90"/>
      <c r="D103" s="90"/>
      <c r="E103" s="90"/>
      <c r="F103" s="117">
        <v>20000</v>
      </c>
      <c r="G103" s="117"/>
      <c r="H103" s="117"/>
    </row>
    <row r="104" spans="1:8" s="24" customFormat="1">
      <c r="A104" s="90" t="s">
        <v>161</v>
      </c>
      <c r="B104" s="90"/>
      <c r="C104" s="90"/>
      <c r="D104" s="90"/>
      <c r="E104" s="90"/>
      <c r="F104" s="117">
        <v>60000</v>
      </c>
      <c r="G104" s="117"/>
      <c r="H104" s="117"/>
    </row>
    <row r="105" spans="1:8" s="24" customFormat="1">
      <c r="A105" s="90" t="s">
        <v>162</v>
      </c>
      <c r="B105" s="90"/>
      <c r="C105" s="90"/>
      <c r="D105" s="90"/>
      <c r="E105" s="90"/>
      <c r="F105" s="117">
        <v>10000</v>
      </c>
      <c r="G105" s="117"/>
      <c r="H105" s="117"/>
    </row>
    <row r="106" spans="1:8">
      <c r="A106" s="90" t="s">
        <v>163</v>
      </c>
      <c r="B106" s="90"/>
      <c r="C106" s="90"/>
      <c r="D106" s="90"/>
      <c r="E106" s="90"/>
      <c r="F106" s="117">
        <v>143000</v>
      </c>
      <c r="G106" s="117"/>
      <c r="H106" s="117"/>
    </row>
    <row r="107" spans="1:8" s="25" customFormat="1">
      <c r="A107" s="90" t="s">
        <v>164</v>
      </c>
      <c r="B107" s="90"/>
      <c r="C107" s="90"/>
      <c r="D107" s="90"/>
      <c r="E107" s="90"/>
      <c r="F107" s="117">
        <v>800000</v>
      </c>
      <c r="G107" s="117"/>
      <c r="H107" s="117"/>
    </row>
    <row r="108" spans="1:8" s="26" customFormat="1" ht="15.75" customHeight="1">
      <c r="A108" s="118" t="s">
        <v>165</v>
      </c>
      <c r="B108" s="118"/>
      <c r="C108" s="118"/>
      <c r="D108" s="118"/>
      <c r="E108" s="118"/>
      <c r="F108" s="117">
        <f>F97*0.8</f>
        <v>16840</v>
      </c>
      <c r="G108" s="117"/>
      <c r="H108" s="117"/>
    </row>
    <row r="109" spans="1:8" s="26" customFormat="1" ht="15.75" customHeight="1">
      <c r="A109" s="110" t="s">
        <v>166</v>
      </c>
      <c r="B109" s="110"/>
      <c r="C109" s="110"/>
      <c r="D109" s="110"/>
      <c r="E109" s="110"/>
      <c r="F109" s="110"/>
      <c r="G109" s="110"/>
      <c r="H109" s="110"/>
    </row>
    <row r="110" spans="1:8" s="26" customFormat="1">
      <c r="A110" s="111" t="s">
        <v>167</v>
      </c>
      <c r="B110" s="111"/>
      <c r="C110" s="45" t="s">
        <v>168</v>
      </c>
      <c r="D110" s="114" t="s">
        <v>169</v>
      </c>
      <c r="E110" s="114"/>
      <c r="F110" s="111" t="s">
        <v>170</v>
      </c>
      <c r="G110" s="111"/>
      <c r="H110" s="111"/>
    </row>
    <row r="111" spans="1:8" s="26" customFormat="1">
      <c r="A111" s="115" t="s">
        <v>171</v>
      </c>
      <c r="B111" s="115"/>
      <c r="C111" s="46">
        <f>COUNT(D123:D130)</f>
        <v>8</v>
      </c>
      <c r="D111" s="116">
        <f>SUM(D123:D130)</f>
        <v>5085.7268201999996</v>
      </c>
      <c r="E111" s="116"/>
      <c r="F111" s="116">
        <f>SUM(F123:F130)</f>
        <v>8137.16291232</v>
      </c>
      <c r="G111" s="116"/>
      <c r="H111" s="116"/>
    </row>
    <row r="112" spans="1:8" s="26" customFormat="1">
      <c r="A112" s="110" t="s">
        <v>172</v>
      </c>
      <c r="B112" s="110"/>
      <c r="C112" s="110"/>
      <c r="D112" s="110"/>
      <c r="E112" s="110"/>
      <c r="F112" s="110"/>
      <c r="G112" s="110"/>
      <c r="H112" s="110"/>
    </row>
    <row r="113" spans="1:9" s="26" customFormat="1">
      <c r="A113" s="111" t="s">
        <v>167</v>
      </c>
      <c r="B113" s="111"/>
      <c r="C113" s="45" t="s">
        <v>168</v>
      </c>
      <c r="D113" s="114" t="s">
        <v>169</v>
      </c>
      <c r="E113" s="114"/>
      <c r="F113" s="111" t="s">
        <v>170</v>
      </c>
      <c r="G113" s="111"/>
      <c r="H113" s="111"/>
    </row>
    <row r="114" spans="1:9" s="26" customFormat="1">
      <c r="A114" s="115" t="s">
        <v>171</v>
      </c>
      <c r="B114" s="115"/>
      <c r="C114" s="46">
        <f>COUNT(D133,D137:D138)+COUNT(D140:D145)+COUNT(D147:D152)*2+COUNT(D156:D159)*2+COUNT(D161:D166)*5+COUNT(D168:D173)+COUNT(D175:D180)*7+COUNT(D182:D187)+COUNT(D191:D194)+COUNT(D196:D201)+COUNT(D203:D208)*2+COUNT(D210:D215)+COUNT(D219:D222)+COUNT(D224:D229)*2+COUNT(D231,D233:D236)+COUNT(D238:D243)*7</f>
        <v>204</v>
      </c>
      <c r="D114" s="116">
        <f>SUM(D133,D137:D138)+SUM(D140:D145)+SUM(D147:D152)*2+SUM(D156:D159)*2+SUM(D161:D166)*5+SUM(D168:D173)+SUM(D175:D180)*7+SUM(D182:D187)+SUM(D191:D194)+SUM(D196:D201)+SUM(D203:D208)*2+SUM(D210:D215)+SUM(D219:D222)+SUM(D224:D229)*2+SUM(D231,D233:D236)+SUM(D238:D243)*7</f>
        <v>193594.68414</v>
      </c>
      <c r="E114" s="116"/>
      <c r="F114" s="116">
        <f>SUM(F133,F137:F138)+SUM(F140:F145)+SUM(F147:F152)*2+SUM(F156:F159)*2+SUM(F161:F166)*5+SUM(F168:F173)+SUM(F175:F180)*7+SUM(F182:F187)+SUM(F191:F194)+SUM(F196:F201)+SUM(F203:F208)*2+SUM(F210:F215)+SUM(F219:F222)+SUM(F224:F229)*2+SUM(F231,F233:F236)+SUM(F238:F243)*7</f>
        <v>309751.49462400004</v>
      </c>
      <c r="G114" s="116"/>
      <c r="H114" s="116"/>
    </row>
    <row r="115" spans="1:9" s="26" customFormat="1">
      <c r="A115" s="115" t="s">
        <v>173</v>
      </c>
      <c r="B115" s="115"/>
      <c r="C115" s="46">
        <f>COUNT(D249)+COUNT(D251:D255)+COUNT(D257:D261)*2+COUNT(D263:D265)*2+COUNT(D269:D273)*5+COUNT(D287:D291)+COUNT(D293:D297)*7+COUNT(D299:D303)+COUNT(D305:D307)+COUNT(D311:D315)+COUNT(D317:D321)*2+COUNT(D323:D327)+COUNT(D329:D331)+COUNT(D335:D339)*9+COUNT(D341:D343)+COUNT(D345)</f>
        <v>167</v>
      </c>
      <c r="D115" s="116">
        <f>SUM(D249)+SUM(D251:D255)+SUM(D257:D261)*2+SUM(D263:D265)*2+SUM(D269:D273)*5+SUM(D287:D291)+SUM(D293:D297)*7+SUM(D299:D303)+SUM(D305:D307)+SUM(D311:D315)+SUM(D317:D321)*2+SUM(D323:D327)+SUM(D329:D331)+SUM(D335:D339)*9+SUM(D341:D343)+SUM(D345)</f>
        <v>169837.72238160003</v>
      </c>
      <c r="E115" s="116"/>
      <c r="F115" s="116">
        <f>SUM(F249)+SUM(F251:F255)+SUM(F257:F261)*2+SUM(F263:F265)*2+SUM(F269:F273)*5+SUM(F287:F291)+SUM(F293:F297)*7+SUM(F299:F303)+SUM(F305:F307)+SUM(F311:F315)+SUM(F317:F321)*2+SUM(F323:F327)+SUM(F329:F331)+SUM(F335:F339)*9+SUM(F341:F343)+SUM(F345)</f>
        <v>271740.35581056</v>
      </c>
      <c r="G115" s="116"/>
      <c r="H115" s="116"/>
    </row>
    <row r="116" spans="1:9" s="25" customFormat="1">
      <c r="A116" s="110" t="s">
        <v>174</v>
      </c>
      <c r="B116" s="110"/>
      <c r="C116" s="47">
        <f>SUM(C114:C115)</f>
        <v>371</v>
      </c>
      <c r="D116" s="111">
        <f>SUM(D114:E115)</f>
        <v>363432.40652160003</v>
      </c>
      <c r="E116" s="111"/>
      <c r="F116" s="111">
        <f>SUM(F114:H115)</f>
        <v>581491.8504345601</v>
      </c>
      <c r="G116" s="111"/>
      <c r="H116" s="111"/>
    </row>
    <row r="117" spans="1:9">
      <c r="A117" s="112" t="s">
        <v>175</v>
      </c>
      <c r="B117" s="112"/>
      <c r="C117" s="112"/>
      <c r="D117" s="112"/>
      <c r="E117" s="112"/>
      <c r="F117" s="112"/>
      <c r="G117" s="112"/>
      <c r="H117" s="112"/>
    </row>
    <row r="118" spans="1:9">
      <c r="A118" s="112" t="s">
        <v>176</v>
      </c>
      <c r="B118" s="112"/>
      <c r="C118" s="112"/>
      <c r="D118" s="112"/>
      <c r="E118" s="112"/>
      <c r="F118" s="112"/>
      <c r="G118" s="112"/>
      <c r="H118" s="112"/>
    </row>
    <row r="119" spans="1:9" s="27" customFormat="1" ht="48" customHeight="1">
      <c r="A119" s="113" t="s">
        <v>177</v>
      </c>
      <c r="B119" s="113"/>
      <c r="C119" s="48" t="s">
        <v>178</v>
      </c>
      <c r="D119" s="48" t="s">
        <v>179</v>
      </c>
      <c r="E119" s="49" t="s">
        <v>180</v>
      </c>
      <c r="F119" s="48" t="s">
        <v>181</v>
      </c>
      <c r="G119" s="113" t="s">
        <v>182</v>
      </c>
      <c r="H119" s="113"/>
    </row>
    <row r="120" spans="1:9" s="27" customFormat="1">
      <c r="A120" s="104" t="s">
        <v>171</v>
      </c>
      <c r="B120" s="104"/>
      <c r="C120" s="104"/>
      <c r="D120" s="104"/>
      <c r="E120" s="104"/>
      <c r="F120" s="104"/>
      <c r="G120" s="104"/>
      <c r="H120" s="104"/>
    </row>
    <row r="121" spans="1:9" s="27" customFormat="1">
      <c r="A121" s="104" t="s">
        <v>183</v>
      </c>
      <c r="B121" s="104"/>
      <c r="C121" s="104"/>
      <c r="D121" s="104"/>
      <c r="E121" s="104"/>
      <c r="F121" s="104"/>
      <c r="G121" s="104"/>
      <c r="H121" s="104"/>
    </row>
    <row r="122" spans="1:9">
      <c r="A122" s="104" t="s">
        <v>184</v>
      </c>
      <c r="B122" s="104"/>
      <c r="C122" s="104"/>
      <c r="D122" s="104"/>
      <c r="E122" s="104"/>
      <c r="F122" s="104"/>
      <c r="G122" s="104"/>
      <c r="H122" s="104"/>
      <c r="I122" s="63">
        <f>COUNT(D140:D143)+COUNT(D147:D152)+COUNT(D156:D159)</f>
        <v>14</v>
      </c>
    </row>
    <row r="123" spans="1:9" ht="32.25" customHeight="1">
      <c r="A123" s="92">
        <v>1</v>
      </c>
      <c r="B123" s="92"/>
      <c r="C123" s="73" t="s">
        <v>185</v>
      </c>
      <c r="D123" s="72">
        <f>((5.48*4.86+3.08*1.15+1.5*1)+(4*1.2+1.3*1.5))*10.764</f>
        <v>413.60454720000001</v>
      </c>
      <c r="E123" s="72">
        <v>0</v>
      </c>
      <c r="F123" s="72">
        <f>D123*1.6+E123</f>
        <v>661.76727552000011</v>
      </c>
      <c r="G123" s="92" t="str">
        <f>A122</f>
        <v>Ground Floor + 1st For Commercial &amp; Parking</v>
      </c>
      <c r="H123" s="92"/>
      <c r="I123" s="30">
        <f>COUNT(D251:D255)+COUNT(D257:D261)+COUNT(D263:D265)+COUNT(D269:D273)*3</f>
        <v>28</v>
      </c>
    </row>
    <row r="124" spans="1:9" ht="32.25" customHeight="1">
      <c r="A124" s="92">
        <v>2</v>
      </c>
      <c r="B124" s="92"/>
      <c r="C124" s="73" t="s">
        <v>185</v>
      </c>
      <c r="D124" s="72">
        <f>((6.31*8.21+5.16*1.65+1.5*1)+(6.31*2.7+2.5*3))*10.764</f>
        <v>929.53706039999997</v>
      </c>
      <c r="E124" s="72">
        <v>0</v>
      </c>
      <c r="F124" s="72">
        <f t="shared" ref="F124:F130" si="0">D124*1.6+E124</f>
        <v>1487.25929664</v>
      </c>
      <c r="G124" s="92"/>
      <c r="H124" s="92"/>
    </row>
    <row r="125" spans="1:9" ht="32.25" customHeight="1">
      <c r="A125" s="92">
        <v>3</v>
      </c>
      <c r="B125" s="92"/>
      <c r="C125" s="73" t="s">
        <v>185</v>
      </c>
      <c r="D125" s="72">
        <f>((4.71*8.71+2.31*1.15+1.5*1)+(4.7*2.7+1.8*2.5))*10.764</f>
        <v>671.35713840000005</v>
      </c>
      <c r="E125" s="72">
        <v>0</v>
      </c>
      <c r="F125" s="72">
        <f t="shared" si="0"/>
        <v>1074.1714214400001</v>
      </c>
      <c r="G125" s="92"/>
      <c r="H125" s="92"/>
    </row>
    <row r="126" spans="1:9" ht="32.25" customHeight="1">
      <c r="A126" s="92">
        <v>4</v>
      </c>
      <c r="B126" s="92"/>
      <c r="C126" s="73" t="s">
        <v>185</v>
      </c>
      <c r="D126" s="72">
        <f>((6.62*4.39+3.02*1.45+0.45*0.64+2.7*1.45+6.62*4.39+1.44*3.69+4.47*1.3+1.5*1.3+1.96*1.1)+(4.47*1+1.5*3.1+2.15*4.11+1.44*2.16+1.54*0.61))*10.764</f>
        <v>1118.8370699999998</v>
      </c>
      <c r="E126" s="72">
        <v>0</v>
      </c>
      <c r="F126" s="72">
        <f t="shared" si="0"/>
        <v>1790.1393119999998</v>
      </c>
      <c r="G126" s="92"/>
      <c r="H126" s="92"/>
    </row>
    <row r="127" spans="1:9" ht="32.25" customHeight="1">
      <c r="A127" s="92">
        <v>5</v>
      </c>
      <c r="B127" s="92"/>
      <c r="C127" s="73" t="s">
        <v>185</v>
      </c>
      <c r="D127" s="72">
        <f>((2.82*1.47+3.17*3.82+4.48*2.92+0.94*0.82+1*1.5+1.5*3+1.5*2.92)+(3.17*0.275+3*3.2+1.5*2.2+0.9*0.9+2.47*0.94))*10.764</f>
        <v>617.75403300000005</v>
      </c>
      <c r="E127" s="72">
        <v>0</v>
      </c>
      <c r="F127" s="72">
        <f t="shared" si="0"/>
        <v>988.40645280000012</v>
      </c>
      <c r="G127" s="92"/>
      <c r="H127" s="92"/>
    </row>
    <row r="128" spans="1:9" ht="32.25" customHeight="1">
      <c r="A128" s="92">
        <v>6</v>
      </c>
      <c r="B128" s="92"/>
      <c r="C128" s="73" t="s">
        <v>185</v>
      </c>
      <c r="D128" s="72">
        <f>((3.17*3.82+2.82*1.47+4.46*4.57+0.94*0.82+1.07*1.5)+(3.17*0.34+1.5*0.75+3.2*3+0.94*0.61+1.17*1.86+1.5*1.5))*10.764</f>
        <v>600.79481279999993</v>
      </c>
      <c r="E128" s="72">
        <v>0</v>
      </c>
      <c r="F128" s="72">
        <f t="shared" si="0"/>
        <v>961.27170047999994</v>
      </c>
      <c r="G128" s="92"/>
      <c r="H128" s="92"/>
    </row>
    <row r="129" spans="1:11" ht="32.25" customHeight="1">
      <c r="A129" s="92">
        <v>7</v>
      </c>
      <c r="B129" s="92"/>
      <c r="C129" s="73" t="s">
        <v>185</v>
      </c>
      <c r="D129" s="72">
        <f>((4.71*5.14+3.27*0.8+2*1)+(3.2*1.2+1.5*1.5))*10.764</f>
        <v>375.82936559999996</v>
      </c>
      <c r="E129" s="72">
        <v>0</v>
      </c>
      <c r="F129" s="72">
        <f t="shared" si="0"/>
        <v>601.32698496</v>
      </c>
      <c r="G129" s="92"/>
      <c r="H129" s="92"/>
    </row>
    <row r="130" spans="1:11" s="27" customFormat="1" ht="29.5">
      <c r="A130" s="92">
        <v>8</v>
      </c>
      <c r="B130" s="92"/>
      <c r="C130" s="73" t="s">
        <v>185</v>
      </c>
      <c r="D130" s="72">
        <f>((3.07*4.17+4.04*2.97+1.12*1.61)+(3.07*0.72+1.5*1.5+1.27*1.05+1.54*0.56))*10.764</f>
        <v>358.01279279999994</v>
      </c>
      <c r="E130" s="72">
        <v>0</v>
      </c>
      <c r="F130" s="72">
        <f t="shared" si="0"/>
        <v>572.82046847999993</v>
      </c>
      <c r="G130" s="92"/>
      <c r="H130" s="92"/>
    </row>
    <row r="131" spans="1:11" s="27" customFormat="1">
      <c r="A131" s="104" t="s">
        <v>186</v>
      </c>
      <c r="B131" s="104"/>
      <c r="C131" s="104"/>
      <c r="D131" s="104"/>
      <c r="E131" s="104"/>
      <c r="F131" s="104"/>
      <c r="G131" s="104"/>
      <c r="H131" s="104"/>
    </row>
    <row r="132" spans="1:11" ht="15.75" customHeight="1">
      <c r="A132" s="104" t="s">
        <v>187</v>
      </c>
      <c r="B132" s="104"/>
      <c r="C132" s="104"/>
      <c r="D132" s="104"/>
      <c r="E132" s="104"/>
      <c r="F132" s="104"/>
      <c r="G132" s="104"/>
      <c r="H132" s="104"/>
      <c r="I132" s="63">
        <f>2.32*1.24+5.82*3.22+0.15*2.87+2.17*0.15+3.07*2.9+2.07*0.6+2.87*1.22+3.68*3.07+3.07*3.67+3.97*3.07+0.6*0.15+1.85*2+2.5*1.54+2.47*1.14+2.32*0.4+1.07*3.095+1.07*0.895+1.16*1.64+1.24*2.87</f>
        <v>91.886300000000006</v>
      </c>
      <c r="K132" s="64">
        <v>10.763999999999999</v>
      </c>
    </row>
    <row r="133" spans="1:11">
      <c r="A133" s="92">
        <v>1</v>
      </c>
      <c r="B133" s="92"/>
      <c r="C133" s="51" t="s">
        <v>188</v>
      </c>
      <c r="D133" s="64">
        <f>(94.159)*10.764</f>
        <v>1013.527476</v>
      </c>
      <c r="E133" s="50">
        <v>0</v>
      </c>
      <c r="F133" s="50">
        <f t="shared" ref="F133:F138" si="1">D133*1.6+E133</f>
        <v>1621.6439616</v>
      </c>
      <c r="G133" s="93" t="str">
        <f>A132</f>
        <v>4th Floor for Amenities &amp; Residential</v>
      </c>
      <c r="H133" s="94"/>
    </row>
    <row r="134" spans="1:11">
      <c r="A134" s="100">
        <v>2</v>
      </c>
      <c r="B134" s="100"/>
      <c r="C134" s="105" t="s">
        <v>189</v>
      </c>
      <c r="D134" s="106">
        <f>(102.994+1.24*2.87)*10.764</f>
        <v>1146.9343392000001</v>
      </c>
      <c r="E134" s="106">
        <v>0</v>
      </c>
      <c r="F134" s="107">
        <f t="shared" si="1"/>
        <v>1835.0949427200003</v>
      </c>
      <c r="G134" s="95"/>
      <c r="H134" s="96"/>
    </row>
    <row r="135" spans="1:11">
      <c r="A135" s="100">
        <v>3</v>
      </c>
      <c r="B135" s="100"/>
      <c r="C135" s="93" t="s">
        <v>190</v>
      </c>
      <c r="D135" s="108"/>
      <c r="E135" s="108"/>
      <c r="F135" s="94"/>
      <c r="G135" s="95"/>
      <c r="H135" s="96"/>
    </row>
    <row r="136" spans="1:11">
      <c r="A136" s="100">
        <v>4</v>
      </c>
      <c r="B136" s="100"/>
      <c r="C136" s="97"/>
      <c r="D136" s="109"/>
      <c r="E136" s="109"/>
      <c r="F136" s="98"/>
      <c r="G136" s="95"/>
      <c r="H136" s="96"/>
      <c r="I136" s="65">
        <f>1.25*1.405+2.33*1.165+3.22*5.82+2.87*0.15+2.97*2.47+0.25*1.86+0.87*1.46+1.24*3.22+3.07*3.68+2.77*0.6+3.07*3.97+3.67*3.07+0.965*1.07+1.058*1.82+0.942*1.85+1.54*2.46+1.54*2.47+3.025*1.07+1.24*2.87</f>
        <v>92.208460000000002</v>
      </c>
    </row>
    <row r="137" spans="1:11">
      <c r="A137" s="100">
        <v>5</v>
      </c>
      <c r="B137" s="100"/>
      <c r="C137" s="51" t="s">
        <v>188</v>
      </c>
      <c r="D137" s="64">
        <f>(92.724)*10.764</f>
        <v>998.08113600000001</v>
      </c>
      <c r="E137" s="51">
        <v>0</v>
      </c>
      <c r="F137" s="51">
        <f t="shared" si="1"/>
        <v>1596.9298176000002</v>
      </c>
      <c r="G137" s="95"/>
      <c r="H137" s="96"/>
    </row>
    <row r="138" spans="1:11" s="27" customFormat="1">
      <c r="A138" s="100">
        <v>6</v>
      </c>
      <c r="B138" s="100"/>
      <c r="C138" s="51" t="s">
        <v>188</v>
      </c>
      <c r="D138" s="64">
        <f>(96.357)*10.764</f>
        <v>1037.1867479999999</v>
      </c>
      <c r="E138" s="51">
        <v>0</v>
      </c>
      <c r="F138" s="51">
        <f t="shared" si="1"/>
        <v>1659.4987967999998</v>
      </c>
      <c r="G138" s="97"/>
      <c r="H138" s="98"/>
    </row>
    <row r="139" spans="1:11" ht="15.75" customHeight="1">
      <c r="A139" s="104" t="s">
        <v>191</v>
      </c>
      <c r="B139" s="104"/>
      <c r="C139" s="104"/>
      <c r="D139" s="104"/>
      <c r="E139" s="104"/>
      <c r="F139" s="104"/>
      <c r="G139" s="104"/>
      <c r="H139" s="104"/>
    </row>
    <row r="140" spans="1:11">
      <c r="A140" s="100">
        <v>1</v>
      </c>
      <c r="B140" s="100"/>
      <c r="C140" s="50" t="s">
        <v>188</v>
      </c>
      <c r="D140" s="64">
        <f>(94.159)*10.764</f>
        <v>1013.527476</v>
      </c>
      <c r="E140" s="51">
        <v>0</v>
      </c>
      <c r="F140" s="51">
        <f t="shared" ref="F140:F143" si="2">D140*1.6+E140</f>
        <v>1621.6439616</v>
      </c>
      <c r="G140" s="93" t="str">
        <f>A139</f>
        <v>5th Floor for Residential</v>
      </c>
      <c r="H140" s="94"/>
    </row>
    <row r="141" spans="1:11">
      <c r="A141" s="100">
        <v>2</v>
      </c>
      <c r="B141" s="100"/>
      <c r="C141" s="50" t="s">
        <v>192</v>
      </c>
      <c r="D141" s="64">
        <f>(102.994)*10.764</f>
        <v>1108.627416</v>
      </c>
      <c r="E141" s="51">
        <v>0</v>
      </c>
      <c r="F141" s="51">
        <f t="shared" si="2"/>
        <v>1773.8038656000001</v>
      </c>
      <c r="G141" s="95"/>
      <c r="H141" s="96"/>
      <c r="I141" s="30">
        <f>4+6+4+119</f>
        <v>133</v>
      </c>
      <c r="J141" s="65">
        <f>F142/D142</f>
        <v>1.6</v>
      </c>
    </row>
    <row r="142" spans="1:11">
      <c r="A142" s="100">
        <v>3</v>
      </c>
      <c r="B142" s="100"/>
      <c r="C142" s="51" t="s">
        <v>193</v>
      </c>
      <c r="D142" s="64">
        <f>(68.882)*10.764</f>
        <v>741.44584799999996</v>
      </c>
      <c r="E142" s="51">
        <v>0</v>
      </c>
      <c r="F142" s="51">
        <f t="shared" si="2"/>
        <v>1186.3133568000001</v>
      </c>
      <c r="G142" s="95"/>
      <c r="H142" s="96"/>
    </row>
    <row r="143" spans="1:11">
      <c r="A143" s="100">
        <v>4</v>
      </c>
      <c r="B143" s="100"/>
      <c r="C143" s="51" t="s">
        <v>193</v>
      </c>
      <c r="D143" s="64">
        <f>(68.882)*10.764</f>
        <v>741.44584799999996</v>
      </c>
      <c r="E143" s="51">
        <v>0</v>
      </c>
      <c r="F143" s="51">
        <f t="shared" si="2"/>
        <v>1186.3133568000001</v>
      </c>
      <c r="G143" s="95"/>
      <c r="H143" s="96"/>
    </row>
    <row r="144" spans="1:11">
      <c r="A144" s="100">
        <v>5</v>
      </c>
      <c r="B144" s="100"/>
      <c r="C144" s="51" t="s">
        <v>188</v>
      </c>
      <c r="D144" s="64">
        <f>(92.156)*10.764</f>
        <v>991.96718399999997</v>
      </c>
      <c r="E144" s="51">
        <v>0</v>
      </c>
      <c r="F144" s="51">
        <f t="shared" ref="F144:F145" si="3">D144*1.6+E144</f>
        <v>1587.1474944000001</v>
      </c>
      <c r="G144" s="95"/>
      <c r="H144" s="96"/>
      <c r="I144" s="30" t="s">
        <v>194</v>
      </c>
    </row>
    <row r="145" spans="1:9" s="27" customFormat="1">
      <c r="A145" s="100">
        <v>6</v>
      </c>
      <c r="B145" s="100"/>
      <c r="C145" s="51" t="s">
        <v>188</v>
      </c>
      <c r="D145" s="64">
        <f>(93.567)*10.764</f>
        <v>1007.1551879999998</v>
      </c>
      <c r="E145" s="51">
        <v>0</v>
      </c>
      <c r="F145" s="51">
        <f t="shared" si="3"/>
        <v>1611.4483007999997</v>
      </c>
      <c r="G145" s="97"/>
      <c r="H145" s="98"/>
    </row>
    <row r="146" spans="1:9">
      <c r="A146" s="104" t="s">
        <v>195</v>
      </c>
      <c r="B146" s="104"/>
      <c r="C146" s="104"/>
      <c r="D146" s="104"/>
      <c r="E146" s="104"/>
      <c r="F146" s="104"/>
      <c r="G146" s="104"/>
      <c r="H146" s="104"/>
      <c r="I146" s="63">
        <f>44000000/F147</f>
        <v>16660.008721363112</v>
      </c>
    </row>
    <row r="147" spans="1:9" ht="15.75" customHeight="1">
      <c r="A147" s="92">
        <v>1</v>
      </c>
      <c r="B147" s="92"/>
      <c r="C147" s="51" t="s">
        <v>196</v>
      </c>
      <c r="D147" s="64">
        <f>(153.35)*10.764</f>
        <v>1650.6593999999998</v>
      </c>
      <c r="E147" s="50">
        <v>0</v>
      </c>
      <c r="F147" s="50">
        <f t="shared" ref="F147:F148" si="4">D147*1.6+E147</f>
        <v>2641.0550399999997</v>
      </c>
      <c r="G147" s="93" t="str">
        <f>A146</f>
        <v xml:space="preserve">6th &amp; 13th Floor </v>
      </c>
      <c r="H147" s="94"/>
    </row>
    <row r="148" spans="1:9">
      <c r="A148" s="100">
        <v>2</v>
      </c>
      <c r="B148" s="100"/>
      <c r="C148" s="51" t="s">
        <v>188</v>
      </c>
      <c r="D148" s="64">
        <f>(102.914)*10.764</f>
        <v>1107.766296</v>
      </c>
      <c r="E148" s="51">
        <v>0</v>
      </c>
      <c r="F148" s="51">
        <f t="shared" si="4"/>
        <v>1772.4260736000001</v>
      </c>
      <c r="G148" s="95"/>
      <c r="H148" s="96"/>
    </row>
    <row r="149" spans="1:9">
      <c r="A149" s="100">
        <v>3</v>
      </c>
      <c r="B149" s="100"/>
      <c r="C149" s="51" t="s">
        <v>193</v>
      </c>
      <c r="D149" s="64">
        <f>(68.745)*10.764</f>
        <v>739.97118</v>
      </c>
      <c r="E149" s="51">
        <v>0</v>
      </c>
      <c r="F149" s="51">
        <f t="shared" ref="F149:F152" si="5">D149*1.6+E149</f>
        <v>1183.953888</v>
      </c>
      <c r="G149" s="95"/>
      <c r="H149" s="96"/>
    </row>
    <row r="150" spans="1:9">
      <c r="A150" s="100">
        <v>4</v>
      </c>
      <c r="B150" s="100"/>
      <c r="C150" s="51" t="s">
        <v>193</v>
      </c>
      <c r="D150" s="64">
        <f>(68.745)*10.764</f>
        <v>739.97118</v>
      </c>
      <c r="E150" s="51">
        <v>0</v>
      </c>
      <c r="F150" s="51">
        <f t="shared" si="5"/>
        <v>1183.953888</v>
      </c>
      <c r="G150" s="95"/>
      <c r="H150" s="96"/>
    </row>
    <row r="151" spans="1:9">
      <c r="A151" s="100">
        <v>5</v>
      </c>
      <c r="B151" s="100"/>
      <c r="C151" s="51" t="s">
        <v>188</v>
      </c>
      <c r="D151" s="64">
        <f>(92.724)*10.764</f>
        <v>998.08113600000001</v>
      </c>
      <c r="E151" s="51">
        <v>0</v>
      </c>
      <c r="F151" s="51">
        <f t="shared" si="5"/>
        <v>1596.9298176000002</v>
      </c>
      <c r="G151" s="95"/>
      <c r="H151" s="96"/>
    </row>
    <row r="152" spans="1:9" s="27" customFormat="1">
      <c r="A152" s="100">
        <v>6</v>
      </c>
      <c r="B152" s="100"/>
      <c r="C152" s="51" t="s">
        <v>188</v>
      </c>
      <c r="D152" s="64">
        <f>(96.357)*10.764</f>
        <v>1037.1867479999999</v>
      </c>
      <c r="E152" s="51">
        <v>0</v>
      </c>
      <c r="F152" s="51">
        <f t="shared" si="5"/>
        <v>1659.4987967999998</v>
      </c>
      <c r="G152" s="97"/>
      <c r="H152" s="98"/>
    </row>
    <row r="153" spans="1:9">
      <c r="A153" s="104" t="s">
        <v>197</v>
      </c>
      <c r="B153" s="104"/>
      <c r="C153" s="104"/>
      <c r="D153" s="104"/>
      <c r="E153" s="104"/>
      <c r="F153" s="104"/>
      <c r="G153" s="104"/>
      <c r="H153" s="104"/>
    </row>
    <row r="154" spans="1:9">
      <c r="A154" s="100">
        <v>1</v>
      </c>
      <c r="B154" s="100"/>
      <c r="C154" s="105" t="s">
        <v>198</v>
      </c>
      <c r="D154" s="106"/>
      <c r="E154" s="106"/>
      <c r="F154" s="107"/>
      <c r="G154" s="93" t="str">
        <f>A153</f>
        <v>7th &amp; 14 Floor (Part Refuge Area)</v>
      </c>
      <c r="H154" s="94"/>
    </row>
    <row r="155" spans="1:9">
      <c r="A155" s="100">
        <v>2</v>
      </c>
      <c r="B155" s="100"/>
      <c r="C155" s="105" t="s">
        <v>199</v>
      </c>
      <c r="D155" s="106"/>
      <c r="E155" s="106"/>
      <c r="F155" s="107"/>
      <c r="G155" s="95"/>
      <c r="H155" s="96"/>
      <c r="I155" s="63">
        <f>19000000/F156</f>
        <v>16016.004448648553</v>
      </c>
    </row>
    <row r="156" spans="1:9">
      <c r="A156" s="100">
        <v>3</v>
      </c>
      <c r="B156" s="100"/>
      <c r="C156" s="51" t="s">
        <v>193</v>
      </c>
      <c r="D156" s="64">
        <f>(68.882)*10.764</f>
        <v>741.44584799999996</v>
      </c>
      <c r="E156" s="51">
        <v>0</v>
      </c>
      <c r="F156" s="50">
        <f>D156*1.6+E156</f>
        <v>1186.3133568000001</v>
      </c>
      <c r="G156" s="95"/>
      <c r="H156" s="96"/>
      <c r="I156" s="63">
        <f>19000000/F157</f>
        <v>16016.004448648553</v>
      </c>
    </row>
    <row r="157" spans="1:9">
      <c r="A157" s="100">
        <v>4</v>
      </c>
      <c r="B157" s="100"/>
      <c r="C157" s="51" t="s">
        <v>193</v>
      </c>
      <c r="D157" s="64">
        <f>(68.882)*10.764</f>
        <v>741.44584799999996</v>
      </c>
      <c r="E157" s="51">
        <v>0</v>
      </c>
      <c r="F157" s="50">
        <f t="shared" ref="F157:F159" si="6">D157*1.6+E157</f>
        <v>1186.3133568000001</v>
      </c>
      <c r="G157" s="95"/>
      <c r="H157" s="96"/>
      <c r="I157" s="63">
        <f t="shared" ref="I157:I158" si="7">26900000/F158</f>
        <v>16948.645349542126</v>
      </c>
    </row>
    <row r="158" spans="1:9">
      <c r="A158" s="100">
        <v>5</v>
      </c>
      <c r="B158" s="100"/>
      <c r="C158" s="51" t="s">
        <v>188</v>
      </c>
      <c r="D158" s="64">
        <f>(92.156)*10.764</f>
        <v>991.96718399999997</v>
      </c>
      <c r="E158" s="51">
        <v>0</v>
      </c>
      <c r="F158" s="50">
        <f t="shared" si="6"/>
        <v>1587.1474944000001</v>
      </c>
      <c r="G158" s="95"/>
      <c r="H158" s="96"/>
      <c r="I158" s="63">
        <f t="shared" si="7"/>
        <v>16306.002430705355</v>
      </c>
    </row>
    <row r="159" spans="1:9" s="27" customFormat="1">
      <c r="A159" s="100">
        <v>6</v>
      </c>
      <c r="B159" s="100"/>
      <c r="C159" s="51" t="s">
        <v>188</v>
      </c>
      <c r="D159" s="64">
        <f>(95.788)*10.764</f>
        <v>1031.0620319999998</v>
      </c>
      <c r="E159" s="51">
        <v>0</v>
      </c>
      <c r="F159" s="50">
        <f t="shared" si="6"/>
        <v>1649.6992511999997</v>
      </c>
      <c r="G159" s="97"/>
      <c r="H159" s="98"/>
    </row>
    <row r="160" spans="1:9" ht="15.75" customHeight="1">
      <c r="A160" s="104" t="s">
        <v>200</v>
      </c>
      <c r="B160" s="104"/>
      <c r="C160" s="104"/>
      <c r="D160" s="104"/>
      <c r="E160" s="104"/>
      <c r="F160" s="104"/>
      <c r="G160" s="104"/>
      <c r="H160" s="104"/>
      <c r="I160" s="63">
        <f>44000000/F161</f>
        <v>27132.959541000149</v>
      </c>
    </row>
    <row r="161" spans="1:9" ht="15.75" customHeight="1">
      <c r="A161" s="92">
        <v>1</v>
      </c>
      <c r="B161" s="92"/>
      <c r="C161" s="51" t="s">
        <v>188</v>
      </c>
      <c r="D161" s="64">
        <f>(94.159)*10.764</f>
        <v>1013.527476</v>
      </c>
      <c r="E161" s="50">
        <v>0</v>
      </c>
      <c r="F161" s="50">
        <f>D161*1.6+E161</f>
        <v>1621.6439616</v>
      </c>
      <c r="G161" s="93" t="str">
        <f>A160</f>
        <v xml:space="preserve">8th to 12th Floor </v>
      </c>
      <c r="H161" s="94"/>
      <c r="I161" s="30">
        <f>(2.32*1.24+5.82*3.22+0.15*2.87+3.07*2.9+2.07*0.6+2.17*0.15+2.87*1.22+3.68*3.07+3.97*3.07+3.07*3.67+2.5*1.54+1.85*2+2.47*1.14+2.32*0.4+1.16*1.64+1.07*0.895+1.07*3.095+1.24*2.87)*10.764</f>
        <v>988.09537319999981</v>
      </c>
    </row>
    <row r="162" spans="1:9">
      <c r="A162" s="100">
        <v>2</v>
      </c>
      <c r="B162" s="100"/>
      <c r="C162" s="51" t="s">
        <v>188</v>
      </c>
      <c r="D162" s="64">
        <f>(102.994)*10.764</f>
        <v>1108.627416</v>
      </c>
      <c r="E162" s="51">
        <v>0</v>
      </c>
      <c r="F162" s="50">
        <f t="shared" ref="F162:F166" si="8">D162*1.6+E162</f>
        <v>1773.8038656000001</v>
      </c>
      <c r="G162" s="95"/>
      <c r="H162" s="96"/>
    </row>
    <row r="163" spans="1:9">
      <c r="A163" s="100">
        <v>3</v>
      </c>
      <c r="B163" s="100"/>
      <c r="C163" s="51" t="s">
        <v>193</v>
      </c>
      <c r="D163" s="64">
        <f>(68.882)*10.764</f>
        <v>741.44584799999996</v>
      </c>
      <c r="E163" s="51">
        <v>0</v>
      </c>
      <c r="F163" s="50">
        <f t="shared" si="8"/>
        <v>1186.3133568000001</v>
      </c>
      <c r="G163" s="95"/>
      <c r="H163" s="96"/>
    </row>
    <row r="164" spans="1:9">
      <c r="A164" s="100">
        <v>4</v>
      </c>
      <c r="B164" s="100"/>
      <c r="C164" s="51" t="s">
        <v>193</v>
      </c>
      <c r="D164" s="64">
        <f>(68.882)*10.764</f>
        <v>741.44584799999996</v>
      </c>
      <c r="E164" s="51">
        <v>0</v>
      </c>
      <c r="F164" s="50">
        <f t="shared" si="8"/>
        <v>1186.3133568000001</v>
      </c>
      <c r="G164" s="95"/>
      <c r="H164" s="96"/>
    </row>
    <row r="165" spans="1:9">
      <c r="A165" s="100">
        <v>5</v>
      </c>
      <c r="B165" s="100"/>
      <c r="C165" s="51" t="s">
        <v>188</v>
      </c>
      <c r="D165" s="64">
        <f>(92.156)*10.764</f>
        <v>991.96718399999997</v>
      </c>
      <c r="E165" s="51">
        <v>0</v>
      </c>
      <c r="F165" s="50">
        <f t="shared" si="8"/>
        <v>1587.1474944000001</v>
      </c>
      <c r="G165" s="95"/>
      <c r="H165" s="96"/>
    </row>
    <row r="166" spans="1:9" s="27" customFormat="1">
      <c r="A166" s="100">
        <v>6</v>
      </c>
      <c r="B166" s="100"/>
      <c r="C166" s="51" t="s">
        <v>188</v>
      </c>
      <c r="D166" s="64">
        <f>(95.788)*10.764</f>
        <v>1031.0620319999998</v>
      </c>
      <c r="E166" s="51">
        <v>0</v>
      </c>
      <c r="F166" s="50">
        <f t="shared" si="8"/>
        <v>1649.6992511999997</v>
      </c>
      <c r="G166" s="97"/>
      <c r="H166" s="98"/>
    </row>
    <row r="167" spans="1:9" ht="15.75" customHeight="1">
      <c r="A167" s="104" t="s">
        <v>201</v>
      </c>
      <c r="B167" s="104"/>
      <c r="C167" s="104"/>
      <c r="D167" s="104"/>
      <c r="E167" s="104"/>
      <c r="F167" s="104"/>
      <c r="G167" s="104"/>
      <c r="H167" s="104"/>
      <c r="I167" s="63">
        <f>44000000/F168</f>
        <v>27132.959541000149</v>
      </c>
    </row>
    <row r="168" spans="1:9">
      <c r="A168" s="92">
        <v>1</v>
      </c>
      <c r="B168" s="92"/>
      <c r="C168" s="73" t="s">
        <v>188</v>
      </c>
      <c r="D168" s="64">
        <f>(94.159)*10.764</f>
        <v>1013.527476</v>
      </c>
      <c r="E168" s="72">
        <v>0</v>
      </c>
      <c r="F168" s="72">
        <f>D168*1.6+E168</f>
        <v>1621.6439616</v>
      </c>
      <c r="G168" s="92" t="str">
        <f>A167</f>
        <v xml:space="preserve">15th Floor </v>
      </c>
      <c r="H168" s="92"/>
    </row>
    <row r="169" spans="1:9">
      <c r="A169" s="100">
        <v>2</v>
      </c>
      <c r="B169" s="100"/>
      <c r="C169" s="73" t="s">
        <v>188</v>
      </c>
      <c r="D169" s="64">
        <f>(102.994)*10.764</f>
        <v>1108.627416</v>
      </c>
      <c r="E169" s="73">
        <v>0</v>
      </c>
      <c r="F169" s="72">
        <f t="shared" ref="F169:F173" si="9">D169*1.6+E169</f>
        <v>1773.8038656000001</v>
      </c>
      <c r="G169" s="92"/>
      <c r="H169" s="92"/>
    </row>
    <row r="170" spans="1:9">
      <c r="A170" s="100">
        <v>3</v>
      </c>
      <c r="B170" s="100"/>
      <c r="C170" s="73" t="s">
        <v>193</v>
      </c>
      <c r="D170" s="64">
        <f>(68.882)*10.764</f>
        <v>741.44584799999996</v>
      </c>
      <c r="E170" s="73">
        <v>0</v>
      </c>
      <c r="F170" s="72">
        <f t="shared" si="9"/>
        <v>1186.3133568000001</v>
      </c>
      <c r="G170" s="92"/>
      <c r="H170" s="92"/>
    </row>
    <row r="171" spans="1:9">
      <c r="A171" s="100">
        <v>4</v>
      </c>
      <c r="B171" s="100"/>
      <c r="C171" s="73" t="s">
        <v>193</v>
      </c>
      <c r="D171" s="64">
        <f>(68.882)*10.764</f>
        <v>741.44584799999996</v>
      </c>
      <c r="E171" s="73">
        <v>0</v>
      </c>
      <c r="F171" s="72">
        <f t="shared" si="9"/>
        <v>1186.3133568000001</v>
      </c>
      <c r="G171" s="92"/>
      <c r="H171" s="92"/>
    </row>
    <row r="172" spans="1:9">
      <c r="A172" s="100">
        <v>5</v>
      </c>
      <c r="B172" s="100"/>
      <c r="C172" s="73" t="s">
        <v>188</v>
      </c>
      <c r="D172" s="64">
        <f>(92.156)*10.764</f>
        <v>991.96718399999997</v>
      </c>
      <c r="E172" s="73">
        <v>0</v>
      </c>
      <c r="F172" s="72">
        <f t="shared" si="9"/>
        <v>1587.1474944000001</v>
      </c>
      <c r="G172" s="92"/>
      <c r="H172" s="92"/>
    </row>
    <row r="173" spans="1:9" s="27" customFormat="1">
      <c r="A173" s="100">
        <v>6</v>
      </c>
      <c r="B173" s="100"/>
      <c r="C173" s="73" t="s">
        <v>188</v>
      </c>
      <c r="D173" s="64">
        <f>(95.788)*10.764</f>
        <v>1031.0620319999998</v>
      </c>
      <c r="E173" s="73">
        <v>0</v>
      </c>
      <c r="F173" s="72">
        <f t="shared" si="9"/>
        <v>1649.6992511999997</v>
      </c>
      <c r="G173" s="92"/>
      <c r="H173" s="92"/>
    </row>
    <row r="174" spans="1:9" ht="15.75" customHeight="1">
      <c r="A174" s="104" t="s">
        <v>202</v>
      </c>
      <c r="B174" s="104"/>
      <c r="C174" s="104"/>
      <c r="D174" s="104"/>
      <c r="E174" s="104"/>
      <c r="F174" s="104"/>
      <c r="G174" s="104"/>
      <c r="H174" s="104"/>
      <c r="I174" s="63">
        <f>44000000/F175</f>
        <v>27132.959541000149</v>
      </c>
    </row>
    <row r="175" spans="1:9" ht="15.75" customHeight="1">
      <c r="A175" s="92">
        <v>1</v>
      </c>
      <c r="B175" s="92"/>
      <c r="C175" s="75" t="s">
        <v>188</v>
      </c>
      <c r="D175" s="64">
        <f>(94.159)*10.764</f>
        <v>1013.527476</v>
      </c>
      <c r="E175" s="74">
        <v>0</v>
      </c>
      <c r="F175" s="74">
        <f>D175*1.6+E175</f>
        <v>1621.6439616</v>
      </c>
      <c r="G175" s="92" t="str">
        <f>A174</f>
        <v xml:space="preserve">16th to 19th, 22nd to 24th Floor </v>
      </c>
      <c r="H175" s="92"/>
    </row>
    <row r="176" spans="1:9">
      <c r="A176" s="100">
        <v>2</v>
      </c>
      <c r="B176" s="100"/>
      <c r="C176" s="75" t="s">
        <v>188</v>
      </c>
      <c r="D176" s="64">
        <f>(102.994)*10.764</f>
        <v>1108.627416</v>
      </c>
      <c r="E176" s="75">
        <v>0</v>
      </c>
      <c r="F176" s="74">
        <f t="shared" ref="F176:F180" si="10">D176*1.6+E176</f>
        <v>1773.8038656000001</v>
      </c>
      <c r="G176" s="92"/>
      <c r="H176" s="92"/>
    </row>
    <row r="177" spans="1:10">
      <c r="A177" s="100">
        <v>3</v>
      </c>
      <c r="B177" s="100"/>
      <c r="C177" s="75" t="s">
        <v>193</v>
      </c>
      <c r="D177" s="64">
        <f>(68.882)*10.764</f>
        <v>741.44584799999996</v>
      </c>
      <c r="E177" s="75">
        <v>0</v>
      </c>
      <c r="F177" s="74">
        <f t="shared" si="10"/>
        <v>1186.3133568000001</v>
      </c>
      <c r="G177" s="92"/>
      <c r="H177" s="92"/>
    </row>
    <row r="178" spans="1:10">
      <c r="A178" s="100">
        <v>4</v>
      </c>
      <c r="B178" s="100"/>
      <c r="C178" s="75" t="s">
        <v>193</v>
      </c>
      <c r="D178" s="64">
        <f>(68.882)*10.764</f>
        <v>741.44584799999996</v>
      </c>
      <c r="E178" s="75">
        <v>0</v>
      </c>
      <c r="F178" s="74">
        <f t="shared" si="10"/>
        <v>1186.3133568000001</v>
      </c>
      <c r="G178" s="92"/>
      <c r="H178" s="92"/>
    </row>
    <row r="179" spans="1:10">
      <c r="A179" s="100">
        <v>5</v>
      </c>
      <c r="B179" s="100"/>
      <c r="C179" s="75" t="s">
        <v>188</v>
      </c>
      <c r="D179" s="64">
        <f>(92.156)*10.764</f>
        <v>991.96718399999997</v>
      </c>
      <c r="E179" s="75">
        <v>0</v>
      </c>
      <c r="F179" s="74">
        <f t="shared" si="10"/>
        <v>1587.1474944000001</v>
      </c>
      <c r="G179" s="92"/>
      <c r="H179" s="92"/>
    </row>
    <row r="180" spans="1:10" s="27" customFormat="1">
      <c r="A180" s="100">
        <v>6</v>
      </c>
      <c r="B180" s="100"/>
      <c r="C180" s="75" t="s">
        <v>188</v>
      </c>
      <c r="D180" s="64">
        <f>(95.788)*10.764</f>
        <v>1031.0620319999998</v>
      </c>
      <c r="E180" s="75">
        <v>0</v>
      </c>
      <c r="F180" s="74">
        <f t="shared" si="10"/>
        <v>1649.6992511999997</v>
      </c>
      <c r="G180" s="92"/>
      <c r="H180" s="92"/>
      <c r="J180" s="27">
        <f>0.05*4.28+0.05*3.07</f>
        <v>0.36750000000000005</v>
      </c>
    </row>
    <row r="181" spans="1:10">
      <c r="A181" s="104" t="s">
        <v>203</v>
      </c>
      <c r="B181" s="104"/>
      <c r="C181" s="104"/>
      <c r="D181" s="104"/>
      <c r="E181" s="104"/>
      <c r="F181" s="104"/>
      <c r="G181" s="104"/>
      <c r="H181" s="104"/>
      <c r="I181" s="63">
        <f>44000000/F182</f>
        <v>16660.008721363112</v>
      </c>
    </row>
    <row r="182" spans="1:10" ht="46.5">
      <c r="A182" s="92">
        <v>1</v>
      </c>
      <c r="B182" s="92"/>
      <c r="C182" s="75" t="s">
        <v>204</v>
      </c>
      <c r="D182" s="64">
        <f>(153.35)*10.764</f>
        <v>1650.6593999999998</v>
      </c>
      <c r="E182" s="74">
        <v>0</v>
      </c>
      <c r="F182" s="74">
        <f>D182*1.6+E182</f>
        <v>2641.0550399999997</v>
      </c>
      <c r="G182" s="92" t="str">
        <f>A181</f>
        <v xml:space="preserve">20th Floor </v>
      </c>
      <c r="H182" s="92"/>
    </row>
    <row r="183" spans="1:10">
      <c r="A183" s="100">
        <v>2</v>
      </c>
      <c r="B183" s="100"/>
      <c r="C183" s="75" t="s">
        <v>188</v>
      </c>
      <c r="D183" s="64">
        <f>(102.914)*10.764</f>
        <v>1107.766296</v>
      </c>
      <c r="E183" s="75">
        <v>0</v>
      </c>
      <c r="F183" s="74">
        <f t="shared" ref="F183:F187" si="11">D183*1.6+E183</f>
        <v>1772.4260736000001</v>
      </c>
      <c r="G183" s="92"/>
      <c r="H183" s="92"/>
    </row>
    <row r="184" spans="1:10">
      <c r="A184" s="100">
        <v>3</v>
      </c>
      <c r="B184" s="100"/>
      <c r="C184" s="75" t="s">
        <v>193</v>
      </c>
      <c r="D184" s="64">
        <f>(68.745)*10.764</f>
        <v>739.97118</v>
      </c>
      <c r="E184" s="75">
        <v>0</v>
      </c>
      <c r="F184" s="74">
        <f t="shared" si="11"/>
        <v>1183.953888</v>
      </c>
      <c r="G184" s="92"/>
      <c r="H184" s="92"/>
    </row>
    <row r="185" spans="1:10">
      <c r="A185" s="100">
        <v>4</v>
      </c>
      <c r="B185" s="100"/>
      <c r="C185" s="75" t="s">
        <v>193</v>
      </c>
      <c r="D185" s="64">
        <f>(68.745)*10.764</f>
        <v>739.97118</v>
      </c>
      <c r="E185" s="75">
        <v>0</v>
      </c>
      <c r="F185" s="74">
        <f t="shared" si="11"/>
        <v>1183.953888</v>
      </c>
      <c r="G185" s="92"/>
      <c r="H185" s="92"/>
    </row>
    <row r="186" spans="1:10">
      <c r="A186" s="100">
        <v>5</v>
      </c>
      <c r="B186" s="100"/>
      <c r="C186" s="75" t="s">
        <v>188</v>
      </c>
      <c r="D186" s="64">
        <f>(92.724)*10.764</f>
        <v>998.08113600000001</v>
      </c>
      <c r="E186" s="75">
        <v>0</v>
      </c>
      <c r="F186" s="74">
        <f t="shared" si="11"/>
        <v>1596.9298176000002</v>
      </c>
      <c r="G186" s="92"/>
      <c r="H186" s="92"/>
    </row>
    <row r="187" spans="1:10" s="27" customFormat="1">
      <c r="A187" s="100">
        <v>6</v>
      </c>
      <c r="B187" s="100"/>
      <c r="C187" s="75" t="s">
        <v>188</v>
      </c>
      <c r="D187" s="64">
        <f>(96.357)*10.764</f>
        <v>1037.1867479999999</v>
      </c>
      <c r="E187" s="75">
        <v>0</v>
      </c>
      <c r="F187" s="74">
        <f t="shared" si="11"/>
        <v>1659.4987967999998</v>
      </c>
      <c r="G187" s="92"/>
      <c r="H187" s="92"/>
    </row>
    <row r="188" spans="1:10" ht="15.75" customHeight="1">
      <c r="A188" s="104" t="s">
        <v>205</v>
      </c>
      <c r="B188" s="104"/>
      <c r="C188" s="104"/>
      <c r="D188" s="104"/>
      <c r="E188" s="104"/>
      <c r="F188" s="104"/>
      <c r="G188" s="104"/>
      <c r="H188" s="104"/>
      <c r="I188" s="63" t="e">
        <f>44000000/F189</f>
        <v>#DIV/0!</v>
      </c>
    </row>
    <row r="189" spans="1:10" ht="15.75" customHeight="1">
      <c r="A189" s="92">
        <v>1</v>
      </c>
      <c r="B189" s="92"/>
      <c r="C189" s="105" t="s">
        <v>206</v>
      </c>
      <c r="D189" s="106"/>
      <c r="E189" s="106"/>
      <c r="F189" s="107"/>
      <c r="G189" s="93" t="str">
        <f>A188</f>
        <v>21st Floor (Part Refuge Area)</v>
      </c>
      <c r="H189" s="94"/>
    </row>
    <row r="190" spans="1:10">
      <c r="A190" s="100">
        <v>2</v>
      </c>
      <c r="B190" s="100"/>
      <c r="C190" s="105" t="s">
        <v>199</v>
      </c>
      <c r="D190" s="106"/>
      <c r="E190" s="106"/>
      <c r="F190" s="107"/>
      <c r="G190" s="95"/>
      <c r="H190" s="96"/>
    </row>
    <row r="191" spans="1:10">
      <c r="A191" s="100">
        <v>3</v>
      </c>
      <c r="B191" s="100"/>
      <c r="C191" s="51" t="s">
        <v>193</v>
      </c>
      <c r="D191" s="64">
        <f>(68.882)*10.764</f>
        <v>741.44584799999996</v>
      </c>
      <c r="E191" s="51">
        <v>0</v>
      </c>
      <c r="F191" s="51">
        <f>D191*1.6+E191</f>
        <v>1186.3133568000001</v>
      </c>
      <c r="G191" s="95"/>
      <c r="H191" s="96"/>
    </row>
    <row r="192" spans="1:10">
      <c r="A192" s="100">
        <v>4</v>
      </c>
      <c r="B192" s="100"/>
      <c r="C192" s="51" t="s">
        <v>193</v>
      </c>
      <c r="D192" s="64">
        <f>(68.882)*10.764</f>
        <v>741.44584799999996</v>
      </c>
      <c r="E192" s="51">
        <v>0</v>
      </c>
      <c r="F192" s="51">
        <f t="shared" ref="F192:F194" si="12">D192*1.6+E192</f>
        <v>1186.3133568000001</v>
      </c>
      <c r="G192" s="95"/>
      <c r="H192" s="96"/>
    </row>
    <row r="193" spans="1:10">
      <c r="A193" s="100">
        <v>5</v>
      </c>
      <c r="B193" s="100"/>
      <c r="C193" s="51" t="s">
        <v>188</v>
      </c>
      <c r="D193" s="64">
        <f>(92.156)*10.764</f>
        <v>991.96718399999997</v>
      </c>
      <c r="E193" s="51">
        <v>0</v>
      </c>
      <c r="F193" s="51">
        <f t="shared" si="12"/>
        <v>1587.1474944000001</v>
      </c>
      <c r="G193" s="95"/>
      <c r="H193" s="96"/>
    </row>
    <row r="194" spans="1:10" s="27" customFormat="1">
      <c r="A194" s="100">
        <v>6</v>
      </c>
      <c r="B194" s="100"/>
      <c r="C194" s="51" t="s">
        <v>188</v>
      </c>
      <c r="D194" s="64">
        <f>(95.788)*10.764</f>
        <v>1031.0620319999998</v>
      </c>
      <c r="E194" s="51">
        <v>0</v>
      </c>
      <c r="F194" s="51">
        <f t="shared" si="12"/>
        <v>1649.6992511999997</v>
      </c>
      <c r="G194" s="97"/>
      <c r="H194" s="98"/>
    </row>
    <row r="195" spans="1:10" ht="15.75" customHeight="1">
      <c r="A195" s="104" t="s">
        <v>207</v>
      </c>
      <c r="B195" s="104"/>
      <c r="C195" s="104"/>
      <c r="D195" s="104"/>
      <c r="E195" s="104"/>
      <c r="F195" s="104"/>
      <c r="G195" s="104"/>
      <c r="H195" s="104"/>
      <c r="I195" s="63">
        <f>44000000/F196</f>
        <v>27132.959541000149</v>
      </c>
    </row>
    <row r="196" spans="1:10" ht="15.75" customHeight="1">
      <c r="A196" s="92">
        <v>1</v>
      </c>
      <c r="B196" s="92"/>
      <c r="C196" s="51" t="s">
        <v>188</v>
      </c>
      <c r="D196" s="64">
        <f>(94.159)*10.764</f>
        <v>1013.527476</v>
      </c>
      <c r="E196" s="50">
        <v>0</v>
      </c>
      <c r="F196" s="50">
        <f>D196*1.6+E196</f>
        <v>1621.6439616</v>
      </c>
      <c r="G196" s="93" t="str">
        <f>A195</f>
        <v>25th Floor</v>
      </c>
      <c r="H196" s="94"/>
    </row>
    <row r="197" spans="1:10">
      <c r="A197" s="100">
        <v>2</v>
      </c>
      <c r="B197" s="100"/>
      <c r="C197" s="51" t="s">
        <v>188</v>
      </c>
      <c r="D197" s="64">
        <f>(102.994)*10.764</f>
        <v>1108.627416</v>
      </c>
      <c r="E197" s="51">
        <v>0</v>
      </c>
      <c r="F197" s="50">
        <f t="shared" ref="F197:F201" si="13">D197*1.6+E197</f>
        <v>1773.8038656000001</v>
      </c>
      <c r="G197" s="95"/>
      <c r="H197" s="96"/>
    </row>
    <row r="198" spans="1:10">
      <c r="A198" s="100">
        <v>3</v>
      </c>
      <c r="B198" s="100"/>
      <c r="C198" s="51" t="s">
        <v>193</v>
      </c>
      <c r="D198" s="64">
        <f>(68.882)*10.764</f>
        <v>741.44584799999996</v>
      </c>
      <c r="E198" s="51">
        <v>0</v>
      </c>
      <c r="F198" s="50">
        <f t="shared" si="13"/>
        <v>1186.3133568000001</v>
      </c>
      <c r="G198" s="95"/>
      <c r="H198" s="96"/>
    </row>
    <row r="199" spans="1:10">
      <c r="A199" s="100">
        <v>4</v>
      </c>
      <c r="B199" s="100"/>
      <c r="C199" s="51" t="s">
        <v>193</v>
      </c>
      <c r="D199" s="64">
        <f>(68.882)*10.764</f>
        <v>741.44584799999996</v>
      </c>
      <c r="E199" s="51">
        <v>0</v>
      </c>
      <c r="F199" s="50">
        <f t="shared" si="13"/>
        <v>1186.3133568000001</v>
      </c>
      <c r="G199" s="95"/>
      <c r="H199" s="96"/>
    </row>
    <row r="200" spans="1:10">
      <c r="A200" s="100">
        <v>5</v>
      </c>
      <c r="B200" s="100"/>
      <c r="C200" s="51" t="s">
        <v>188</v>
      </c>
      <c r="D200" s="64">
        <f>(92.156)*10.764</f>
        <v>991.96718399999997</v>
      </c>
      <c r="E200" s="51">
        <v>0</v>
      </c>
      <c r="F200" s="50">
        <f t="shared" si="13"/>
        <v>1587.1474944000001</v>
      </c>
      <c r="G200" s="95"/>
      <c r="H200" s="96"/>
    </row>
    <row r="201" spans="1:10" s="27" customFormat="1">
      <c r="A201" s="100">
        <v>6</v>
      </c>
      <c r="B201" s="100"/>
      <c r="C201" s="51" t="s">
        <v>188</v>
      </c>
      <c r="D201" s="64">
        <f>(95.788)*10.764</f>
        <v>1031.0620319999998</v>
      </c>
      <c r="E201" s="51">
        <v>0</v>
      </c>
      <c r="F201" s="50">
        <f t="shared" si="13"/>
        <v>1649.6992511999997</v>
      </c>
      <c r="G201" s="97"/>
      <c r="H201" s="98"/>
    </row>
    <row r="202" spans="1:10" ht="15.75" customHeight="1">
      <c r="A202" s="104" t="s">
        <v>208</v>
      </c>
      <c r="B202" s="104"/>
      <c r="C202" s="104"/>
      <c r="D202" s="104"/>
      <c r="E202" s="104"/>
      <c r="F202" s="104"/>
      <c r="G202" s="104"/>
      <c r="H202" s="104"/>
      <c r="I202" s="63">
        <f>44000000/F203</f>
        <v>27132.959541000149</v>
      </c>
    </row>
    <row r="203" spans="1:10" ht="15.75" customHeight="1">
      <c r="A203" s="92">
        <v>1</v>
      </c>
      <c r="B203" s="92"/>
      <c r="C203" s="51" t="s">
        <v>188</v>
      </c>
      <c r="D203" s="64">
        <f>(94.159)*10.764</f>
        <v>1013.527476</v>
      </c>
      <c r="E203" s="50">
        <v>0</v>
      </c>
      <c r="F203" s="50">
        <f>D203*1.6+E203</f>
        <v>1621.6439616</v>
      </c>
      <c r="G203" s="93" t="str">
        <f>A202</f>
        <v>26th &amp; 29th Floor</v>
      </c>
      <c r="H203" s="94"/>
    </row>
    <row r="204" spans="1:10">
      <c r="A204" s="100">
        <v>2</v>
      </c>
      <c r="B204" s="100"/>
      <c r="C204" s="51" t="s">
        <v>188</v>
      </c>
      <c r="D204" s="64">
        <f>(102.994)*10.764</f>
        <v>1108.627416</v>
      </c>
      <c r="E204" s="51">
        <v>0</v>
      </c>
      <c r="F204" s="50">
        <f t="shared" ref="F204:F208" si="14">D204*1.6+E204</f>
        <v>1773.8038656000001</v>
      </c>
      <c r="G204" s="95"/>
      <c r="H204" s="96"/>
    </row>
    <row r="205" spans="1:10">
      <c r="A205" s="100">
        <v>3</v>
      </c>
      <c r="B205" s="100"/>
      <c r="C205" s="51" t="s">
        <v>193</v>
      </c>
      <c r="D205" s="64">
        <f>(68.882)*10.764</f>
        <v>741.44584799999996</v>
      </c>
      <c r="E205" s="51">
        <v>0</v>
      </c>
      <c r="F205" s="50">
        <f t="shared" si="14"/>
        <v>1186.3133568000001</v>
      </c>
      <c r="G205" s="95"/>
      <c r="H205" s="96"/>
    </row>
    <row r="206" spans="1:10">
      <c r="A206" s="100">
        <v>4</v>
      </c>
      <c r="B206" s="100"/>
      <c r="C206" s="51" t="s">
        <v>193</v>
      </c>
      <c r="D206" s="64">
        <f>(68.882)*10.764</f>
        <v>741.44584799999996</v>
      </c>
      <c r="E206" s="51">
        <v>0</v>
      </c>
      <c r="F206" s="50">
        <f t="shared" si="14"/>
        <v>1186.3133568000001</v>
      </c>
      <c r="G206" s="95"/>
      <c r="H206" s="96"/>
    </row>
    <row r="207" spans="1:10">
      <c r="A207" s="100">
        <v>5</v>
      </c>
      <c r="B207" s="100"/>
      <c r="C207" s="51" t="s">
        <v>188</v>
      </c>
      <c r="D207" s="64">
        <f>(92.156)*10.764</f>
        <v>991.96718399999997</v>
      </c>
      <c r="E207" s="51">
        <v>0</v>
      </c>
      <c r="F207" s="50">
        <f t="shared" si="14"/>
        <v>1587.1474944000001</v>
      </c>
      <c r="G207" s="95"/>
      <c r="H207" s="96"/>
    </row>
    <row r="208" spans="1:10" s="27" customFormat="1">
      <c r="A208" s="100">
        <v>6</v>
      </c>
      <c r="B208" s="100"/>
      <c r="C208" s="51" t="s">
        <v>188</v>
      </c>
      <c r="D208" s="64">
        <f>(95.788)*10.764</f>
        <v>1031.0620319999998</v>
      </c>
      <c r="E208" s="51">
        <v>0</v>
      </c>
      <c r="F208" s="50">
        <f t="shared" si="14"/>
        <v>1649.6992511999997</v>
      </c>
      <c r="G208" s="97"/>
      <c r="H208" s="98"/>
      <c r="J208" s="27">
        <f>0.05*4.28+0.05*3.07</f>
        <v>0.36750000000000005</v>
      </c>
    </row>
    <row r="209" spans="1:9">
      <c r="A209" s="104" t="s">
        <v>209</v>
      </c>
      <c r="B209" s="104"/>
      <c r="C209" s="104"/>
      <c r="D209" s="104"/>
      <c r="E209" s="104"/>
      <c r="F209" s="104"/>
      <c r="G209" s="104"/>
      <c r="H209" s="104"/>
      <c r="I209" s="63">
        <f>44000000/F210</f>
        <v>16660.008721363112</v>
      </c>
    </row>
    <row r="210" spans="1:9" ht="46.5">
      <c r="A210" s="92">
        <v>1</v>
      </c>
      <c r="B210" s="92"/>
      <c r="C210" s="73" t="s">
        <v>210</v>
      </c>
      <c r="D210" s="64">
        <f>(153.35)*10.764</f>
        <v>1650.6593999999998</v>
      </c>
      <c r="E210" s="72">
        <v>0</v>
      </c>
      <c r="F210" s="72">
        <f>D210*1.6+E210</f>
        <v>2641.0550399999997</v>
      </c>
      <c r="G210" s="92" t="str">
        <f>A209</f>
        <v>27th Floor</v>
      </c>
      <c r="H210" s="92"/>
    </row>
    <row r="211" spans="1:9">
      <c r="A211" s="100">
        <v>2</v>
      </c>
      <c r="B211" s="100"/>
      <c r="C211" s="73" t="s">
        <v>188</v>
      </c>
      <c r="D211" s="64">
        <f>(102.914)*10.764</f>
        <v>1107.766296</v>
      </c>
      <c r="E211" s="73">
        <v>0</v>
      </c>
      <c r="F211" s="72">
        <f t="shared" ref="F211:F215" si="15">D211*1.6+E211</f>
        <v>1772.4260736000001</v>
      </c>
      <c r="G211" s="92"/>
      <c r="H211" s="92"/>
    </row>
    <row r="212" spans="1:9">
      <c r="A212" s="100">
        <v>3</v>
      </c>
      <c r="B212" s="100"/>
      <c r="C212" s="73" t="s">
        <v>193</v>
      </c>
      <c r="D212" s="64">
        <f>(68.745)*10.764</f>
        <v>739.97118</v>
      </c>
      <c r="E212" s="73">
        <v>0</v>
      </c>
      <c r="F212" s="72">
        <f t="shared" si="15"/>
        <v>1183.953888</v>
      </c>
      <c r="G212" s="92"/>
      <c r="H212" s="92"/>
    </row>
    <row r="213" spans="1:9">
      <c r="A213" s="100">
        <v>4</v>
      </c>
      <c r="B213" s="100"/>
      <c r="C213" s="73" t="s">
        <v>193</v>
      </c>
      <c r="D213" s="64">
        <f>(68.745)*10.764</f>
        <v>739.97118</v>
      </c>
      <c r="E213" s="73">
        <v>0</v>
      </c>
      <c r="F213" s="72">
        <f t="shared" si="15"/>
        <v>1183.953888</v>
      </c>
      <c r="G213" s="92"/>
      <c r="H213" s="92"/>
    </row>
    <row r="214" spans="1:9">
      <c r="A214" s="100">
        <v>5</v>
      </c>
      <c r="B214" s="100"/>
      <c r="C214" s="73" t="s">
        <v>188</v>
      </c>
      <c r="D214" s="64">
        <f>(92.724)*10.764</f>
        <v>998.08113600000001</v>
      </c>
      <c r="E214" s="73">
        <v>0</v>
      </c>
      <c r="F214" s="72">
        <f t="shared" si="15"/>
        <v>1596.9298176000002</v>
      </c>
      <c r="G214" s="92"/>
      <c r="H214" s="92"/>
    </row>
    <row r="215" spans="1:9" s="27" customFormat="1">
      <c r="A215" s="100">
        <v>6</v>
      </c>
      <c r="B215" s="100"/>
      <c r="C215" s="73" t="s">
        <v>188</v>
      </c>
      <c r="D215" s="64">
        <f>(96.357)*10.764</f>
        <v>1037.1867479999999</v>
      </c>
      <c r="E215" s="73">
        <v>0</v>
      </c>
      <c r="F215" s="72">
        <f t="shared" si="15"/>
        <v>1659.4987967999998</v>
      </c>
      <c r="G215" s="92"/>
      <c r="H215" s="92"/>
    </row>
    <row r="216" spans="1:9" ht="15.75" customHeight="1">
      <c r="A216" s="104" t="s">
        <v>211</v>
      </c>
      <c r="B216" s="104"/>
      <c r="C216" s="104"/>
      <c r="D216" s="104"/>
      <c r="E216" s="104"/>
      <c r="F216" s="104"/>
      <c r="G216" s="104"/>
      <c r="H216" s="104"/>
      <c r="I216" s="63" t="e">
        <f>44000000/F217</f>
        <v>#DIV/0!</v>
      </c>
    </row>
    <row r="217" spans="1:9" ht="15.75" customHeight="1">
      <c r="A217" s="92">
        <v>1</v>
      </c>
      <c r="B217" s="92"/>
      <c r="C217" s="105" t="s">
        <v>212</v>
      </c>
      <c r="D217" s="106"/>
      <c r="E217" s="106"/>
      <c r="F217" s="107"/>
      <c r="G217" s="93" t="str">
        <f>A216</f>
        <v>28th Floor (Part Refuge Area)</v>
      </c>
      <c r="H217" s="94"/>
    </row>
    <row r="218" spans="1:9">
      <c r="A218" s="100">
        <v>2</v>
      </c>
      <c r="B218" s="100"/>
      <c r="C218" s="105" t="s">
        <v>199</v>
      </c>
      <c r="D218" s="106"/>
      <c r="E218" s="106"/>
      <c r="F218" s="107"/>
      <c r="G218" s="95"/>
      <c r="H218" s="96"/>
    </row>
    <row r="219" spans="1:9">
      <c r="A219" s="100">
        <v>3</v>
      </c>
      <c r="B219" s="100"/>
      <c r="C219" s="51" t="s">
        <v>193</v>
      </c>
      <c r="D219" s="64">
        <f>(68.882)*10.764</f>
        <v>741.44584799999996</v>
      </c>
      <c r="E219" s="51">
        <v>0</v>
      </c>
      <c r="F219" s="51">
        <f>D219*1.6+E219</f>
        <v>1186.3133568000001</v>
      </c>
      <c r="G219" s="95"/>
      <c r="H219" s="96"/>
    </row>
    <row r="220" spans="1:9">
      <c r="A220" s="100">
        <v>4</v>
      </c>
      <c r="B220" s="100"/>
      <c r="C220" s="51" t="s">
        <v>193</v>
      </c>
      <c r="D220" s="64">
        <f>(68.882)*10.764</f>
        <v>741.44584799999996</v>
      </c>
      <c r="E220" s="51">
        <v>0</v>
      </c>
      <c r="F220" s="51">
        <f t="shared" ref="F220:F222" si="16">D220*1.6+E220</f>
        <v>1186.3133568000001</v>
      </c>
      <c r="G220" s="95"/>
      <c r="H220" s="96"/>
    </row>
    <row r="221" spans="1:9">
      <c r="A221" s="100">
        <v>5</v>
      </c>
      <c r="B221" s="100"/>
      <c r="C221" s="51" t="s">
        <v>188</v>
      </c>
      <c r="D221" s="64">
        <f>(92.156)*10.764</f>
        <v>991.96718399999997</v>
      </c>
      <c r="E221" s="51">
        <v>0</v>
      </c>
      <c r="F221" s="51">
        <f t="shared" si="16"/>
        <v>1587.1474944000001</v>
      </c>
      <c r="G221" s="95"/>
      <c r="H221" s="96"/>
    </row>
    <row r="222" spans="1:9" s="27" customFormat="1">
      <c r="A222" s="100">
        <v>6</v>
      </c>
      <c r="B222" s="100"/>
      <c r="C222" s="51" t="s">
        <v>188</v>
      </c>
      <c r="D222" s="64">
        <f>(95.788)*10.764</f>
        <v>1031.0620319999998</v>
      </c>
      <c r="E222" s="51">
        <v>0</v>
      </c>
      <c r="F222" s="51">
        <f t="shared" si="16"/>
        <v>1649.6992511999997</v>
      </c>
      <c r="G222" s="97"/>
      <c r="H222" s="98"/>
    </row>
    <row r="223" spans="1:9" ht="15.75" customHeight="1">
      <c r="A223" s="104" t="s">
        <v>213</v>
      </c>
      <c r="B223" s="104"/>
      <c r="C223" s="104"/>
      <c r="D223" s="104"/>
      <c r="E223" s="104"/>
      <c r="F223" s="104"/>
      <c r="G223" s="104"/>
      <c r="H223" s="104"/>
      <c r="I223" s="63"/>
    </row>
    <row r="224" spans="1:9" ht="15.75" customHeight="1">
      <c r="A224" s="92">
        <v>1</v>
      </c>
      <c r="B224" s="92"/>
      <c r="C224" s="51" t="s">
        <v>188</v>
      </c>
      <c r="D224" s="64">
        <f>(95.02)*10.764</f>
        <v>1022.7952799999999</v>
      </c>
      <c r="E224" s="50">
        <v>0</v>
      </c>
      <c r="F224" s="50">
        <f>D224*1.6+E224</f>
        <v>1636.472448</v>
      </c>
      <c r="G224" s="93" t="str">
        <f>A223</f>
        <v>30th &amp; 31st Floor</v>
      </c>
      <c r="H224" s="94"/>
    </row>
    <row r="225" spans="1:9">
      <c r="A225" s="100">
        <v>2</v>
      </c>
      <c r="B225" s="100"/>
      <c r="C225" s="51" t="s">
        <v>188</v>
      </c>
      <c r="D225" s="64">
        <f>(103.471)*10.764</f>
        <v>1113.7618439999999</v>
      </c>
      <c r="E225" s="51">
        <v>0</v>
      </c>
      <c r="F225" s="51">
        <f t="shared" ref="F225:F229" si="17">D225*1.6+E225</f>
        <v>1782.0189504</v>
      </c>
      <c r="G225" s="95"/>
      <c r="H225" s="96"/>
    </row>
    <row r="226" spans="1:9">
      <c r="A226" s="100">
        <v>3</v>
      </c>
      <c r="B226" s="100"/>
      <c r="C226" s="51" t="s">
        <v>193</v>
      </c>
      <c r="D226" s="64">
        <f>(69.452)*10.764</f>
        <v>747.58132799999998</v>
      </c>
      <c r="E226" s="51">
        <v>0</v>
      </c>
      <c r="F226" s="51">
        <f t="shared" si="17"/>
        <v>1196.1301248</v>
      </c>
      <c r="G226" s="95"/>
      <c r="H226" s="96"/>
    </row>
    <row r="227" spans="1:9">
      <c r="A227" s="100">
        <v>4</v>
      </c>
      <c r="B227" s="100"/>
      <c r="C227" s="51" t="s">
        <v>193</v>
      </c>
      <c r="D227" s="64">
        <f>(69.452)*10.764</f>
        <v>747.58132799999998</v>
      </c>
      <c r="E227" s="51">
        <v>0</v>
      </c>
      <c r="F227" s="51">
        <f t="shared" si="17"/>
        <v>1196.1301248</v>
      </c>
      <c r="G227" s="95"/>
      <c r="H227" s="96"/>
    </row>
    <row r="228" spans="1:9">
      <c r="A228" s="100">
        <v>5</v>
      </c>
      <c r="B228" s="100"/>
      <c r="C228" s="51" t="s">
        <v>188</v>
      </c>
      <c r="D228" s="64">
        <f>(94.081)*10.764</f>
        <v>1012.6878839999999</v>
      </c>
      <c r="E228" s="51">
        <v>0</v>
      </c>
      <c r="F228" s="51">
        <f t="shared" si="17"/>
        <v>1620.3006144000001</v>
      </c>
      <c r="G228" s="95"/>
      <c r="H228" s="96"/>
    </row>
    <row r="229" spans="1:9" s="27" customFormat="1">
      <c r="A229" s="100">
        <v>6</v>
      </c>
      <c r="B229" s="100"/>
      <c r="C229" s="51" t="s">
        <v>188</v>
      </c>
      <c r="D229" s="64">
        <f>(96.888)*10.764</f>
        <v>1042.9024320000001</v>
      </c>
      <c r="E229" s="51">
        <v>0</v>
      </c>
      <c r="F229" s="51">
        <f t="shared" si="17"/>
        <v>1668.6438912000003</v>
      </c>
      <c r="G229" s="97"/>
      <c r="H229" s="98"/>
    </row>
    <row r="230" spans="1:9" ht="15.75" customHeight="1">
      <c r="A230" s="104" t="s">
        <v>214</v>
      </c>
      <c r="B230" s="104"/>
      <c r="C230" s="104"/>
      <c r="D230" s="104"/>
      <c r="E230" s="104"/>
      <c r="F230" s="104"/>
      <c r="G230" s="104"/>
      <c r="H230" s="104"/>
      <c r="I230" s="63"/>
    </row>
    <row r="231" spans="1:9" ht="15.75" customHeight="1">
      <c r="A231" s="92">
        <v>1</v>
      </c>
      <c r="B231" s="92"/>
      <c r="C231" s="51" t="s">
        <v>188</v>
      </c>
      <c r="D231" s="64">
        <f>(96.408)*10.764</f>
        <v>1037.7357119999999</v>
      </c>
      <c r="E231" s="50">
        <v>0</v>
      </c>
      <c r="F231" s="50">
        <f t="shared" ref="F231:F236" si="18">D231*1.6+E231</f>
        <v>1660.3771391999999</v>
      </c>
      <c r="G231" s="93" t="str">
        <f>A230</f>
        <v>35th Floor (Part Refuge Area)</v>
      </c>
      <c r="H231" s="94"/>
    </row>
    <row r="232" spans="1:9">
      <c r="A232" s="100">
        <v>2</v>
      </c>
      <c r="B232" s="100"/>
      <c r="C232" s="105" t="s">
        <v>199</v>
      </c>
      <c r="D232" s="106"/>
      <c r="E232" s="106"/>
      <c r="F232" s="107"/>
      <c r="G232" s="95"/>
      <c r="H232" s="96"/>
    </row>
    <row r="233" spans="1:9">
      <c r="A233" s="100">
        <v>3</v>
      </c>
      <c r="B233" s="100"/>
      <c r="C233" s="51" t="s">
        <v>193</v>
      </c>
      <c r="D233" s="64">
        <f>(69.452)*10.764</f>
        <v>747.58132799999998</v>
      </c>
      <c r="E233" s="51">
        <v>0</v>
      </c>
      <c r="F233" s="51">
        <f>D233*1.6+E233</f>
        <v>1196.1301248</v>
      </c>
      <c r="G233" s="95"/>
      <c r="H233" s="96"/>
    </row>
    <row r="234" spans="1:9">
      <c r="A234" s="100">
        <v>4</v>
      </c>
      <c r="B234" s="100"/>
      <c r="C234" s="51" t="s">
        <v>193</v>
      </c>
      <c r="D234" s="64">
        <f>(69.452)*10.764</f>
        <v>747.58132799999998</v>
      </c>
      <c r="E234" s="51">
        <v>0</v>
      </c>
      <c r="F234" s="51">
        <f t="shared" si="18"/>
        <v>1196.1301248</v>
      </c>
      <c r="G234" s="95"/>
      <c r="H234" s="96"/>
    </row>
    <row r="235" spans="1:9">
      <c r="A235" s="100">
        <v>5</v>
      </c>
      <c r="B235" s="100"/>
      <c r="C235" s="51" t="s">
        <v>188</v>
      </c>
      <c r="D235" s="64">
        <f>(94.081)*10.764</f>
        <v>1012.6878839999999</v>
      </c>
      <c r="E235" s="51">
        <v>0</v>
      </c>
      <c r="F235" s="51">
        <f t="shared" si="18"/>
        <v>1620.3006144000001</v>
      </c>
      <c r="G235" s="95"/>
      <c r="H235" s="96"/>
    </row>
    <row r="236" spans="1:9" s="27" customFormat="1">
      <c r="A236" s="100">
        <v>6</v>
      </c>
      <c r="B236" s="100"/>
      <c r="C236" s="51" t="s">
        <v>188</v>
      </c>
      <c r="D236" s="64">
        <f>(96.888)*10.764</f>
        <v>1042.9024320000001</v>
      </c>
      <c r="E236" s="51">
        <v>0</v>
      </c>
      <c r="F236" s="51">
        <f t="shared" si="18"/>
        <v>1668.6438912000003</v>
      </c>
      <c r="G236" s="97"/>
      <c r="H236" s="98"/>
    </row>
    <row r="237" spans="1:9" ht="15.75" customHeight="1">
      <c r="A237" s="104" t="s">
        <v>215</v>
      </c>
      <c r="B237" s="104"/>
      <c r="C237" s="104"/>
      <c r="D237" s="104"/>
      <c r="E237" s="104"/>
      <c r="F237" s="104"/>
      <c r="G237" s="104"/>
      <c r="H237" s="104"/>
      <c r="I237" s="63"/>
    </row>
    <row r="238" spans="1:9" ht="15.75" customHeight="1">
      <c r="A238" s="92">
        <v>1</v>
      </c>
      <c r="B238" s="92"/>
      <c r="C238" s="51" t="s">
        <v>188</v>
      </c>
      <c r="D238" s="64">
        <f>(95.02)*10.764</f>
        <v>1022.7952799999999</v>
      </c>
      <c r="E238" s="50">
        <v>0</v>
      </c>
      <c r="F238" s="50">
        <f>D238*1.6+E238</f>
        <v>1636.472448</v>
      </c>
      <c r="G238" s="93" t="str">
        <f>A237</f>
        <v>32nd to 34th &amp; 36th to 39th Floor</v>
      </c>
      <c r="H238" s="94"/>
    </row>
    <row r="239" spans="1:9">
      <c r="A239" s="100">
        <v>2</v>
      </c>
      <c r="B239" s="100"/>
      <c r="C239" s="51" t="s">
        <v>188</v>
      </c>
      <c r="D239" s="64">
        <f>(103.471)*10.764</f>
        <v>1113.7618439999999</v>
      </c>
      <c r="E239" s="51">
        <v>0</v>
      </c>
      <c r="F239" s="50">
        <f t="shared" ref="F239:F243" si="19">D239*1.6+E239</f>
        <v>1782.0189504</v>
      </c>
      <c r="G239" s="95"/>
      <c r="H239" s="96"/>
    </row>
    <row r="240" spans="1:9">
      <c r="A240" s="100">
        <v>3</v>
      </c>
      <c r="B240" s="100"/>
      <c r="C240" s="51" t="s">
        <v>193</v>
      </c>
      <c r="D240" s="64">
        <f>(69.452)*10.764</f>
        <v>747.58132799999998</v>
      </c>
      <c r="E240" s="51">
        <v>0</v>
      </c>
      <c r="F240" s="50">
        <f t="shared" si="19"/>
        <v>1196.1301248</v>
      </c>
      <c r="G240" s="95"/>
      <c r="H240" s="96"/>
    </row>
    <row r="241" spans="1:9">
      <c r="A241" s="100">
        <v>4</v>
      </c>
      <c r="B241" s="100"/>
      <c r="C241" s="51" t="s">
        <v>193</v>
      </c>
      <c r="D241" s="64">
        <f>(69.452)*10.764</f>
        <v>747.58132799999998</v>
      </c>
      <c r="E241" s="51">
        <v>0</v>
      </c>
      <c r="F241" s="50">
        <f t="shared" si="19"/>
        <v>1196.1301248</v>
      </c>
      <c r="G241" s="95"/>
      <c r="H241" s="96"/>
    </row>
    <row r="242" spans="1:9">
      <c r="A242" s="100">
        <v>5</v>
      </c>
      <c r="B242" s="100"/>
      <c r="C242" s="51" t="s">
        <v>188</v>
      </c>
      <c r="D242" s="64">
        <f>(94.081)*10.764</f>
        <v>1012.6878839999999</v>
      </c>
      <c r="E242" s="51">
        <v>0</v>
      </c>
      <c r="F242" s="50">
        <f t="shared" si="19"/>
        <v>1620.3006144000001</v>
      </c>
      <c r="G242" s="95"/>
      <c r="H242" s="96"/>
    </row>
    <row r="243" spans="1:9" s="27" customFormat="1">
      <c r="A243" s="100">
        <v>6</v>
      </c>
      <c r="B243" s="100"/>
      <c r="C243" s="51" t="s">
        <v>188</v>
      </c>
      <c r="D243" s="64">
        <f>(96.888)*10.764</f>
        <v>1042.9024320000001</v>
      </c>
      <c r="E243" s="51">
        <v>0</v>
      </c>
      <c r="F243" s="50">
        <f t="shared" si="19"/>
        <v>1668.6438912000003</v>
      </c>
      <c r="G243" s="97"/>
      <c r="H243" s="98"/>
    </row>
    <row r="244" spans="1:9" s="27" customFormat="1">
      <c r="A244" s="104" t="s">
        <v>173</v>
      </c>
      <c r="B244" s="104"/>
      <c r="C244" s="104"/>
      <c r="D244" s="104"/>
      <c r="E244" s="104"/>
      <c r="F244" s="104"/>
      <c r="G244" s="104"/>
      <c r="H244" s="104"/>
    </row>
    <row r="245" spans="1:9" s="27" customFormat="1">
      <c r="A245" s="104" t="s">
        <v>183</v>
      </c>
      <c r="B245" s="104"/>
      <c r="C245" s="104"/>
      <c r="D245" s="104"/>
      <c r="E245" s="104"/>
      <c r="F245" s="104"/>
      <c r="G245" s="104"/>
      <c r="H245" s="104"/>
      <c r="I245" s="63"/>
    </row>
    <row r="246" spans="1:9" s="27" customFormat="1" ht="15.75" customHeight="1">
      <c r="A246" s="104" t="s">
        <v>216</v>
      </c>
      <c r="B246" s="104"/>
      <c r="C246" s="104"/>
      <c r="D246" s="104"/>
      <c r="E246" s="104"/>
      <c r="F246" s="104"/>
      <c r="G246" s="104"/>
      <c r="H246" s="104"/>
      <c r="I246" s="63"/>
    </row>
    <row r="247" spans="1:9" s="27" customFormat="1">
      <c r="A247" s="104" t="s">
        <v>186</v>
      </c>
      <c r="B247" s="104"/>
      <c r="C247" s="104"/>
      <c r="D247" s="104"/>
      <c r="E247" s="104"/>
      <c r="F247" s="104"/>
      <c r="G247" s="104"/>
      <c r="H247" s="104"/>
      <c r="I247" s="63"/>
    </row>
    <row r="248" spans="1:9" ht="31.5" customHeight="1">
      <c r="A248" s="104" t="s">
        <v>217</v>
      </c>
      <c r="B248" s="104"/>
      <c r="C248" s="104"/>
      <c r="D248" s="104"/>
      <c r="E248" s="104"/>
      <c r="F248" s="104"/>
      <c r="G248" s="104"/>
      <c r="H248" s="104"/>
      <c r="I248" s="63">
        <f>44000000/F249</f>
        <v>18223.147147001579</v>
      </c>
    </row>
    <row r="249" spans="1:9" s="27" customFormat="1">
      <c r="A249" s="100">
        <v>1</v>
      </c>
      <c r="B249" s="100"/>
      <c r="C249" s="72" t="s">
        <v>218</v>
      </c>
      <c r="D249" s="72">
        <f>140.196*10.764</f>
        <v>1509.0697439999999</v>
      </c>
      <c r="E249" s="72">
        <v>0</v>
      </c>
      <c r="F249" s="72">
        <f t="shared" ref="F249" si="20">D249*1.6+E249</f>
        <v>2414.5115903999999</v>
      </c>
      <c r="G249" s="92" t="str">
        <f>A248</f>
        <v>4th Floor For Amenities &amp; Residential</v>
      </c>
      <c r="H249" s="92"/>
      <c r="I249" s="63"/>
    </row>
    <row r="250" spans="1:9">
      <c r="A250" s="104" t="s">
        <v>219</v>
      </c>
      <c r="B250" s="104"/>
      <c r="C250" s="104"/>
      <c r="D250" s="104"/>
      <c r="E250" s="104"/>
      <c r="F250" s="104"/>
      <c r="G250" s="104"/>
      <c r="H250" s="104"/>
      <c r="I250" s="63">
        <f>44000000/F251</f>
        <v>18223.147147001579</v>
      </c>
    </row>
    <row r="251" spans="1:9">
      <c r="A251" s="100">
        <v>1</v>
      </c>
      <c r="B251" s="100"/>
      <c r="C251" s="73" t="s">
        <v>218</v>
      </c>
      <c r="D251" s="73">
        <f>140.196*10.764</f>
        <v>1509.0697439999999</v>
      </c>
      <c r="E251" s="73">
        <v>0</v>
      </c>
      <c r="F251" s="72">
        <f t="shared" ref="F251:F255" si="21">D251*1.6+E251</f>
        <v>2414.5115903999999</v>
      </c>
      <c r="G251" s="92" t="str">
        <f>A250</f>
        <v>5th Floor</v>
      </c>
      <c r="H251" s="92"/>
      <c r="I251" s="63">
        <f t="shared" ref="I251:I253" si="22">19000000/F252</f>
        <v>16007.173801970541</v>
      </c>
    </row>
    <row r="252" spans="1:9">
      <c r="A252" s="100">
        <v>2</v>
      </c>
      <c r="B252" s="100"/>
      <c r="C252" s="73" t="s">
        <v>193</v>
      </c>
      <c r="D252" s="73">
        <f>68.92*10.764</f>
        <v>741.85487999999998</v>
      </c>
      <c r="E252" s="73">
        <v>0</v>
      </c>
      <c r="F252" s="72">
        <f t="shared" si="21"/>
        <v>1186.9678080000001</v>
      </c>
      <c r="G252" s="92"/>
      <c r="H252" s="92"/>
      <c r="I252" s="63">
        <f t="shared" si="22"/>
        <v>16007.173801970541</v>
      </c>
    </row>
    <row r="253" spans="1:9">
      <c r="A253" s="100">
        <v>3</v>
      </c>
      <c r="B253" s="100"/>
      <c r="C253" s="73" t="s">
        <v>193</v>
      </c>
      <c r="D253" s="73">
        <f>68.92*10.764</f>
        <v>741.85487999999998</v>
      </c>
      <c r="E253" s="73">
        <v>0</v>
      </c>
      <c r="F253" s="72">
        <f t="shared" si="21"/>
        <v>1186.9678080000001</v>
      </c>
      <c r="G253" s="92"/>
      <c r="H253" s="92"/>
      <c r="I253" s="63">
        <f t="shared" si="22"/>
        <v>12123.635047658821</v>
      </c>
    </row>
    <row r="254" spans="1:9">
      <c r="A254" s="100">
        <v>4</v>
      </c>
      <c r="B254" s="100"/>
      <c r="C254" s="73" t="s">
        <v>192</v>
      </c>
      <c r="D254" s="73">
        <f>90.997*10.764</f>
        <v>979.4917079999999</v>
      </c>
      <c r="E254" s="73">
        <v>0</v>
      </c>
      <c r="F254" s="72">
        <f t="shared" si="21"/>
        <v>1567.1867327999998</v>
      </c>
      <c r="G254" s="92"/>
      <c r="H254" s="92"/>
      <c r="I254" s="63">
        <f>26900000/F255</f>
        <v>16769.947398831886</v>
      </c>
    </row>
    <row r="255" spans="1:9" s="27" customFormat="1">
      <c r="A255" s="100">
        <v>5</v>
      </c>
      <c r="B255" s="100"/>
      <c r="C255" s="73" t="s">
        <v>188</v>
      </c>
      <c r="D255" s="73">
        <f>93.138*10.764</f>
        <v>1002.537432</v>
      </c>
      <c r="E255" s="73">
        <v>0</v>
      </c>
      <c r="F255" s="72">
        <f t="shared" si="21"/>
        <v>1604.0598912</v>
      </c>
      <c r="G255" s="92"/>
      <c r="H255" s="92"/>
      <c r="I255" s="63"/>
    </row>
    <row r="256" spans="1:9" ht="15.75" customHeight="1">
      <c r="A256" s="104" t="s">
        <v>220</v>
      </c>
      <c r="B256" s="104"/>
      <c r="C256" s="104"/>
      <c r="D256" s="104"/>
      <c r="E256" s="104"/>
      <c r="F256" s="104"/>
      <c r="G256" s="104"/>
      <c r="H256" s="104"/>
    </row>
    <row r="257" spans="1:8">
      <c r="A257" s="100">
        <v>1</v>
      </c>
      <c r="B257" s="100"/>
      <c r="C257" s="51" t="s">
        <v>218</v>
      </c>
      <c r="D257" s="51">
        <f>140.196*10.764</f>
        <v>1509.0697439999999</v>
      </c>
      <c r="E257" s="51">
        <v>0</v>
      </c>
      <c r="F257" s="50">
        <f t="shared" ref="F257:F261" si="23">D257*1.6+E257</f>
        <v>2414.5115903999999</v>
      </c>
      <c r="G257" s="93" t="str">
        <f>A256</f>
        <v>6th &amp; 13th Floor</v>
      </c>
      <c r="H257" s="94"/>
    </row>
    <row r="258" spans="1:8">
      <c r="A258" s="100">
        <v>2</v>
      </c>
      <c r="B258" s="100"/>
      <c r="C258" s="51" t="s">
        <v>193</v>
      </c>
      <c r="D258" s="51">
        <f>68.92*10.764</f>
        <v>741.85487999999998</v>
      </c>
      <c r="E258" s="51">
        <v>0</v>
      </c>
      <c r="F258" s="50">
        <f t="shared" si="23"/>
        <v>1186.9678080000001</v>
      </c>
      <c r="G258" s="95"/>
      <c r="H258" s="96"/>
    </row>
    <row r="259" spans="1:8">
      <c r="A259" s="100">
        <v>3</v>
      </c>
      <c r="B259" s="100"/>
      <c r="C259" s="51" t="s">
        <v>193</v>
      </c>
      <c r="D259" s="51">
        <f>68.92*10.764</f>
        <v>741.85487999999998</v>
      </c>
      <c r="E259" s="51">
        <v>0</v>
      </c>
      <c r="F259" s="50">
        <f t="shared" si="23"/>
        <v>1186.9678080000001</v>
      </c>
      <c r="G259" s="95"/>
      <c r="H259" s="96"/>
    </row>
    <row r="260" spans="1:8">
      <c r="A260" s="100">
        <v>4</v>
      </c>
      <c r="B260" s="100"/>
      <c r="C260" s="51" t="s">
        <v>188</v>
      </c>
      <c r="D260" s="51">
        <f>93.138*10.764</f>
        <v>1002.537432</v>
      </c>
      <c r="E260" s="51">
        <v>0</v>
      </c>
      <c r="F260" s="50">
        <f t="shared" si="23"/>
        <v>1604.0598912</v>
      </c>
      <c r="G260" s="95"/>
      <c r="H260" s="96"/>
    </row>
    <row r="261" spans="1:8" s="27" customFormat="1" ht="62">
      <c r="A261" s="92">
        <v>5</v>
      </c>
      <c r="B261" s="92"/>
      <c r="C261" s="51" t="s">
        <v>196</v>
      </c>
      <c r="D261" s="50">
        <f>149.819*10.764</f>
        <v>1612.6517159999999</v>
      </c>
      <c r="E261" s="50">
        <v>0</v>
      </c>
      <c r="F261" s="50">
        <f t="shared" si="23"/>
        <v>2580.2427456</v>
      </c>
      <c r="G261" s="97"/>
      <c r="H261" s="98"/>
    </row>
    <row r="262" spans="1:8">
      <c r="A262" s="104" t="s">
        <v>221</v>
      </c>
      <c r="B262" s="104"/>
      <c r="C262" s="104"/>
      <c r="D262" s="104"/>
      <c r="E262" s="104"/>
      <c r="F262" s="104"/>
      <c r="G262" s="104"/>
      <c r="H262" s="104"/>
    </row>
    <row r="263" spans="1:8">
      <c r="A263" s="100">
        <v>1</v>
      </c>
      <c r="B263" s="100"/>
      <c r="C263" s="51" t="s">
        <v>218</v>
      </c>
      <c r="D263" s="51">
        <f>140.196*10.764</f>
        <v>1509.0697439999999</v>
      </c>
      <c r="E263" s="51">
        <v>0</v>
      </c>
      <c r="F263" s="50">
        <f t="shared" ref="F263:F265" si="24">D263*1.6+E263</f>
        <v>2414.5115903999999</v>
      </c>
      <c r="G263" s="93" t="str">
        <f>A262</f>
        <v>7th &amp; 14th Floor (Part Refuge Area)</v>
      </c>
      <c r="H263" s="94"/>
    </row>
    <row r="264" spans="1:8">
      <c r="A264" s="100">
        <v>2</v>
      </c>
      <c r="B264" s="100"/>
      <c r="C264" s="51" t="s">
        <v>193</v>
      </c>
      <c r="D264" s="51">
        <f>68.92*10.764</f>
        <v>741.85487999999998</v>
      </c>
      <c r="E264" s="51">
        <v>0</v>
      </c>
      <c r="F264" s="50">
        <f t="shared" si="24"/>
        <v>1186.9678080000001</v>
      </c>
      <c r="G264" s="95"/>
      <c r="H264" s="96"/>
    </row>
    <row r="265" spans="1:8">
      <c r="A265" s="100">
        <v>3</v>
      </c>
      <c r="B265" s="100"/>
      <c r="C265" s="51" t="s">
        <v>193</v>
      </c>
      <c r="D265" s="51">
        <f>68.92*10.764</f>
        <v>741.85487999999998</v>
      </c>
      <c r="E265" s="51">
        <v>0</v>
      </c>
      <c r="F265" s="50">
        <f t="shared" si="24"/>
        <v>1186.9678080000001</v>
      </c>
      <c r="G265" s="95"/>
      <c r="H265" s="96"/>
    </row>
    <row r="266" spans="1:8">
      <c r="A266" s="100">
        <v>4</v>
      </c>
      <c r="B266" s="100"/>
      <c r="C266" s="105" t="s">
        <v>199</v>
      </c>
      <c r="D266" s="106"/>
      <c r="E266" s="106"/>
      <c r="F266" s="107"/>
      <c r="G266" s="95"/>
      <c r="H266" s="96"/>
    </row>
    <row r="267" spans="1:8" s="27" customFormat="1">
      <c r="A267" s="100">
        <v>5</v>
      </c>
      <c r="B267" s="100"/>
      <c r="C267" s="105" t="s">
        <v>198</v>
      </c>
      <c r="D267" s="106"/>
      <c r="E267" s="106"/>
      <c r="F267" s="107"/>
      <c r="G267" s="97"/>
      <c r="H267" s="98"/>
    </row>
    <row r="268" spans="1:8">
      <c r="A268" s="104" t="s">
        <v>222</v>
      </c>
      <c r="B268" s="104"/>
      <c r="C268" s="104"/>
      <c r="D268" s="104"/>
      <c r="E268" s="104"/>
      <c r="F268" s="104"/>
      <c r="G268" s="104"/>
      <c r="H268" s="104"/>
    </row>
    <row r="269" spans="1:8">
      <c r="A269" s="100">
        <v>1</v>
      </c>
      <c r="B269" s="100"/>
      <c r="C269" s="51" t="s">
        <v>218</v>
      </c>
      <c r="D269" s="51">
        <f>140.196*10.764</f>
        <v>1509.0697439999999</v>
      </c>
      <c r="E269" s="51">
        <v>0</v>
      </c>
      <c r="F269" s="50">
        <f t="shared" ref="F269:F273" si="25">D269*1.6+E269</f>
        <v>2414.5115903999999</v>
      </c>
      <c r="G269" s="93" t="str">
        <f>A268</f>
        <v>8th to 12th Floor</v>
      </c>
      <c r="H269" s="94"/>
    </row>
    <row r="270" spans="1:8">
      <c r="A270" s="100">
        <v>2</v>
      </c>
      <c r="B270" s="100"/>
      <c r="C270" s="51" t="s">
        <v>193</v>
      </c>
      <c r="D270" s="51">
        <f>68.92*10.764</f>
        <v>741.85487999999998</v>
      </c>
      <c r="E270" s="51">
        <v>0</v>
      </c>
      <c r="F270" s="50">
        <f t="shared" si="25"/>
        <v>1186.9678080000001</v>
      </c>
      <c r="G270" s="95"/>
      <c r="H270" s="96"/>
    </row>
    <row r="271" spans="1:8">
      <c r="A271" s="100">
        <v>3</v>
      </c>
      <c r="B271" s="100"/>
      <c r="C271" s="51" t="s">
        <v>193</v>
      </c>
      <c r="D271" s="51">
        <f>68.92*10.764</f>
        <v>741.85487999999998</v>
      </c>
      <c r="E271" s="51">
        <v>0</v>
      </c>
      <c r="F271" s="50">
        <f t="shared" si="25"/>
        <v>1186.9678080000001</v>
      </c>
      <c r="G271" s="95"/>
      <c r="H271" s="96"/>
    </row>
    <row r="272" spans="1:8">
      <c r="A272" s="100">
        <v>4</v>
      </c>
      <c r="B272" s="100"/>
      <c r="C272" s="51" t="s">
        <v>188</v>
      </c>
      <c r="D272" s="51">
        <f>93.138*10.764</f>
        <v>1002.537432</v>
      </c>
      <c r="E272" s="51">
        <v>0</v>
      </c>
      <c r="F272" s="50">
        <f t="shared" si="25"/>
        <v>1604.0598912</v>
      </c>
      <c r="G272" s="95"/>
      <c r="H272" s="96"/>
    </row>
    <row r="273" spans="1:9" s="27" customFormat="1" hidden="1">
      <c r="A273" s="100">
        <v>5</v>
      </c>
      <c r="B273" s="100"/>
      <c r="C273" s="51" t="s">
        <v>188</v>
      </c>
      <c r="D273" s="51">
        <f>93.138*10.764</f>
        <v>1002.537432</v>
      </c>
      <c r="E273" s="51">
        <v>0</v>
      </c>
      <c r="F273" s="50">
        <f t="shared" si="25"/>
        <v>1604.0598912</v>
      </c>
      <c r="G273" s="97"/>
      <c r="H273" s="98"/>
      <c r="I273" s="63"/>
    </row>
    <row r="274" spans="1:9" hidden="1">
      <c r="A274" s="104" t="s">
        <v>223</v>
      </c>
      <c r="B274" s="104"/>
      <c r="C274" s="104"/>
      <c r="D274" s="104"/>
      <c r="E274" s="104"/>
      <c r="F274" s="104"/>
      <c r="G274" s="104"/>
      <c r="H274" s="104"/>
    </row>
    <row r="275" spans="1:9" hidden="1">
      <c r="A275" s="100">
        <v>1</v>
      </c>
      <c r="B275" s="100"/>
      <c r="C275" s="51" t="s">
        <v>218</v>
      </c>
      <c r="D275" s="51">
        <f>140.196*10.764</f>
        <v>1509.0697439999999</v>
      </c>
      <c r="E275" s="51">
        <v>0</v>
      </c>
      <c r="F275" s="50">
        <f t="shared" ref="F275:F279" si="26">D275*1.6+E275</f>
        <v>2414.5115903999999</v>
      </c>
      <c r="G275" s="92" t="str">
        <f>A274</f>
        <v>13th Floor</v>
      </c>
      <c r="H275" s="92"/>
    </row>
    <row r="276" spans="1:9" hidden="1">
      <c r="A276" s="100">
        <v>2</v>
      </c>
      <c r="B276" s="100"/>
      <c r="C276" s="51" t="s">
        <v>193</v>
      </c>
      <c r="D276" s="51">
        <f>68.92*10.764</f>
        <v>741.85487999999998</v>
      </c>
      <c r="E276" s="51">
        <v>0</v>
      </c>
      <c r="F276" s="50">
        <f t="shared" si="26"/>
        <v>1186.9678080000001</v>
      </c>
      <c r="G276" s="92"/>
      <c r="H276" s="92"/>
    </row>
    <row r="277" spans="1:9" hidden="1">
      <c r="A277" s="100">
        <v>3</v>
      </c>
      <c r="B277" s="100"/>
      <c r="C277" s="51" t="s">
        <v>193</v>
      </c>
      <c r="D277" s="51">
        <f>68.92*10.764</f>
        <v>741.85487999999998</v>
      </c>
      <c r="E277" s="51">
        <v>0</v>
      </c>
      <c r="F277" s="50">
        <f t="shared" si="26"/>
        <v>1186.9678080000001</v>
      </c>
      <c r="G277" s="92"/>
      <c r="H277" s="92"/>
    </row>
    <row r="278" spans="1:9" hidden="1">
      <c r="A278" s="100">
        <v>4</v>
      </c>
      <c r="B278" s="100"/>
      <c r="C278" s="51" t="s">
        <v>188</v>
      </c>
      <c r="D278" s="51">
        <f>93.138*10.764</f>
        <v>1002.537432</v>
      </c>
      <c r="E278" s="51">
        <v>0</v>
      </c>
      <c r="F278" s="50">
        <f t="shared" si="26"/>
        <v>1604.0598912</v>
      </c>
      <c r="G278" s="92"/>
      <c r="H278" s="92"/>
    </row>
    <row r="279" spans="1:9" s="27" customFormat="1" ht="46.5" hidden="1">
      <c r="A279" s="92">
        <v>5</v>
      </c>
      <c r="B279" s="92"/>
      <c r="C279" s="51" t="s">
        <v>224</v>
      </c>
      <c r="D279" s="50">
        <f>149.819*10.764</f>
        <v>1612.6517159999999</v>
      </c>
      <c r="E279" s="50">
        <v>0</v>
      </c>
      <c r="F279" s="50">
        <f t="shared" si="26"/>
        <v>2580.2427456</v>
      </c>
      <c r="G279" s="92" t="s">
        <v>225</v>
      </c>
      <c r="H279" s="92"/>
    </row>
    <row r="280" spans="1:9" hidden="1">
      <c r="A280" s="104" t="s">
        <v>226</v>
      </c>
      <c r="B280" s="104"/>
      <c r="C280" s="104"/>
      <c r="D280" s="104"/>
      <c r="E280" s="104"/>
      <c r="F280" s="104"/>
      <c r="G280" s="104"/>
      <c r="H280" s="104"/>
    </row>
    <row r="281" spans="1:9" hidden="1">
      <c r="A281" s="100">
        <v>1</v>
      </c>
      <c r="B281" s="100"/>
      <c r="C281" s="51" t="s">
        <v>218</v>
      </c>
      <c r="D281" s="51">
        <f>140.196*10.764</f>
        <v>1509.0697439999999</v>
      </c>
      <c r="E281" s="51">
        <v>0</v>
      </c>
      <c r="F281" s="50">
        <f t="shared" ref="F281:F283" si="27">D281*1.6+E281</f>
        <v>2414.5115903999999</v>
      </c>
      <c r="G281" s="93" t="str">
        <f>A280</f>
        <v>14th Floor (Part Refuge Area)</v>
      </c>
      <c r="H281" s="94"/>
    </row>
    <row r="282" spans="1:9" hidden="1">
      <c r="A282" s="100">
        <v>2</v>
      </c>
      <c r="B282" s="100"/>
      <c r="C282" s="51" t="s">
        <v>193</v>
      </c>
      <c r="D282" s="51">
        <f>68.92*10.764</f>
        <v>741.85487999999998</v>
      </c>
      <c r="E282" s="51">
        <v>0</v>
      </c>
      <c r="F282" s="50">
        <f t="shared" si="27"/>
        <v>1186.9678080000001</v>
      </c>
      <c r="G282" s="95"/>
      <c r="H282" s="96"/>
    </row>
    <row r="283" spans="1:9" hidden="1">
      <c r="A283" s="100">
        <v>3</v>
      </c>
      <c r="B283" s="100"/>
      <c r="C283" s="51" t="s">
        <v>193</v>
      </c>
      <c r="D283" s="51">
        <f>68.92*10.764</f>
        <v>741.85487999999998</v>
      </c>
      <c r="E283" s="51">
        <v>0</v>
      </c>
      <c r="F283" s="50">
        <f t="shared" si="27"/>
        <v>1186.9678080000001</v>
      </c>
      <c r="G283" s="95"/>
      <c r="H283" s="96"/>
    </row>
    <row r="284" spans="1:9" hidden="1">
      <c r="A284" s="100">
        <v>4</v>
      </c>
      <c r="B284" s="100"/>
      <c r="C284" s="105" t="s">
        <v>199</v>
      </c>
      <c r="D284" s="106"/>
      <c r="E284" s="106"/>
      <c r="F284" s="107"/>
      <c r="G284" s="95"/>
      <c r="H284" s="96"/>
    </row>
    <row r="285" spans="1:9" s="27" customFormat="1">
      <c r="A285" s="100">
        <v>5</v>
      </c>
      <c r="B285" s="100"/>
      <c r="C285" s="105" t="s">
        <v>227</v>
      </c>
      <c r="D285" s="106"/>
      <c r="E285" s="106"/>
      <c r="F285" s="107"/>
      <c r="G285" s="97"/>
      <c r="H285" s="98"/>
    </row>
    <row r="286" spans="1:9">
      <c r="A286" s="104" t="s">
        <v>228</v>
      </c>
      <c r="B286" s="104"/>
      <c r="C286" s="104"/>
      <c r="D286" s="104"/>
      <c r="E286" s="104"/>
      <c r="F286" s="104"/>
      <c r="G286" s="104"/>
      <c r="H286" s="104"/>
    </row>
    <row r="287" spans="1:9">
      <c r="A287" s="100">
        <v>1</v>
      </c>
      <c r="B287" s="100"/>
      <c r="C287" s="51" t="s">
        <v>218</v>
      </c>
      <c r="D287" s="51">
        <f>140.196*10.764</f>
        <v>1509.0697439999999</v>
      </c>
      <c r="E287" s="51">
        <v>0</v>
      </c>
      <c r="F287" s="50">
        <f t="shared" ref="F287:F291" si="28">D287*1.6+E287</f>
        <v>2414.5115903999999</v>
      </c>
      <c r="G287" s="93" t="str">
        <f>A286</f>
        <v>15th Floor</v>
      </c>
      <c r="H287" s="94"/>
    </row>
    <row r="288" spans="1:9">
      <c r="A288" s="100">
        <v>2</v>
      </c>
      <c r="B288" s="100"/>
      <c r="C288" s="51" t="s">
        <v>193</v>
      </c>
      <c r="D288" s="51">
        <f>68.92*10.764</f>
        <v>741.85487999999998</v>
      </c>
      <c r="E288" s="51">
        <v>0</v>
      </c>
      <c r="F288" s="50">
        <f t="shared" si="28"/>
        <v>1186.9678080000001</v>
      </c>
      <c r="G288" s="95"/>
      <c r="H288" s="96"/>
    </row>
    <row r="289" spans="1:9">
      <c r="A289" s="100">
        <v>3</v>
      </c>
      <c r="B289" s="100"/>
      <c r="C289" s="51" t="s">
        <v>193</v>
      </c>
      <c r="D289" s="51">
        <f>68.92*10.764</f>
        <v>741.85487999999998</v>
      </c>
      <c r="E289" s="51">
        <v>0</v>
      </c>
      <c r="F289" s="50">
        <f t="shared" si="28"/>
        <v>1186.9678080000001</v>
      </c>
      <c r="G289" s="95"/>
      <c r="H289" s="96"/>
    </row>
    <row r="290" spans="1:9">
      <c r="A290" s="100">
        <v>4</v>
      </c>
      <c r="B290" s="100"/>
      <c r="C290" s="51" t="s">
        <v>188</v>
      </c>
      <c r="D290" s="51">
        <f>93.138*10.764</f>
        <v>1002.537432</v>
      </c>
      <c r="E290" s="51">
        <v>0</v>
      </c>
      <c r="F290" s="50">
        <f t="shared" si="28"/>
        <v>1604.0598912</v>
      </c>
      <c r="G290" s="95"/>
      <c r="H290" s="96"/>
    </row>
    <row r="291" spans="1:9" s="27" customFormat="1">
      <c r="A291" s="100">
        <v>5</v>
      </c>
      <c r="B291" s="100"/>
      <c r="C291" s="51" t="s">
        <v>188</v>
      </c>
      <c r="D291" s="51">
        <f>93.138*10.764</f>
        <v>1002.537432</v>
      </c>
      <c r="E291" s="51">
        <v>0</v>
      </c>
      <c r="F291" s="50">
        <f t="shared" si="28"/>
        <v>1604.0598912</v>
      </c>
      <c r="G291" s="97"/>
      <c r="H291" s="98"/>
      <c r="I291" s="27">
        <f>3.07*5.52+2.46*2.45+3.07*3.67+3.17*3.87+0.35*0.07+2.84*0.1</f>
        <v>46.816700000000004</v>
      </c>
    </row>
    <row r="292" spans="1:9">
      <c r="A292" s="104" t="s">
        <v>229</v>
      </c>
      <c r="B292" s="104"/>
      <c r="C292" s="104"/>
      <c r="D292" s="104"/>
      <c r="E292" s="104"/>
      <c r="F292" s="104"/>
      <c r="G292" s="104"/>
      <c r="H292" s="104"/>
    </row>
    <row r="293" spans="1:9">
      <c r="A293" s="100">
        <v>1</v>
      </c>
      <c r="B293" s="100"/>
      <c r="C293" s="51" t="s">
        <v>218</v>
      </c>
      <c r="D293" s="51">
        <f>140.196*10.764</f>
        <v>1509.0697439999999</v>
      </c>
      <c r="E293" s="51">
        <v>0</v>
      </c>
      <c r="F293" s="50">
        <f t="shared" ref="F293:F297" si="29">D293*1.6+E293</f>
        <v>2414.5115903999999</v>
      </c>
      <c r="G293" s="93" t="str">
        <f>A292</f>
        <v>16th to 19th, 22nd to 24th Floor</v>
      </c>
      <c r="H293" s="94"/>
    </row>
    <row r="294" spans="1:9">
      <c r="A294" s="100">
        <v>2</v>
      </c>
      <c r="B294" s="100"/>
      <c r="C294" s="51" t="s">
        <v>193</v>
      </c>
      <c r="D294" s="51">
        <f>68.92*10.764</f>
        <v>741.85487999999998</v>
      </c>
      <c r="E294" s="51">
        <v>0</v>
      </c>
      <c r="F294" s="50">
        <f t="shared" si="29"/>
        <v>1186.9678080000001</v>
      </c>
      <c r="G294" s="95"/>
      <c r="H294" s="96"/>
    </row>
    <row r="295" spans="1:9">
      <c r="A295" s="100">
        <v>3</v>
      </c>
      <c r="B295" s="100"/>
      <c r="C295" s="51" t="s">
        <v>193</v>
      </c>
      <c r="D295" s="51">
        <f>68.92*10.764</f>
        <v>741.85487999999998</v>
      </c>
      <c r="E295" s="51">
        <v>0</v>
      </c>
      <c r="F295" s="50">
        <f t="shared" si="29"/>
        <v>1186.9678080000001</v>
      </c>
      <c r="G295" s="95"/>
      <c r="H295" s="96"/>
    </row>
    <row r="296" spans="1:9">
      <c r="A296" s="100">
        <v>4</v>
      </c>
      <c r="B296" s="100"/>
      <c r="C296" s="51" t="s">
        <v>188</v>
      </c>
      <c r="D296" s="51">
        <f>93.138*10.764</f>
        <v>1002.537432</v>
      </c>
      <c r="E296" s="51">
        <v>0</v>
      </c>
      <c r="F296" s="50">
        <f t="shared" si="29"/>
        <v>1604.0598912</v>
      </c>
      <c r="G296" s="95"/>
      <c r="H296" s="96"/>
    </row>
    <row r="297" spans="1:9" s="27" customFormat="1">
      <c r="A297" s="100">
        <v>5</v>
      </c>
      <c r="B297" s="100"/>
      <c r="C297" s="51" t="s">
        <v>188</v>
      </c>
      <c r="D297" s="51">
        <f>93.138*10.764</f>
        <v>1002.537432</v>
      </c>
      <c r="E297" s="51">
        <v>0</v>
      </c>
      <c r="F297" s="50">
        <f t="shared" si="29"/>
        <v>1604.0598912</v>
      </c>
      <c r="G297" s="97"/>
      <c r="H297" s="98"/>
      <c r="I297" s="63"/>
    </row>
    <row r="298" spans="1:9">
      <c r="A298" s="104" t="s">
        <v>230</v>
      </c>
      <c r="B298" s="104"/>
      <c r="C298" s="104"/>
      <c r="D298" s="104"/>
      <c r="E298" s="104"/>
      <c r="F298" s="104"/>
      <c r="G298" s="104"/>
      <c r="H298" s="104"/>
    </row>
    <row r="299" spans="1:9">
      <c r="A299" s="100">
        <v>1</v>
      </c>
      <c r="B299" s="100"/>
      <c r="C299" s="73" t="s">
        <v>218</v>
      </c>
      <c r="D299" s="73">
        <f>140.196*10.764</f>
        <v>1509.0697439999999</v>
      </c>
      <c r="E299" s="73">
        <v>0</v>
      </c>
      <c r="F299" s="72">
        <f t="shared" ref="F299:F303" si="30">D299*1.6+E299</f>
        <v>2414.5115903999999</v>
      </c>
      <c r="G299" s="92" t="str">
        <f>A298</f>
        <v>20th Floor</v>
      </c>
      <c r="H299" s="92"/>
    </row>
    <row r="300" spans="1:9">
      <c r="A300" s="100">
        <v>2</v>
      </c>
      <c r="B300" s="100"/>
      <c r="C300" s="73" t="s">
        <v>193</v>
      </c>
      <c r="D300" s="73">
        <f>68.92*10.764</f>
        <v>741.85487999999998</v>
      </c>
      <c r="E300" s="73">
        <v>0</v>
      </c>
      <c r="F300" s="72">
        <f t="shared" si="30"/>
        <v>1186.9678080000001</v>
      </c>
      <c r="G300" s="92"/>
      <c r="H300" s="92"/>
    </row>
    <row r="301" spans="1:9">
      <c r="A301" s="100">
        <v>3</v>
      </c>
      <c r="B301" s="100"/>
      <c r="C301" s="73" t="s">
        <v>193</v>
      </c>
      <c r="D301" s="73">
        <f>68.92*10.764</f>
        <v>741.85487999999998</v>
      </c>
      <c r="E301" s="73">
        <v>0</v>
      </c>
      <c r="F301" s="72">
        <f t="shared" si="30"/>
        <v>1186.9678080000001</v>
      </c>
      <c r="G301" s="92"/>
      <c r="H301" s="92"/>
    </row>
    <row r="302" spans="1:9">
      <c r="A302" s="100">
        <v>4</v>
      </c>
      <c r="B302" s="100"/>
      <c r="C302" s="73" t="s">
        <v>188</v>
      </c>
      <c r="D302" s="73">
        <f>93.138*10.764</f>
        <v>1002.537432</v>
      </c>
      <c r="E302" s="73">
        <v>0</v>
      </c>
      <c r="F302" s="72">
        <f t="shared" si="30"/>
        <v>1604.0598912</v>
      </c>
      <c r="G302" s="92"/>
      <c r="H302" s="92"/>
    </row>
    <row r="303" spans="1:9" s="27" customFormat="1" ht="46.5">
      <c r="A303" s="92">
        <v>5</v>
      </c>
      <c r="B303" s="92"/>
      <c r="C303" s="73" t="s">
        <v>204</v>
      </c>
      <c r="D303" s="72">
        <f>149.819*10.764</f>
        <v>1612.6517159999999</v>
      </c>
      <c r="E303" s="72">
        <v>0</v>
      </c>
      <c r="F303" s="72">
        <f t="shared" si="30"/>
        <v>2580.2427456</v>
      </c>
      <c r="G303" s="92"/>
      <c r="H303" s="92"/>
    </row>
    <row r="304" spans="1:9">
      <c r="A304" s="104" t="s">
        <v>205</v>
      </c>
      <c r="B304" s="104"/>
      <c r="C304" s="104"/>
      <c r="D304" s="104"/>
      <c r="E304" s="104"/>
      <c r="F304" s="104"/>
      <c r="G304" s="104"/>
      <c r="H304" s="104"/>
    </row>
    <row r="305" spans="1:11">
      <c r="A305" s="100">
        <v>1</v>
      </c>
      <c r="B305" s="100"/>
      <c r="C305" s="51" t="s">
        <v>218</v>
      </c>
      <c r="D305" s="51">
        <f>140.196*10.764</f>
        <v>1509.0697439999999</v>
      </c>
      <c r="E305" s="51">
        <v>0</v>
      </c>
      <c r="F305" s="50">
        <f t="shared" ref="F305:F307" si="31">D305*1.6+E305</f>
        <v>2414.5115903999999</v>
      </c>
      <c r="G305" s="93" t="str">
        <f>A304</f>
        <v>21st Floor (Part Refuge Area)</v>
      </c>
      <c r="H305" s="94"/>
    </row>
    <row r="306" spans="1:11">
      <c r="A306" s="100">
        <v>2</v>
      </c>
      <c r="B306" s="100"/>
      <c r="C306" s="51" t="s">
        <v>193</v>
      </c>
      <c r="D306" s="51">
        <f>68.92*10.764</f>
        <v>741.85487999999998</v>
      </c>
      <c r="E306" s="51">
        <v>0</v>
      </c>
      <c r="F306" s="50">
        <f t="shared" si="31"/>
        <v>1186.9678080000001</v>
      </c>
      <c r="G306" s="95"/>
      <c r="H306" s="96"/>
    </row>
    <row r="307" spans="1:11">
      <c r="A307" s="100">
        <v>3</v>
      </c>
      <c r="B307" s="100"/>
      <c r="C307" s="51" t="s">
        <v>193</v>
      </c>
      <c r="D307" s="51">
        <f>68.92*10.764</f>
        <v>741.85487999999998</v>
      </c>
      <c r="E307" s="51">
        <v>0</v>
      </c>
      <c r="F307" s="50">
        <f t="shared" si="31"/>
        <v>1186.9678080000001</v>
      </c>
      <c r="G307" s="95"/>
      <c r="H307" s="96"/>
    </row>
    <row r="308" spans="1:11">
      <c r="A308" s="100">
        <v>4</v>
      </c>
      <c r="B308" s="100"/>
      <c r="C308" s="105" t="s">
        <v>199</v>
      </c>
      <c r="D308" s="106"/>
      <c r="E308" s="106"/>
      <c r="F308" s="107"/>
      <c r="G308" s="95"/>
      <c r="H308" s="96"/>
    </row>
    <row r="309" spans="1:11" s="27" customFormat="1">
      <c r="A309" s="100">
        <v>5</v>
      </c>
      <c r="B309" s="100"/>
      <c r="C309" s="105" t="s">
        <v>231</v>
      </c>
      <c r="D309" s="106"/>
      <c r="E309" s="106"/>
      <c r="F309" s="107"/>
      <c r="G309" s="97"/>
      <c r="H309" s="98"/>
      <c r="I309" s="27">
        <f>3.07*5.52+2.46*2.45+3.07*3.67+3.17*3.87+0.35*0.07+2.84*0.1</f>
        <v>46.816700000000004</v>
      </c>
    </row>
    <row r="310" spans="1:11">
      <c r="A310" s="104" t="s">
        <v>207</v>
      </c>
      <c r="B310" s="104"/>
      <c r="C310" s="104"/>
      <c r="D310" s="104"/>
      <c r="E310" s="104"/>
      <c r="F310" s="104"/>
      <c r="G310" s="104"/>
      <c r="H310" s="104"/>
      <c r="J310" s="30">
        <f>7.03+4.3+3.07*3.645+3.17*4.04+1.64*2.57+1.54*2.57+0.92*1.08+2.25*1.08+2.05*1.95+2.45*3.67+1.05*2.89+1.71*1.3+0.66*0.89+1.84*2.32+0.3*1.8+1.8*0.9+1.65*1.62+1.52*0.9+1.22*0.1+1.15*1.39+0.89*1.39+2.47*1.62+3.99*3.16+3.47*4.29+6.33*1.24</f>
        <v>118.52975000000002</v>
      </c>
      <c r="K310" s="30">
        <f>J310*10.764</f>
        <v>1275.8542290000003</v>
      </c>
    </row>
    <row r="311" spans="1:11">
      <c r="A311" s="100">
        <v>1</v>
      </c>
      <c r="B311" s="100"/>
      <c r="C311" s="51" t="s">
        <v>218</v>
      </c>
      <c r="D311" s="51">
        <f>140.196*10.764</f>
        <v>1509.0697439999999</v>
      </c>
      <c r="E311" s="51">
        <v>0</v>
      </c>
      <c r="F311" s="50">
        <f t="shared" ref="F311:F315" si="32">D311*1.6+E311</f>
        <v>2414.5115903999999</v>
      </c>
      <c r="G311" s="93" t="str">
        <f>A310</f>
        <v>25th Floor</v>
      </c>
      <c r="H311" s="94"/>
      <c r="J311" s="30">
        <f>3.47*4.29+3.99*3.16+0.89*1.39+2.47*1.62+1.15*1.39+1.8*1.09+1.65*1.62+1.52*0.9+1.22*0.1+7.03*4.3+6.33*1.24+2.45*3.67+0.3*1.8+1.05*2.89+1.71*1.3+0.66*0.89+1.84*2.32+2*0.92+2.05*1.95+2.25*1.08+0.92*1.08+3.07*3.645+3.17+4.04+0.05*0.75+1.54*2.57+1.64*2.57</f>
        <v>134.05145000000002</v>
      </c>
      <c r="K311" s="30">
        <f>J311*10.764</f>
        <v>1442.9298078000002</v>
      </c>
    </row>
    <row r="312" spans="1:11">
      <c r="A312" s="100">
        <v>2</v>
      </c>
      <c r="B312" s="100"/>
      <c r="C312" s="51" t="s">
        <v>193</v>
      </c>
      <c r="D312" s="51">
        <f>68.92*10.764</f>
        <v>741.85487999999998</v>
      </c>
      <c r="E312" s="51">
        <v>0</v>
      </c>
      <c r="F312" s="50">
        <f t="shared" si="32"/>
        <v>1186.9678080000001</v>
      </c>
      <c r="G312" s="95"/>
      <c r="H312" s="96"/>
    </row>
    <row r="313" spans="1:11">
      <c r="A313" s="100">
        <v>3</v>
      </c>
      <c r="B313" s="100"/>
      <c r="C313" s="51" t="s">
        <v>193</v>
      </c>
      <c r="D313" s="51">
        <f>68.92*10.764</f>
        <v>741.85487999999998</v>
      </c>
      <c r="E313" s="51">
        <v>0</v>
      </c>
      <c r="F313" s="50">
        <f t="shared" si="32"/>
        <v>1186.9678080000001</v>
      </c>
      <c r="G313" s="95"/>
      <c r="H313" s="96"/>
    </row>
    <row r="314" spans="1:11">
      <c r="A314" s="100">
        <v>4</v>
      </c>
      <c r="B314" s="100"/>
      <c r="C314" s="51" t="s">
        <v>188</v>
      </c>
      <c r="D314" s="51">
        <f>93.138*10.764</f>
        <v>1002.537432</v>
      </c>
      <c r="E314" s="51">
        <v>0</v>
      </c>
      <c r="F314" s="50">
        <f t="shared" si="32"/>
        <v>1604.0598912</v>
      </c>
      <c r="G314" s="95"/>
      <c r="H314" s="96"/>
    </row>
    <row r="315" spans="1:11" s="27" customFormat="1">
      <c r="A315" s="100">
        <v>5</v>
      </c>
      <c r="B315" s="100"/>
      <c r="C315" s="51" t="s">
        <v>188</v>
      </c>
      <c r="D315" s="51">
        <f>93.138*10.764</f>
        <v>1002.537432</v>
      </c>
      <c r="E315" s="51">
        <v>0</v>
      </c>
      <c r="F315" s="50">
        <f t="shared" si="32"/>
        <v>1604.0598912</v>
      </c>
      <c r="G315" s="97"/>
      <c r="H315" s="98"/>
      <c r="I315" s="27">
        <f>3.07*5.52+2.46*2.45+3.07*3.67+3.17*3.87+0.35*0.07+2.84*0.1</f>
        <v>46.816700000000004</v>
      </c>
    </row>
    <row r="316" spans="1:11">
      <c r="A316" s="104" t="s">
        <v>208</v>
      </c>
      <c r="B316" s="104"/>
      <c r="C316" s="104"/>
      <c r="D316" s="104"/>
      <c r="E316" s="104"/>
      <c r="F316" s="104"/>
      <c r="G316" s="104"/>
      <c r="H316" s="104"/>
      <c r="J316" s="30">
        <f>7.03+4.3+3.07*3.645+3.17*4.04+1.64*2.57+1.54*2.57+0.92*1.08+2.25*1.08+2.05*1.95+2.45*3.67+1.05*2.89+1.71*1.3+0.66*0.89+1.84*2.32+0.3*1.8+1.8*0.9+1.65*1.62+1.52*0.9+1.22*0.1+1.15*1.39+0.89*1.39+2.47*1.62+3.99*3.16+3.47*4.29+6.33*1.24</f>
        <v>118.52975000000002</v>
      </c>
      <c r="K316" s="30">
        <f>J316*10.764</f>
        <v>1275.8542290000003</v>
      </c>
    </row>
    <row r="317" spans="1:11">
      <c r="A317" s="100">
        <v>1</v>
      </c>
      <c r="B317" s="100"/>
      <c r="C317" s="51" t="s">
        <v>218</v>
      </c>
      <c r="D317" s="51">
        <f>140.196*10.764</f>
        <v>1509.0697439999999</v>
      </c>
      <c r="E317" s="51">
        <v>0</v>
      </c>
      <c r="F317" s="50">
        <f t="shared" ref="F317:F321" si="33">D317*1.6+E317</f>
        <v>2414.5115903999999</v>
      </c>
      <c r="G317" s="93" t="str">
        <f>A316</f>
        <v>26th &amp; 29th Floor</v>
      </c>
      <c r="H317" s="94"/>
      <c r="J317" s="30">
        <f>3.47*4.29+3.99*3.16+0.89*1.39+2.47*1.62+1.15*1.39+1.8*1.09+1.65*1.62+1.52*0.9+1.22*0.1+7.03*4.3+6.33*1.24+2.45*3.67+0.3*1.8+1.05*2.89+1.71*1.3+0.66*0.89+1.84*2.32+2*0.92+2.05*1.95+2.25*1.08+0.92*1.08+3.07*3.645+3.17+4.04+0.05*0.75+1.54*2.57+1.64*2.57</f>
        <v>134.05145000000002</v>
      </c>
      <c r="K317" s="30">
        <f>J317*10.764</f>
        <v>1442.9298078000002</v>
      </c>
    </row>
    <row r="318" spans="1:11">
      <c r="A318" s="100">
        <v>2</v>
      </c>
      <c r="B318" s="100"/>
      <c r="C318" s="51" t="s">
        <v>193</v>
      </c>
      <c r="D318" s="51">
        <f>68.92*10.764</f>
        <v>741.85487999999998</v>
      </c>
      <c r="E318" s="51">
        <v>0</v>
      </c>
      <c r="F318" s="50">
        <f t="shared" si="33"/>
        <v>1186.9678080000001</v>
      </c>
      <c r="G318" s="95"/>
      <c r="H318" s="96"/>
    </row>
    <row r="319" spans="1:11">
      <c r="A319" s="100">
        <v>3</v>
      </c>
      <c r="B319" s="100"/>
      <c r="C319" s="51" t="s">
        <v>193</v>
      </c>
      <c r="D319" s="51">
        <f>68.92*10.764</f>
        <v>741.85487999999998</v>
      </c>
      <c r="E319" s="51">
        <v>0</v>
      </c>
      <c r="F319" s="50">
        <f t="shared" si="33"/>
        <v>1186.9678080000001</v>
      </c>
      <c r="G319" s="95"/>
      <c r="H319" s="96"/>
    </row>
    <row r="320" spans="1:11">
      <c r="A320" s="100">
        <v>4</v>
      </c>
      <c r="B320" s="100"/>
      <c r="C320" s="51" t="s">
        <v>188</v>
      </c>
      <c r="D320" s="51">
        <f>93.138*10.764</f>
        <v>1002.537432</v>
      </c>
      <c r="E320" s="51">
        <v>0</v>
      </c>
      <c r="F320" s="50">
        <f t="shared" si="33"/>
        <v>1604.0598912</v>
      </c>
      <c r="G320" s="95"/>
      <c r="H320" s="96"/>
    </row>
    <row r="321" spans="1:11" s="27" customFormat="1">
      <c r="A321" s="100">
        <v>5</v>
      </c>
      <c r="B321" s="100"/>
      <c r="C321" s="51" t="s">
        <v>188</v>
      </c>
      <c r="D321" s="51">
        <f>93.138*10.764</f>
        <v>1002.537432</v>
      </c>
      <c r="E321" s="51">
        <v>0</v>
      </c>
      <c r="F321" s="50">
        <f t="shared" si="33"/>
        <v>1604.0598912</v>
      </c>
      <c r="G321" s="97"/>
      <c r="H321" s="98"/>
      <c r="I321" s="63"/>
    </row>
    <row r="322" spans="1:11">
      <c r="A322" s="104" t="s">
        <v>209</v>
      </c>
      <c r="B322" s="104"/>
      <c r="C322" s="104"/>
      <c r="D322" s="104"/>
      <c r="E322" s="104"/>
      <c r="F322" s="104"/>
      <c r="G322" s="104"/>
      <c r="H322" s="104"/>
    </row>
    <row r="323" spans="1:11">
      <c r="A323" s="100">
        <v>1</v>
      </c>
      <c r="B323" s="100"/>
      <c r="C323" s="51" t="s">
        <v>218</v>
      </c>
      <c r="D323" s="51">
        <f>140.196*10.764</f>
        <v>1509.0697439999999</v>
      </c>
      <c r="E323" s="51">
        <v>0</v>
      </c>
      <c r="F323" s="50">
        <f t="shared" ref="F323:F327" si="34">D323*1.6+E323</f>
        <v>2414.5115903999999</v>
      </c>
      <c r="G323" s="93" t="str">
        <f>A322</f>
        <v>27th Floor</v>
      </c>
      <c r="H323" s="94"/>
    </row>
    <row r="324" spans="1:11">
      <c r="A324" s="100">
        <v>2</v>
      </c>
      <c r="B324" s="100"/>
      <c r="C324" s="51" t="s">
        <v>193</v>
      </c>
      <c r="D324" s="51">
        <f>68.92*10.764</f>
        <v>741.85487999999998</v>
      </c>
      <c r="E324" s="51">
        <v>0</v>
      </c>
      <c r="F324" s="50">
        <f t="shared" si="34"/>
        <v>1186.9678080000001</v>
      </c>
      <c r="G324" s="95"/>
      <c r="H324" s="96"/>
    </row>
    <row r="325" spans="1:11">
      <c r="A325" s="100">
        <v>3</v>
      </c>
      <c r="B325" s="100"/>
      <c r="C325" s="51" t="s">
        <v>193</v>
      </c>
      <c r="D325" s="51">
        <f>68.92*10.764</f>
        <v>741.85487999999998</v>
      </c>
      <c r="E325" s="51">
        <v>0</v>
      </c>
      <c r="F325" s="50">
        <f t="shared" si="34"/>
        <v>1186.9678080000001</v>
      </c>
      <c r="G325" s="95"/>
      <c r="H325" s="96"/>
    </row>
    <row r="326" spans="1:11">
      <c r="A326" s="100">
        <v>4</v>
      </c>
      <c r="B326" s="100"/>
      <c r="C326" s="51" t="s">
        <v>188</v>
      </c>
      <c r="D326" s="51">
        <f>93.138*10.764</f>
        <v>1002.537432</v>
      </c>
      <c r="E326" s="51">
        <v>0</v>
      </c>
      <c r="F326" s="50">
        <f t="shared" si="34"/>
        <v>1604.0598912</v>
      </c>
      <c r="G326" s="95"/>
      <c r="H326" s="96"/>
      <c r="I326" s="30">
        <f>(3.28*1.24+4.86*2.99+3.67*3.4+0.88*3.07+3.97*3.7+3.17*3.67+3.17*2.4+1.85*2+2.6*1.54+2.47*1.14+2.17*1.05+1*0.5+2.17*0.2+1.07*0.895*0.35*1.8+1.11*0.075+1.16*1.565+2.32*0.4)+(2.17*1.54+1.91*1.24+3.17*3+2.97*1.15+3.17*3.67+2.6*1.54+1.85*2+1.07*2.995+1.07*0.895+2.17*0.45+1.91*2)</f>
        <v>131.80376949999999</v>
      </c>
    </row>
    <row r="327" spans="1:11" s="27" customFormat="1" ht="46.5">
      <c r="A327" s="92">
        <v>5</v>
      </c>
      <c r="B327" s="92"/>
      <c r="C327" s="51" t="s">
        <v>232</v>
      </c>
      <c r="D327" s="50">
        <f>(93.138+2.17*1.54+1.91*1.24+3.17*3+2.17*0.45+2.97*1.15+1.85*2+1.07*2.995+2.6*1.54+1.07*0.895+3.17*3.67)*10.764</f>
        <v>1466.5993056</v>
      </c>
      <c r="E327" s="50">
        <v>0</v>
      </c>
      <c r="F327" s="50">
        <f t="shared" si="34"/>
        <v>2346.5588889599999</v>
      </c>
      <c r="G327" s="97"/>
      <c r="H327" s="98"/>
      <c r="I327" s="30">
        <f>I326*10.764</f>
        <v>1418.7357748979998</v>
      </c>
    </row>
    <row r="328" spans="1:11">
      <c r="A328" s="104" t="s">
        <v>211</v>
      </c>
      <c r="B328" s="104"/>
      <c r="C328" s="104"/>
      <c r="D328" s="104"/>
      <c r="E328" s="104"/>
      <c r="F328" s="104"/>
      <c r="G328" s="104"/>
      <c r="H328" s="104"/>
    </row>
    <row r="329" spans="1:11">
      <c r="A329" s="100">
        <v>1</v>
      </c>
      <c r="B329" s="100"/>
      <c r="C329" s="51" t="s">
        <v>218</v>
      </c>
      <c r="D329" s="51">
        <f>140.196*10.764</f>
        <v>1509.0697439999999</v>
      </c>
      <c r="E329" s="51">
        <v>0</v>
      </c>
      <c r="F329" s="50">
        <f t="shared" ref="F329:F331" si="35">D329*1.6+E329</f>
        <v>2414.5115903999999</v>
      </c>
      <c r="G329" s="93" t="str">
        <f>A328</f>
        <v>28th Floor (Part Refuge Area)</v>
      </c>
      <c r="H329" s="94"/>
    </row>
    <row r="330" spans="1:11">
      <c r="A330" s="100">
        <v>2</v>
      </c>
      <c r="B330" s="100"/>
      <c r="C330" s="51" t="s">
        <v>193</v>
      </c>
      <c r="D330" s="51">
        <f>68.92*10.764</f>
        <v>741.85487999999998</v>
      </c>
      <c r="E330" s="51">
        <v>0</v>
      </c>
      <c r="F330" s="50">
        <f t="shared" si="35"/>
        <v>1186.9678080000001</v>
      </c>
      <c r="G330" s="95"/>
      <c r="H330" s="96"/>
    </row>
    <row r="331" spans="1:11">
      <c r="A331" s="100">
        <v>3</v>
      </c>
      <c r="B331" s="100"/>
      <c r="C331" s="51" t="s">
        <v>193</v>
      </c>
      <c r="D331" s="51">
        <f>68.92*10.764</f>
        <v>741.85487999999998</v>
      </c>
      <c r="E331" s="51">
        <v>0</v>
      </c>
      <c r="F331" s="50">
        <f t="shared" si="35"/>
        <v>1186.9678080000001</v>
      </c>
      <c r="G331" s="95"/>
      <c r="H331" s="96"/>
    </row>
    <row r="332" spans="1:11">
      <c r="A332" s="100">
        <v>4</v>
      </c>
      <c r="B332" s="100"/>
      <c r="C332" s="105" t="s">
        <v>199</v>
      </c>
      <c r="D332" s="106"/>
      <c r="E332" s="106"/>
      <c r="F332" s="107"/>
      <c r="G332" s="95"/>
      <c r="H332" s="96"/>
    </row>
    <row r="333" spans="1:11" s="27" customFormat="1">
      <c r="A333" s="100">
        <v>5</v>
      </c>
      <c r="B333" s="100"/>
      <c r="C333" s="105" t="s">
        <v>233</v>
      </c>
      <c r="D333" s="106"/>
      <c r="E333" s="106"/>
      <c r="F333" s="107"/>
      <c r="G333" s="97"/>
      <c r="H333" s="98"/>
      <c r="I333" s="27">
        <f>3.07*5.52+2.46*2.45+3.07*3.67+3.17*3.87+0.35*0.07+2.84*0.1</f>
        <v>46.816700000000004</v>
      </c>
    </row>
    <row r="334" spans="1:11">
      <c r="A334" s="104" t="s">
        <v>234</v>
      </c>
      <c r="B334" s="104"/>
      <c r="C334" s="104"/>
      <c r="D334" s="104"/>
      <c r="E334" s="104"/>
      <c r="F334" s="104"/>
      <c r="G334" s="104"/>
      <c r="H334" s="104"/>
      <c r="J334" s="30">
        <f>7.03+4.3+3.07*3.645+3.17*4.04+1.64*2.57+1.54*2.57+0.92*1.08+2.25*1.08+2.05*1.95+2.45*3.67+1.05*2.89+1.71*1.3+0.66*0.89+1.84*2.32+0.3*1.8+1.8*0.9+1.65*1.62+1.52*0.9+1.22*0.1+1.15*1.39+0.89*1.39+2.47*1.62+3.99*3.16+3.47*4.29+6.33*1.24</f>
        <v>118.52975000000002</v>
      </c>
      <c r="K334" s="30">
        <f>J334*10.764</f>
        <v>1275.8542290000003</v>
      </c>
    </row>
    <row r="335" spans="1:11">
      <c r="A335" s="100">
        <v>1</v>
      </c>
      <c r="B335" s="100"/>
      <c r="C335" s="51" t="s">
        <v>218</v>
      </c>
      <c r="D335" s="51">
        <f>140.196*10.764</f>
        <v>1509.0697439999999</v>
      </c>
      <c r="E335" s="51">
        <v>0</v>
      </c>
      <c r="F335" s="50">
        <f t="shared" ref="F335:F339" si="36">D335*1.6+E335</f>
        <v>2414.5115903999999</v>
      </c>
      <c r="G335" s="93" t="str">
        <f>A334</f>
        <v>30th to 34th &amp; 36th to 39th Floor</v>
      </c>
      <c r="H335" s="94"/>
      <c r="J335" s="30">
        <f>3.47*4.29+3.99*3.16+0.89*1.39+2.47*1.62+1.15*1.39+1.8*1.09+1.65*1.62+1.52*0.9+1.22*0.1+7.03*4.3+6.33*1.24+2.45*3.67+0.3*1.8+1.05*2.89+1.71*1.3+0.66*0.89+1.84*2.32+2*0.92+2.05*1.95+2.25*1.08+0.92*1.08+3.07*3.645+3.17+4.04+0.05*0.75+1.54*2.57+1.64*2.57</f>
        <v>134.05145000000002</v>
      </c>
      <c r="K335" s="30">
        <f>J335*10.764</f>
        <v>1442.9298078000002</v>
      </c>
    </row>
    <row r="336" spans="1:11">
      <c r="A336" s="100">
        <v>2</v>
      </c>
      <c r="B336" s="100"/>
      <c r="C336" s="51" t="s">
        <v>193</v>
      </c>
      <c r="D336" s="51">
        <f>68.92*10.764</f>
        <v>741.85487999999998</v>
      </c>
      <c r="E336" s="51">
        <v>0</v>
      </c>
      <c r="F336" s="50">
        <f t="shared" si="36"/>
        <v>1186.9678080000001</v>
      </c>
      <c r="G336" s="95"/>
      <c r="H336" s="96"/>
      <c r="I336" s="68">
        <f>24973200/F337</f>
        <v>21039.492252177406</v>
      </c>
    </row>
    <row r="337" spans="1:11">
      <c r="A337" s="100">
        <v>3</v>
      </c>
      <c r="B337" s="100"/>
      <c r="C337" s="51" t="s">
        <v>193</v>
      </c>
      <c r="D337" s="51">
        <f>68.92*10.764</f>
        <v>741.85487999999998</v>
      </c>
      <c r="E337" s="51">
        <v>0</v>
      </c>
      <c r="F337" s="50">
        <f t="shared" si="36"/>
        <v>1186.9678080000001</v>
      </c>
      <c r="G337" s="95"/>
      <c r="H337" s="96"/>
    </row>
    <row r="338" spans="1:11">
      <c r="A338" s="100">
        <v>4</v>
      </c>
      <c r="B338" s="100"/>
      <c r="C338" s="51" t="s">
        <v>188</v>
      </c>
      <c r="D338" s="51">
        <f>93.897*10.764</f>
        <v>1010.707308</v>
      </c>
      <c r="E338" s="51">
        <v>0</v>
      </c>
      <c r="F338" s="50">
        <f t="shared" si="36"/>
        <v>1617.1316928000001</v>
      </c>
      <c r="G338" s="95"/>
      <c r="H338" s="96"/>
    </row>
    <row r="339" spans="1:11" s="27" customFormat="1">
      <c r="A339" s="100">
        <v>5</v>
      </c>
      <c r="B339" s="100"/>
      <c r="C339" s="51" t="s">
        <v>188</v>
      </c>
      <c r="D339" s="51">
        <f>93.897*10.764</f>
        <v>1010.707308</v>
      </c>
      <c r="E339" s="51">
        <v>0</v>
      </c>
      <c r="F339" s="50">
        <f t="shared" si="36"/>
        <v>1617.1316928000001</v>
      </c>
      <c r="G339" s="97"/>
      <c r="H339" s="98"/>
      <c r="I339" s="27">
        <f>3.07*5.52+2.46*2.45+3.07*3.67+3.17*3.87+0.35*0.07+2.84*0.1</f>
        <v>46.816700000000004</v>
      </c>
    </row>
    <row r="340" spans="1:11">
      <c r="A340" s="104" t="s">
        <v>214</v>
      </c>
      <c r="B340" s="104"/>
      <c r="C340" s="104"/>
      <c r="D340" s="104"/>
      <c r="E340" s="104"/>
      <c r="F340" s="104"/>
      <c r="G340" s="104"/>
      <c r="H340" s="104"/>
      <c r="J340" s="30">
        <f>7.03+4.3+3.07*3.645+3.17*4.04+1.64*2.57+1.54*2.57+0.92*1.08+2.25*1.08+2.05*1.95+2.45*3.67+1.05*2.89+1.71*1.3+0.66*0.89+1.84*2.32+0.3*1.8+1.8*0.9+1.65*1.62+1.52*0.9+1.22*0.1+1.15*1.39+0.89*1.39+2.47*1.62+3.99*3.16+3.47*4.29+6.33*1.24</f>
        <v>118.52975000000002</v>
      </c>
      <c r="K340" s="30">
        <f>J340*10.764</f>
        <v>1275.8542290000003</v>
      </c>
    </row>
    <row r="341" spans="1:11">
      <c r="A341" s="100">
        <v>1</v>
      </c>
      <c r="B341" s="100"/>
      <c r="C341" s="75" t="s">
        <v>218</v>
      </c>
      <c r="D341" s="75">
        <f>140.196*10.764</f>
        <v>1509.0697439999999</v>
      </c>
      <c r="E341" s="75">
        <v>0</v>
      </c>
      <c r="F341" s="74">
        <f t="shared" ref="F341:F345" si="37">D341*1.6+E341</f>
        <v>2414.5115903999999</v>
      </c>
      <c r="G341" s="92" t="str">
        <f>A340</f>
        <v>35th Floor (Part Refuge Area)</v>
      </c>
      <c r="H341" s="92"/>
      <c r="J341" s="30">
        <f>3.47*4.29+3.99*3.16+0.89*1.39+2.47*1.62+1.15*1.39+1.8*1.09+1.65*1.62+1.52*0.9+1.22*0.1+7.03*4.3+6.33*1.24+2.45*3.67+0.3*1.8+1.05*2.89+1.71*1.3+0.66*0.89+1.84*2.32+2*0.92+2.05*1.95+2.25*1.08+0.92*1.08+3.07*3.645+3.17+4.04+0.05*0.75+1.54*2.57+1.64*2.57</f>
        <v>134.05145000000002</v>
      </c>
      <c r="K341" s="30">
        <f>J341*10.764</f>
        <v>1442.9298078000002</v>
      </c>
    </row>
    <row r="342" spans="1:11">
      <c r="A342" s="100">
        <v>2</v>
      </c>
      <c r="B342" s="100"/>
      <c r="C342" s="75" t="s">
        <v>193</v>
      </c>
      <c r="D342" s="75">
        <f>68.92*10.764</f>
        <v>741.85487999999998</v>
      </c>
      <c r="E342" s="75">
        <v>0</v>
      </c>
      <c r="F342" s="74">
        <f t="shared" si="37"/>
        <v>1186.9678080000001</v>
      </c>
      <c r="G342" s="92"/>
      <c r="H342" s="92"/>
    </row>
    <row r="343" spans="1:11">
      <c r="A343" s="100">
        <v>3</v>
      </c>
      <c r="B343" s="100"/>
      <c r="C343" s="75" t="s">
        <v>193</v>
      </c>
      <c r="D343" s="75">
        <f>68.92*10.764</f>
        <v>741.85487999999998</v>
      </c>
      <c r="E343" s="75">
        <v>0</v>
      </c>
      <c r="F343" s="74">
        <f t="shared" si="37"/>
        <v>1186.9678080000001</v>
      </c>
      <c r="G343" s="92"/>
      <c r="H343" s="92"/>
    </row>
    <row r="344" spans="1:11">
      <c r="A344" s="100">
        <v>4</v>
      </c>
      <c r="B344" s="100"/>
      <c r="C344" s="100" t="s">
        <v>199</v>
      </c>
      <c r="D344" s="100"/>
      <c r="E344" s="100"/>
      <c r="F344" s="100"/>
      <c r="G344" s="92"/>
      <c r="H344" s="92"/>
    </row>
    <row r="345" spans="1:11" s="26" customFormat="1">
      <c r="A345" s="100">
        <v>5</v>
      </c>
      <c r="B345" s="100"/>
      <c r="C345" s="75" t="s">
        <v>188</v>
      </c>
      <c r="D345" s="75">
        <f>93.897*10.764</f>
        <v>1010.707308</v>
      </c>
      <c r="E345" s="75">
        <v>0</v>
      </c>
      <c r="F345" s="74">
        <f t="shared" si="37"/>
        <v>1617.1316928000001</v>
      </c>
      <c r="G345" s="92"/>
      <c r="H345" s="92"/>
    </row>
    <row r="346" spans="1:11" s="28" customFormat="1">
      <c r="A346" s="101" t="s">
        <v>235</v>
      </c>
      <c r="B346" s="101"/>
      <c r="C346" s="101"/>
      <c r="D346" s="101"/>
      <c r="E346" s="101"/>
      <c r="F346" s="101"/>
      <c r="G346" s="101"/>
      <c r="H346" s="101"/>
    </row>
    <row r="347" spans="1:11" ht="185" customHeight="1">
      <c r="A347" s="102" t="s">
        <v>296</v>
      </c>
      <c r="B347" s="102"/>
      <c r="C347" s="102"/>
      <c r="D347" s="102"/>
      <c r="E347" s="102"/>
      <c r="F347" s="102"/>
      <c r="G347" s="102"/>
      <c r="H347" s="102"/>
    </row>
    <row r="348" spans="1:11">
      <c r="A348" s="103" t="s">
        <v>236</v>
      </c>
      <c r="B348" s="103"/>
      <c r="C348" s="103"/>
      <c r="D348" s="103"/>
      <c r="E348" s="103"/>
      <c r="F348" s="103"/>
      <c r="G348" s="103"/>
      <c r="H348" s="103"/>
    </row>
    <row r="349" spans="1:11" ht="15.75" customHeight="1">
      <c r="A349" s="90" t="s">
        <v>237</v>
      </c>
      <c r="B349" s="90"/>
      <c r="C349" s="90"/>
      <c r="D349" s="90"/>
      <c r="E349" s="90"/>
      <c r="F349" s="90"/>
      <c r="G349" s="90"/>
      <c r="H349" s="90"/>
    </row>
    <row r="350" spans="1:11">
      <c r="A350" s="103" t="s">
        <v>238</v>
      </c>
      <c r="B350" s="103"/>
      <c r="C350" s="103"/>
      <c r="D350" s="103"/>
      <c r="E350" s="103"/>
      <c r="F350" s="103"/>
      <c r="G350" s="103"/>
      <c r="H350" s="103"/>
    </row>
    <row r="351" spans="1:11">
      <c r="A351" s="90" t="s">
        <v>239</v>
      </c>
      <c r="B351" s="90"/>
      <c r="C351" s="90"/>
      <c r="D351" s="90"/>
      <c r="E351" s="90"/>
      <c r="F351" s="90"/>
      <c r="G351" s="90"/>
      <c r="H351" s="90"/>
    </row>
    <row r="352" spans="1:11">
      <c r="A352" s="90" t="s">
        <v>240</v>
      </c>
      <c r="B352" s="90"/>
      <c r="C352" s="90"/>
      <c r="D352" s="90"/>
      <c r="E352" s="90"/>
      <c r="F352" s="90"/>
      <c r="G352" s="90"/>
      <c r="H352" s="90"/>
    </row>
    <row r="353" spans="1:8">
      <c r="A353" s="90" t="s">
        <v>241</v>
      </c>
      <c r="B353" s="90"/>
      <c r="C353" s="90"/>
      <c r="D353" s="90"/>
      <c r="E353" s="90"/>
      <c r="F353" s="90"/>
      <c r="G353" s="90"/>
      <c r="H353" s="90"/>
    </row>
    <row r="354" spans="1:8">
      <c r="A354" s="89" t="s">
        <v>242</v>
      </c>
      <c r="B354" s="89"/>
      <c r="C354" s="89"/>
      <c r="D354" s="89"/>
      <c r="E354" s="89"/>
      <c r="F354" s="89"/>
      <c r="G354" s="89"/>
      <c r="H354" s="89"/>
    </row>
    <row r="355" spans="1:8">
      <c r="A355" s="99" t="s">
        <v>243</v>
      </c>
      <c r="B355" s="99"/>
      <c r="C355" s="99" t="s">
        <v>294</v>
      </c>
      <c r="D355" s="99"/>
      <c r="E355" s="99" t="s">
        <v>244</v>
      </c>
      <c r="F355" s="99"/>
      <c r="G355" s="99" t="s">
        <v>292</v>
      </c>
      <c r="H355" s="99"/>
    </row>
    <row r="356" spans="1:8">
      <c r="A356" s="91" t="s">
        <v>245</v>
      </c>
      <c r="B356" s="91"/>
      <c r="C356" s="91"/>
      <c r="D356" s="91"/>
      <c r="E356" s="91"/>
      <c r="F356" s="91"/>
      <c r="G356" s="91"/>
      <c r="H356" s="91"/>
    </row>
    <row r="357" spans="1:8">
      <c r="A357" s="91"/>
      <c r="B357" s="91"/>
      <c r="C357" s="91"/>
      <c r="D357" s="91"/>
      <c r="E357" s="91"/>
      <c r="F357" s="91"/>
      <c r="G357" s="91"/>
      <c r="H357" s="91"/>
    </row>
    <row r="358" spans="1:8">
      <c r="A358" s="91"/>
      <c r="B358" s="91"/>
      <c r="C358" s="91"/>
      <c r="D358" s="91"/>
      <c r="E358" s="91"/>
      <c r="F358" s="91"/>
      <c r="G358" s="91"/>
      <c r="H358" s="91"/>
    </row>
    <row r="359" spans="1:8">
      <c r="A359" s="91"/>
      <c r="B359" s="91"/>
      <c r="C359" s="91"/>
      <c r="D359" s="91"/>
      <c r="E359" s="91"/>
      <c r="F359" s="91"/>
      <c r="G359" s="91"/>
      <c r="H359" s="91"/>
    </row>
    <row r="360" spans="1:8">
      <c r="A360" s="66" t="s">
        <v>246</v>
      </c>
      <c r="B360" s="67"/>
      <c r="C360" s="67"/>
      <c r="D360" s="66" t="str">
        <f>E8</f>
        <v>Kalpataru Vienta</v>
      </c>
      <c r="F360" s="67"/>
      <c r="G360" s="67"/>
      <c r="H360" s="67"/>
    </row>
    <row r="361" spans="1:8">
      <c r="A361" s="67"/>
      <c r="B361" s="67"/>
      <c r="C361" s="67"/>
      <c r="D361" s="67"/>
      <c r="E361" s="67"/>
      <c r="F361" s="67"/>
      <c r="G361" s="67"/>
      <c r="H361" s="67"/>
    </row>
    <row r="362" spans="1:8" ht="15" customHeight="1">
      <c r="A362" s="67"/>
      <c r="B362" s="67"/>
      <c r="C362" s="67"/>
      <c r="D362" s="67"/>
      <c r="E362" s="67"/>
      <c r="F362" s="67"/>
      <c r="G362" s="67"/>
      <c r="H362" s="67"/>
    </row>
    <row r="403" spans="1:1">
      <c r="A403" s="69" t="s">
        <v>247</v>
      </c>
    </row>
  </sheetData>
  <mergeCells count="523">
    <mergeCell ref="E67:F76"/>
    <mergeCell ref="G67:H76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53:B53"/>
    <mergeCell ref="C53:E53"/>
    <mergeCell ref="G53:H53"/>
    <mergeCell ref="A1:H1"/>
    <mergeCell ref="A2:H2"/>
    <mergeCell ref="A3:D3"/>
    <mergeCell ref="E3:H3"/>
    <mergeCell ref="A4:D4"/>
    <mergeCell ref="E4:H4"/>
    <mergeCell ref="A5:D5"/>
    <mergeCell ref="E5:H5"/>
    <mergeCell ref="A6:D6"/>
    <mergeCell ref="E6:H6"/>
    <mergeCell ref="A7:D7"/>
    <mergeCell ref="E7:H7"/>
    <mergeCell ref="A8:D8"/>
    <mergeCell ref="E8:H8"/>
    <mergeCell ref="A9:D9"/>
    <mergeCell ref="E9:H9"/>
    <mergeCell ref="A10:D10"/>
    <mergeCell ref="E10:H10"/>
    <mergeCell ref="A11:D11"/>
    <mergeCell ref="E11:H11"/>
    <mergeCell ref="A12:D12"/>
    <mergeCell ref="E12:H12"/>
    <mergeCell ref="A13:D13"/>
    <mergeCell ref="E13:H13"/>
    <mergeCell ref="A14:B14"/>
    <mergeCell ref="C14:H14"/>
    <mergeCell ref="A15:B15"/>
    <mergeCell ref="C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2:D22"/>
    <mergeCell ref="E22:H22"/>
    <mergeCell ref="A23:D23"/>
    <mergeCell ref="E23:H23"/>
    <mergeCell ref="A24:D24"/>
    <mergeCell ref="E24:H24"/>
    <mergeCell ref="A25:D25"/>
    <mergeCell ref="E25:H25"/>
    <mergeCell ref="A26:D26"/>
    <mergeCell ref="E26:H26"/>
    <mergeCell ref="A27:D27"/>
    <mergeCell ref="E27:H27"/>
    <mergeCell ref="A28:D28"/>
    <mergeCell ref="E28:H28"/>
    <mergeCell ref="A29:D29"/>
    <mergeCell ref="E29:H29"/>
    <mergeCell ref="A30:B30"/>
    <mergeCell ref="C30:E30"/>
    <mergeCell ref="F30:H30"/>
    <mergeCell ref="A31:B31"/>
    <mergeCell ref="C31:E31"/>
    <mergeCell ref="F31:H31"/>
    <mergeCell ref="A32:B32"/>
    <mergeCell ref="C32:E32"/>
    <mergeCell ref="F32:H32"/>
    <mergeCell ref="A33:B33"/>
    <mergeCell ref="C33:E33"/>
    <mergeCell ref="F33:H33"/>
    <mergeCell ref="A34:B34"/>
    <mergeCell ref="C34:E34"/>
    <mergeCell ref="F34:H34"/>
    <mergeCell ref="A35:H35"/>
    <mergeCell ref="A36:B36"/>
    <mergeCell ref="C36:H36"/>
    <mergeCell ref="A37:B37"/>
    <mergeCell ref="C37:H37"/>
    <mergeCell ref="A38:H38"/>
    <mergeCell ref="A39:D39"/>
    <mergeCell ref="E39:H39"/>
    <mergeCell ref="A40:D40"/>
    <mergeCell ref="E40:H40"/>
    <mergeCell ref="A41:D41"/>
    <mergeCell ref="E41:H41"/>
    <mergeCell ref="A42:D42"/>
    <mergeCell ref="E42:H42"/>
    <mergeCell ref="A43:D43"/>
    <mergeCell ref="E43:H43"/>
    <mergeCell ref="A44:D44"/>
    <mergeCell ref="E44:H44"/>
    <mergeCell ref="A45:H45"/>
    <mergeCell ref="A46:B46"/>
    <mergeCell ref="C46:E46"/>
    <mergeCell ref="G46:H46"/>
    <mergeCell ref="A47:B47"/>
    <mergeCell ref="C47:E47"/>
    <mergeCell ref="G47:H47"/>
    <mergeCell ref="C48:E48"/>
    <mergeCell ref="G48:H48"/>
    <mergeCell ref="C49:E49"/>
    <mergeCell ref="G49:H49"/>
    <mergeCell ref="C50:E50"/>
    <mergeCell ref="G50:H50"/>
    <mergeCell ref="C51:E51"/>
    <mergeCell ref="G51:H51"/>
    <mergeCell ref="A52:B52"/>
    <mergeCell ref="C52:E52"/>
    <mergeCell ref="G52:H52"/>
    <mergeCell ref="A54:H54"/>
    <mergeCell ref="A55:C55"/>
    <mergeCell ref="D55:H55"/>
    <mergeCell ref="A56:C56"/>
    <mergeCell ref="D56:H56"/>
    <mergeCell ref="A57:C57"/>
    <mergeCell ref="D57:H57"/>
    <mergeCell ref="A58:C58"/>
    <mergeCell ref="D58:H58"/>
    <mergeCell ref="A59:C59"/>
    <mergeCell ref="D59:H59"/>
    <mergeCell ref="A60:C60"/>
    <mergeCell ref="D60:H60"/>
    <mergeCell ref="A61:C61"/>
    <mergeCell ref="D61:H61"/>
    <mergeCell ref="A62:C62"/>
    <mergeCell ref="D62:H62"/>
    <mergeCell ref="A77:B77"/>
    <mergeCell ref="C77:H77"/>
    <mergeCell ref="A79:B79"/>
    <mergeCell ref="C79:H79"/>
    <mergeCell ref="A63:B63"/>
    <mergeCell ref="C63:H63"/>
    <mergeCell ref="A65:B65"/>
    <mergeCell ref="C65:H65"/>
    <mergeCell ref="A66:B66"/>
    <mergeCell ref="E66:F66"/>
    <mergeCell ref="G66:H66"/>
    <mergeCell ref="A67:B67"/>
    <mergeCell ref="A82:B82"/>
    <mergeCell ref="E82:F82"/>
    <mergeCell ref="G82:H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H93"/>
    <mergeCell ref="A94:H94"/>
    <mergeCell ref="A95:B95"/>
    <mergeCell ref="C95:H95"/>
    <mergeCell ref="A96:H96"/>
    <mergeCell ref="E83:F92"/>
    <mergeCell ref="G83:H92"/>
    <mergeCell ref="A97:E97"/>
    <mergeCell ref="F97:H97"/>
    <mergeCell ref="A98:E98"/>
    <mergeCell ref="F98:H98"/>
    <mergeCell ref="A99:E99"/>
    <mergeCell ref="F99:H99"/>
    <mergeCell ref="A100:E100"/>
    <mergeCell ref="F100:H100"/>
    <mergeCell ref="A101:E101"/>
    <mergeCell ref="F101:H101"/>
    <mergeCell ref="A102:E102"/>
    <mergeCell ref="F102:H102"/>
    <mergeCell ref="A103:E103"/>
    <mergeCell ref="F103:H103"/>
    <mergeCell ref="A104:E104"/>
    <mergeCell ref="F104:H104"/>
    <mergeCell ref="A105:E105"/>
    <mergeCell ref="F105:H105"/>
    <mergeCell ref="A106:E106"/>
    <mergeCell ref="F106:H106"/>
    <mergeCell ref="A107:E107"/>
    <mergeCell ref="F107:H107"/>
    <mergeCell ref="A108:E108"/>
    <mergeCell ref="F108:H108"/>
    <mergeCell ref="A109:H109"/>
    <mergeCell ref="A110:B110"/>
    <mergeCell ref="D110:E110"/>
    <mergeCell ref="F110:H110"/>
    <mergeCell ref="A111:B111"/>
    <mergeCell ref="D111:E111"/>
    <mergeCell ref="F111:H111"/>
    <mergeCell ref="A112:H112"/>
    <mergeCell ref="A113:B113"/>
    <mergeCell ref="D113:E113"/>
    <mergeCell ref="F113:H113"/>
    <mergeCell ref="A114:B114"/>
    <mergeCell ref="D114:E114"/>
    <mergeCell ref="F114:H114"/>
    <mergeCell ref="A115:B115"/>
    <mergeCell ref="D115:E115"/>
    <mergeCell ref="F115:H115"/>
    <mergeCell ref="A116:B116"/>
    <mergeCell ref="D116:E116"/>
    <mergeCell ref="F116:H116"/>
    <mergeCell ref="A117:H117"/>
    <mergeCell ref="A118:H118"/>
    <mergeCell ref="A119:B119"/>
    <mergeCell ref="G119:H119"/>
    <mergeCell ref="A120:H120"/>
    <mergeCell ref="A121:H121"/>
    <mergeCell ref="A122:H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H131"/>
    <mergeCell ref="A132:H132"/>
    <mergeCell ref="A133:B133"/>
    <mergeCell ref="A134:B134"/>
    <mergeCell ref="C134:F134"/>
    <mergeCell ref="A135:B135"/>
    <mergeCell ref="A136:B136"/>
    <mergeCell ref="A137:B137"/>
    <mergeCell ref="A138:B138"/>
    <mergeCell ref="C135:F136"/>
    <mergeCell ref="A139:H139"/>
    <mergeCell ref="A140:B140"/>
    <mergeCell ref="A141:B141"/>
    <mergeCell ref="A142:B142"/>
    <mergeCell ref="A143:B143"/>
    <mergeCell ref="A144:B144"/>
    <mergeCell ref="A145:B145"/>
    <mergeCell ref="A146:H146"/>
    <mergeCell ref="A147:B147"/>
    <mergeCell ref="A148:B148"/>
    <mergeCell ref="A149:B149"/>
    <mergeCell ref="A150:B150"/>
    <mergeCell ref="A151:B151"/>
    <mergeCell ref="A152:B152"/>
    <mergeCell ref="A153:H153"/>
    <mergeCell ref="A154:B154"/>
    <mergeCell ref="C154:F154"/>
    <mergeCell ref="A155:B155"/>
    <mergeCell ref="C155:F155"/>
    <mergeCell ref="A156:B156"/>
    <mergeCell ref="A157:B157"/>
    <mergeCell ref="A158:B158"/>
    <mergeCell ref="A159:B159"/>
    <mergeCell ref="A160:H160"/>
    <mergeCell ref="A161:B161"/>
    <mergeCell ref="A162:B162"/>
    <mergeCell ref="A163:B163"/>
    <mergeCell ref="A164:B164"/>
    <mergeCell ref="A165:B165"/>
    <mergeCell ref="A166:B166"/>
    <mergeCell ref="A167:H167"/>
    <mergeCell ref="A168:B168"/>
    <mergeCell ref="A169:B169"/>
    <mergeCell ref="A170:B170"/>
    <mergeCell ref="A171:B171"/>
    <mergeCell ref="A172:B172"/>
    <mergeCell ref="A173:B173"/>
    <mergeCell ref="A174:H174"/>
    <mergeCell ref="A175:B175"/>
    <mergeCell ref="A176:B176"/>
    <mergeCell ref="A177:B177"/>
    <mergeCell ref="A178:B178"/>
    <mergeCell ref="A179:B179"/>
    <mergeCell ref="A180:B180"/>
    <mergeCell ref="A181:H181"/>
    <mergeCell ref="A182:B182"/>
    <mergeCell ref="A183:B183"/>
    <mergeCell ref="A184:B184"/>
    <mergeCell ref="A185:B185"/>
    <mergeCell ref="A186:B186"/>
    <mergeCell ref="A187:B187"/>
    <mergeCell ref="A188:H188"/>
    <mergeCell ref="A189:B189"/>
    <mergeCell ref="C189:F189"/>
    <mergeCell ref="A190:B190"/>
    <mergeCell ref="C190:F190"/>
    <mergeCell ref="A191:B191"/>
    <mergeCell ref="A192:B192"/>
    <mergeCell ref="A193:B193"/>
    <mergeCell ref="A194:B194"/>
    <mergeCell ref="A195:H195"/>
    <mergeCell ref="A196:B196"/>
    <mergeCell ref="A197:B197"/>
    <mergeCell ref="A198:B198"/>
    <mergeCell ref="A199:B199"/>
    <mergeCell ref="A200:B200"/>
    <mergeCell ref="A201:B201"/>
    <mergeCell ref="A202:H202"/>
    <mergeCell ref="A203:B203"/>
    <mergeCell ref="A204:B204"/>
    <mergeCell ref="A205:B205"/>
    <mergeCell ref="A206:B206"/>
    <mergeCell ref="A207:B207"/>
    <mergeCell ref="A208:B208"/>
    <mergeCell ref="G196:H201"/>
    <mergeCell ref="A209:H209"/>
    <mergeCell ref="A210:B210"/>
    <mergeCell ref="A211:B211"/>
    <mergeCell ref="A212:B212"/>
    <mergeCell ref="A213:B213"/>
    <mergeCell ref="A214:B214"/>
    <mergeCell ref="A215:B215"/>
    <mergeCell ref="A216:H216"/>
    <mergeCell ref="A217:B217"/>
    <mergeCell ref="C217:F217"/>
    <mergeCell ref="G210:H215"/>
    <mergeCell ref="A218:B218"/>
    <mergeCell ref="C218:F218"/>
    <mergeCell ref="A219:B219"/>
    <mergeCell ref="A220:B220"/>
    <mergeCell ref="A221:B221"/>
    <mergeCell ref="A222:B222"/>
    <mergeCell ref="A223:H223"/>
    <mergeCell ref="A224:B224"/>
    <mergeCell ref="A225:B225"/>
    <mergeCell ref="G217:H222"/>
    <mergeCell ref="A226:B226"/>
    <mergeCell ref="A227:B227"/>
    <mergeCell ref="A228:B228"/>
    <mergeCell ref="A229:B229"/>
    <mergeCell ref="A230:H230"/>
    <mergeCell ref="A231:B231"/>
    <mergeCell ref="A232:B232"/>
    <mergeCell ref="C232:F232"/>
    <mergeCell ref="A233:B233"/>
    <mergeCell ref="A234:B234"/>
    <mergeCell ref="A235:B235"/>
    <mergeCell ref="A236:B236"/>
    <mergeCell ref="A237:H237"/>
    <mergeCell ref="A238:B238"/>
    <mergeCell ref="A239:B239"/>
    <mergeCell ref="A240:B240"/>
    <mergeCell ref="A241:B241"/>
    <mergeCell ref="A242:B242"/>
    <mergeCell ref="A243:B243"/>
    <mergeCell ref="A244:H244"/>
    <mergeCell ref="A245:H245"/>
    <mergeCell ref="A246:H246"/>
    <mergeCell ref="A247:H247"/>
    <mergeCell ref="A248:H248"/>
    <mergeCell ref="A249:B249"/>
    <mergeCell ref="G249:H249"/>
    <mergeCell ref="A250:H250"/>
    <mergeCell ref="A251:B251"/>
    <mergeCell ref="A252:B252"/>
    <mergeCell ref="A253:B253"/>
    <mergeCell ref="A254:B254"/>
    <mergeCell ref="A255:B255"/>
    <mergeCell ref="A256:H256"/>
    <mergeCell ref="A257:B257"/>
    <mergeCell ref="A258:B258"/>
    <mergeCell ref="A259:B259"/>
    <mergeCell ref="A260:B260"/>
    <mergeCell ref="A261:B261"/>
    <mergeCell ref="A262:H262"/>
    <mergeCell ref="A263:B263"/>
    <mergeCell ref="A264:B264"/>
    <mergeCell ref="A265:B265"/>
    <mergeCell ref="A266:B266"/>
    <mergeCell ref="C266:F266"/>
    <mergeCell ref="A267:B267"/>
    <mergeCell ref="C267:F267"/>
    <mergeCell ref="A268:H268"/>
    <mergeCell ref="A269:B269"/>
    <mergeCell ref="A270:B270"/>
    <mergeCell ref="A271:B271"/>
    <mergeCell ref="A272:B272"/>
    <mergeCell ref="A273:B273"/>
    <mergeCell ref="A274:H274"/>
    <mergeCell ref="A275:B275"/>
    <mergeCell ref="A276:B276"/>
    <mergeCell ref="A277:B277"/>
    <mergeCell ref="A278:B278"/>
    <mergeCell ref="A279:B279"/>
    <mergeCell ref="G279:H279"/>
    <mergeCell ref="A280:H280"/>
    <mergeCell ref="A281:B281"/>
    <mergeCell ref="A282:B282"/>
    <mergeCell ref="A283:B283"/>
    <mergeCell ref="A284:B284"/>
    <mergeCell ref="C284:F284"/>
    <mergeCell ref="A285:B285"/>
    <mergeCell ref="C285:F285"/>
    <mergeCell ref="A286:H286"/>
    <mergeCell ref="A287:B287"/>
    <mergeCell ref="A288:B288"/>
    <mergeCell ref="A289:B289"/>
    <mergeCell ref="A290:B290"/>
    <mergeCell ref="A291:B291"/>
    <mergeCell ref="A292:H292"/>
    <mergeCell ref="A293:B293"/>
    <mergeCell ref="A294:B294"/>
    <mergeCell ref="A295:B295"/>
    <mergeCell ref="A296:B296"/>
    <mergeCell ref="A297:B297"/>
    <mergeCell ref="A298:H298"/>
    <mergeCell ref="A299:B299"/>
    <mergeCell ref="A300:B300"/>
    <mergeCell ref="A301:B301"/>
    <mergeCell ref="A302:B302"/>
    <mergeCell ref="A303:B303"/>
    <mergeCell ref="A304:H304"/>
    <mergeCell ref="A305:B305"/>
    <mergeCell ref="A306:B306"/>
    <mergeCell ref="A307:B307"/>
    <mergeCell ref="A308:B308"/>
    <mergeCell ref="C308:F308"/>
    <mergeCell ref="A309:B309"/>
    <mergeCell ref="C309:F309"/>
    <mergeCell ref="A310:H310"/>
    <mergeCell ref="A311:B311"/>
    <mergeCell ref="A312:B312"/>
    <mergeCell ref="A313:B313"/>
    <mergeCell ref="A314:B314"/>
    <mergeCell ref="A315:B315"/>
    <mergeCell ref="A316:H316"/>
    <mergeCell ref="A317:B317"/>
    <mergeCell ref="A318:B318"/>
    <mergeCell ref="A319:B319"/>
    <mergeCell ref="A320:B320"/>
    <mergeCell ref="A321:B321"/>
    <mergeCell ref="A322:H322"/>
    <mergeCell ref="A323:B323"/>
    <mergeCell ref="A324:B324"/>
    <mergeCell ref="A325:B325"/>
    <mergeCell ref="A326:B326"/>
    <mergeCell ref="A327:B327"/>
    <mergeCell ref="A328:H328"/>
    <mergeCell ref="A329:B329"/>
    <mergeCell ref="A330:B330"/>
    <mergeCell ref="A331:B331"/>
    <mergeCell ref="A332:B332"/>
    <mergeCell ref="C332:F332"/>
    <mergeCell ref="A333:B333"/>
    <mergeCell ref="C333:F333"/>
    <mergeCell ref="A334:H334"/>
    <mergeCell ref="A345:B345"/>
    <mergeCell ref="A346:H346"/>
    <mergeCell ref="A347:H347"/>
    <mergeCell ref="A348:H348"/>
    <mergeCell ref="A349:H349"/>
    <mergeCell ref="A350:H350"/>
    <mergeCell ref="A351:H351"/>
    <mergeCell ref="A335:B335"/>
    <mergeCell ref="A336:B336"/>
    <mergeCell ref="A337:B337"/>
    <mergeCell ref="A338:B338"/>
    <mergeCell ref="A339:B339"/>
    <mergeCell ref="A340:H340"/>
    <mergeCell ref="A341:B341"/>
    <mergeCell ref="A342:B342"/>
    <mergeCell ref="A343:B343"/>
    <mergeCell ref="A352:H352"/>
    <mergeCell ref="A353:H353"/>
    <mergeCell ref="A354:H354"/>
    <mergeCell ref="A355:B355"/>
    <mergeCell ref="C355:D355"/>
    <mergeCell ref="E355:F355"/>
    <mergeCell ref="G355:H355"/>
    <mergeCell ref="G238:H243"/>
    <mergeCell ref="G224:H229"/>
    <mergeCell ref="G231:H236"/>
    <mergeCell ref="G335:H339"/>
    <mergeCell ref="G329:H333"/>
    <mergeCell ref="G305:H309"/>
    <mergeCell ref="G311:H315"/>
    <mergeCell ref="G317:H321"/>
    <mergeCell ref="G287:H291"/>
    <mergeCell ref="G293:H297"/>
    <mergeCell ref="G281:H285"/>
    <mergeCell ref="G251:H255"/>
    <mergeCell ref="G275:H278"/>
    <mergeCell ref="G269:H273"/>
    <mergeCell ref="G263:H267"/>
    <mergeCell ref="A344:B344"/>
    <mergeCell ref="C344:F344"/>
    <mergeCell ref="A80:B81"/>
    <mergeCell ref="C80:D81"/>
    <mergeCell ref="E80:F81"/>
    <mergeCell ref="G80:H81"/>
    <mergeCell ref="A20:D21"/>
    <mergeCell ref="E20:H21"/>
    <mergeCell ref="A356:H359"/>
    <mergeCell ref="A48:B49"/>
    <mergeCell ref="A50:B51"/>
    <mergeCell ref="G123:H130"/>
    <mergeCell ref="G203:H208"/>
    <mergeCell ref="G154:H159"/>
    <mergeCell ref="G140:H145"/>
    <mergeCell ref="G341:H345"/>
    <mergeCell ref="G161:H166"/>
    <mergeCell ref="G147:H152"/>
    <mergeCell ref="G168:H173"/>
    <mergeCell ref="G175:H180"/>
    <mergeCell ref="G182:H187"/>
    <mergeCell ref="G189:H194"/>
    <mergeCell ref="G257:H261"/>
    <mergeCell ref="G299:H303"/>
    <mergeCell ref="G323:H327"/>
    <mergeCell ref="G133:H138"/>
  </mergeCells>
  <hyperlinks>
    <hyperlink ref="C37" r:id="rId1"/>
  </hyperlinks>
  <printOptions horizontalCentered="1"/>
  <pageMargins left="0.39370078740157499" right="0.39370078740157499" top="0.78740157480314998" bottom="0.78740157480314998" header="0.196850393700787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62" max="16383" man="1"/>
    <brk id="359" max="7" man="1"/>
    <brk id="402" max="7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D63"/>
  <sheetViews>
    <sheetView topLeftCell="A55" workbookViewId="0">
      <selection activeCell="F63" sqref="F63"/>
    </sheetView>
  </sheetViews>
  <sheetFormatPr defaultColWidth="9" defaultRowHeight="14.5"/>
  <cols>
    <col min="1" max="1" width="11.1796875" customWidth="1"/>
    <col min="2" max="2" width="12" customWidth="1"/>
  </cols>
  <sheetData>
    <row r="2" spans="2:4">
      <c r="B2">
        <v>1520</v>
      </c>
      <c r="C2">
        <f>B2*1.6</f>
        <v>2432</v>
      </c>
      <c r="D2">
        <f>37800000/C2</f>
        <v>15542.7631578947</v>
      </c>
    </row>
    <row r="14" spans="2:4">
      <c r="B14">
        <v>1600</v>
      </c>
      <c r="C14">
        <f>B14*1.6</f>
        <v>2560</v>
      </c>
      <c r="D14">
        <f>44000000/C14</f>
        <v>17187.5</v>
      </c>
    </row>
    <row r="15" spans="2:4">
      <c r="B15">
        <v>1015</v>
      </c>
      <c r="C15">
        <f>B15*1.6</f>
        <v>1624</v>
      </c>
      <c r="D15">
        <f>26500000/C15</f>
        <v>16317.733990147801</v>
      </c>
    </row>
    <row r="16" spans="2:4">
      <c r="B16">
        <v>740</v>
      </c>
      <c r="C16">
        <f>B16*1.6</f>
        <v>1184</v>
      </c>
      <c r="D16">
        <f>19000000/C16</f>
        <v>16047.2972972973</v>
      </c>
    </row>
    <row r="27" spans="1:3">
      <c r="A27" t="s">
        <v>248</v>
      </c>
      <c r="B27" t="s">
        <v>249</v>
      </c>
      <c r="C27" t="s">
        <v>250</v>
      </c>
    </row>
    <row r="28" spans="1:3">
      <c r="C28" t="s">
        <v>251</v>
      </c>
    </row>
    <row r="46" spans="1:2">
      <c r="A46" t="s">
        <v>252</v>
      </c>
      <c r="B46" t="s">
        <v>249</v>
      </c>
    </row>
    <row r="63" spans="1:3">
      <c r="A63" s="21">
        <v>44770</v>
      </c>
      <c r="B63" t="s">
        <v>253</v>
      </c>
      <c r="C63" t="s">
        <v>254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Acrobat Document" dvAspect="DVASPECT_ICON" shapeId="2051" r:id="rId3">
          <objectPr defaultSize="0" altText="" r:id="rId4">
            <anchor moveWithCells="1">
              <from>
                <xdr:col>3</xdr:col>
                <xdr:colOff>0</xdr:colOff>
                <xdr:row>62</xdr:row>
                <xdr:rowOff>0</xdr:rowOff>
              </from>
              <to>
                <xdr:col>4</xdr:col>
                <xdr:colOff>304800</xdr:colOff>
                <xdr:row>66</xdr:row>
                <xdr:rowOff>12700</xdr:rowOff>
              </to>
            </anchor>
          </objectPr>
        </oleObject>
      </mc:Choice>
      <mc:Fallback>
        <oleObject progId="Acrobat Document" dvAspect="DVASPECT_ICON" shapeId="2051" r:id="rId3"/>
      </mc:Fallback>
    </mc:AlternateContent>
    <mc:AlternateContent xmlns:mc="http://schemas.openxmlformats.org/markup-compatibility/2006">
      <mc:Choice Requires="x14">
        <oleObject progId="Acrobat Document" dvAspect="DVASPECT_ICON" shapeId="2052" r:id="rId5">
          <objectPr defaultSize="0" altText="" r:id="rId6">
            <anchor moveWithCells="1">
              <from>
                <xdr:col>5</xdr:col>
                <xdr:colOff>0</xdr:colOff>
                <xdr:row>62</xdr:row>
                <xdr:rowOff>0</xdr:rowOff>
              </from>
              <to>
                <xdr:col>6</xdr:col>
                <xdr:colOff>304800</xdr:colOff>
                <xdr:row>66</xdr:row>
                <xdr:rowOff>12700</xdr:rowOff>
              </to>
            </anchor>
          </objectPr>
        </oleObject>
      </mc:Choice>
      <mc:Fallback>
        <oleObject progId="Acrobat Document" dvAspect="DVASPECT_ICON" shapeId="2052" r:id="rId5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6"/>
  <sheetViews>
    <sheetView topLeftCell="A175" workbookViewId="0">
      <selection activeCell="C195" sqref="C195"/>
    </sheetView>
  </sheetViews>
  <sheetFormatPr defaultColWidth="9" defaultRowHeight="14.5"/>
  <cols>
    <col min="2" max="2" width="12.26953125" customWidth="1"/>
  </cols>
  <sheetData>
    <row r="2" spans="1:12">
      <c r="B2" s="16" t="s">
        <v>255</v>
      </c>
      <c r="C2" s="141"/>
      <c r="D2" s="141"/>
    </row>
    <row r="3" spans="1:12">
      <c r="D3" s="17"/>
      <c r="E3" s="17"/>
      <c r="F3" s="17"/>
      <c r="G3" s="17"/>
      <c r="H3" s="17"/>
      <c r="I3" s="17"/>
    </row>
    <row r="4" spans="1:12">
      <c r="A4" s="16" t="s">
        <v>256</v>
      </c>
      <c r="B4" s="18" t="s">
        <v>257</v>
      </c>
      <c r="C4" s="142" t="s">
        <v>258</v>
      </c>
      <c r="D4" s="142"/>
      <c r="E4" s="142"/>
      <c r="F4" s="19"/>
      <c r="G4" s="142" t="s">
        <v>259</v>
      </c>
      <c r="H4" s="142"/>
      <c r="I4" s="142"/>
      <c r="J4" s="142" t="s">
        <v>260</v>
      </c>
      <c r="K4" s="142"/>
      <c r="L4" s="142"/>
    </row>
    <row r="5" spans="1:12">
      <c r="A5" s="16">
        <v>202</v>
      </c>
      <c r="B5" s="18"/>
      <c r="C5" s="18" t="s">
        <v>261</v>
      </c>
      <c r="D5" s="18" t="s">
        <v>262</v>
      </c>
      <c r="E5" s="18" t="s">
        <v>263</v>
      </c>
      <c r="F5" s="18"/>
      <c r="G5" s="18" t="s">
        <v>261</v>
      </c>
      <c r="H5" s="18" t="s">
        <v>262</v>
      </c>
      <c r="I5" s="18" t="s">
        <v>263</v>
      </c>
      <c r="J5" s="18" t="s">
        <v>261</v>
      </c>
      <c r="K5" s="18" t="s">
        <v>262</v>
      </c>
      <c r="L5" s="18" t="s">
        <v>263</v>
      </c>
    </row>
    <row r="6" spans="1:12">
      <c r="B6" s="20" t="s">
        <v>264</v>
      </c>
      <c r="C6" s="20">
        <v>4.5</v>
      </c>
      <c r="D6" s="20">
        <v>2.9</v>
      </c>
      <c r="E6" s="20">
        <f>C6*D6</f>
        <v>13.05</v>
      </c>
      <c r="F6" s="20" t="s">
        <v>265</v>
      </c>
      <c r="G6" s="20"/>
      <c r="H6" s="20"/>
      <c r="I6" s="20">
        <f>G6*H6</f>
        <v>0</v>
      </c>
      <c r="J6" s="20"/>
      <c r="K6" s="20"/>
      <c r="L6" s="20">
        <f>J6*K6</f>
        <v>0</v>
      </c>
    </row>
    <row r="7" spans="1:12">
      <c r="B7" s="20"/>
      <c r="C7" s="20"/>
      <c r="D7" s="20"/>
      <c r="E7" s="20">
        <f t="shared" ref="E7:E33" si="0">C7*D7</f>
        <v>0</v>
      </c>
      <c r="F7" s="20" t="s">
        <v>266</v>
      </c>
      <c r="G7" s="20"/>
      <c r="H7" s="20"/>
      <c r="I7" s="20">
        <f t="shared" ref="I7:I33" si="1">G7*H7</f>
        <v>0</v>
      </c>
      <c r="J7" s="20"/>
      <c r="K7" s="20"/>
      <c r="L7" s="20">
        <f t="shared" ref="L7:L33" si="2">J7*K7</f>
        <v>0</v>
      </c>
    </row>
    <row r="8" spans="1:12">
      <c r="B8" s="20"/>
      <c r="C8" s="20"/>
      <c r="D8" s="20"/>
      <c r="E8" s="20">
        <f t="shared" si="0"/>
        <v>0</v>
      </c>
      <c r="F8" s="20"/>
      <c r="G8" s="20"/>
      <c r="H8" s="20"/>
      <c r="I8" s="20">
        <f t="shared" si="1"/>
        <v>0</v>
      </c>
      <c r="J8" s="20"/>
      <c r="K8" s="20"/>
      <c r="L8" s="20">
        <f t="shared" si="2"/>
        <v>0</v>
      </c>
    </row>
    <row r="9" spans="1:12">
      <c r="B9" s="20" t="s">
        <v>267</v>
      </c>
      <c r="C9" s="20">
        <v>1.88</v>
      </c>
      <c r="D9" s="20">
        <v>2.13</v>
      </c>
      <c r="E9" s="20">
        <f t="shared" si="0"/>
        <v>4.0044000000000004</v>
      </c>
      <c r="F9" s="20" t="s">
        <v>265</v>
      </c>
      <c r="G9" s="20"/>
      <c r="H9" s="20"/>
      <c r="I9" s="20">
        <f t="shared" si="1"/>
        <v>0</v>
      </c>
      <c r="J9" s="20"/>
      <c r="K9" s="20"/>
      <c r="L9" s="20">
        <f t="shared" si="2"/>
        <v>0</v>
      </c>
    </row>
    <row r="10" spans="1:12">
      <c r="B10" s="20"/>
      <c r="C10" s="20"/>
      <c r="D10" s="20"/>
      <c r="E10" s="20">
        <f t="shared" si="0"/>
        <v>0</v>
      </c>
      <c r="F10" s="20" t="s">
        <v>266</v>
      </c>
      <c r="G10" s="20"/>
      <c r="H10" s="20"/>
      <c r="I10" s="20">
        <f t="shared" si="1"/>
        <v>0</v>
      </c>
      <c r="J10" s="20"/>
      <c r="K10" s="20"/>
      <c r="L10" s="20">
        <f t="shared" si="2"/>
        <v>0</v>
      </c>
    </row>
    <row r="11" spans="1:12">
      <c r="B11" s="20"/>
      <c r="C11" s="20"/>
      <c r="D11" s="20"/>
      <c r="E11" s="20">
        <f t="shared" si="0"/>
        <v>0</v>
      </c>
      <c r="F11" s="20"/>
      <c r="G11" s="20"/>
      <c r="H11" s="20"/>
      <c r="I11" s="20">
        <f t="shared" si="1"/>
        <v>0</v>
      </c>
      <c r="J11" s="20"/>
      <c r="K11" s="20"/>
      <c r="L11" s="20">
        <f t="shared" si="2"/>
        <v>0</v>
      </c>
    </row>
    <row r="12" spans="1:12">
      <c r="B12" s="20"/>
      <c r="C12" s="20"/>
      <c r="D12" s="20"/>
      <c r="E12" s="20">
        <f t="shared" si="0"/>
        <v>0</v>
      </c>
      <c r="F12" s="20"/>
      <c r="G12" s="20"/>
      <c r="H12" s="20"/>
      <c r="I12" s="20">
        <f t="shared" si="1"/>
        <v>0</v>
      </c>
      <c r="J12" s="20"/>
      <c r="K12" s="20"/>
      <c r="L12" s="20">
        <f t="shared" si="2"/>
        <v>0</v>
      </c>
    </row>
    <row r="13" spans="1:12">
      <c r="B13" s="20" t="s">
        <v>268</v>
      </c>
      <c r="C13" s="20"/>
      <c r="D13" s="20"/>
      <c r="E13" s="20">
        <f t="shared" si="0"/>
        <v>0</v>
      </c>
      <c r="F13" s="20" t="s">
        <v>265</v>
      </c>
      <c r="G13" s="20"/>
      <c r="H13" s="20"/>
      <c r="I13" s="20">
        <f t="shared" si="1"/>
        <v>0</v>
      </c>
      <c r="J13" s="20"/>
      <c r="K13" s="20"/>
      <c r="L13" s="20">
        <f t="shared" si="2"/>
        <v>0</v>
      </c>
    </row>
    <row r="14" spans="1:12">
      <c r="B14" s="20"/>
      <c r="C14" s="20"/>
      <c r="D14" s="20"/>
      <c r="E14" s="20">
        <f t="shared" si="0"/>
        <v>0</v>
      </c>
      <c r="F14" s="20" t="s">
        <v>266</v>
      </c>
      <c r="G14" s="20"/>
      <c r="H14" s="20"/>
      <c r="I14" s="20">
        <f t="shared" si="1"/>
        <v>0</v>
      </c>
      <c r="J14" s="20"/>
      <c r="K14" s="20"/>
      <c r="L14" s="20">
        <f t="shared" si="2"/>
        <v>0</v>
      </c>
    </row>
    <row r="15" spans="1:12">
      <c r="B15" s="20"/>
      <c r="C15" s="20"/>
      <c r="D15" s="20"/>
      <c r="E15" s="20">
        <f t="shared" si="0"/>
        <v>0</v>
      </c>
      <c r="F15" s="20"/>
      <c r="G15" s="20"/>
      <c r="H15" s="20"/>
      <c r="I15" s="20">
        <f t="shared" si="1"/>
        <v>0</v>
      </c>
      <c r="J15" s="20"/>
      <c r="K15" s="20"/>
      <c r="L15" s="20">
        <f t="shared" si="2"/>
        <v>0</v>
      </c>
    </row>
    <row r="16" spans="1:12">
      <c r="B16" s="20"/>
      <c r="C16" s="20"/>
      <c r="D16" s="20"/>
      <c r="E16" s="20">
        <f t="shared" si="0"/>
        <v>0</v>
      </c>
      <c r="F16" s="20"/>
      <c r="G16" s="20"/>
      <c r="H16" s="20"/>
      <c r="I16" s="20">
        <f t="shared" si="1"/>
        <v>0</v>
      </c>
      <c r="J16" s="20"/>
      <c r="K16" s="20"/>
      <c r="L16" s="20">
        <f t="shared" si="2"/>
        <v>0</v>
      </c>
    </row>
    <row r="17" spans="2:12">
      <c r="B17" s="20" t="s">
        <v>269</v>
      </c>
      <c r="C17" s="20"/>
      <c r="D17" s="20"/>
      <c r="E17" s="20">
        <f t="shared" si="0"/>
        <v>0</v>
      </c>
      <c r="F17" s="20" t="s">
        <v>265</v>
      </c>
      <c r="G17" s="20"/>
      <c r="H17" s="20"/>
      <c r="I17" s="20">
        <f t="shared" si="1"/>
        <v>0</v>
      </c>
      <c r="J17" s="20"/>
      <c r="K17" s="20"/>
      <c r="L17" s="20">
        <f t="shared" si="2"/>
        <v>0</v>
      </c>
    </row>
    <row r="18" spans="2:12">
      <c r="B18" s="20"/>
      <c r="C18" s="20"/>
      <c r="D18" s="20"/>
      <c r="E18" s="20">
        <f t="shared" si="0"/>
        <v>0</v>
      </c>
      <c r="F18" s="20" t="s">
        <v>266</v>
      </c>
      <c r="G18" s="20"/>
      <c r="H18" s="20"/>
      <c r="I18" s="20">
        <f t="shared" si="1"/>
        <v>0</v>
      </c>
      <c r="J18" s="20"/>
      <c r="K18" s="20"/>
      <c r="L18" s="20">
        <f t="shared" si="2"/>
        <v>0</v>
      </c>
    </row>
    <row r="19" spans="2:12">
      <c r="B19" s="20"/>
      <c r="C19" s="20"/>
      <c r="D19" s="20"/>
      <c r="E19" s="20">
        <f t="shared" si="0"/>
        <v>0</v>
      </c>
      <c r="F19" s="20"/>
      <c r="G19" s="20"/>
      <c r="H19" s="20"/>
      <c r="I19" s="20">
        <f t="shared" si="1"/>
        <v>0</v>
      </c>
      <c r="J19" s="20"/>
      <c r="K19" s="20"/>
      <c r="L19" s="20">
        <f t="shared" si="2"/>
        <v>0</v>
      </c>
    </row>
    <row r="20" spans="2:12">
      <c r="B20" s="20" t="s">
        <v>269</v>
      </c>
      <c r="C20" s="20"/>
      <c r="D20" s="20"/>
      <c r="E20" s="20">
        <f t="shared" si="0"/>
        <v>0</v>
      </c>
      <c r="F20" s="20" t="s">
        <v>265</v>
      </c>
      <c r="G20" s="20"/>
      <c r="H20" s="20"/>
      <c r="I20" s="20">
        <f t="shared" si="1"/>
        <v>0</v>
      </c>
      <c r="J20" s="20"/>
      <c r="K20" s="20"/>
      <c r="L20" s="20">
        <f t="shared" si="2"/>
        <v>0</v>
      </c>
    </row>
    <row r="21" spans="2:12">
      <c r="B21" s="20"/>
      <c r="C21" s="20"/>
      <c r="D21" s="20"/>
      <c r="E21" s="20">
        <f t="shared" si="0"/>
        <v>0</v>
      </c>
      <c r="F21" s="20" t="s">
        <v>266</v>
      </c>
      <c r="G21" s="20"/>
      <c r="H21" s="20"/>
      <c r="I21" s="20">
        <f t="shared" si="1"/>
        <v>0</v>
      </c>
      <c r="J21" s="20"/>
      <c r="K21" s="20"/>
      <c r="L21" s="20">
        <f t="shared" si="2"/>
        <v>0</v>
      </c>
    </row>
    <row r="22" spans="2:12">
      <c r="B22" s="20"/>
      <c r="C22" s="20"/>
      <c r="D22" s="20"/>
      <c r="E22" s="20">
        <f t="shared" si="0"/>
        <v>0</v>
      </c>
      <c r="F22" s="20"/>
      <c r="G22" s="20"/>
      <c r="H22" s="20"/>
      <c r="I22" s="20">
        <f t="shared" si="1"/>
        <v>0</v>
      </c>
      <c r="J22" s="20"/>
      <c r="K22" s="20"/>
      <c r="L22" s="20">
        <f t="shared" si="2"/>
        <v>0</v>
      </c>
    </row>
    <row r="23" spans="2:12">
      <c r="B23" s="20" t="s">
        <v>270</v>
      </c>
      <c r="C23" s="20">
        <v>1.9</v>
      </c>
      <c r="D23" s="20">
        <v>1.07</v>
      </c>
      <c r="E23" s="20">
        <f t="shared" si="0"/>
        <v>2.0329999999999999</v>
      </c>
      <c r="F23" s="20" t="s">
        <v>271</v>
      </c>
      <c r="G23" s="20"/>
      <c r="H23" s="20"/>
      <c r="I23" s="20">
        <f t="shared" si="1"/>
        <v>0</v>
      </c>
      <c r="J23" s="20"/>
      <c r="K23" s="20"/>
      <c r="L23" s="20">
        <f t="shared" si="2"/>
        <v>0</v>
      </c>
    </row>
    <row r="24" spans="2:12">
      <c r="B24" s="20" t="s">
        <v>272</v>
      </c>
      <c r="C24" s="20"/>
      <c r="D24" s="20"/>
      <c r="E24" s="20">
        <f t="shared" si="0"/>
        <v>0</v>
      </c>
      <c r="F24" s="20" t="s">
        <v>271</v>
      </c>
      <c r="G24" s="20"/>
      <c r="H24" s="20"/>
      <c r="I24" s="20">
        <f t="shared" si="1"/>
        <v>0</v>
      </c>
      <c r="J24" s="20"/>
      <c r="K24" s="20"/>
      <c r="L24" s="20">
        <f t="shared" si="2"/>
        <v>0</v>
      </c>
    </row>
    <row r="25" spans="2:12">
      <c r="B25" s="20" t="s">
        <v>273</v>
      </c>
      <c r="C25" s="20"/>
      <c r="D25" s="20"/>
      <c r="E25" s="20">
        <f t="shared" si="0"/>
        <v>0</v>
      </c>
      <c r="F25" s="20" t="s">
        <v>271</v>
      </c>
      <c r="G25" s="20"/>
      <c r="H25" s="20"/>
      <c r="I25" s="20">
        <f t="shared" si="1"/>
        <v>0</v>
      </c>
      <c r="J25" s="20"/>
      <c r="K25" s="20"/>
      <c r="L25" s="20">
        <f t="shared" si="2"/>
        <v>0</v>
      </c>
    </row>
    <row r="26" spans="2:12">
      <c r="B26" s="20"/>
      <c r="C26" s="20"/>
      <c r="D26" s="20"/>
      <c r="E26" s="20">
        <f t="shared" si="0"/>
        <v>0</v>
      </c>
      <c r="F26" s="20"/>
      <c r="G26" s="20"/>
      <c r="H26" s="20"/>
      <c r="I26" s="20">
        <f t="shared" si="1"/>
        <v>0</v>
      </c>
      <c r="J26" s="20"/>
      <c r="K26" s="20"/>
      <c r="L26" s="20">
        <f t="shared" si="2"/>
        <v>0</v>
      </c>
    </row>
    <row r="27" spans="2:12">
      <c r="B27" s="20" t="s">
        <v>274</v>
      </c>
      <c r="C27" s="20"/>
      <c r="D27" s="20"/>
      <c r="E27" s="20">
        <f t="shared" si="0"/>
        <v>0</v>
      </c>
      <c r="F27" s="20"/>
      <c r="G27" s="20"/>
      <c r="H27" s="20"/>
      <c r="I27" s="20">
        <f t="shared" si="1"/>
        <v>0</v>
      </c>
      <c r="J27" s="20"/>
      <c r="K27" s="20"/>
      <c r="L27" s="20">
        <f t="shared" si="2"/>
        <v>0</v>
      </c>
    </row>
    <row r="28" spans="2:12">
      <c r="B28" s="20" t="s">
        <v>275</v>
      </c>
      <c r="C28" s="20"/>
      <c r="D28" s="20"/>
      <c r="E28" s="20">
        <f t="shared" si="0"/>
        <v>0</v>
      </c>
      <c r="F28" s="20"/>
      <c r="G28" s="20"/>
      <c r="H28" s="20"/>
      <c r="I28" s="20">
        <f t="shared" si="1"/>
        <v>0</v>
      </c>
      <c r="J28" s="20"/>
      <c r="K28" s="20"/>
      <c r="L28" s="20">
        <f t="shared" si="2"/>
        <v>0</v>
      </c>
    </row>
    <row r="29" spans="2:12">
      <c r="B29" s="20" t="s">
        <v>276</v>
      </c>
      <c r="C29" s="20"/>
      <c r="D29" s="20"/>
      <c r="E29" s="20">
        <f t="shared" si="0"/>
        <v>0</v>
      </c>
      <c r="F29" s="20"/>
      <c r="G29" s="20"/>
      <c r="H29" s="20"/>
      <c r="I29" s="20">
        <f t="shared" si="1"/>
        <v>0</v>
      </c>
      <c r="J29" s="20"/>
      <c r="K29" s="20"/>
      <c r="L29" s="20">
        <f t="shared" si="2"/>
        <v>0</v>
      </c>
    </row>
    <row r="30" spans="2:12">
      <c r="B30" s="20" t="s">
        <v>277</v>
      </c>
      <c r="C30" s="20"/>
      <c r="D30" s="20"/>
      <c r="E30" s="20">
        <f t="shared" si="0"/>
        <v>0</v>
      </c>
      <c r="F30" s="20"/>
      <c r="G30" s="20"/>
      <c r="H30" s="20"/>
      <c r="I30" s="20">
        <f t="shared" si="1"/>
        <v>0</v>
      </c>
      <c r="J30" s="20"/>
      <c r="K30" s="20"/>
      <c r="L30" s="20">
        <f t="shared" si="2"/>
        <v>0</v>
      </c>
    </row>
    <row r="31" spans="2:12">
      <c r="B31" s="20"/>
      <c r="C31" s="20"/>
      <c r="D31" s="20"/>
      <c r="E31" s="20">
        <f t="shared" si="0"/>
        <v>0</v>
      </c>
      <c r="F31" s="20"/>
      <c r="G31" s="20"/>
      <c r="H31" s="20"/>
      <c r="I31" s="20">
        <f t="shared" si="1"/>
        <v>0</v>
      </c>
      <c r="J31" s="20"/>
      <c r="K31" s="20"/>
      <c r="L31" s="20">
        <f t="shared" si="2"/>
        <v>0</v>
      </c>
    </row>
    <row r="32" spans="2:12">
      <c r="B32" s="20"/>
      <c r="C32" s="20"/>
      <c r="D32" s="20"/>
      <c r="E32" s="20">
        <f t="shared" si="0"/>
        <v>0</v>
      </c>
      <c r="F32" s="20"/>
      <c r="G32" s="20"/>
      <c r="H32" s="20"/>
      <c r="I32" s="20">
        <f t="shared" si="1"/>
        <v>0</v>
      </c>
      <c r="J32" s="20"/>
      <c r="K32" s="20"/>
      <c r="L32" s="20">
        <f t="shared" si="2"/>
        <v>0</v>
      </c>
    </row>
    <row r="33" spans="2:12">
      <c r="B33" s="20"/>
      <c r="C33" s="20"/>
      <c r="D33" s="20"/>
      <c r="E33" s="20">
        <f t="shared" si="0"/>
        <v>0</v>
      </c>
      <c r="F33" s="20"/>
      <c r="G33" s="20"/>
      <c r="H33" s="20"/>
      <c r="I33" s="20">
        <f t="shared" si="1"/>
        <v>0</v>
      </c>
      <c r="J33" s="20"/>
      <c r="K33" s="20"/>
      <c r="L33" s="20">
        <f t="shared" si="2"/>
        <v>0</v>
      </c>
    </row>
    <row r="34" spans="2:12">
      <c r="B34" s="20" t="s">
        <v>174</v>
      </c>
      <c r="C34" s="20"/>
      <c r="D34" s="20">
        <f>E34*10.764</f>
        <v>205.45677359999999</v>
      </c>
      <c r="E34" s="20">
        <f>SUM(E6:E33)</f>
        <v>19.087399999999999</v>
      </c>
      <c r="F34" s="20"/>
      <c r="G34" s="20"/>
      <c r="H34" s="20">
        <f>I34*10.764</f>
        <v>0</v>
      </c>
      <c r="I34" s="20">
        <f>SUM(I6:I33)</f>
        <v>0</v>
      </c>
      <c r="J34" s="20"/>
      <c r="K34" s="20">
        <f>L34*10.764</f>
        <v>0</v>
      </c>
      <c r="L34" s="20">
        <f>SUM(L6:L33)</f>
        <v>0</v>
      </c>
    </row>
    <row r="36" spans="2:12">
      <c r="D36">
        <f>D34+H34</f>
        <v>205.45677359999999</v>
      </c>
      <c r="E36">
        <f>E34+I34</f>
        <v>19.087399999999999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D2" sqref="D2"/>
    </sheetView>
  </sheetViews>
  <sheetFormatPr defaultColWidth="8.7265625" defaultRowHeight="14.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9" width="8.7265625" style="1"/>
    <col min="10" max="10" width="9.81640625" style="1" customWidth="1"/>
    <col min="11" max="16384" width="8.7265625" style="1"/>
  </cols>
  <sheetData>
    <row r="1" spans="1:10" ht="15" customHeight="1"/>
    <row r="2" spans="1:10" ht="15" customHeight="1">
      <c r="A2" s="2"/>
      <c r="B2" s="2"/>
      <c r="C2" s="2"/>
      <c r="D2" s="2"/>
      <c r="E2" s="2"/>
      <c r="F2" s="2"/>
      <c r="G2" s="2"/>
      <c r="H2" s="2"/>
    </row>
    <row r="3" spans="1:10">
      <c r="A3" s="2"/>
      <c r="B3" s="143" t="s">
        <v>278</v>
      </c>
      <c r="C3" s="143"/>
      <c r="D3" s="143"/>
      <c r="E3" s="143"/>
      <c r="F3" s="143"/>
      <c r="G3" s="143"/>
      <c r="H3" s="143"/>
    </row>
    <row r="4" spans="1:10">
      <c r="A4" s="2"/>
      <c r="B4" s="3" t="s">
        <v>279</v>
      </c>
      <c r="C4" s="3" t="s">
        <v>280</v>
      </c>
      <c r="D4" s="3" t="s">
        <v>256</v>
      </c>
      <c r="E4" s="3" t="s">
        <v>281</v>
      </c>
      <c r="F4" s="3" t="s">
        <v>282</v>
      </c>
      <c r="G4" s="3" t="s">
        <v>283</v>
      </c>
      <c r="H4" s="3" t="s">
        <v>284</v>
      </c>
    </row>
    <row r="5" spans="1:10">
      <c r="A5" s="2"/>
      <c r="B5" s="4" t="s">
        <v>285</v>
      </c>
      <c r="C5" s="5" t="s">
        <v>286</v>
      </c>
      <c r="D5" s="6" t="s">
        <v>193</v>
      </c>
      <c r="E5" s="6">
        <v>740</v>
      </c>
      <c r="F5" s="7">
        <f>E5*1.6</f>
        <v>1184</v>
      </c>
      <c r="G5" s="7">
        <f>H5/F5</f>
        <v>16047.2972972973</v>
      </c>
      <c r="H5" s="8">
        <v>19000000</v>
      </c>
      <c r="J5" s="14"/>
    </row>
    <row r="6" spans="1:10">
      <c r="A6" s="2"/>
      <c r="B6" s="4" t="s">
        <v>285</v>
      </c>
      <c r="C6" s="5" t="s">
        <v>286</v>
      </c>
      <c r="D6" s="6" t="s">
        <v>188</v>
      </c>
      <c r="E6" s="6">
        <v>1006</v>
      </c>
      <c r="F6" s="7">
        <f t="shared" ref="F6:F10" si="0">E6*1.6</f>
        <v>1609.6</v>
      </c>
      <c r="G6" s="7">
        <f t="shared" ref="G6:G10" si="1">H6/F6</f>
        <v>16463.717693836999</v>
      </c>
      <c r="H6" s="8">
        <v>26500000</v>
      </c>
      <c r="J6" s="14"/>
    </row>
    <row r="7" spans="1:10" ht="15" customHeight="1">
      <c r="A7" s="2"/>
      <c r="B7" s="4" t="s">
        <v>285</v>
      </c>
      <c r="C7" s="5" t="s">
        <v>286</v>
      </c>
      <c r="D7" s="6" t="s">
        <v>218</v>
      </c>
      <c r="E7" s="6">
        <v>1606</v>
      </c>
      <c r="F7" s="7">
        <f t="shared" si="0"/>
        <v>2569.6</v>
      </c>
      <c r="G7" s="7">
        <f t="shared" si="1"/>
        <v>17123.287671232902</v>
      </c>
      <c r="H7" s="8">
        <v>44000000</v>
      </c>
      <c r="J7" s="14"/>
    </row>
    <row r="8" spans="1:10" ht="15" customHeight="1">
      <c r="A8" s="2"/>
      <c r="B8" s="4" t="s">
        <v>287</v>
      </c>
      <c r="C8" s="5" t="s">
        <v>286</v>
      </c>
      <c r="D8" s="6" t="s">
        <v>193</v>
      </c>
      <c r="E8" s="6">
        <v>740</v>
      </c>
      <c r="F8" s="7">
        <f t="shared" si="0"/>
        <v>1184</v>
      </c>
      <c r="G8" s="7">
        <f t="shared" si="1"/>
        <v>16047.2972972973</v>
      </c>
      <c r="H8" s="8">
        <v>19000000</v>
      </c>
      <c r="J8" s="14"/>
    </row>
    <row r="9" spans="1:10">
      <c r="A9" s="2"/>
      <c r="B9" s="4" t="s">
        <v>287</v>
      </c>
      <c r="C9" s="5" t="s">
        <v>286</v>
      </c>
      <c r="D9" s="6" t="s">
        <v>193</v>
      </c>
      <c r="E9" s="6">
        <v>1015</v>
      </c>
      <c r="F9" s="7">
        <f t="shared" si="0"/>
        <v>1624</v>
      </c>
      <c r="G9" s="7">
        <f t="shared" si="1"/>
        <v>16317.733990147801</v>
      </c>
      <c r="H9" s="8">
        <v>26500000</v>
      </c>
      <c r="J9" s="14"/>
    </row>
    <row r="10" spans="1:10">
      <c r="A10" s="2"/>
      <c r="B10" s="4" t="s">
        <v>287</v>
      </c>
      <c r="C10" s="5" t="s">
        <v>286</v>
      </c>
      <c r="D10" s="6" t="s">
        <v>193</v>
      </c>
      <c r="E10" s="6">
        <v>1600</v>
      </c>
      <c r="F10" s="7">
        <f t="shared" si="0"/>
        <v>2560</v>
      </c>
      <c r="G10" s="7">
        <f t="shared" si="1"/>
        <v>17187.5</v>
      </c>
      <c r="H10" s="8">
        <v>44000000</v>
      </c>
      <c r="J10" s="14"/>
    </row>
    <row r="11" spans="1:10" ht="15" customHeight="1">
      <c r="A11" s="2"/>
      <c r="B11" s="9" t="s">
        <v>288</v>
      </c>
      <c r="C11" s="6"/>
      <c r="D11" s="6"/>
      <c r="E11" s="6">
        <v>0</v>
      </c>
      <c r="F11" s="7">
        <f>E11*1.5</f>
        <v>0</v>
      </c>
      <c r="G11" s="10">
        <f>AVERAGE(G5:G10)</f>
        <v>16531.138991635398</v>
      </c>
      <c r="H11" s="6"/>
      <c r="J11" s="14"/>
    </row>
    <row r="12" spans="1:10" ht="15" customHeight="1">
      <c r="B12" s="9" t="s">
        <v>289</v>
      </c>
      <c r="C12" s="6"/>
      <c r="D12" s="6"/>
      <c r="E12" s="6"/>
      <c r="F12" s="11"/>
      <c r="G12" s="9">
        <v>16000</v>
      </c>
      <c r="H12" s="9"/>
      <c r="I12" s="15"/>
      <c r="J12" s="14"/>
    </row>
    <row r="13" spans="1:10" ht="15" customHeight="1">
      <c r="G13" s="12"/>
    </row>
    <row r="14" spans="1:10">
      <c r="E14" s="12"/>
      <c r="G14" s="12"/>
    </row>
    <row r="15" spans="1:10">
      <c r="E15" s="12"/>
      <c r="G15" s="12"/>
    </row>
    <row r="16" spans="1:10">
      <c r="E16" s="12"/>
      <c r="G16" s="12"/>
    </row>
    <row r="17" spans="2:7">
      <c r="E17" s="12"/>
      <c r="G17" s="12"/>
    </row>
    <row r="18" spans="2:7">
      <c r="E18" s="12"/>
      <c r="G18" s="12"/>
    </row>
    <row r="19" spans="2:7">
      <c r="E19" s="12"/>
      <c r="G19" s="12"/>
    </row>
    <row r="20" spans="2:7">
      <c r="G20" s="12"/>
    </row>
    <row r="21" spans="2:7">
      <c r="G21" s="12"/>
    </row>
    <row r="22" spans="2:7">
      <c r="B22" s="13"/>
      <c r="G22" s="12"/>
    </row>
  </sheetData>
  <mergeCells count="1">
    <mergeCell ref="B3:H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NOTE</vt:lpstr>
      <vt:lpstr>Flat detail</vt:lpstr>
      <vt:lpstr>VALUATION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2025-08-08T10:57:07Z</cp:lastPrinted>
  <dcterms:created xsi:type="dcterms:W3CDTF">2019-07-16T09:29:00Z</dcterms:created>
  <dcterms:modified xsi:type="dcterms:W3CDTF">2025-08-08T10:57:36Z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33B7DF482AD948509E10DC8F7910A1FC_12</vt:lpwstr>
  </property>
  <property fmtid="{D5CDD505-2E9C-101B-9397-08002B2CF9AE}" pid="3" name="KSOProductBuildVer">
    <vt:lpwstr>1033-12.2.0.17562</vt:lpwstr>
  </property>
</Properties>
</file>