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51\Downloads\"/>
    </mc:Choice>
  </mc:AlternateContent>
  <bookViews>
    <workbookView xWindow="0" yWindow="0" windowWidth="9450" windowHeight="3435" tabRatio="720"/>
  </bookViews>
  <sheets>
    <sheet name="Report" sheetId="1" r:id="rId1"/>
    <sheet name="valuation" sheetId="5" r:id="rId2"/>
    <sheet name="Research" sheetId="4" r:id="rId3"/>
    <sheet name="Remarks" sheetId="6" r:id="rId4"/>
  </sheets>
  <definedNames>
    <definedName name="_xlnm.Print_Area" localSheetId="0">Report!$A$1:$H$397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2" i="1" l="1"/>
  <c r="E8" i="1" l="1"/>
  <c r="E220" i="1"/>
  <c r="E219" i="1"/>
  <c r="F219" i="1" s="1"/>
  <c r="H219" i="1" s="1"/>
  <c r="E218" i="1"/>
  <c r="E217" i="1"/>
  <c r="D220" i="1"/>
  <c r="D219" i="1"/>
  <c r="D218" i="1"/>
  <c r="D217" i="1"/>
  <c r="G215" i="1"/>
  <c r="G214" i="1"/>
  <c r="G213" i="1"/>
  <c r="E213" i="1"/>
  <c r="E212" i="1"/>
  <c r="D215" i="1"/>
  <c r="F215" i="1" s="1"/>
  <c r="D214" i="1"/>
  <c r="F214" i="1" s="1"/>
  <c r="D213" i="1"/>
  <c r="D212" i="1"/>
  <c r="F212" i="1" s="1"/>
  <c r="H212" i="1" s="1"/>
  <c r="E209" i="1"/>
  <c r="E208" i="1"/>
  <c r="E207" i="1"/>
  <c r="E206" i="1"/>
  <c r="D209" i="1"/>
  <c r="D208" i="1"/>
  <c r="D207" i="1"/>
  <c r="D206" i="1"/>
  <c r="G202" i="1"/>
  <c r="G201" i="1"/>
  <c r="E204" i="1"/>
  <c r="E203" i="1"/>
  <c r="D204" i="1"/>
  <c r="D203" i="1"/>
  <c r="D202" i="1"/>
  <c r="F202" i="1" s="1"/>
  <c r="D201" i="1"/>
  <c r="G187" i="1"/>
  <c r="G186" i="1"/>
  <c r="G185" i="1"/>
  <c r="G184" i="1"/>
  <c r="E190" i="1"/>
  <c r="E189" i="1"/>
  <c r="E188" i="1"/>
  <c r="D190" i="1"/>
  <c r="D189" i="1"/>
  <c r="D188" i="1"/>
  <c r="D187" i="1"/>
  <c r="F187" i="1" s="1"/>
  <c r="D186" i="1"/>
  <c r="F186" i="1" s="1"/>
  <c r="D185" i="1"/>
  <c r="F185" i="1" s="1"/>
  <c r="D184" i="1"/>
  <c r="F184" i="1" s="1"/>
  <c r="E198" i="1"/>
  <c r="D198" i="1"/>
  <c r="E197" i="1"/>
  <c r="F197" i="1" s="1"/>
  <c r="H197" i="1" s="1"/>
  <c r="D197" i="1"/>
  <c r="E196" i="1"/>
  <c r="D196" i="1"/>
  <c r="E195" i="1"/>
  <c r="D195" i="1"/>
  <c r="E194" i="1"/>
  <c r="D194" i="1"/>
  <c r="E193" i="1"/>
  <c r="D193" i="1"/>
  <c r="E192" i="1"/>
  <c r="D192" i="1"/>
  <c r="D177" i="1"/>
  <c r="F177" i="1" s="1"/>
  <c r="H177" i="1" s="1"/>
  <c r="D176" i="1"/>
  <c r="F176" i="1" s="1"/>
  <c r="H176" i="1" s="1"/>
  <c r="D175" i="1"/>
  <c r="F175" i="1" s="1"/>
  <c r="H175" i="1" s="1"/>
  <c r="D174" i="1"/>
  <c r="F174" i="1" s="1"/>
  <c r="H174" i="1" s="1"/>
  <c r="D173" i="1"/>
  <c r="F173" i="1" s="1"/>
  <c r="H173" i="1" s="1"/>
  <c r="D172" i="1"/>
  <c r="F172" i="1" s="1"/>
  <c r="H172" i="1" s="1"/>
  <c r="D169" i="1"/>
  <c r="F169" i="1" s="1"/>
  <c r="H169" i="1" s="1"/>
  <c r="D168" i="1"/>
  <c r="F168" i="1" s="1"/>
  <c r="H168" i="1" s="1"/>
  <c r="D167" i="1"/>
  <c r="F167" i="1" s="1"/>
  <c r="H167" i="1" s="1"/>
  <c r="D166" i="1"/>
  <c r="F166" i="1" s="1"/>
  <c r="H166" i="1" s="1"/>
  <c r="D165" i="1"/>
  <c r="F165" i="1" s="1"/>
  <c r="H165" i="1" s="1"/>
  <c r="D164" i="1"/>
  <c r="F164" i="1" s="1"/>
  <c r="D161" i="1"/>
  <c r="F161" i="1" s="1"/>
  <c r="H161" i="1" s="1"/>
  <c r="D160" i="1"/>
  <c r="D159" i="1"/>
  <c r="D158" i="1"/>
  <c r="F158" i="1" s="1"/>
  <c r="H158" i="1" s="1"/>
  <c r="D157" i="1"/>
  <c r="F157" i="1" s="1"/>
  <c r="H157" i="1" s="1"/>
  <c r="D156" i="1"/>
  <c r="F156" i="1" s="1"/>
  <c r="H156" i="1" s="1"/>
  <c r="D155" i="1"/>
  <c r="F155" i="1" s="1"/>
  <c r="H155" i="1" s="1"/>
  <c r="D154" i="1"/>
  <c r="F154" i="1" s="1"/>
  <c r="H154" i="1" s="1"/>
  <c r="D153" i="1"/>
  <c r="D152" i="1"/>
  <c r="D151" i="1"/>
  <c r="D150" i="1"/>
  <c r="J147" i="1"/>
  <c r="J215" i="1"/>
  <c r="J212" i="1"/>
  <c r="J219" i="1"/>
  <c r="J220" i="1"/>
  <c r="I220" i="1"/>
  <c r="I215" i="1"/>
  <c r="I214" i="1"/>
  <c r="A212" i="1"/>
  <c r="A213" i="1" s="1"/>
  <c r="A214" i="1" s="1"/>
  <c r="A215" i="1" s="1"/>
  <c r="I173" i="1"/>
  <c r="I175" i="1"/>
  <c r="I174" i="1"/>
  <c r="A173" i="1"/>
  <c r="A174" i="1" s="1"/>
  <c r="A175" i="1" s="1"/>
  <c r="A176" i="1" s="1"/>
  <c r="A177" i="1" s="1"/>
  <c r="J206" i="1"/>
  <c r="I206" i="1"/>
  <c r="J203" i="1"/>
  <c r="I203" i="1"/>
  <c r="J202" i="1"/>
  <c r="I202" i="1"/>
  <c r="A201" i="1"/>
  <c r="A202" i="1" s="1"/>
  <c r="A203" i="1" s="1"/>
  <c r="A204" i="1" s="1"/>
  <c r="I166" i="1"/>
  <c r="I164" i="1"/>
  <c r="A165" i="1"/>
  <c r="A166" i="1" s="1"/>
  <c r="A167" i="1" s="1"/>
  <c r="A168" i="1" s="1"/>
  <c r="A169" i="1" s="1"/>
  <c r="J196" i="1"/>
  <c r="I196" i="1"/>
  <c r="F192" i="1"/>
  <c r="H192" i="1" s="1"/>
  <c r="J190" i="1"/>
  <c r="J186" i="1"/>
  <c r="J185" i="1"/>
  <c r="J184" i="1"/>
  <c r="I187" i="1"/>
  <c r="I184" i="1"/>
  <c r="A184" i="1"/>
  <c r="A185" i="1" s="1"/>
  <c r="A186" i="1" s="1"/>
  <c r="A187" i="1" s="1"/>
  <c r="A188" i="1" s="1"/>
  <c r="A189" i="1" s="1"/>
  <c r="A190" i="1" s="1"/>
  <c r="F159" i="1"/>
  <c r="H159" i="1" s="1"/>
  <c r="I154" i="1"/>
  <c r="I150" i="1"/>
  <c r="F160" i="1"/>
  <c r="H160" i="1" s="1"/>
  <c r="E43" i="1"/>
  <c r="A192" i="1"/>
  <c r="A206" i="1"/>
  <c r="A217" i="1"/>
  <c r="F196" i="1" l="1"/>
  <c r="H196" i="1" s="1"/>
  <c r="F209" i="1"/>
  <c r="H209" i="1" s="1"/>
  <c r="F188" i="1"/>
  <c r="H188" i="1" s="1"/>
  <c r="H184" i="1"/>
  <c r="F208" i="1"/>
  <c r="H208" i="1" s="1"/>
  <c r="F218" i="1"/>
  <c r="H218" i="1" s="1"/>
  <c r="H187" i="1"/>
  <c r="F193" i="1"/>
  <c r="H193" i="1" s="1"/>
  <c r="F213" i="1"/>
  <c r="H213" i="1" s="1"/>
  <c r="H186" i="1"/>
  <c r="H214" i="1"/>
  <c r="F207" i="1"/>
  <c r="H207" i="1" s="1"/>
  <c r="F195" i="1"/>
  <c r="H195" i="1" s="1"/>
  <c r="F198" i="1"/>
  <c r="H198" i="1" s="1"/>
  <c r="F206" i="1"/>
  <c r="H206" i="1" s="1"/>
  <c r="C132" i="1"/>
  <c r="F190" i="1"/>
  <c r="H190" i="1" s="1"/>
  <c r="C139" i="1"/>
  <c r="C140" i="1"/>
  <c r="F220" i="1"/>
  <c r="H220" i="1" s="1"/>
  <c r="H164" i="1"/>
  <c r="G133" i="1" s="1"/>
  <c r="E133" i="1"/>
  <c r="G134" i="1"/>
  <c r="F201" i="1"/>
  <c r="H215" i="1"/>
  <c r="C133" i="1"/>
  <c r="C134" i="1"/>
  <c r="C138" i="1"/>
  <c r="E134" i="1"/>
  <c r="F217" i="1"/>
  <c r="H217" i="1" s="1"/>
  <c r="F203" i="1"/>
  <c r="H203" i="1" s="1"/>
  <c r="F204" i="1"/>
  <c r="H204" i="1" s="1"/>
  <c r="H202" i="1"/>
  <c r="F194" i="1"/>
  <c r="H194" i="1" s="1"/>
  <c r="F189" i="1"/>
  <c r="H189" i="1" s="1"/>
  <c r="H185" i="1"/>
  <c r="B252" i="1"/>
  <c r="A193" i="1"/>
  <c r="A207" i="1"/>
  <c r="A218" i="1"/>
  <c r="C141" i="1" l="1"/>
  <c r="G140" i="1"/>
  <c r="G138" i="1"/>
  <c r="C135" i="1"/>
  <c r="E138" i="1"/>
  <c r="E139" i="1"/>
  <c r="E140" i="1"/>
  <c r="H201" i="1"/>
  <c r="G139" i="1" s="1"/>
  <c r="F151" i="1"/>
  <c r="H151" i="1" s="1"/>
  <c r="F152" i="1"/>
  <c r="H152" i="1" s="1"/>
  <c r="F153" i="1"/>
  <c r="H153" i="1" s="1"/>
  <c r="F150" i="1"/>
  <c r="A194" i="1"/>
  <c r="A219" i="1"/>
  <c r="A208" i="1"/>
  <c r="G141" i="1" l="1"/>
  <c r="E141" i="1"/>
  <c r="H150" i="1"/>
  <c r="G132" i="1" s="1"/>
  <c r="G135" i="1" s="1"/>
  <c r="E132" i="1"/>
  <c r="E135" i="1" s="1"/>
  <c r="G58" i="1"/>
  <c r="C58" i="1"/>
  <c r="G56" i="1"/>
  <c r="C56" i="1"/>
  <c r="C54" i="1"/>
  <c r="A220" i="1"/>
  <c r="A209" i="1"/>
  <c r="A195" i="1"/>
  <c r="S33" i="1" l="1"/>
  <c r="A196" i="1"/>
  <c r="F11" i="5" l="1"/>
  <c r="G11" i="5" s="1"/>
  <c r="G10" i="5"/>
  <c r="F10" i="5"/>
  <c r="F9" i="5"/>
  <c r="G9" i="5" s="1"/>
  <c r="F8" i="5"/>
  <c r="G8" i="5" s="1"/>
  <c r="F7" i="5"/>
  <c r="G7" i="5" s="1"/>
  <c r="F6" i="5"/>
  <c r="G6" i="5" s="1"/>
  <c r="F5" i="5"/>
  <c r="G5" i="5" s="1"/>
  <c r="G12" i="5" s="1"/>
  <c r="D275" i="1"/>
  <c r="B253" i="1"/>
  <c r="F249" i="1"/>
  <c r="H249" i="1" s="1"/>
  <c r="F248" i="1"/>
  <c r="H248" i="1" s="1"/>
  <c r="F247" i="1"/>
  <c r="H247" i="1" s="1"/>
  <c r="F246" i="1"/>
  <c r="H246" i="1" s="1"/>
  <c r="F245" i="1"/>
  <c r="H245" i="1" s="1"/>
  <c r="F243" i="1"/>
  <c r="H243" i="1" s="1"/>
  <c r="F242" i="1"/>
  <c r="H242" i="1" s="1"/>
  <c r="F241" i="1"/>
  <c r="H241" i="1" s="1"/>
  <c r="F240" i="1"/>
  <c r="H240" i="1" s="1"/>
  <c r="F239" i="1"/>
  <c r="H239" i="1" s="1"/>
  <c r="F237" i="1"/>
  <c r="H237" i="1" s="1"/>
  <c r="F236" i="1"/>
  <c r="H236" i="1" s="1"/>
  <c r="F235" i="1"/>
  <c r="H235" i="1" s="1"/>
  <c r="F234" i="1"/>
  <c r="H234" i="1" s="1"/>
  <c r="F233" i="1"/>
  <c r="H233" i="1" s="1"/>
  <c r="F231" i="1"/>
  <c r="H231" i="1" s="1"/>
  <c r="F230" i="1"/>
  <c r="H230" i="1" s="1"/>
  <c r="F229" i="1"/>
  <c r="H229" i="1" s="1"/>
  <c r="F228" i="1"/>
  <c r="H228" i="1" s="1"/>
  <c r="F227" i="1"/>
  <c r="H227" i="1" s="1"/>
  <c r="A227" i="1"/>
  <c r="A228" i="1" s="1"/>
  <c r="A229" i="1" s="1"/>
  <c r="A230" i="1" s="1"/>
  <c r="A231" i="1" s="1"/>
  <c r="F225" i="1"/>
  <c r="H225" i="1" s="1"/>
  <c r="F224" i="1"/>
  <c r="H224" i="1" s="1"/>
  <c r="F223" i="1"/>
  <c r="H223" i="1" s="1"/>
  <c r="A223" i="1"/>
  <c r="A224" i="1" s="1"/>
  <c r="A225" i="1" s="1"/>
  <c r="F222" i="1"/>
  <c r="H222" i="1" s="1"/>
  <c r="A151" i="1"/>
  <c r="A152" i="1" s="1"/>
  <c r="A153" i="1" s="1"/>
  <c r="A154" i="1" s="1"/>
  <c r="A155" i="1" s="1"/>
  <c r="A156" i="1" s="1"/>
  <c r="A157" i="1" s="1"/>
  <c r="A158" i="1" s="1"/>
  <c r="A159" i="1" s="1"/>
  <c r="A160" i="1" s="1"/>
  <c r="A161" i="1" s="1"/>
  <c r="G142" i="1"/>
  <c r="E142" i="1"/>
  <c r="C142" i="1"/>
  <c r="F129" i="1"/>
  <c r="C103" i="1"/>
  <c r="C75" i="1"/>
  <c r="D69" i="1"/>
  <c r="C51" i="1"/>
  <c r="E44" i="1"/>
  <c r="E45" i="1" s="1"/>
  <c r="E31" i="1"/>
  <c r="E28" i="1"/>
  <c r="E26" i="1"/>
  <c r="C16" i="1"/>
  <c r="I15" i="1"/>
  <c r="Z13" i="1"/>
  <c r="E3" i="1"/>
  <c r="H104" i="1"/>
  <c r="A233" i="1"/>
  <c r="A245" i="1"/>
  <c r="H90" i="1"/>
  <c r="A197" i="1"/>
  <c r="H76" i="1"/>
  <c r="A239" i="1"/>
  <c r="J75" i="1" l="1"/>
  <c r="J77" i="1" s="1"/>
  <c r="J78" i="1"/>
  <c r="J79" i="1"/>
  <c r="J80" i="1"/>
  <c r="C79" i="1" s="1"/>
  <c r="J94" i="1"/>
  <c r="D98" i="1"/>
  <c r="D100" i="1"/>
  <c r="J93" i="1"/>
  <c r="D99" i="1"/>
  <c r="J89" i="1"/>
  <c r="J91" i="1" s="1"/>
  <c r="D97" i="1"/>
  <c r="J92" i="1"/>
  <c r="D96" i="1"/>
  <c r="D102" i="1"/>
  <c r="D101" i="1"/>
  <c r="D95" i="1"/>
  <c r="D83" i="1"/>
  <c r="D85" i="1"/>
  <c r="D84" i="1"/>
  <c r="D88" i="1"/>
  <c r="D82" i="1"/>
  <c r="D87" i="1"/>
  <c r="D81" i="1"/>
  <c r="D86" i="1"/>
  <c r="J103" i="1"/>
  <c r="J105" i="1" s="1"/>
  <c r="D112" i="1"/>
  <c r="D114" i="1"/>
  <c r="J108" i="1"/>
  <c r="C107" i="1" s="1"/>
  <c r="D107" i="1" s="1"/>
  <c r="D113" i="1"/>
  <c r="J107" i="1"/>
  <c r="D111" i="1"/>
  <c r="J106" i="1"/>
  <c r="D110" i="1"/>
  <c r="D116" i="1"/>
  <c r="D115" i="1"/>
  <c r="B104" i="1"/>
  <c r="B90" i="1"/>
  <c r="B76" i="1"/>
  <c r="J81" i="1" s="1"/>
  <c r="A246" i="1"/>
  <c r="A240" i="1"/>
  <c r="A234" i="1"/>
  <c r="A198" i="1"/>
  <c r="C93" i="1" l="1"/>
  <c r="D93" i="1" s="1"/>
  <c r="D79" i="1"/>
  <c r="D109" i="1"/>
  <c r="J114" i="1"/>
  <c r="J111" i="1"/>
  <c r="J113" i="1"/>
  <c r="J112" i="1"/>
  <c r="J109" i="1"/>
  <c r="J100" i="1"/>
  <c r="J97" i="1"/>
  <c r="J99" i="1"/>
  <c r="J98" i="1"/>
  <c r="J95" i="1"/>
  <c r="J85" i="1"/>
  <c r="J83" i="1"/>
  <c r="J84" i="1"/>
  <c r="J82" i="1"/>
  <c r="J87" i="1" s="1"/>
  <c r="J88" i="1" s="1"/>
  <c r="C80" i="1" s="1"/>
  <c r="J86" i="1"/>
  <c r="A247" i="1"/>
  <c r="A241" i="1"/>
  <c r="A235" i="1"/>
  <c r="J110" i="1" l="1"/>
  <c r="C108" i="1" s="1"/>
  <c r="J96" i="1"/>
  <c r="J76" i="1"/>
  <c r="E79" i="1"/>
  <c r="D80" i="1"/>
  <c r="I76" i="1" s="1"/>
  <c r="G79" i="1"/>
  <c r="D73" i="1" s="1"/>
  <c r="A236" i="1"/>
  <c r="A248" i="1"/>
  <c r="A242" i="1"/>
  <c r="J101" i="1" l="1"/>
  <c r="J115" i="1"/>
  <c r="J116" i="1" s="1"/>
  <c r="F74" i="1"/>
  <c r="D74" i="1"/>
  <c r="I77" i="1"/>
  <c r="I75" i="1" s="1"/>
  <c r="C77" i="1" s="1"/>
  <c r="A237" i="1"/>
  <c r="A243" i="1"/>
  <c r="A249" i="1"/>
  <c r="J102" i="1" l="1"/>
  <c r="C94" i="1"/>
  <c r="D108" i="1"/>
  <c r="I104" i="1" s="1"/>
  <c r="I105" i="1" s="1"/>
  <c r="J104" i="1"/>
  <c r="G107" i="1"/>
  <c r="E107" i="1"/>
  <c r="G93" i="1" l="1"/>
  <c r="D94" i="1"/>
  <c r="I90" i="1" s="1"/>
  <c r="E93" i="1"/>
  <c r="J90" i="1"/>
  <c r="I103" i="1"/>
  <c r="C105" i="1" s="1"/>
  <c r="I91" i="1" l="1"/>
  <c r="I89" i="1" s="1"/>
  <c r="C91"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1"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80"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<sst xmlns="http://schemas.openxmlformats.org/spreadsheetml/2006/main" count="678" uniqueCount="361">
  <si>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</si>
  <si>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</si>
  <si>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</si>
  <si>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</si>
  <si>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</si>
  <si>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</si>
  <si>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</si>
  <si>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</si>
  <si>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</si>
  <si>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</si>
  <si>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</si>
  <si>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</si>
  <si>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</si>
  <si>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</si>
  <si>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</si>
  <si>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</si>
  <si>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</si>
  <si>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</si>
  <si>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</si>
  <si>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</si>
  <si>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</si>
  <si>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</si>
  <si>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</si>
  <si>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</si>
  <si>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</si>
  <si>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</si>
  <si>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</si>
  <si>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</si>
  <si>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</si>
  <si>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</si>
  <si>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</si>
  <si>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</si>
  <si>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</si>
  <si>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</si>
  <si>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</si>
  <si>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</si>
  <si>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</si>
  <si>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</si>
  <si>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</si>
  <si>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</si>
  <si>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</si>
  <si>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</si>
  <si>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</si>
  <si>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</si>
  <si>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</si>
  <si>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</si>
  <si>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</si>
  <si>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</si>
  <si>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</si>
  <si>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</si>
  <si>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</si>
  <si>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</si>
  <si>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</si>
  <si>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</si>
  <si>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</si>
  <si>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</si>
  <si>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</si>
  <si>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</si>
  <si>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</si>
  <si>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</si>
  <si>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</si>
  <si>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</si>
  <si>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</si>
  <si>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</si>
  <si>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</si>
  <si>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</si>
  <si>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</si>
  <si>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</si>
  <si>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</si>
  <si>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</si>
  <si>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</si>
  <si>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</si>
  <si>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</si>
  <si>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</si>
  <si>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</si>
  <si>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</si>
  <si>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</si>
  <si>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</si>
  <si>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</si>
  <si>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</si>
  <si>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</si>
  <si>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</si>
  <si>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</si>
  <si>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</si>
  <si>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</si>
  <si>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</si>
  <si>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</si>
  <si>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</si>
  <si>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</si>
  <si>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</si>
  <si>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</si>
  <si>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</si>
  <si>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</si>
  <si>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</si>
  <si>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</si>
  <si>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</si>
  <si>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</si>
  <si>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</si>
  <si>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</si>
  <si>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</si>
  <si>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</si>
  <si>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</si>
  <si>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</si>
  <si>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</si>
  <si>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</si>
  <si>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</si>
  <si>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</si>
  <si>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</si>
  <si>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</si>
  <si>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</si>
  <si>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</si>
  <si>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</si>
  <si>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</si>
  <si>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</si>
  <si>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</si>
  <si>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</si>
  <si>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</si>
  <si>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</si>
  <si>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</si>
  <si>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</si>
  <si>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</si>
  <si>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</si>
  <si>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</si>
  <si>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</si>
  <si>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</si>
  <si>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</si>
  <si>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</si>
  <si>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</si>
  <si>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</si>
  <si>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</si>
  <si>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</si>
  <si>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</si>
  <si>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</si>
  <si>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</si>
  <si>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</si>
  <si>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</si>
  <si>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</si>
  <si>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</si>
  <si>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</si>
  <si>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</si>
  <si>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</si>
  <si>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</si>
  <si>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</si>
  <si>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</si>
  <si>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</si>
  <si>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</si>
  <si>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</si>
  <si>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</si>
  <si>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</si>
  <si>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</si>
  <si>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</si>
  <si>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</si>
  <si>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</si>
  <si>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</si>
  <si>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</si>
  <si>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</si>
  <si>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</si>
  <si>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</si>
  <si>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</si>
  <si>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</si>
  <si>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</si>
  <si>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</si>
  <si>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</si>
  <si>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</si>
  <si>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</si>
  <si>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</si>
  <si>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</si>
  <si>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</si>
  <si>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</si>
  <si>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</si>
  <si>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</si>
  <si>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</si>
  <si>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</si>
  <si>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</si>
  <si>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</si>
  <si>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</si>
  <si>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</si>
  <si>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</si>
  <si>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</si>
  <si>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</si>
  <si>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</si>
  <si>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</si>
  <si>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</si>
  <si>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</si>
  <si>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</si>
  <si>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</si>
  <si>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</si>
  <si>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</si>
  <si>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</si>
  <si>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</si>
  <si>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</si>
  <si>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</si>
  <si>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</si>
  <si>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</si>
  <si>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</si>
  <si>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</si>
  <si>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</si>
  <si>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</si>
  <si>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</si>
  <si>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</si>
  <si>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</si>
  <si>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</si>
  <si>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</si>
  <si>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</si>
  <si>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</si>
  <si>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</si>
  <si>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</si>
  <si>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</si>
  <si>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</si>
  <si>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</si>
  <si>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</si>
  <si>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</si>
  <si>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</si>
  <si>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</si>
  <si>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</si>
  <si>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</si>
  <si>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</si>
  <si>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</si>
  <si>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</si>
  <si>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</si>
  <si>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</si>
  <si>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</si>
  <si>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</si>
  <si>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</si>
  <si>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</si>
  <si>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</si>
  <si>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</si>
  <si>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</si>
  <si>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</si>
  <si>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</si>
  <si>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</si>
  <si>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</si>
  <si>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</si>
  <si>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</si>
  <si>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</si>
  <si>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</si>
  <si>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</si>
  <si>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</si>
  <si>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</si>
  <si>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</si>
  <si>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</si>
  <si>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</si>
  <si>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</si>
  <si>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</si>
  <si>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</si>
  <si>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</si>
  <si>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</si>
  <si>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</si>
  <si>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</si>
  <si>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</si>
  <si>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</si>
  <si>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</si>
  <si>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</si>
  <si>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</si>
  <si>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</si>
  <si>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</si>
  <si>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</si>
  <si>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</si>
  <si>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</si>
  <si>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</si>
  <si>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</si>
  <si>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</si>
  <si>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</si>
  <si>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</si>
  <si>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</si>
  <si>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</si>
  <si>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</si>
  <si>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</si>
  <si>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</si>
  <si>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</si>
  <si>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</si>
  <si>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</si>
  <si>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</si>
  <si>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</si>
  <si>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</si>
  <si>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</si>
  <si>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</si>
  <si>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</si>
  <si>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</si>
  <si>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</si>
  <si>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</si>
  <si>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</si>
  <si>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</si>
  <si>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</si>
  <si>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</si>
  <si>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</si>
  <si>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</si>
  <si>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</si>
  <si>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</si>
  <si>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</si>
  <si>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</si>
  <si>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</si>
  <si>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</si>
  <si>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</si>
  <si>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</si>
  <si>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</si>
  <si>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</si>
  <si>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</si>
  <si>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</si>
  <si>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</si>
  <si>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</si>
  <si>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</si>
  <si>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 xml:space="preserve">Om Value Homes
</t>
  </si>
  <si>
    <t>Fair Township Building No 1</t>
  </si>
  <si>
    <t>Building No.1 (Wing A, B, C)</t>
  </si>
  <si>
    <t>P99000055618</t>
  </si>
  <si>
    <t>Gut No</t>
  </si>
  <si>
    <t>Dhansar</t>
  </si>
  <si>
    <t>Internal Road</t>
  </si>
  <si>
    <t>4.4 KM from Palghar Railway Station</t>
  </si>
  <si>
    <t>Palghar West</t>
  </si>
  <si>
    <t>Sai Siddi Developers</t>
  </si>
  <si>
    <t>Plot (Gut No. 230 &amp; 231)</t>
  </si>
  <si>
    <t>Other Plot</t>
  </si>
  <si>
    <t>45 M W Road</t>
  </si>
  <si>
    <t>Open Plot</t>
  </si>
  <si>
    <t>19.6921271, 72.7343468</t>
  </si>
  <si>
    <t>https://maps.app.goo.gl/QVmMDcxYw21jazwr9</t>
  </si>
  <si>
    <t>03 Wings</t>
  </si>
  <si>
    <t>Mahsul/K-1/MJ1/BSP/SR/CR/227/2022</t>
  </si>
  <si>
    <t>Mahsul/K-1/T1/NAP/SR/CR/227/2022</t>
  </si>
  <si>
    <t>Building No.1 (Wing A, B, C) = G + 1st to 7th Floor</t>
  </si>
  <si>
    <t>As per RERA - 31/12/2026</t>
  </si>
  <si>
    <t>Ground Floor For Commercial, Parking &amp; Lobby</t>
  </si>
  <si>
    <t>RERA Carpet area</t>
  </si>
  <si>
    <t>Shop</t>
  </si>
  <si>
    <t>Children's Play Area, Recreation Facilities, Vastu Compliant, Club House, Landscaping &amp; Tree, CCTV, etc.</t>
  </si>
  <si>
    <t>1BHK</t>
  </si>
  <si>
    <t>3BHK</t>
  </si>
  <si>
    <t>2nd to 7th Floor For Residential</t>
  </si>
  <si>
    <t>1st Floor For Residential</t>
  </si>
  <si>
    <t>Building No.1</t>
  </si>
  <si>
    <t>Wing A</t>
  </si>
  <si>
    <t>Wing B</t>
  </si>
  <si>
    <t>Wing C</t>
  </si>
  <si>
    <t>Ground Floor For Commercial, Society Office, Drivers Room, Parking &amp; Lobby</t>
  </si>
  <si>
    <t>Commercial Area Details : Shops</t>
  </si>
  <si>
    <t>Residential Area Details :Flats</t>
  </si>
  <si>
    <t>Flats -105, Shops -24</t>
  </si>
  <si>
    <t xml:space="preserve">232/5/1 </t>
  </si>
  <si>
    <t>We considered Gross carpet area = Net carpet + Enclose balcony + Balcony Area.</t>
  </si>
  <si>
    <t>Approved Plans, CC, Cost Sheet</t>
  </si>
  <si>
    <t>Building No.1 A Wing = G + 1st to 7th Floor
Building No.1 B Wing = G + 1st to 7th Floor
Building No.1 C Wing = G + 1st to 7th Floor</t>
  </si>
  <si>
    <t>Building No.1 B Wing = G + 1st to 7th Floor</t>
  </si>
  <si>
    <t>Building No.1 C Wing = G + 1st to 7th Floor</t>
  </si>
  <si>
    <t>Building No.1 A Wing = G + 1st to 7th Floor</t>
  </si>
  <si>
    <r>
      <t xml:space="preserve">Proposed Amenities :                                                                                                                                                                                                                         </t>
    </r>
    <r>
      <rPr>
        <b/>
        <sz val="12"/>
        <rFont val="Times New Roman"/>
        <family val="1"/>
      </rPr>
      <t xml:space="preserve">                                               </t>
    </r>
  </si>
  <si>
    <t>2.5BHK</t>
  </si>
  <si>
    <t>1.5BHK</t>
  </si>
  <si>
    <t>Mr. Rajiv : 8080409787</t>
  </si>
  <si>
    <t>OC = 100000 akash mote verbal and cost sheet    05/12/2024</t>
  </si>
  <si>
    <t>Recommended Other charges of the Property have been revised on 05/12/2024.</t>
  </si>
  <si>
    <t>All Other Charges</t>
  </si>
  <si>
    <t>Pooja Kawale</t>
  </si>
  <si>
    <t>Footing In process</t>
  </si>
  <si>
    <t>Yadnyesh Patil</t>
  </si>
  <si>
    <t>Building No.1 B Wing = G + 1st to 7th Floor
Building No.1 C Wing = G + 1st to 7th Floor</t>
  </si>
  <si>
    <t>Work is stop from June 2024 please check before increasing the stage</t>
  </si>
  <si>
    <t>Wing A = Construction work is in process at the time of Visit (Labour found).
Wing B &amp; C = Construction work is same as last visit (dtd. 08/02/2025).</t>
  </si>
  <si>
    <t xml:space="preserve">
</t>
  </si>
  <si>
    <t>There is an error in wing C.  The construction percentage has been changed in the report dtd 22/07/2025. As per the earlier site visit dtd. 13/05/2025 we were misguided and shown a different building as Wing C. Hence, we have rectified the error, and the revised stage construction is been updated in the report.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</si>
</sst>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s>
  <fills count="3">
    <fill>
      <patternFill patternType="none"/>
    </fill>
    <fill>
      <patternFill patternType="gray125"/>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26">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12"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6" fillId="0" borderId="1" xfId="1" applyNumberFormat="1" applyFont="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1" fontId="7" fillId="0" borderId="1" xfId="1" applyNumberFormat="1" applyFont="1" applyBorder="1" applyAlignment="1">
      <alignment horizontal="center" vertical="center"/>
    </xf>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9" fontId="12" fillId="0" borderId="7" xfId="8" applyFont="1" applyFill="1" applyBorder="1" applyAlignment="1" applyProtection="1">
      <alignment horizontal="center" vertical="top" wrapText="1"/>
      <protection locked="0"/>
    </xf>
    <xf numFmtId="1" fontId="12" fillId="0" borderId="1" xfId="1" applyNumberFormat="1" applyFont="1" applyBorder="1" applyAlignment="1" applyProtection="1">
      <alignment horizontal="center" vertical="top" wrapText="1"/>
      <protection locked="0"/>
    </xf>
    <xf numFmtId="1" fontId="13" fillId="0" borderId="3" xfId="1" applyNumberFormat="1" applyFont="1" applyBorder="1" applyAlignment="1" applyProtection="1">
      <alignment horizontal="center" vertical="top" wrapText="1"/>
      <protection locked="0"/>
    </xf>
    <xf numFmtId="9" fontId="13" fillId="0" borderId="16" xfId="8" applyFont="1" applyFill="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25" fillId="2" borderId="15" xfId="0" applyFont="1" applyFill="1" applyBorder="1"/>
    <xf numFmtId="0" fontId="26" fillId="0" borderId="9" xfId="0" applyFont="1" applyBorder="1"/>
    <xf numFmtId="0" fontId="12" fillId="0" borderId="1" xfId="1" applyFont="1" applyBorder="1" applyAlignment="1" applyProtection="1">
      <alignment horizontal="left" vertical="top"/>
      <protection locked="0"/>
    </xf>
    <xf numFmtId="0" fontId="6" fillId="0" borderId="1" xfId="1" applyFont="1" applyBorder="1" applyAlignment="1" applyProtection="1">
      <alignment horizontal="left" vertical="top"/>
      <protection locked="0"/>
    </xf>
    <xf numFmtId="167" fontId="12" fillId="0" borderId="1" xfId="9" applyNumberFormat="1" applyFont="1" applyFill="1" applyBorder="1" applyAlignment="1" applyProtection="1">
      <alignment horizontal="left" vertical="top"/>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6" fillId="0" borderId="1"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0" fontId="12" fillId="0" borderId="6" xfId="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center" wrapText="1"/>
      <protection locked="0"/>
    </xf>
    <xf numFmtId="1" fontId="10" fillId="0" borderId="3" xfId="0" applyNumberFormat="1"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12" fillId="0" borderId="4" xfId="1" applyFont="1" applyBorder="1" applyAlignment="1" applyProtection="1">
      <alignment horizontal="center" vertical="top" wrapText="1"/>
      <protection locked="0"/>
    </xf>
    <xf numFmtId="1" fontId="7" fillId="0" borderId="8" xfId="0" applyNumberFormat="1"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1" fontId="8" fillId="0" borderId="1" xfId="0"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1" fontId="7" fillId="0" borderId="1" xfId="0" applyNumberFormat="1" applyFont="1" applyBorder="1" applyAlignment="1" applyProtection="1">
      <alignment horizontal="center" vertical="center"/>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9" fontId="12" fillId="0" borderId="17" xfId="8" applyFont="1" applyFill="1" applyBorder="1" applyAlignment="1" applyProtection="1">
      <alignment horizontal="center" vertical="center" wrapText="1"/>
      <protection locked="0"/>
    </xf>
    <xf numFmtId="9" fontId="12" fillId="0" borderId="27"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9" fontId="12" fillId="0" borderId="10" xfId="8" applyFont="1" applyFill="1" applyBorder="1" applyAlignment="1" applyProtection="1">
      <alignment horizontal="center" vertical="center" wrapText="1"/>
      <protection locked="0"/>
    </xf>
    <xf numFmtId="9" fontId="12" fillId="0" borderId="28" xfId="8" applyFont="1" applyFill="1" applyBorder="1" applyAlignment="1" applyProtection="1">
      <alignment horizontal="center" vertical="center" wrapText="1"/>
      <protection locked="0"/>
    </xf>
    <xf numFmtId="9" fontId="12" fillId="0" borderId="12" xfId="8" applyFont="1" applyFill="1" applyBorder="1" applyAlignment="1" applyProtection="1">
      <alignment horizontal="center" vertical="center" wrapText="1"/>
      <protection locked="0"/>
    </xf>
    <xf numFmtId="1" fontId="13" fillId="0" borderId="3" xfId="1" applyNumberFormat="1" applyFont="1" applyBorder="1" applyAlignment="1" applyProtection="1">
      <alignment horizontal="center" vertical="top" wrapText="1"/>
      <protection locked="0"/>
    </xf>
    <xf numFmtId="1" fontId="13" fillId="0" borderId="16" xfId="1" applyNumberFormat="1" applyFont="1" applyBorder="1" applyAlignment="1" applyProtection="1">
      <alignment horizontal="center" vertical="top" wrapText="1"/>
      <protection locked="0"/>
    </xf>
    <xf numFmtId="0" fontId="8" fillId="0" borderId="1" xfId="1" applyFont="1" applyBorder="1" applyAlignment="1" applyProtection="1">
      <alignment horizontal="left" vertical="top"/>
      <protection locked="0"/>
    </xf>
    <xf numFmtId="0" fontId="12" fillId="0" borderId="5" xfId="1" applyFont="1" applyBorder="1" applyAlignment="1" applyProtection="1">
      <alignment horizontal="center"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0" fontId="27"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center"/>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13" fillId="0" borderId="22" xfId="1" applyFont="1" applyBorder="1" applyAlignment="1" applyProtection="1">
      <alignment horizontal="left" vertical="top" wrapText="1"/>
      <protection locked="0"/>
    </xf>
    <xf numFmtId="0" fontId="13" fillId="0" borderId="15" xfId="1" applyFont="1" applyBorder="1" applyAlignment="1" applyProtection="1">
      <alignment horizontal="left" vertical="top" wrapText="1"/>
      <protection locked="0"/>
    </xf>
    <xf numFmtId="0" fontId="13" fillId="0" borderId="13"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13" fillId="0" borderId="23"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2"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9" fontId="12" fillId="0" borderId="1" xfId="8" applyFont="1" applyFill="1" applyBorder="1" applyAlignment="1" applyProtection="1">
      <alignment horizontal="center" vertical="center" wrapText="1"/>
      <protection locked="0"/>
    </xf>
    <xf numFmtId="2" fontId="6" fillId="0" borderId="1" xfId="1" applyNumberFormat="1" applyFont="1" applyBorder="1" applyAlignment="1" applyProtection="1">
      <alignment horizontal="left" vertical="top" wrapText="1"/>
      <protection locked="0"/>
    </xf>
    <xf numFmtId="0" fontId="12" fillId="0" borderId="16" xfId="1" applyFont="1" applyBorder="1" applyAlignment="1" applyProtection="1">
      <alignment horizontal="left" vertical="top" wrapText="1"/>
      <protection locked="0"/>
    </xf>
    <xf numFmtId="9" fontId="12" fillId="0" borderId="18" xfId="8" applyFont="1" applyFill="1" applyBorder="1" applyAlignment="1" applyProtection="1">
      <alignment horizontal="center" vertical="center" wrapText="1"/>
      <protection locked="0"/>
    </xf>
    <xf numFmtId="9" fontId="12" fillId="0" borderId="26" xfId="8" applyFont="1" applyFill="1" applyBorder="1" applyAlignment="1" applyProtection="1">
      <alignment horizontal="center" vertical="center" wrapText="1"/>
      <protection locked="0"/>
    </xf>
    <xf numFmtId="9" fontId="12" fillId="0" borderId="29" xfId="8" applyFont="1" applyFill="1" applyBorder="1" applyAlignment="1" applyProtection="1">
      <alignment horizontal="center" vertical="center" wrapText="1"/>
      <protection locked="0"/>
    </xf>
    <xf numFmtId="1" fontId="12"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6" fillId="0" borderId="21" xfId="1" applyFont="1" applyBorder="1" applyAlignment="1" applyProtection="1">
      <alignment horizontal="left" vertical="top" wrapText="1"/>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6" fillId="0" borderId="1" xfId="1" applyFont="1" applyBorder="1" applyAlignment="1" applyProtection="1">
      <alignment horizontal="left" vertical="top" wrapText="1"/>
      <protection locked="0"/>
    </xf>
    <xf numFmtId="0" fontId="12" fillId="0" borderId="1" xfId="1" applyFont="1" applyBorder="1" applyAlignment="1" applyProtection="1">
      <alignment horizontal="left"/>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8" fillId="0" borderId="1" xfId="0" applyNumberFormat="1" applyFont="1" applyBorder="1" applyAlignment="1" applyProtection="1">
      <alignment horizontal="center" vertical="top" wrapText="1"/>
      <protection locked="0"/>
    </xf>
    <xf numFmtId="1" fontId="6" fillId="0" borderId="21" xfId="1"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top" wrapText="1"/>
      <protection locked="0"/>
    </xf>
    <xf numFmtId="0" fontId="8" fillId="0" borderId="16" xfId="1" applyFont="1" applyBorder="1" applyAlignment="1" applyProtection="1">
      <alignment horizontal="center" vertical="top"/>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1" fontId="10" fillId="0" borderId="33" xfId="0" applyNumberFormat="1" applyFont="1" applyBorder="1" applyAlignment="1" applyProtection="1">
      <alignment horizontal="center" vertical="center"/>
      <protection locked="0"/>
    </xf>
    <xf numFmtId="1" fontId="10" fillId="0" borderId="33" xfId="0" applyNumberFormat="1" applyFont="1" applyBorder="1" applyAlignment="1" applyProtection="1">
      <alignment horizontal="center" vertical="top"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0" fontId="12" fillId="0" borderId="19" xfId="1" applyFont="1" applyBorder="1" applyAlignment="1" applyProtection="1">
      <alignment horizontal="left" vertical="top"/>
      <protection locked="0"/>
    </xf>
    <xf numFmtId="0" fontId="12" fillId="0" borderId="2" xfId="1" applyFont="1" applyBorder="1" applyAlignment="1" applyProtection="1">
      <alignment horizontal="left" vertical="top"/>
      <protection locked="0"/>
    </xf>
    <xf numFmtId="0" fontId="12" fillId="0" borderId="20" xfId="1" applyFont="1" applyBorder="1" applyAlignment="1" applyProtection="1">
      <alignment horizontal="left" vertical="top"/>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17" xfId="1" applyFont="1" applyBorder="1" applyAlignment="1" applyProtection="1">
      <alignment horizontal="left" vertical="top"/>
      <protection locked="0"/>
    </xf>
    <xf numFmtId="0" fontId="12" fillId="0" borderId="24" xfId="1" applyFont="1" applyBorder="1" applyAlignment="1" applyProtection="1">
      <alignment horizontal="left" vertical="top"/>
      <protection locked="0"/>
    </xf>
    <xf numFmtId="0" fontId="12" fillId="0" borderId="18" xfId="1" applyFont="1" applyBorder="1" applyAlignment="1" applyProtection="1">
      <alignment horizontal="left" vertical="top"/>
      <protection locked="0"/>
    </xf>
    <xf numFmtId="0" fontId="12" fillId="0" borderId="25" xfId="1" applyFont="1" applyBorder="1" applyAlignment="1" applyProtection="1">
      <alignment horizontal="left" vertical="top"/>
      <protection locked="0"/>
    </xf>
    <xf numFmtId="0" fontId="12" fillId="0" borderId="0" xfId="1" applyFont="1" applyAlignment="1" applyProtection="1">
      <alignment horizontal="left" vertical="top"/>
      <protection locked="0"/>
    </xf>
    <xf numFmtId="0" fontId="12" fillId="0" borderId="26" xfId="1" applyFont="1" applyBorder="1" applyAlignment="1" applyProtection="1">
      <alignment horizontal="left" vertical="top"/>
      <protection locked="0"/>
    </xf>
    <xf numFmtId="0" fontId="6" fillId="0" borderId="1" xfId="1" applyFont="1" applyBorder="1" applyAlignment="1" applyProtection="1">
      <alignment vertical="top"/>
      <protection locked="0"/>
    </xf>
    <xf numFmtId="14" fontId="6" fillId="0" borderId="8" xfId="1" applyNumberFormat="1" applyFont="1" applyBorder="1" applyAlignment="1" applyProtection="1">
      <alignment horizontal="left" vertical="top" wrapText="1"/>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7" fillId="0" borderId="25" xfId="1" applyFont="1" applyBorder="1" applyAlignment="1">
      <alignment horizontal="center"/>
    </xf>
    <xf numFmtId="0" fontId="7" fillId="0" borderId="0" xfId="1" applyFont="1" applyAlignment="1">
      <alignment horizontal="center"/>
    </xf>
    <xf numFmtId="0" fontId="13" fillId="0" borderId="1" xfId="1" applyFont="1" applyBorder="1" applyAlignment="1" applyProtection="1">
      <alignment horizontal="center" vertical="top"/>
      <protection locked="0"/>
    </xf>
    <xf numFmtId="0" fontId="6" fillId="0" borderId="1" xfId="1" applyFont="1" applyFill="1" applyBorder="1" applyAlignment="1" applyProtection="1">
      <alignment horizontal="left"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9" fillId="0" borderId="1" xfId="5" applyFont="1" applyBorder="1" applyAlignment="1">
      <alignment horizontal="left"/>
    </xf>
    <xf numFmtId="0" fontId="15" fillId="0" borderId="35" xfId="1" applyFont="1" applyBorder="1" applyAlignment="1">
      <alignment horizontal="center" wrapText="1"/>
    </xf>
    <xf numFmtId="0" fontId="15" fillId="0" borderId="0" xfId="1" applyFont="1" applyBorder="1" applyAlignment="1">
      <alignment horizontal="center" wrapText="1"/>
    </xf>
    <xf numFmtId="0" fontId="7" fillId="0" borderId="0" xfId="0" applyFont="1" applyAlignment="1">
      <alignment horizontal="center" vertical="center" wrapText="1"/>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pn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6.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4.png"/></Relationships>
</file>

<file path=xl/drawings/drawing1.xml><?xml version="1.0" encoding="utf-8"?>
<xdr:wsDr xmlns:xdr="http://schemas.openxmlformats.org/drawingml/2006/spreadsheetDrawing" xmlns:a="http://schemas.openxmlformats.org/drawingml/2006/main">
  <xdr:twoCellAnchor editAs="oneCell">
    <xdr:from>
      <xdr:col>2</xdr:col>
      <xdr:colOff>40343</xdr:colOff>
      <xdr:row>336</xdr:row>
      <xdr:rowOff>190500</xdr:rowOff>
    </xdr:from>
    <xdr:to>
      <xdr:col>5</xdr:col>
      <xdr:colOff>371477</xdr:colOff>
      <xdr:row>357</xdr:row>
      <xdr:rowOff>183777</xdr:rowOff>
    </xdr:to>
    <xdr:pic>
      <xdr:nvPicPr>
        <xdr:cNvPr id="3" name="Picture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stretch>
          <a:fillRect/>
        </a:stretch>
      </xdr:blipFill>
      <xdr:spPr>
        <a:xfrm>
          <a:off x="1597961" y="64624324"/>
          <a:ext cx="2886075" cy="4229100"/>
        </a:xfrm>
        <a:prstGeom prst="rect">
          <a:avLst/>
        </a:prstGeom>
        <a:ln>
          <a:solidFill>
            <a:schemeClr val="tx1"/>
          </a:solidFill>
        </a:ln>
      </xdr:spPr>
    </xdr:pic>
    <xdr:clientData/>
  </xdr:twoCellAnchor>
  <xdr:twoCellAnchor editAs="oneCell">
    <xdr:from>
      <xdr:col>1</xdr:col>
      <xdr:colOff>694764</xdr:colOff>
      <xdr:row>318</xdr:row>
      <xdr:rowOff>67236</xdr:rowOff>
    </xdr:from>
    <xdr:to>
      <xdr:col>5</xdr:col>
      <xdr:colOff>558491</xdr:colOff>
      <xdr:row>336</xdr:row>
      <xdr:rowOff>36530</xdr:rowOff>
    </xdr:to>
    <xdr:pic>
      <xdr:nvPicPr>
        <xdr:cNvPr id="5" name="Picture 4">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2"/>
        <a:stretch>
          <a:fillRect/>
        </a:stretch>
      </xdr:blipFill>
      <xdr:spPr>
        <a:xfrm>
          <a:off x="1456764" y="60870354"/>
          <a:ext cx="3214286" cy="3600000"/>
        </a:xfrm>
        <a:prstGeom prst="rect">
          <a:avLst/>
        </a:prstGeom>
        <a:ln>
          <a:solidFill>
            <a:schemeClr val="tx1"/>
          </a:solidFill>
        </a:ln>
      </xdr:spPr>
    </xdr:pic>
    <xdr:clientData/>
  </xdr:twoCellAnchor>
  <xdr:twoCellAnchor editAs="oneCell">
    <xdr:from>
      <xdr:col>0</xdr:col>
      <xdr:colOff>392205</xdr:colOff>
      <xdr:row>361</xdr:row>
      <xdr:rowOff>156884</xdr:rowOff>
    </xdr:from>
    <xdr:to>
      <xdr:col>7</xdr:col>
      <xdr:colOff>413094</xdr:colOff>
      <xdr:row>374</xdr:row>
      <xdr:rowOff>54708</xdr:rowOff>
    </xdr:to>
    <xdr:pic>
      <xdr:nvPicPr>
        <xdr:cNvPr id="6" name="Picture 5">
          <a:extLst>
            <a:ext uri="{FF2B5EF4-FFF2-40B4-BE49-F238E27FC236}">
              <a16:creationId xmlns:a16="http://schemas.microsoft.com/office/drawing/2014/main" xmlns="" id="{00000000-0008-0000-0000-000006000000}"/>
            </a:ext>
          </a:extLst>
        </xdr:cNvPr>
        <xdr:cNvPicPr>
          <a:picLocks noChangeAspect="1"/>
        </xdr:cNvPicPr>
      </xdr:nvPicPr>
      <xdr:blipFill>
        <a:blip xmlns:r="http://schemas.openxmlformats.org/officeDocument/2006/relationships" r:embed="rId3"/>
        <a:stretch>
          <a:fillRect/>
        </a:stretch>
      </xdr:blipFill>
      <xdr:spPr>
        <a:xfrm>
          <a:off x="392205" y="69835060"/>
          <a:ext cx="5601418" cy="2520000"/>
        </a:xfrm>
        <a:prstGeom prst="rect">
          <a:avLst/>
        </a:prstGeom>
        <a:ln>
          <a:solidFill>
            <a:schemeClr val="tx1"/>
          </a:solidFill>
        </a:ln>
      </xdr:spPr>
    </xdr:pic>
    <xdr:clientData/>
  </xdr:twoCellAnchor>
  <xdr:twoCellAnchor editAs="oneCell">
    <xdr:from>
      <xdr:col>1</xdr:col>
      <xdr:colOff>100853</xdr:colOff>
      <xdr:row>375</xdr:row>
      <xdr:rowOff>44821</xdr:rowOff>
    </xdr:from>
    <xdr:to>
      <xdr:col>6</xdr:col>
      <xdr:colOff>433864</xdr:colOff>
      <xdr:row>394</xdr:row>
      <xdr:rowOff>172409</xdr:rowOff>
    </xdr:to>
    <xdr:pic>
      <xdr:nvPicPr>
        <xdr:cNvPr id="7" name="Picture 6">
          <a:extLst>
            <a:ext uri="{FF2B5EF4-FFF2-40B4-BE49-F238E27FC236}">
              <a16:creationId xmlns:a16="http://schemas.microsoft.com/office/drawing/2014/main" xmlns="" id="{00000000-0008-0000-0000-000007000000}"/>
            </a:ext>
          </a:extLst>
        </xdr:cNvPr>
        <xdr:cNvPicPr>
          <a:picLocks noChangeAspect="1"/>
        </xdr:cNvPicPr>
      </xdr:nvPicPr>
      <xdr:blipFill>
        <a:blip xmlns:r="http://schemas.openxmlformats.org/officeDocument/2006/relationships" r:embed="rId4"/>
        <a:stretch>
          <a:fillRect/>
        </a:stretch>
      </xdr:blipFill>
      <xdr:spPr>
        <a:xfrm>
          <a:off x="862853" y="72546880"/>
          <a:ext cx="4423158" cy="3960000"/>
        </a:xfrm>
        <a:prstGeom prst="rect">
          <a:avLst/>
        </a:prstGeom>
        <a:ln>
          <a:solidFill>
            <a:schemeClr val="tx1"/>
          </a:solidFill>
        </a:ln>
      </xdr:spPr>
    </xdr:pic>
    <xdr:clientData/>
  </xdr:twoCellAnchor>
  <xdr:twoCellAnchor>
    <xdr:from>
      <xdr:col>2</xdr:col>
      <xdr:colOff>246529</xdr:colOff>
      <xdr:row>324</xdr:row>
      <xdr:rowOff>100853</xdr:rowOff>
    </xdr:from>
    <xdr:to>
      <xdr:col>2</xdr:col>
      <xdr:colOff>683558</xdr:colOff>
      <xdr:row>329</xdr:row>
      <xdr:rowOff>44824</xdr:rowOff>
    </xdr:to>
    <xdr:sp macro="" textlink="">
      <xdr:nvSpPr>
        <xdr:cNvPr id="8" name="Rectangle 7">
          <a:extLst>
            <a:ext uri="{FF2B5EF4-FFF2-40B4-BE49-F238E27FC236}">
              <a16:creationId xmlns:a16="http://schemas.microsoft.com/office/drawing/2014/main" xmlns="" id="{00000000-0008-0000-0000-000008000000}"/>
            </a:ext>
          </a:extLst>
        </xdr:cNvPr>
        <xdr:cNvSpPr/>
      </xdr:nvSpPr>
      <xdr:spPr>
        <a:xfrm>
          <a:off x="1804147" y="62114206"/>
          <a:ext cx="437029" cy="952500"/>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2</xdr:col>
      <xdr:colOff>705972</xdr:colOff>
      <xdr:row>325</xdr:row>
      <xdr:rowOff>78441</xdr:rowOff>
    </xdr:from>
    <xdr:to>
      <xdr:col>4</xdr:col>
      <xdr:colOff>358589</xdr:colOff>
      <xdr:row>329</xdr:row>
      <xdr:rowOff>22412</xdr:rowOff>
    </xdr:to>
    <xdr:sp macro="" textlink="">
      <xdr:nvSpPr>
        <xdr:cNvPr id="9" name="TextBox 8">
          <a:extLst>
            <a:ext uri="{FF2B5EF4-FFF2-40B4-BE49-F238E27FC236}">
              <a16:creationId xmlns:a16="http://schemas.microsoft.com/office/drawing/2014/main" xmlns="" id="{00000000-0008-0000-0000-000009000000}"/>
            </a:ext>
          </a:extLst>
        </xdr:cNvPr>
        <xdr:cNvSpPr txBox="1"/>
      </xdr:nvSpPr>
      <xdr:spPr>
        <a:xfrm>
          <a:off x="2263590" y="62293500"/>
          <a:ext cx="1423146" cy="750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0">
              <a:solidFill>
                <a:srgbClr val="FFFF00"/>
              </a:solidFill>
            </a:rPr>
            <a:t>Bldg</a:t>
          </a:r>
          <a:r>
            <a:rPr lang="en-IN" sz="1600" b="0" baseline="0">
              <a:solidFill>
                <a:srgbClr val="FFFF00"/>
              </a:solidFill>
            </a:rPr>
            <a:t> 1</a:t>
          </a:r>
        </a:p>
        <a:p>
          <a:r>
            <a:rPr lang="en-IN" sz="1600" b="0" baseline="0">
              <a:solidFill>
                <a:srgbClr val="FFFF00"/>
              </a:solidFill>
            </a:rPr>
            <a:t>Wing A,B,C</a:t>
          </a:r>
          <a:endParaRPr lang="en-IN" sz="1600" b="0">
            <a:solidFill>
              <a:srgbClr val="FFFF00"/>
            </a:solidFill>
          </a:endParaRPr>
        </a:p>
      </xdr:txBody>
    </xdr:sp>
    <xdr:clientData/>
  </xdr:twoCellAnchor>
  <xdr:twoCellAnchor>
    <xdr:from>
      <xdr:col>2</xdr:col>
      <xdr:colOff>796790</xdr:colOff>
      <xdr:row>380</xdr:row>
      <xdr:rowOff>87484</xdr:rowOff>
    </xdr:from>
    <xdr:to>
      <xdr:col>4</xdr:col>
      <xdr:colOff>385389</xdr:colOff>
      <xdr:row>387</xdr:row>
      <xdr:rowOff>177133</xdr:rowOff>
    </xdr:to>
    <xdr:sp macro="" textlink="">
      <xdr:nvSpPr>
        <xdr:cNvPr id="10" name="Rectangle 9">
          <a:extLst>
            <a:ext uri="{FF2B5EF4-FFF2-40B4-BE49-F238E27FC236}">
              <a16:creationId xmlns:a16="http://schemas.microsoft.com/office/drawing/2014/main" xmlns="" id="{00000000-0008-0000-0000-00000A000000}"/>
            </a:ext>
          </a:extLst>
        </xdr:cNvPr>
        <xdr:cNvSpPr/>
      </xdr:nvSpPr>
      <xdr:spPr>
        <a:xfrm rot="601141">
          <a:off x="2354408" y="73598072"/>
          <a:ext cx="1359128" cy="1501590"/>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11</xdr:col>
      <xdr:colOff>212911</xdr:colOff>
      <xdr:row>280</xdr:row>
      <xdr:rowOff>67234</xdr:rowOff>
    </xdr:from>
    <xdr:to>
      <xdr:col>12</xdr:col>
      <xdr:colOff>381000</xdr:colOff>
      <xdr:row>282</xdr:row>
      <xdr:rowOff>145676</xdr:rowOff>
    </xdr:to>
    <xdr:sp macro="" textlink="">
      <xdr:nvSpPr>
        <xdr:cNvPr id="18" name="TextBox 17">
          <a:extLst>
            <a:ext uri="{FF2B5EF4-FFF2-40B4-BE49-F238E27FC236}">
              <a16:creationId xmlns:a16="http://schemas.microsoft.com/office/drawing/2014/main" xmlns="" id="{00000000-0008-0000-0000-000012000000}"/>
            </a:ext>
          </a:extLst>
        </xdr:cNvPr>
        <xdr:cNvSpPr txBox="1"/>
      </xdr:nvSpPr>
      <xdr:spPr>
        <a:xfrm>
          <a:off x="9155205" y="50392852"/>
          <a:ext cx="1086971" cy="481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2000" b="1" baseline="0">
              <a:solidFill>
                <a:srgbClr val="FF0000"/>
              </a:solidFill>
            </a:rPr>
            <a:t>Wing C</a:t>
          </a:r>
          <a:endParaRPr lang="en-IN" sz="2000" b="1">
            <a:solidFill>
              <a:srgbClr val="FF0000"/>
            </a:solidFill>
          </a:endParaRPr>
        </a:p>
      </xdr:txBody>
    </xdr:sp>
    <xdr:clientData/>
  </xdr:twoCellAnchor>
  <xdr:twoCellAnchor>
    <xdr:from>
      <xdr:col>12</xdr:col>
      <xdr:colOff>768723</xdr:colOff>
      <xdr:row>276</xdr:row>
      <xdr:rowOff>152401</xdr:rowOff>
    </xdr:from>
    <xdr:to>
      <xdr:col>14</xdr:col>
      <xdr:colOff>219635</xdr:colOff>
      <xdr:row>279</xdr:row>
      <xdr:rowOff>40343</xdr:rowOff>
    </xdr:to>
    <xdr:sp macro="" textlink="">
      <xdr:nvSpPr>
        <xdr:cNvPr id="19" name="TextBox 18">
          <a:extLst>
            <a:ext uri="{FF2B5EF4-FFF2-40B4-BE49-F238E27FC236}">
              <a16:creationId xmlns:a16="http://schemas.microsoft.com/office/drawing/2014/main" xmlns="" id="{00000000-0008-0000-0000-000013000000}"/>
            </a:ext>
          </a:extLst>
        </xdr:cNvPr>
        <xdr:cNvSpPr txBox="1"/>
      </xdr:nvSpPr>
      <xdr:spPr>
        <a:xfrm>
          <a:off x="10629899" y="49682401"/>
          <a:ext cx="1086971" cy="4818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2000" b="1" baseline="0">
              <a:solidFill>
                <a:srgbClr val="FF0000"/>
              </a:solidFill>
            </a:rPr>
            <a:t>Wing A</a:t>
          </a:r>
          <a:endParaRPr lang="en-IN" sz="2000" b="1">
            <a:solidFill>
              <a:srgbClr val="FF0000"/>
            </a:solidFill>
          </a:endParaRPr>
        </a:p>
      </xdr:txBody>
    </xdr:sp>
    <xdr:clientData/>
  </xdr:twoCellAnchor>
  <xdr:twoCellAnchor>
    <xdr:from>
      <xdr:col>9</xdr:col>
      <xdr:colOff>219635</xdr:colOff>
      <xdr:row>277</xdr:row>
      <xdr:rowOff>96371</xdr:rowOff>
    </xdr:from>
    <xdr:to>
      <xdr:col>10</xdr:col>
      <xdr:colOff>544606</xdr:colOff>
      <xdr:row>279</xdr:row>
      <xdr:rowOff>186019</xdr:rowOff>
    </xdr:to>
    <xdr:sp macro="" textlink="">
      <xdr:nvSpPr>
        <xdr:cNvPr id="29" name="TextBox 28">
          <a:extLst>
            <a:ext uri="{FF2B5EF4-FFF2-40B4-BE49-F238E27FC236}">
              <a16:creationId xmlns:a16="http://schemas.microsoft.com/office/drawing/2014/main" xmlns="" id="{00000000-0008-0000-0000-00001D000000}"/>
            </a:ext>
          </a:extLst>
        </xdr:cNvPr>
        <xdr:cNvSpPr txBox="1"/>
      </xdr:nvSpPr>
      <xdr:spPr>
        <a:xfrm>
          <a:off x="7693959" y="49828077"/>
          <a:ext cx="1086971" cy="4818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2000" b="1" baseline="0">
              <a:solidFill>
                <a:srgbClr val="FF0000"/>
              </a:solidFill>
            </a:rPr>
            <a:t>Wing B</a:t>
          </a:r>
          <a:endParaRPr lang="en-IN" sz="2000" b="1">
            <a:solidFill>
              <a:srgbClr val="FF0000"/>
            </a:solidFill>
          </a:endParaRPr>
        </a:p>
      </xdr:txBody>
    </xdr:sp>
    <xdr:clientData/>
  </xdr:twoCellAnchor>
  <xdr:twoCellAnchor editAs="oneCell">
    <xdr:from>
      <xdr:col>8</xdr:col>
      <xdr:colOff>778621</xdr:colOff>
      <xdr:row>276</xdr:row>
      <xdr:rowOff>171450</xdr:rowOff>
    </xdr:from>
    <xdr:to>
      <xdr:col>12</xdr:col>
      <xdr:colOff>132321</xdr:colOff>
      <xdr:row>288</xdr:row>
      <xdr:rowOff>83600</xdr:rowOff>
    </xdr:to>
    <xdr:pic>
      <xdr:nvPicPr>
        <xdr:cNvPr id="23" name="Picture 22">
          <a:extLst>
            <a:ext uri="{FF2B5EF4-FFF2-40B4-BE49-F238E27FC236}">
              <a16:creationId xmlns:a16="http://schemas.microsoft.com/office/drawing/2014/main" xmlns="" id="{00000000-0008-0000-0000-000017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7379446" y="47539275"/>
          <a:ext cx="2906525" cy="2302925"/>
        </a:xfrm>
        <a:prstGeom prst="rect">
          <a:avLst/>
        </a:prstGeom>
        <a:ln>
          <a:solidFill>
            <a:schemeClr val="tx1"/>
          </a:solidFill>
        </a:ln>
      </xdr:spPr>
    </xdr:pic>
    <xdr:clientData/>
  </xdr:twoCellAnchor>
  <xdr:twoCellAnchor editAs="oneCell">
    <xdr:from>
      <xdr:col>12</xdr:col>
      <xdr:colOff>235836</xdr:colOff>
      <xdr:row>276</xdr:row>
      <xdr:rowOff>171450</xdr:rowOff>
    </xdr:from>
    <xdr:to>
      <xdr:col>15</xdr:col>
      <xdr:colOff>710311</xdr:colOff>
      <xdr:row>288</xdr:row>
      <xdr:rowOff>83600</xdr:rowOff>
    </xdr:to>
    <xdr:pic>
      <xdr:nvPicPr>
        <xdr:cNvPr id="36" name="Picture 35">
          <a:extLst>
            <a:ext uri="{FF2B5EF4-FFF2-40B4-BE49-F238E27FC236}">
              <a16:creationId xmlns:a16="http://schemas.microsoft.com/office/drawing/2014/main" xmlns="" id="{00000000-0008-0000-0000-000024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10389486" y="47539275"/>
          <a:ext cx="2912875" cy="2302925"/>
        </a:xfrm>
        <a:prstGeom prst="rect">
          <a:avLst/>
        </a:prstGeom>
        <a:ln>
          <a:solidFill>
            <a:schemeClr val="tx1"/>
          </a:solidFill>
        </a:ln>
      </xdr:spPr>
    </xdr:pic>
    <xdr:clientData/>
  </xdr:twoCellAnchor>
  <xdr:twoCellAnchor editAs="oneCell">
    <xdr:from>
      <xdr:col>13</xdr:col>
      <xdr:colOff>147261</xdr:colOff>
      <xdr:row>303</xdr:row>
      <xdr:rowOff>71442</xdr:rowOff>
    </xdr:from>
    <xdr:to>
      <xdr:col>15</xdr:col>
      <xdr:colOff>33711</xdr:colOff>
      <xdr:row>313</xdr:row>
      <xdr:rowOff>177800</xdr:rowOff>
    </xdr:to>
    <xdr:pic>
      <xdr:nvPicPr>
        <xdr:cNvPr id="37" name="Picture 36">
          <a:extLst>
            <a:ext uri="{FF2B5EF4-FFF2-40B4-BE49-F238E27FC236}">
              <a16:creationId xmlns:a16="http://schemas.microsoft.com/office/drawing/2014/main" xmlns="" id="{00000000-0008-0000-0000-000025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1091486" y="52830417"/>
          <a:ext cx="1534275" cy="2106608"/>
        </a:xfrm>
        <a:prstGeom prst="rect">
          <a:avLst/>
        </a:prstGeom>
        <a:ln>
          <a:solidFill>
            <a:schemeClr val="tx1"/>
          </a:solidFill>
        </a:ln>
      </xdr:spPr>
    </xdr:pic>
    <xdr:clientData/>
  </xdr:twoCellAnchor>
  <xdr:twoCellAnchor editAs="oneCell">
    <xdr:from>
      <xdr:col>8</xdr:col>
      <xdr:colOff>720725</xdr:colOff>
      <xdr:row>289</xdr:row>
      <xdr:rowOff>3871</xdr:rowOff>
    </xdr:from>
    <xdr:to>
      <xdr:col>11</xdr:col>
      <xdr:colOff>40625</xdr:colOff>
      <xdr:row>302</xdr:row>
      <xdr:rowOff>147996</xdr:rowOff>
    </xdr:to>
    <xdr:pic>
      <xdr:nvPicPr>
        <xdr:cNvPr id="38" name="Picture 37">
          <a:extLst>
            <a:ext uri="{FF2B5EF4-FFF2-40B4-BE49-F238E27FC236}">
              <a16:creationId xmlns:a16="http://schemas.microsoft.com/office/drawing/2014/main" xmlns="" id="{00000000-0008-0000-0000-000026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7321550" y="49962496"/>
          <a:ext cx="1948800" cy="2744450"/>
        </a:xfrm>
        <a:prstGeom prst="rect">
          <a:avLst/>
        </a:prstGeom>
        <a:ln>
          <a:solidFill>
            <a:schemeClr val="tx1"/>
          </a:solidFill>
        </a:ln>
      </xdr:spPr>
    </xdr:pic>
    <xdr:clientData/>
  </xdr:twoCellAnchor>
  <xdr:twoCellAnchor editAs="oneCell">
    <xdr:from>
      <xdr:col>13</xdr:col>
      <xdr:colOff>493843</xdr:colOff>
      <xdr:row>289</xdr:row>
      <xdr:rowOff>3871</xdr:rowOff>
    </xdr:from>
    <xdr:to>
      <xdr:col>16</xdr:col>
      <xdr:colOff>16943</xdr:colOff>
      <xdr:row>302</xdr:row>
      <xdr:rowOff>147996</xdr:rowOff>
    </xdr:to>
    <xdr:pic>
      <xdr:nvPicPr>
        <xdr:cNvPr id="39" name="Picture 38">
          <a:extLst>
            <a:ext uri="{FF2B5EF4-FFF2-40B4-BE49-F238E27FC236}">
              <a16:creationId xmlns:a16="http://schemas.microsoft.com/office/drawing/2014/main" xmlns="" id="{00000000-0008-0000-0000-000027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11438068" y="49962496"/>
          <a:ext cx="1951975" cy="2744450"/>
        </a:xfrm>
        <a:prstGeom prst="rect">
          <a:avLst/>
        </a:prstGeom>
        <a:ln>
          <a:solidFill>
            <a:schemeClr val="tx1"/>
          </a:solidFill>
        </a:ln>
      </xdr:spPr>
    </xdr:pic>
    <xdr:clientData/>
  </xdr:twoCellAnchor>
  <xdr:twoCellAnchor editAs="oneCell">
    <xdr:from>
      <xdr:col>11</xdr:col>
      <xdr:colOff>172703</xdr:colOff>
      <xdr:row>289</xdr:row>
      <xdr:rowOff>3871</xdr:rowOff>
    </xdr:from>
    <xdr:to>
      <xdr:col>13</xdr:col>
      <xdr:colOff>359378</xdr:colOff>
      <xdr:row>302</xdr:row>
      <xdr:rowOff>147996</xdr:rowOff>
    </xdr:to>
    <xdr:pic>
      <xdr:nvPicPr>
        <xdr:cNvPr id="40" name="Picture 39">
          <a:extLst>
            <a:ext uri="{FF2B5EF4-FFF2-40B4-BE49-F238E27FC236}">
              <a16:creationId xmlns:a16="http://schemas.microsoft.com/office/drawing/2014/main" xmlns="" id="{00000000-0008-0000-0000-000028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9402428" y="49962496"/>
          <a:ext cx="1901175" cy="2744450"/>
        </a:xfrm>
        <a:prstGeom prst="rect">
          <a:avLst/>
        </a:prstGeom>
        <a:ln>
          <a:solidFill>
            <a:schemeClr val="tx1"/>
          </a:solidFill>
        </a:ln>
      </xdr:spPr>
    </xdr:pic>
    <xdr:clientData/>
  </xdr:twoCellAnchor>
  <xdr:twoCellAnchor>
    <xdr:from>
      <xdr:col>8</xdr:col>
      <xdr:colOff>696071</xdr:colOff>
      <xdr:row>276</xdr:row>
      <xdr:rowOff>177800</xdr:rowOff>
    </xdr:from>
    <xdr:to>
      <xdr:col>9</xdr:col>
      <xdr:colOff>277344</xdr:colOff>
      <xdr:row>278</xdr:row>
      <xdr:rowOff>185084</xdr:rowOff>
    </xdr:to>
    <xdr:sp macro="" textlink="">
      <xdr:nvSpPr>
        <xdr:cNvPr id="41" name="TextBox 40">
          <a:extLst>
            <a:ext uri="{FF2B5EF4-FFF2-40B4-BE49-F238E27FC236}">
              <a16:creationId xmlns:a16="http://schemas.microsoft.com/office/drawing/2014/main" xmlns="" id="{00000000-0008-0000-0000-000029000000}"/>
            </a:ext>
          </a:extLst>
        </xdr:cNvPr>
        <xdr:cNvSpPr txBox="1"/>
      </xdr:nvSpPr>
      <xdr:spPr>
        <a:xfrm>
          <a:off x="7296896" y="47545625"/>
          <a:ext cx="743323" cy="3978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0" cap="none" spc="0" baseline="0">
              <a:ln w="0"/>
              <a:solidFill>
                <a:sysClr val="windowText" lastClr="000000"/>
              </a:solidFill>
              <a:effectLst>
                <a:outerShdw blurRad="38100" dist="25400" dir="5400000" algn="ctr" rotWithShape="0">
                  <a:srgbClr val="6E747A">
                    <a:alpha val="43000"/>
                  </a:srgbClr>
                </a:outerShdw>
              </a:effectLst>
            </a:rPr>
            <a:t>Wing A</a:t>
          </a:r>
          <a:endParaRPr lang="en-IN" sz="1600" b="0" cap="none" spc="0">
            <a:ln w="0"/>
            <a:solidFill>
              <a:sysClr val="windowText" lastClr="000000"/>
            </a:solidFill>
            <a:effectLst>
              <a:outerShdw blurRad="38100" dist="25400" dir="5400000" algn="ctr" rotWithShape="0">
                <a:srgbClr val="6E747A">
                  <a:alpha val="43000"/>
                </a:srgbClr>
              </a:outerShdw>
            </a:effectLst>
          </a:endParaRPr>
        </a:p>
      </xdr:txBody>
    </xdr:sp>
    <xdr:clientData/>
  </xdr:twoCellAnchor>
  <xdr:twoCellAnchor>
    <xdr:from>
      <xdr:col>14</xdr:col>
      <xdr:colOff>613661</xdr:colOff>
      <xdr:row>277</xdr:row>
      <xdr:rowOff>57150</xdr:rowOff>
    </xdr:from>
    <xdr:to>
      <xdr:col>15</xdr:col>
      <xdr:colOff>550534</xdr:colOff>
      <xdr:row>279</xdr:row>
      <xdr:rowOff>61259</xdr:rowOff>
    </xdr:to>
    <xdr:sp macro="" textlink="">
      <xdr:nvSpPr>
        <xdr:cNvPr id="42" name="TextBox 41">
          <a:extLst>
            <a:ext uri="{FF2B5EF4-FFF2-40B4-BE49-F238E27FC236}">
              <a16:creationId xmlns:a16="http://schemas.microsoft.com/office/drawing/2014/main" xmlns="" id="{00000000-0008-0000-0000-00002A000000}"/>
            </a:ext>
          </a:extLst>
        </xdr:cNvPr>
        <xdr:cNvSpPr txBox="1"/>
      </xdr:nvSpPr>
      <xdr:spPr>
        <a:xfrm>
          <a:off x="12396086" y="47625000"/>
          <a:ext cx="746498" cy="3946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0" cap="none" spc="0" baseline="0">
              <a:ln w="0"/>
              <a:solidFill>
                <a:sysClr val="windowText" lastClr="000000"/>
              </a:solidFill>
              <a:effectLst>
                <a:outerShdw blurRad="38100" dist="25400" dir="5400000" algn="ctr" rotWithShape="0">
                  <a:srgbClr val="6E747A">
                    <a:alpha val="43000"/>
                  </a:srgbClr>
                </a:outerShdw>
              </a:effectLst>
            </a:rPr>
            <a:t>Wing A</a:t>
          </a:r>
          <a:endParaRPr lang="en-IN" sz="1600" b="0" cap="none" spc="0">
            <a:ln w="0"/>
            <a:solidFill>
              <a:sysClr val="windowText" lastClr="000000"/>
            </a:solidFill>
            <a:effectLst>
              <a:outerShdw blurRad="38100" dist="25400" dir="5400000" algn="ctr" rotWithShape="0">
                <a:srgbClr val="6E747A">
                  <a:alpha val="43000"/>
                </a:srgbClr>
              </a:outerShdw>
            </a:effectLst>
          </a:endParaRPr>
        </a:p>
      </xdr:txBody>
    </xdr:sp>
    <xdr:clientData/>
  </xdr:twoCellAnchor>
  <xdr:twoCellAnchor>
    <xdr:from>
      <xdr:col>8</xdr:col>
      <xdr:colOff>720725</xdr:colOff>
      <xdr:row>289</xdr:row>
      <xdr:rowOff>3871</xdr:rowOff>
    </xdr:from>
    <xdr:to>
      <xdr:col>9</xdr:col>
      <xdr:colOff>739775</xdr:colOff>
      <xdr:row>291</xdr:row>
      <xdr:rowOff>1630</xdr:rowOff>
    </xdr:to>
    <xdr:sp macro="" textlink="">
      <xdr:nvSpPr>
        <xdr:cNvPr id="43" name="TextBox 42">
          <a:extLst>
            <a:ext uri="{FF2B5EF4-FFF2-40B4-BE49-F238E27FC236}">
              <a16:creationId xmlns:a16="http://schemas.microsoft.com/office/drawing/2014/main" xmlns="" id="{00000000-0008-0000-0000-00002B000000}"/>
            </a:ext>
          </a:extLst>
        </xdr:cNvPr>
        <xdr:cNvSpPr txBox="1"/>
      </xdr:nvSpPr>
      <xdr:spPr>
        <a:xfrm>
          <a:off x="7321550" y="49962496"/>
          <a:ext cx="1181100" cy="3978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0" cap="none" spc="0" baseline="0">
              <a:ln w="0"/>
              <a:solidFill>
                <a:sysClr val="windowText" lastClr="000000"/>
              </a:solidFill>
              <a:effectLst>
                <a:outerShdw blurRad="38100" dist="25400" dir="5400000" algn="ctr" rotWithShape="0">
                  <a:srgbClr val="6E747A">
                    <a:alpha val="43000"/>
                  </a:srgbClr>
                </a:outerShdw>
              </a:effectLst>
            </a:rPr>
            <a:t>Wing B &amp; C</a:t>
          </a:r>
          <a:endParaRPr lang="en-IN" sz="1600" b="0" cap="none" spc="0">
            <a:ln w="0"/>
            <a:solidFill>
              <a:sysClr val="windowText" lastClr="000000"/>
            </a:solidFill>
            <a:effectLst>
              <a:outerShdw blurRad="38100" dist="25400" dir="5400000" algn="ctr" rotWithShape="0">
                <a:srgbClr val="6E747A">
                  <a:alpha val="43000"/>
                </a:srgbClr>
              </a:outerShdw>
            </a:effectLst>
          </a:endParaRPr>
        </a:p>
      </xdr:txBody>
    </xdr:sp>
    <xdr:clientData/>
  </xdr:twoCellAnchor>
  <xdr:twoCellAnchor editAs="oneCell">
    <xdr:from>
      <xdr:col>9</xdr:col>
      <xdr:colOff>511175</xdr:colOff>
      <xdr:row>303</xdr:row>
      <xdr:rowOff>57150</xdr:rowOff>
    </xdr:from>
    <xdr:to>
      <xdr:col>12</xdr:col>
      <xdr:colOff>761375</xdr:colOff>
      <xdr:row>313</xdr:row>
      <xdr:rowOff>162250</xdr:rowOff>
    </xdr:to>
    <xdr:pic>
      <xdr:nvPicPr>
        <xdr:cNvPr id="44" name="Picture 43">
          <a:extLst>
            <a:ext uri="{FF2B5EF4-FFF2-40B4-BE49-F238E27FC236}">
              <a16:creationId xmlns:a16="http://schemas.microsoft.com/office/drawing/2014/main" xmlns="" id="{00000000-0008-0000-0000-00002C00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8274050" y="52816125"/>
          <a:ext cx="2640975" cy="2105350"/>
        </a:xfrm>
        <a:prstGeom prst="rect">
          <a:avLst/>
        </a:prstGeom>
        <a:ln>
          <a:solidFill>
            <a:schemeClr val="tx1"/>
          </a:solidFill>
        </a:ln>
      </xdr:spPr>
    </xdr:pic>
    <xdr:clientData/>
  </xdr:twoCellAnchor>
  <xdr:twoCellAnchor>
    <xdr:from>
      <xdr:col>0</xdr:col>
      <xdr:colOff>184150</xdr:colOff>
      <xdr:row>275</xdr:row>
      <xdr:rowOff>57150</xdr:rowOff>
    </xdr:from>
    <xdr:to>
      <xdr:col>7</xdr:col>
      <xdr:colOff>975207</xdr:colOff>
      <xdr:row>316</xdr:row>
      <xdr:rowOff>129783</xdr:rowOff>
    </xdr:to>
    <xdr:grpSp>
      <xdr:nvGrpSpPr>
        <xdr:cNvPr id="16" name="Group 15"/>
        <xdr:cNvGrpSpPr/>
      </xdr:nvGrpSpPr>
      <xdr:grpSpPr>
        <a:xfrm>
          <a:off x="184150" y="47672625"/>
          <a:ext cx="6372707" cy="8264133"/>
          <a:chOff x="184150" y="48945800"/>
          <a:chExt cx="6645757" cy="8137133"/>
        </a:xfrm>
      </xdr:grpSpPr>
      <xdr:pic>
        <xdr:nvPicPr>
          <xdr:cNvPr id="63" name="Picture 6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2879623" y="55480854"/>
            <a:ext cx="1348594" cy="1602079"/>
          </a:xfrm>
          <a:prstGeom prst="rect">
            <a:avLst/>
          </a:prstGeom>
          <a:ln>
            <a:solidFill>
              <a:schemeClr val="tx1"/>
            </a:solidFill>
          </a:ln>
        </xdr:spPr>
      </xdr:pic>
      <xdr:pic>
        <xdr:nvPicPr>
          <xdr:cNvPr id="64" name="Picture 6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184151" y="51798168"/>
            <a:ext cx="1537397" cy="2052000"/>
          </a:xfrm>
          <a:prstGeom prst="rect">
            <a:avLst/>
          </a:prstGeom>
          <a:ln>
            <a:solidFill>
              <a:schemeClr val="tx1"/>
            </a:solidFill>
          </a:ln>
        </xdr:spPr>
      </xdr:pic>
      <xdr:pic>
        <xdr:nvPicPr>
          <xdr:cNvPr id="65" name="Picture 6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227278" y="48945800"/>
            <a:ext cx="2049863" cy="2736000"/>
          </a:xfrm>
          <a:prstGeom prst="rect">
            <a:avLst/>
          </a:prstGeom>
          <a:ln>
            <a:solidFill>
              <a:schemeClr val="tx1"/>
            </a:solidFill>
          </a:ln>
        </xdr:spPr>
      </xdr:pic>
      <xdr:pic>
        <xdr:nvPicPr>
          <xdr:cNvPr id="66" name="Picture 65"/>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3518865" y="53966536"/>
            <a:ext cx="1537397" cy="1430864"/>
          </a:xfrm>
          <a:prstGeom prst="rect">
            <a:avLst/>
          </a:prstGeom>
          <a:ln>
            <a:solidFill>
              <a:schemeClr val="tx1"/>
            </a:solidFill>
          </a:ln>
        </xdr:spPr>
      </xdr:pic>
      <xdr:pic>
        <xdr:nvPicPr>
          <xdr:cNvPr id="67" name="Picture 66"/>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4640200" y="48945800"/>
            <a:ext cx="2049863" cy="2736000"/>
          </a:xfrm>
          <a:prstGeom prst="rect">
            <a:avLst/>
          </a:prstGeom>
          <a:ln>
            <a:solidFill>
              <a:schemeClr val="tx1"/>
            </a:solidFill>
          </a:ln>
        </xdr:spPr>
      </xdr:pic>
      <xdr:pic>
        <xdr:nvPicPr>
          <xdr:cNvPr id="68" name="Picture 67"/>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1851508" y="51798168"/>
            <a:ext cx="1537397" cy="2052000"/>
          </a:xfrm>
          <a:prstGeom prst="rect">
            <a:avLst/>
          </a:prstGeom>
          <a:ln>
            <a:solidFill>
              <a:schemeClr val="tx1"/>
            </a:solidFill>
          </a:ln>
        </xdr:spPr>
      </xdr:pic>
      <xdr:pic>
        <xdr:nvPicPr>
          <xdr:cNvPr id="69" name="Picture 68"/>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5186222" y="51798168"/>
            <a:ext cx="1537397" cy="2052000"/>
          </a:xfrm>
          <a:prstGeom prst="rect">
            <a:avLst/>
          </a:prstGeom>
          <a:ln>
            <a:solidFill>
              <a:schemeClr val="tx1"/>
            </a:solidFill>
          </a:ln>
        </xdr:spPr>
      </xdr:pic>
      <xdr:pic>
        <xdr:nvPicPr>
          <xdr:cNvPr id="70" name="Picture 69"/>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1851507" y="53966536"/>
            <a:ext cx="1537397" cy="1430864"/>
          </a:xfrm>
          <a:prstGeom prst="rect">
            <a:avLst/>
          </a:prstGeom>
          <a:ln>
            <a:solidFill>
              <a:schemeClr val="tx1"/>
            </a:solidFill>
          </a:ln>
        </xdr:spPr>
      </xdr:pic>
      <xdr:pic>
        <xdr:nvPicPr>
          <xdr:cNvPr id="71" name="Picture 70"/>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184150" y="53966536"/>
            <a:ext cx="1537397" cy="1430864"/>
          </a:xfrm>
          <a:prstGeom prst="rect">
            <a:avLst/>
          </a:prstGeom>
          <a:ln>
            <a:solidFill>
              <a:schemeClr val="tx1"/>
            </a:solidFill>
          </a:ln>
        </xdr:spPr>
      </xdr:pic>
      <xdr:pic>
        <xdr:nvPicPr>
          <xdr:cNvPr id="72" name="Picture 71"/>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5186222" y="53966536"/>
            <a:ext cx="1537397" cy="1430864"/>
          </a:xfrm>
          <a:prstGeom prst="rect">
            <a:avLst/>
          </a:prstGeom>
          <a:ln>
            <a:solidFill>
              <a:schemeClr val="tx1"/>
            </a:solidFill>
          </a:ln>
        </xdr:spPr>
      </xdr:pic>
      <xdr:pic>
        <xdr:nvPicPr>
          <xdr:cNvPr id="73" name="Picture 72"/>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2433739" y="48945800"/>
            <a:ext cx="2049863" cy="2736000"/>
          </a:xfrm>
          <a:prstGeom prst="rect">
            <a:avLst/>
          </a:prstGeom>
          <a:ln>
            <a:solidFill>
              <a:schemeClr val="tx1"/>
            </a:solidFill>
          </a:ln>
        </xdr:spPr>
      </xdr:pic>
      <xdr:pic>
        <xdr:nvPicPr>
          <xdr:cNvPr id="74" name="Picture 73"/>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a:ext>
            </a:extLst>
          </a:blip>
          <a:stretch>
            <a:fillRect/>
          </a:stretch>
        </xdr:blipFill>
        <xdr:spPr>
          <a:xfrm>
            <a:off x="3518865" y="51798168"/>
            <a:ext cx="1537397" cy="2052000"/>
          </a:xfrm>
          <a:prstGeom prst="rect">
            <a:avLst/>
          </a:prstGeom>
          <a:ln>
            <a:solidFill>
              <a:schemeClr val="tx1"/>
            </a:solidFill>
          </a:ln>
        </xdr:spPr>
      </xdr:pic>
      <xdr:sp macro="" textlink="">
        <xdr:nvSpPr>
          <xdr:cNvPr id="75" name="TextBox 74">
            <a:extLst>
              <a:ext uri="{FF2B5EF4-FFF2-40B4-BE49-F238E27FC236}">
                <a16:creationId xmlns:a16="http://schemas.microsoft.com/office/drawing/2014/main" xmlns="" id="{00000000-0008-0000-0000-000029000000}"/>
              </a:ext>
            </a:extLst>
          </xdr:cNvPr>
          <xdr:cNvSpPr txBox="1"/>
        </xdr:nvSpPr>
        <xdr:spPr>
          <a:xfrm>
            <a:off x="1490928" y="49079150"/>
            <a:ext cx="800473" cy="3946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0" cap="none" spc="0" baseline="0">
                <a:ln w="0"/>
                <a:solidFill>
                  <a:sysClr val="windowText" lastClr="000000"/>
                </a:solidFill>
                <a:effectLst>
                  <a:outerShdw blurRad="38100" dist="25400" dir="5400000" algn="ctr" rotWithShape="0">
                    <a:srgbClr val="6E747A">
                      <a:alpha val="43000"/>
                    </a:srgbClr>
                  </a:outerShdw>
                </a:effectLst>
              </a:rPr>
              <a:t>Wing A</a:t>
            </a:r>
            <a:endParaRPr lang="en-IN" sz="1600" b="0" cap="none" spc="0">
              <a:ln w="0"/>
              <a:solidFill>
                <a:sysClr val="windowText" lastClr="000000"/>
              </a:solidFill>
              <a:effectLst>
                <a:outerShdw blurRad="38100" dist="25400" dir="5400000" algn="ctr" rotWithShape="0">
                  <a:srgbClr val="6E747A">
                    <a:alpha val="43000"/>
                  </a:srgbClr>
                </a:outerShdw>
              </a:effectLst>
            </a:endParaRPr>
          </a:p>
        </xdr:txBody>
      </xdr:sp>
      <xdr:sp macro="" textlink="">
        <xdr:nvSpPr>
          <xdr:cNvPr id="76" name="TextBox 75">
            <a:extLst>
              <a:ext uri="{FF2B5EF4-FFF2-40B4-BE49-F238E27FC236}">
                <a16:creationId xmlns:a16="http://schemas.microsoft.com/office/drawing/2014/main" xmlns="" id="{00000000-0008-0000-0000-000029000000}"/>
              </a:ext>
            </a:extLst>
          </xdr:cNvPr>
          <xdr:cNvSpPr txBox="1"/>
        </xdr:nvSpPr>
        <xdr:spPr>
          <a:xfrm>
            <a:off x="2649639" y="49053750"/>
            <a:ext cx="800473" cy="3946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0" cap="none" spc="0" baseline="0">
                <a:ln w="0"/>
                <a:solidFill>
                  <a:sysClr val="windowText" lastClr="000000"/>
                </a:solidFill>
                <a:effectLst>
                  <a:outerShdw blurRad="38100" dist="25400" dir="5400000" algn="ctr" rotWithShape="0">
                    <a:srgbClr val="6E747A">
                      <a:alpha val="43000"/>
                    </a:srgbClr>
                  </a:outerShdw>
                </a:effectLst>
              </a:rPr>
              <a:t>Wing A</a:t>
            </a:r>
            <a:endParaRPr lang="en-IN" sz="1600" b="0" cap="none" spc="0">
              <a:ln w="0"/>
              <a:solidFill>
                <a:sysClr val="windowText" lastClr="000000"/>
              </a:solidFill>
              <a:effectLst>
                <a:outerShdw blurRad="38100" dist="25400" dir="5400000" algn="ctr" rotWithShape="0">
                  <a:srgbClr val="6E747A">
                    <a:alpha val="43000"/>
                  </a:srgbClr>
                </a:outerShdw>
              </a:effectLst>
            </a:endParaRPr>
          </a:p>
        </xdr:txBody>
      </xdr:sp>
      <xdr:sp macro="" textlink="">
        <xdr:nvSpPr>
          <xdr:cNvPr id="77" name="TextBox 76">
            <a:extLst>
              <a:ext uri="{FF2B5EF4-FFF2-40B4-BE49-F238E27FC236}">
                <a16:creationId xmlns:a16="http://schemas.microsoft.com/office/drawing/2014/main" xmlns="" id="{00000000-0008-0000-0000-000029000000}"/>
              </a:ext>
            </a:extLst>
          </xdr:cNvPr>
          <xdr:cNvSpPr txBox="1"/>
        </xdr:nvSpPr>
        <xdr:spPr>
          <a:xfrm>
            <a:off x="5643500" y="48990250"/>
            <a:ext cx="800473" cy="3946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0" cap="none" spc="0" baseline="0">
                <a:ln w="0"/>
                <a:solidFill>
                  <a:sysClr val="windowText" lastClr="000000"/>
                </a:solidFill>
                <a:effectLst>
                  <a:outerShdw blurRad="38100" dist="25400" dir="5400000" algn="ctr" rotWithShape="0">
                    <a:srgbClr val="6E747A">
                      <a:alpha val="43000"/>
                    </a:srgbClr>
                  </a:outerShdw>
                </a:effectLst>
              </a:rPr>
              <a:t>Wing A</a:t>
            </a:r>
            <a:endParaRPr lang="en-IN" sz="1600" b="0" cap="none" spc="0">
              <a:ln w="0"/>
              <a:solidFill>
                <a:sysClr val="windowText" lastClr="000000"/>
              </a:solidFill>
              <a:effectLst>
                <a:outerShdw blurRad="38100" dist="25400" dir="5400000" algn="ctr" rotWithShape="0">
                  <a:srgbClr val="6E747A">
                    <a:alpha val="43000"/>
                  </a:srgbClr>
                </a:outerShdw>
              </a:effectLst>
            </a:endParaRPr>
          </a:p>
        </xdr:txBody>
      </xdr:sp>
      <xdr:sp macro="" textlink="">
        <xdr:nvSpPr>
          <xdr:cNvPr id="78" name="TextBox 77">
            <a:extLst>
              <a:ext uri="{FF2B5EF4-FFF2-40B4-BE49-F238E27FC236}">
                <a16:creationId xmlns:a16="http://schemas.microsoft.com/office/drawing/2014/main" xmlns="" id="{00000000-0008-0000-0000-000029000000}"/>
              </a:ext>
            </a:extLst>
          </xdr:cNvPr>
          <xdr:cNvSpPr txBox="1"/>
        </xdr:nvSpPr>
        <xdr:spPr>
          <a:xfrm>
            <a:off x="3715715" y="52826868"/>
            <a:ext cx="1199185" cy="3946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0" cap="none" spc="0" baseline="0">
                <a:ln w="0"/>
                <a:solidFill>
                  <a:srgbClr val="FFFF00"/>
                </a:solidFill>
                <a:effectLst>
                  <a:outerShdw blurRad="38100" dist="25400" dir="5400000" algn="ctr" rotWithShape="0">
                    <a:srgbClr val="6E747A">
                      <a:alpha val="43000"/>
                    </a:srgbClr>
                  </a:outerShdw>
                </a:effectLst>
              </a:rPr>
              <a:t>Wing B &amp; C</a:t>
            </a:r>
            <a:endParaRPr lang="en-IN" sz="1600" b="0" cap="none" spc="0">
              <a:ln w="0"/>
              <a:solidFill>
                <a:srgbClr val="FFFF00"/>
              </a:solidFill>
              <a:effectLst>
                <a:outerShdw blurRad="38100" dist="25400" dir="5400000" algn="ctr" rotWithShape="0">
                  <a:srgbClr val="6E747A">
                    <a:alpha val="43000"/>
                  </a:srgbClr>
                </a:outerShdw>
              </a:effectLst>
            </a:endParaRPr>
          </a:p>
        </xdr:txBody>
      </xdr:sp>
      <xdr:cxnSp macro="">
        <xdr:nvCxnSpPr>
          <xdr:cNvPr id="4" name="Straight Connector 3"/>
          <xdr:cNvCxnSpPr/>
        </xdr:nvCxnSpPr>
        <xdr:spPr>
          <a:xfrm>
            <a:off x="4318000" y="52489100"/>
            <a:ext cx="723900" cy="38100"/>
          </a:xfrm>
          <a:prstGeom prst="line">
            <a:avLst/>
          </a:prstGeom>
          <a:ln w="19050">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79" name="Straight Connector 78"/>
          <xdr:cNvCxnSpPr/>
        </xdr:nvCxnSpPr>
        <xdr:spPr>
          <a:xfrm flipV="1">
            <a:off x="3486150" y="52476400"/>
            <a:ext cx="850900" cy="63500"/>
          </a:xfrm>
          <a:prstGeom prst="line">
            <a:avLst/>
          </a:prstGeom>
          <a:ln w="19050">
            <a:solidFill>
              <a:srgbClr val="FFFF00"/>
            </a:solidFill>
          </a:ln>
        </xdr:spPr>
        <xdr:style>
          <a:lnRef idx="1">
            <a:schemeClr val="accent1"/>
          </a:lnRef>
          <a:fillRef idx="0">
            <a:schemeClr val="accent1"/>
          </a:fillRef>
          <a:effectRef idx="0">
            <a:schemeClr val="accent1"/>
          </a:effectRef>
          <a:fontRef idx="minor">
            <a:schemeClr val="tx1"/>
          </a:fontRef>
        </xdr:style>
      </xdr:cxnSp>
      <xdr:sp macro="" textlink="">
        <xdr:nvSpPr>
          <xdr:cNvPr id="80" name="TextBox 79">
            <a:extLst>
              <a:ext uri="{FF2B5EF4-FFF2-40B4-BE49-F238E27FC236}">
                <a16:creationId xmlns:a16="http://schemas.microsoft.com/office/drawing/2014/main" xmlns="" id="{00000000-0008-0000-0000-000029000000}"/>
              </a:ext>
            </a:extLst>
          </xdr:cNvPr>
          <xdr:cNvSpPr txBox="1"/>
        </xdr:nvSpPr>
        <xdr:spPr>
          <a:xfrm>
            <a:off x="5630722" y="52788768"/>
            <a:ext cx="1199185" cy="3946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0" cap="none" spc="0" baseline="0">
                <a:ln w="0"/>
                <a:solidFill>
                  <a:srgbClr val="FFFF00"/>
                </a:solidFill>
                <a:effectLst>
                  <a:outerShdw blurRad="38100" dist="25400" dir="5400000" algn="ctr" rotWithShape="0">
                    <a:srgbClr val="6E747A">
                      <a:alpha val="43000"/>
                    </a:srgbClr>
                  </a:outerShdw>
                </a:effectLst>
              </a:rPr>
              <a:t>Wing C</a:t>
            </a:r>
            <a:endParaRPr lang="en-IN" sz="1600" b="0" cap="none" spc="0">
              <a:ln w="0"/>
              <a:solidFill>
                <a:srgbClr val="FFFF00"/>
              </a:solidFill>
              <a:effectLst>
                <a:outerShdw blurRad="38100" dist="25400" dir="5400000" algn="ctr" rotWithShape="0">
                  <a:srgbClr val="6E747A">
                    <a:alpha val="43000"/>
                  </a:srgbClr>
                </a:outerShdw>
              </a:effectLst>
            </a:endParaRPr>
          </a:p>
        </xdr:txBody>
      </xdr:sp>
      <xdr:sp macro="" textlink="">
        <xdr:nvSpPr>
          <xdr:cNvPr id="81" name="TextBox 80">
            <a:extLst>
              <a:ext uri="{FF2B5EF4-FFF2-40B4-BE49-F238E27FC236}">
                <a16:creationId xmlns:a16="http://schemas.microsoft.com/office/drawing/2014/main" xmlns="" id="{00000000-0008-0000-0000-000029000000}"/>
              </a:ext>
            </a:extLst>
          </xdr:cNvPr>
          <xdr:cNvSpPr txBox="1"/>
        </xdr:nvSpPr>
        <xdr:spPr>
          <a:xfrm>
            <a:off x="2035658" y="52731618"/>
            <a:ext cx="1199185" cy="3946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0" cap="none" spc="0" baseline="0">
                <a:ln w="0"/>
                <a:solidFill>
                  <a:srgbClr val="FFFF00"/>
                </a:solidFill>
                <a:effectLst>
                  <a:outerShdw blurRad="38100" dist="25400" dir="5400000" algn="ctr" rotWithShape="0">
                    <a:srgbClr val="6E747A">
                      <a:alpha val="43000"/>
                    </a:srgbClr>
                  </a:outerShdw>
                </a:effectLst>
              </a:rPr>
              <a:t>Wing B </a:t>
            </a:r>
            <a:endParaRPr lang="en-IN" sz="1600" b="0" cap="none" spc="0">
              <a:ln w="0"/>
              <a:solidFill>
                <a:srgbClr val="FFFF00"/>
              </a:solidFill>
              <a:effectLst>
                <a:outerShdw blurRad="38100" dist="25400" dir="5400000" algn="ctr" rotWithShape="0">
                  <a:srgbClr val="6E747A">
                    <a:alpha val="43000"/>
                  </a:srgbClr>
                </a:outerShdw>
              </a:effectLst>
            </a:endParaRPr>
          </a:p>
        </xdr:txBody>
      </xdr:sp>
    </xdr:grpSp>
    <xdr:clientData/>
  </xdr:twoCellAnchor>
  <xdr:twoCellAnchor>
    <xdr:from>
      <xdr:col>4</xdr:col>
      <xdr:colOff>717550</xdr:colOff>
      <xdr:row>289</xdr:row>
      <xdr:rowOff>127000</xdr:rowOff>
    </xdr:from>
    <xdr:to>
      <xdr:col>6</xdr:col>
      <xdr:colOff>316535</xdr:colOff>
      <xdr:row>291</xdr:row>
      <xdr:rowOff>127934</xdr:rowOff>
    </xdr:to>
    <xdr:sp macro="" textlink="">
      <xdr:nvSpPr>
        <xdr:cNvPr id="82" name="TextBox 81">
          <a:extLst>
            <a:ext uri="{FF2B5EF4-FFF2-40B4-BE49-F238E27FC236}">
              <a16:creationId xmlns:a16="http://schemas.microsoft.com/office/drawing/2014/main" xmlns="" id="{00000000-0008-0000-0000-000029000000}"/>
            </a:ext>
          </a:extLst>
        </xdr:cNvPr>
        <xdr:cNvSpPr txBox="1"/>
      </xdr:nvSpPr>
      <xdr:spPr>
        <a:xfrm>
          <a:off x="4203700" y="51765200"/>
          <a:ext cx="1199185" cy="3946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0" cap="none" spc="0" baseline="0">
              <a:ln w="0"/>
              <a:solidFill>
                <a:sysClr val="windowText" lastClr="000000"/>
              </a:solidFill>
              <a:effectLst>
                <a:outerShdw blurRad="38100" dist="25400" dir="5400000" algn="ctr" rotWithShape="0">
                  <a:srgbClr val="6E747A">
                    <a:alpha val="43000"/>
                  </a:srgbClr>
                </a:outerShdw>
              </a:effectLst>
            </a:rPr>
            <a:t>Other Bldg</a:t>
          </a:r>
          <a:endParaRPr lang="en-IN" sz="1200" b="0" cap="none" spc="0">
            <a:ln w="0"/>
            <a:solidFill>
              <a:sysClr val="windowText" lastClr="000000"/>
            </a:solidFill>
            <a:effectLst>
              <a:outerShdw blurRad="38100" dist="25400" dir="5400000" algn="ctr" rotWithShape="0">
                <a:srgbClr val="6E747A">
                  <a:alpha val="43000"/>
                </a:srgbClr>
              </a:outerShdw>
            </a:effectLst>
          </a:endParaRPr>
        </a:p>
      </xdr:txBody>
    </xdr:sp>
    <xdr:clientData/>
  </xdr:twoCellAnchor>
  <xdr:twoCellAnchor>
    <xdr:from>
      <xdr:col>5</xdr:col>
      <xdr:colOff>311150</xdr:colOff>
      <xdr:row>290</xdr:row>
      <xdr:rowOff>165100</xdr:rowOff>
    </xdr:from>
    <xdr:to>
      <xdr:col>5</xdr:col>
      <xdr:colOff>381000</xdr:colOff>
      <xdr:row>291</xdr:row>
      <xdr:rowOff>107950</xdr:rowOff>
    </xdr:to>
    <xdr:cxnSp macro="">
      <xdr:nvCxnSpPr>
        <xdr:cNvPr id="20" name="Straight Arrow Connector 19"/>
        <xdr:cNvCxnSpPr/>
      </xdr:nvCxnSpPr>
      <xdr:spPr>
        <a:xfrm>
          <a:off x="4616450" y="52000150"/>
          <a:ext cx="69850" cy="139700"/>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QVmMDcxYw21jazwr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61"/>
  <sheetViews>
    <sheetView tabSelected="1" view="pageBreakPreview" topLeftCell="A220" zoomScaleNormal="100" zoomScaleSheetLayoutView="100" zoomScalePageLayoutView="85" workbookViewId="0">
      <selection activeCell="I269" sqref="I269"/>
    </sheetView>
  </sheetViews>
  <sheetFormatPr defaultColWidth="9.140625" defaultRowHeight="15.75" x14ac:dyDescent="0.25"/>
  <cols>
    <col min="1" max="1" width="11.42578125" style="37" customWidth="1"/>
    <col min="2" max="2" width="12" style="37" customWidth="1"/>
    <col min="3" max="3" width="12.7109375" style="37" customWidth="1"/>
    <col min="4" max="4" width="13.7109375" style="37" customWidth="1"/>
    <col min="5" max="5" width="11.7109375" style="37" customWidth="1"/>
    <col min="6" max="6" width="11.140625" style="37" customWidth="1"/>
    <col min="7" max="7" width="11" style="37" customWidth="1"/>
    <col min="8" max="8" width="15.28515625" style="37" customWidth="1"/>
    <col min="9" max="9" width="17.42578125" style="18" customWidth="1"/>
    <col min="10" max="10" width="11.42578125" style="18" customWidth="1"/>
    <col min="11" max="11" width="10.5703125" style="18" bestFit="1" customWidth="1"/>
    <col min="12" max="12" width="13.85546875" style="18" bestFit="1" customWidth="1"/>
    <col min="13" max="13" width="11.85546875" style="18" customWidth="1"/>
    <col min="14" max="14" width="12.5703125" style="18" customWidth="1"/>
    <col min="15" max="15" width="12.140625" style="18" customWidth="1"/>
    <col min="16" max="16" width="11.7109375" style="18" customWidth="1"/>
    <col min="17" max="18" width="9.140625" style="18"/>
    <col min="19" max="19" width="10.85546875" style="18" bestFit="1" customWidth="1"/>
    <col min="20" max="20" width="10.7109375" style="18" customWidth="1"/>
    <col min="21" max="247" width="9.140625" style="18"/>
    <col min="248" max="248" width="8.7109375" style="18" customWidth="1"/>
    <col min="249" max="249" width="9.85546875" style="18" customWidth="1"/>
    <col min="250" max="250" width="14.42578125" style="18" customWidth="1"/>
    <col min="251" max="251" width="7.28515625" style="18" customWidth="1"/>
    <col min="252" max="252" width="5.5703125" style="18" customWidth="1"/>
    <col min="253" max="253" width="9" style="18" customWidth="1"/>
    <col min="254" max="255" width="9.85546875" style="18" customWidth="1"/>
    <col min="256" max="256" width="11.140625" style="18" customWidth="1"/>
    <col min="257" max="257" width="2.85546875" style="18" customWidth="1"/>
    <col min="258" max="258" width="3.5703125" style="18" customWidth="1"/>
    <col min="259" max="503" width="9.140625" style="18"/>
    <col min="504" max="504" width="8.7109375" style="18" customWidth="1"/>
    <col min="505" max="505" width="9.85546875" style="18" customWidth="1"/>
    <col min="506" max="506" width="14.42578125" style="18" customWidth="1"/>
    <col min="507" max="507" width="7.28515625" style="18" customWidth="1"/>
    <col min="508" max="508" width="5.5703125" style="18" customWidth="1"/>
    <col min="509" max="509" width="9" style="18" customWidth="1"/>
    <col min="510" max="511" width="9.85546875" style="18" customWidth="1"/>
    <col min="512" max="512" width="11.140625" style="18" customWidth="1"/>
    <col min="513" max="513" width="2.85546875" style="18" customWidth="1"/>
    <col min="514" max="514" width="3.5703125" style="18" customWidth="1"/>
    <col min="515" max="759" width="9.140625" style="18"/>
    <col min="760" max="760" width="8.7109375" style="18" customWidth="1"/>
    <col min="761" max="761" width="9.85546875" style="18" customWidth="1"/>
    <col min="762" max="762" width="14.42578125" style="18" customWidth="1"/>
    <col min="763" max="763" width="7.28515625" style="18" customWidth="1"/>
    <col min="764" max="764" width="5.5703125" style="18" customWidth="1"/>
    <col min="765" max="765" width="9" style="18" customWidth="1"/>
    <col min="766" max="767" width="9.85546875" style="18" customWidth="1"/>
    <col min="768" max="768" width="11.140625" style="18" customWidth="1"/>
    <col min="769" max="769" width="2.85546875" style="18" customWidth="1"/>
    <col min="770" max="770" width="3.5703125" style="18" customWidth="1"/>
    <col min="771" max="1015" width="9.140625" style="18"/>
    <col min="1016" max="1016" width="8.7109375" style="18" customWidth="1"/>
    <col min="1017" max="1017" width="9.85546875" style="18" customWidth="1"/>
    <col min="1018" max="1018" width="14.42578125" style="18" customWidth="1"/>
    <col min="1019" max="1019" width="7.28515625" style="18" customWidth="1"/>
    <col min="1020" max="1020" width="5.5703125" style="18" customWidth="1"/>
    <col min="1021" max="1021" width="9" style="18" customWidth="1"/>
    <col min="1022" max="1023" width="9.85546875" style="18" customWidth="1"/>
    <col min="1024" max="1024" width="11.140625" style="18" customWidth="1"/>
    <col min="1025" max="1025" width="2.85546875" style="18" customWidth="1"/>
    <col min="1026" max="1026" width="3.5703125" style="18" customWidth="1"/>
    <col min="1027" max="1271" width="9.140625" style="18"/>
    <col min="1272" max="1272" width="8.7109375" style="18" customWidth="1"/>
    <col min="1273" max="1273" width="9.85546875" style="18" customWidth="1"/>
    <col min="1274" max="1274" width="14.42578125" style="18" customWidth="1"/>
    <col min="1275" max="1275" width="7.28515625" style="18" customWidth="1"/>
    <col min="1276" max="1276" width="5.5703125" style="18" customWidth="1"/>
    <col min="1277" max="1277" width="9" style="18" customWidth="1"/>
    <col min="1278" max="1279" width="9.85546875" style="18" customWidth="1"/>
    <col min="1280" max="1280" width="11.140625" style="18" customWidth="1"/>
    <col min="1281" max="1281" width="2.85546875" style="18" customWidth="1"/>
    <col min="1282" max="1282" width="3.5703125" style="18" customWidth="1"/>
    <col min="1283" max="1527" width="9.140625" style="18"/>
    <col min="1528" max="1528" width="8.7109375" style="18" customWidth="1"/>
    <col min="1529" max="1529" width="9.85546875" style="18" customWidth="1"/>
    <col min="1530" max="1530" width="14.42578125" style="18" customWidth="1"/>
    <col min="1531" max="1531" width="7.28515625" style="18" customWidth="1"/>
    <col min="1532" max="1532" width="5.5703125" style="18" customWidth="1"/>
    <col min="1533" max="1533" width="9" style="18" customWidth="1"/>
    <col min="1534" max="1535" width="9.85546875" style="18" customWidth="1"/>
    <col min="1536" max="1536" width="11.140625" style="18" customWidth="1"/>
    <col min="1537" max="1537" width="2.85546875" style="18" customWidth="1"/>
    <col min="1538" max="1538" width="3.5703125" style="18" customWidth="1"/>
    <col min="1539" max="1783" width="9.140625" style="18"/>
    <col min="1784" max="1784" width="8.7109375" style="18" customWidth="1"/>
    <col min="1785" max="1785" width="9.85546875" style="18" customWidth="1"/>
    <col min="1786" max="1786" width="14.42578125" style="18" customWidth="1"/>
    <col min="1787" max="1787" width="7.28515625" style="18" customWidth="1"/>
    <col min="1788" max="1788" width="5.5703125" style="18" customWidth="1"/>
    <col min="1789" max="1789" width="9" style="18" customWidth="1"/>
    <col min="1790" max="1791" width="9.85546875" style="18" customWidth="1"/>
    <col min="1792" max="1792" width="11.140625" style="18" customWidth="1"/>
    <col min="1793" max="1793" width="2.85546875" style="18" customWidth="1"/>
    <col min="1794" max="1794" width="3.5703125" style="18" customWidth="1"/>
    <col min="1795" max="2039" width="9.140625" style="18"/>
    <col min="2040" max="2040" width="8.7109375" style="18" customWidth="1"/>
    <col min="2041" max="2041" width="9.85546875" style="18" customWidth="1"/>
    <col min="2042" max="2042" width="14.42578125" style="18" customWidth="1"/>
    <col min="2043" max="2043" width="7.28515625" style="18" customWidth="1"/>
    <col min="2044" max="2044" width="5.5703125" style="18" customWidth="1"/>
    <col min="2045" max="2045" width="9" style="18" customWidth="1"/>
    <col min="2046" max="2047" width="9.85546875" style="18" customWidth="1"/>
    <col min="2048" max="2048" width="11.140625" style="18" customWidth="1"/>
    <col min="2049" max="2049" width="2.85546875" style="18" customWidth="1"/>
    <col min="2050" max="2050" width="3.5703125" style="18" customWidth="1"/>
    <col min="2051" max="2295" width="9.140625" style="18"/>
    <col min="2296" max="2296" width="8.7109375" style="18" customWidth="1"/>
    <col min="2297" max="2297" width="9.85546875" style="18" customWidth="1"/>
    <col min="2298" max="2298" width="14.42578125" style="18" customWidth="1"/>
    <col min="2299" max="2299" width="7.28515625" style="18" customWidth="1"/>
    <col min="2300" max="2300" width="5.5703125" style="18" customWidth="1"/>
    <col min="2301" max="2301" width="9" style="18" customWidth="1"/>
    <col min="2302" max="2303" width="9.85546875" style="18" customWidth="1"/>
    <col min="2304" max="2304" width="11.140625" style="18" customWidth="1"/>
    <col min="2305" max="2305" width="2.85546875" style="18" customWidth="1"/>
    <col min="2306" max="2306" width="3.5703125" style="18" customWidth="1"/>
    <col min="2307" max="2551" width="9.140625" style="18"/>
    <col min="2552" max="2552" width="8.7109375" style="18" customWidth="1"/>
    <col min="2553" max="2553" width="9.85546875" style="18" customWidth="1"/>
    <col min="2554" max="2554" width="14.42578125" style="18" customWidth="1"/>
    <col min="2555" max="2555" width="7.28515625" style="18" customWidth="1"/>
    <col min="2556" max="2556" width="5.5703125" style="18" customWidth="1"/>
    <col min="2557" max="2557" width="9" style="18" customWidth="1"/>
    <col min="2558" max="2559" width="9.85546875" style="18" customWidth="1"/>
    <col min="2560" max="2560" width="11.140625" style="18" customWidth="1"/>
    <col min="2561" max="2561" width="2.85546875" style="18" customWidth="1"/>
    <col min="2562" max="2562" width="3.5703125" style="18" customWidth="1"/>
    <col min="2563" max="2807" width="9.140625" style="18"/>
    <col min="2808" max="2808" width="8.7109375" style="18" customWidth="1"/>
    <col min="2809" max="2809" width="9.85546875" style="18" customWidth="1"/>
    <col min="2810" max="2810" width="14.42578125" style="18" customWidth="1"/>
    <col min="2811" max="2811" width="7.28515625" style="18" customWidth="1"/>
    <col min="2812" max="2812" width="5.5703125" style="18" customWidth="1"/>
    <col min="2813" max="2813" width="9" style="18" customWidth="1"/>
    <col min="2814" max="2815" width="9.85546875" style="18" customWidth="1"/>
    <col min="2816" max="2816" width="11.140625" style="18" customWidth="1"/>
    <col min="2817" max="2817" width="2.85546875" style="18" customWidth="1"/>
    <col min="2818" max="2818" width="3.5703125" style="18" customWidth="1"/>
    <col min="2819" max="3063" width="9.140625" style="18"/>
    <col min="3064" max="3064" width="8.7109375" style="18" customWidth="1"/>
    <col min="3065" max="3065" width="9.85546875" style="18" customWidth="1"/>
    <col min="3066" max="3066" width="14.42578125" style="18" customWidth="1"/>
    <col min="3067" max="3067" width="7.28515625" style="18" customWidth="1"/>
    <col min="3068" max="3068" width="5.5703125" style="18" customWidth="1"/>
    <col min="3069" max="3069" width="9" style="18" customWidth="1"/>
    <col min="3070" max="3071" width="9.85546875" style="18" customWidth="1"/>
    <col min="3072" max="3072" width="11.140625" style="18" customWidth="1"/>
    <col min="3073" max="3073" width="2.85546875" style="18" customWidth="1"/>
    <col min="3074" max="3074" width="3.5703125" style="18" customWidth="1"/>
    <col min="3075" max="3319" width="9.140625" style="18"/>
    <col min="3320" max="3320" width="8.7109375" style="18" customWidth="1"/>
    <col min="3321" max="3321" width="9.85546875" style="18" customWidth="1"/>
    <col min="3322" max="3322" width="14.42578125" style="18" customWidth="1"/>
    <col min="3323" max="3323" width="7.28515625" style="18" customWidth="1"/>
    <col min="3324" max="3324" width="5.5703125" style="18" customWidth="1"/>
    <col min="3325" max="3325" width="9" style="18" customWidth="1"/>
    <col min="3326" max="3327" width="9.85546875" style="18" customWidth="1"/>
    <col min="3328" max="3328" width="11.140625" style="18" customWidth="1"/>
    <col min="3329" max="3329" width="2.85546875" style="18" customWidth="1"/>
    <col min="3330" max="3330" width="3.5703125" style="18" customWidth="1"/>
    <col min="3331" max="3575" width="9.140625" style="18"/>
    <col min="3576" max="3576" width="8.7109375" style="18" customWidth="1"/>
    <col min="3577" max="3577" width="9.85546875" style="18" customWidth="1"/>
    <col min="3578" max="3578" width="14.42578125" style="18" customWidth="1"/>
    <col min="3579" max="3579" width="7.28515625" style="18" customWidth="1"/>
    <col min="3580" max="3580" width="5.5703125" style="18" customWidth="1"/>
    <col min="3581" max="3581" width="9" style="18" customWidth="1"/>
    <col min="3582" max="3583" width="9.85546875" style="18" customWidth="1"/>
    <col min="3584" max="3584" width="11.140625" style="18" customWidth="1"/>
    <col min="3585" max="3585" width="2.85546875" style="18" customWidth="1"/>
    <col min="3586" max="3586" width="3.5703125" style="18" customWidth="1"/>
    <col min="3587" max="3831" width="9.140625" style="18"/>
    <col min="3832" max="3832" width="8.7109375" style="18" customWidth="1"/>
    <col min="3833" max="3833" width="9.85546875" style="18" customWidth="1"/>
    <col min="3834" max="3834" width="14.42578125" style="18" customWidth="1"/>
    <col min="3835" max="3835" width="7.28515625" style="18" customWidth="1"/>
    <col min="3836" max="3836" width="5.5703125" style="18" customWidth="1"/>
    <col min="3837" max="3837" width="9" style="18" customWidth="1"/>
    <col min="3838" max="3839" width="9.85546875" style="18" customWidth="1"/>
    <col min="3840" max="3840" width="11.140625" style="18" customWidth="1"/>
    <col min="3841" max="3841" width="2.85546875" style="18" customWidth="1"/>
    <col min="3842" max="3842" width="3.5703125" style="18" customWidth="1"/>
    <col min="3843" max="4087" width="9.140625" style="18"/>
    <col min="4088" max="4088" width="8.7109375" style="18" customWidth="1"/>
    <col min="4089" max="4089" width="9.85546875" style="18" customWidth="1"/>
    <col min="4090" max="4090" width="14.42578125" style="18" customWidth="1"/>
    <col min="4091" max="4091" width="7.28515625" style="18" customWidth="1"/>
    <col min="4092" max="4092" width="5.5703125" style="18" customWidth="1"/>
    <col min="4093" max="4093" width="9" style="18" customWidth="1"/>
    <col min="4094" max="4095" width="9.85546875" style="18" customWidth="1"/>
    <col min="4096" max="4096" width="11.140625" style="18" customWidth="1"/>
    <col min="4097" max="4097" width="2.85546875" style="18" customWidth="1"/>
    <col min="4098" max="4098" width="3.5703125" style="18" customWidth="1"/>
    <col min="4099" max="4343" width="9.140625" style="18"/>
    <col min="4344" max="4344" width="8.7109375" style="18" customWidth="1"/>
    <col min="4345" max="4345" width="9.85546875" style="18" customWidth="1"/>
    <col min="4346" max="4346" width="14.42578125" style="18" customWidth="1"/>
    <col min="4347" max="4347" width="7.28515625" style="18" customWidth="1"/>
    <col min="4348" max="4348" width="5.5703125" style="18" customWidth="1"/>
    <col min="4349" max="4349" width="9" style="18" customWidth="1"/>
    <col min="4350" max="4351" width="9.85546875" style="18" customWidth="1"/>
    <col min="4352" max="4352" width="11.140625" style="18" customWidth="1"/>
    <col min="4353" max="4353" width="2.85546875" style="18" customWidth="1"/>
    <col min="4354" max="4354" width="3.5703125" style="18" customWidth="1"/>
    <col min="4355" max="4599" width="9.140625" style="18"/>
    <col min="4600" max="4600" width="8.7109375" style="18" customWidth="1"/>
    <col min="4601" max="4601" width="9.85546875" style="18" customWidth="1"/>
    <col min="4602" max="4602" width="14.42578125" style="18" customWidth="1"/>
    <col min="4603" max="4603" width="7.28515625" style="18" customWidth="1"/>
    <col min="4604" max="4604" width="5.5703125" style="18" customWidth="1"/>
    <col min="4605" max="4605" width="9" style="18" customWidth="1"/>
    <col min="4606" max="4607" width="9.85546875" style="18" customWidth="1"/>
    <col min="4608" max="4608" width="11.140625" style="18" customWidth="1"/>
    <col min="4609" max="4609" width="2.85546875" style="18" customWidth="1"/>
    <col min="4610" max="4610" width="3.5703125" style="18" customWidth="1"/>
    <col min="4611" max="4855" width="9.140625" style="18"/>
    <col min="4856" max="4856" width="8.7109375" style="18" customWidth="1"/>
    <col min="4857" max="4857" width="9.85546875" style="18" customWidth="1"/>
    <col min="4858" max="4858" width="14.42578125" style="18" customWidth="1"/>
    <col min="4859" max="4859" width="7.28515625" style="18" customWidth="1"/>
    <col min="4860" max="4860" width="5.5703125" style="18" customWidth="1"/>
    <col min="4861" max="4861" width="9" style="18" customWidth="1"/>
    <col min="4862" max="4863" width="9.85546875" style="18" customWidth="1"/>
    <col min="4864" max="4864" width="11.140625" style="18" customWidth="1"/>
    <col min="4865" max="4865" width="2.85546875" style="18" customWidth="1"/>
    <col min="4866" max="4866" width="3.5703125" style="18" customWidth="1"/>
    <col min="4867" max="5111" width="9.140625" style="18"/>
    <col min="5112" max="5112" width="8.7109375" style="18" customWidth="1"/>
    <col min="5113" max="5113" width="9.85546875" style="18" customWidth="1"/>
    <col min="5114" max="5114" width="14.42578125" style="18" customWidth="1"/>
    <col min="5115" max="5115" width="7.28515625" style="18" customWidth="1"/>
    <col min="5116" max="5116" width="5.5703125" style="18" customWidth="1"/>
    <col min="5117" max="5117" width="9" style="18" customWidth="1"/>
    <col min="5118" max="5119" width="9.85546875" style="18" customWidth="1"/>
    <col min="5120" max="5120" width="11.140625" style="18" customWidth="1"/>
    <col min="5121" max="5121" width="2.85546875" style="18" customWidth="1"/>
    <col min="5122" max="5122" width="3.5703125" style="18" customWidth="1"/>
    <col min="5123" max="5367" width="9.140625" style="18"/>
    <col min="5368" max="5368" width="8.7109375" style="18" customWidth="1"/>
    <col min="5369" max="5369" width="9.85546875" style="18" customWidth="1"/>
    <col min="5370" max="5370" width="14.42578125" style="18" customWidth="1"/>
    <col min="5371" max="5371" width="7.28515625" style="18" customWidth="1"/>
    <col min="5372" max="5372" width="5.5703125" style="18" customWidth="1"/>
    <col min="5373" max="5373" width="9" style="18" customWidth="1"/>
    <col min="5374" max="5375" width="9.85546875" style="18" customWidth="1"/>
    <col min="5376" max="5376" width="11.140625" style="18" customWidth="1"/>
    <col min="5377" max="5377" width="2.85546875" style="18" customWidth="1"/>
    <col min="5378" max="5378" width="3.5703125" style="18" customWidth="1"/>
    <col min="5379" max="5623" width="9.140625" style="18"/>
    <col min="5624" max="5624" width="8.7109375" style="18" customWidth="1"/>
    <col min="5625" max="5625" width="9.85546875" style="18" customWidth="1"/>
    <col min="5626" max="5626" width="14.42578125" style="18" customWidth="1"/>
    <col min="5627" max="5627" width="7.28515625" style="18" customWidth="1"/>
    <col min="5628" max="5628" width="5.5703125" style="18" customWidth="1"/>
    <col min="5629" max="5629" width="9" style="18" customWidth="1"/>
    <col min="5630" max="5631" width="9.85546875" style="18" customWidth="1"/>
    <col min="5632" max="5632" width="11.140625" style="18" customWidth="1"/>
    <col min="5633" max="5633" width="2.85546875" style="18" customWidth="1"/>
    <col min="5634" max="5634" width="3.5703125" style="18" customWidth="1"/>
    <col min="5635" max="5879" width="9.140625" style="18"/>
    <col min="5880" max="5880" width="8.7109375" style="18" customWidth="1"/>
    <col min="5881" max="5881" width="9.85546875" style="18" customWidth="1"/>
    <col min="5882" max="5882" width="14.42578125" style="18" customWidth="1"/>
    <col min="5883" max="5883" width="7.28515625" style="18" customWidth="1"/>
    <col min="5884" max="5884" width="5.5703125" style="18" customWidth="1"/>
    <col min="5885" max="5885" width="9" style="18" customWidth="1"/>
    <col min="5886" max="5887" width="9.85546875" style="18" customWidth="1"/>
    <col min="5888" max="5888" width="11.140625" style="18" customWidth="1"/>
    <col min="5889" max="5889" width="2.85546875" style="18" customWidth="1"/>
    <col min="5890" max="5890" width="3.5703125" style="18" customWidth="1"/>
    <col min="5891" max="6135" width="9.140625" style="18"/>
    <col min="6136" max="6136" width="8.7109375" style="18" customWidth="1"/>
    <col min="6137" max="6137" width="9.85546875" style="18" customWidth="1"/>
    <col min="6138" max="6138" width="14.42578125" style="18" customWidth="1"/>
    <col min="6139" max="6139" width="7.28515625" style="18" customWidth="1"/>
    <col min="6140" max="6140" width="5.5703125" style="18" customWidth="1"/>
    <col min="6141" max="6141" width="9" style="18" customWidth="1"/>
    <col min="6142" max="6143" width="9.85546875" style="18" customWidth="1"/>
    <col min="6144" max="6144" width="11.140625" style="18" customWidth="1"/>
    <col min="6145" max="6145" width="2.85546875" style="18" customWidth="1"/>
    <col min="6146" max="6146" width="3.5703125" style="18" customWidth="1"/>
    <col min="6147" max="6391" width="9.140625" style="18"/>
    <col min="6392" max="6392" width="8.7109375" style="18" customWidth="1"/>
    <col min="6393" max="6393" width="9.85546875" style="18" customWidth="1"/>
    <col min="6394" max="6394" width="14.42578125" style="18" customWidth="1"/>
    <col min="6395" max="6395" width="7.28515625" style="18" customWidth="1"/>
    <col min="6396" max="6396" width="5.5703125" style="18" customWidth="1"/>
    <col min="6397" max="6397" width="9" style="18" customWidth="1"/>
    <col min="6398" max="6399" width="9.85546875" style="18" customWidth="1"/>
    <col min="6400" max="6400" width="11.140625" style="18" customWidth="1"/>
    <col min="6401" max="6401" width="2.85546875" style="18" customWidth="1"/>
    <col min="6402" max="6402" width="3.5703125" style="18" customWidth="1"/>
    <col min="6403" max="6647" width="9.140625" style="18"/>
    <col min="6648" max="6648" width="8.7109375" style="18" customWidth="1"/>
    <col min="6649" max="6649" width="9.85546875" style="18" customWidth="1"/>
    <col min="6650" max="6650" width="14.42578125" style="18" customWidth="1"/>
    <col min="6651" max="6651" width="7.28515625" style="18" customWidth="1"/>
    <col min="6652" max="6652" width="5.5703125" style="18" customWidth="1"/>
    <col min="6653" max="6653" width="9" style="18" customWidth="1"/>
    <col min="6654" max="6655" width="9.85546875" style="18" customWidth="1"/>
    <col min="6656" max="6656" width="11.140625" style="18" customWidth="1"/>
    <col min="6657" max="6657" width="2.85546875" style="18" customWidth="1"/>
    <col min="6658" max="6658" width="3.5703125" style="18" customWidth="1"/>
    <col min="6659" max="6903" width="9.140625" style="18"/>
    <col min="6904" max="6904" width="8.7109375" style="18" customWidth="1"/>
    <col min="6905" max="6905" width="9.85546875" style="18" customWidth="1"/>
    <col min="6906" max="6906" width="14.42578125" style="18" customWidth="1"/>
    <col min="6907" max="6907" width="7.28515625" style="18" customWidth="1"/>
    <col min="6908" max="6908" width="5.5703125" style="18" customWidth="1"/>
    <col min="6909" max="6909" width="9" style="18" customWidth="1"/>
    <col min="6910" max="6911" width="9.85546875" style="18" customWidth="1"/>
    <col min="6912" max="6912" width="11.140625" style="18" customWidth="1"/>
    <col min="6913" max="6913" width="2.85546875" style="18" customWidth="1"/>
    <col min="6914" max="6914" width="3.5703125" style="18" customWidth="1"/>
    <col min="6915" max="7159" width="9.140625" style="18"/>
    <col min="7160" max="7160" width="8.7109375" style="18" customWidth="1"/>
    <col min="7161" max="7161" width="9.85546875" style="18" customWidth="1"/>
    <col min="7162" max="7162" width="14.42578125" style="18" customWidth="1"/>
    <col min="7163" max="7163" width="7.28515625" style="18" customWidth="1"/>
    <col min="7164" max="7164" width="5.5703125" style="18" customWidth="1"/>
    <col min="7165" max="7165" width="9" style="18" customWidth="1"/>
    <col min="7166" max="7167" width="9.85546875" style="18" customWidth="1"/>
    <col min="7168" max="7168" width="11.140625" style="18" customWidth="1"/>
    <col min="7169" max="7169" width="2.85546875" style="18" customWidth="1"/>
    <col min="7170" max="7170" width="3.5703125" style="18" customWidth="1"/>
    <col min="7171" max="7415" width="9.140625" style="18"/>
    <col min="7416" max="7416" width="8.7109375" style="18" customWidth="1"/>
    <col min="7417" max="7417" width="9.85546875" style="18" customWidth="1"/>
    <col min="7418" max="7418" width="14.42578125" style="18" customWidth="1"/>
    <col min="7419" max="7419" width="7.28515625" style="18" customWidth="1"/>
    <col min="7420" max="7420" width="5.5703125" style="18" customWidth="1"/>
    <col min="7421" max="7421" width="9" style="18" customWidth="1"/>
    <col min="7422" max="7423" width="9.85546875" style="18" customWidth="1"/>
    <col min="7424" max="7424" width="11.140625" style="18" customWidth="1"/>
    <col min="7425" max="7425" width="2.85546875" style="18" customWidth="1"/>
    <col min="7426" max="7426" width="3.5703125" style="18" customWidth="1"/>
    <col min="7427" max="7671" width="9.140625" style="18"/>
    <col min="7672" max="7672" width="8.7109375" style="18" customWidth="1"/>
    <col min="7673" max="7673" width="9.85546875" style="18" customWidth="1"/>
    <col min="7674" max="7674" width="14.42578125" style="18" customWidth="1"/>
    <col min="7675" max="7675" width="7.28515625" style="18" customWidth="1"/>
    <col min="7676" max="7676" width="5.5703125" style="18" customWidth="1"/>
    <col min="7677" max="7677" width="9" style="18" customWidth="1"/>
    <col min="7678" max="7679" width="9.85546875" style="18" customWidth="1"/>
    <col min="7680" max="7680" width="11.140625" style="18" customWidth="1"/>
    <col min="7681" max="7681" width="2.85546875" style="18" customWidth="1"/>
    <col min="7682" max="7682" width="3.5703125" style="18" customWidth="1"/>
    <col min="7683" max="7927" width="9.140625" style="18"/>
    <col min="7928" max="7928" width="8.7109375" style="18" customWidth="1"/>
    <col min="7929" max="7929" width="9.85546875" style="18" customWidth="1"/>
    <col min="7930" max="7930" width="14.42578125" style="18" customWidth="1"/>
    <col min="7931" max="7931" width="7.28515625" style="18" customWidth="1"/>
    <col min="7932" max="7932" width="5.5703125" style="18" customWidth="1"/>
    <col min="7933" max="7933" width="9" style="18" customWidth="1"/>
    <col min="7934" max="7935" width="9.85546875" style="18" customWidth="1"/>
    <col min="7936" max="7936" width="11.140625" style="18" customWidth="1"/>
    <col min="7937" max="7937" width="2.85546875" style="18" customWidth="1"/>
    <col min="7938" max="7938" width="3.5703125" style="18" customWidth="1"/>
    <col min="7939" max="8183" width="9.140625" style="18"/>
    <col min="8184" max="8184" width="8.7109375" style="18" customWidth="1"/>
    <col min="8185" max="8185" width="9.85546875" style="18" customWidth="1"/>
    <col min="8186" max="8186" width="14.42578125" style="18" customWidth="1"/>
    <col min="8187" max="8187" width="7.28515625" style="18" customWidth="1"/>
    <col min="8188" max="8188" width="5.5703125" style="18" customWidth="1"/>
    <col min="8189" max="8189" width="9" style="18" customWidth="1"/>
    <col min="8190" max="8191" width="9.85546875" style="18" customWidth="1"/>
    <col min="8192" max="8192" width="11.140625" style="18" customWidth="1"/>
    <col min="8193" max="8193" width="2.85546875" style="18" customWidth="1"/>
    <col min="8194" max="8194" width="3.5703125" style="18" customWidth="1"/>
    <col min="8195" max="8439" width="9.140625" style="18"/>
    <col min="8440" max="8440" width="8.7109375" style="18" customWidth="1"/>
    <col min="8441" max="8441" width="9.85546875" style="18" customWidth="1"/>
    <col min="8442" max="8442" width="14.42578125" style="18" customWidth="1"/>
    <col min="8443" max="8443" width="7.28515625" style="18" customWidth="1"/>
    <col min="8444" max="8444" width="5.5703125" style="18" customWidth="1"/>
    <col min="8445" max="8445" width="9" style="18" customWidth="1"/>
    <col min="8446" max="8447" width="9.85546875" style="18" customWidth="1"/>
    <col min="8448" max="8448" width="11.140625" style="18" customWidth="1"/>
    <col min="8449" max="8449" width="2.85546875" style="18" customWidth="1"/>
    <col min="8450" max="8450" width="3.5703125" style="18" customWidth="1"/>
    <col min="8451" max="8695" width="9.140625" style="18"/>
    <col min="8696" max="8696" width="8.7109375" style="18" customWidth="1"/>
    <col min="8697" max="8697" width="9.85546875" style="18" customWidth="1"/>
    <col min="8698" max="8698" width="14.42578125" style="18" customWidth="1"/>
    <col min="8699" max="8699" width="7.28515625" style="18" customWidth="1"/>
    <col min="8700" max="8700" width="5.5703125" style="18" customWidth="1"/>
    <col min="8701" max="8701" width="9" style="18" customWidth="1"/>
    <col min="8702" max="8703" width="9.85546875" style="18" customWidth="1"/>
    <col min="8704" max="8704" width="11.140625" style="18" customWidth="1"/>
    <col min="8705" max="8705" width="2.85546875" style="18" customWidth="1"/>
    <col min="8706" max="8706" width="3.5703125" style="18" customWidth="1"/>
    <col min="8707" max="8951" width="9.140625" style="18"/>
    <col min="8952" max="8952" width="8.7109375" style="18" customWidth="1"/>
    <col min="8953" max="8953" width="9.85546875" style="18" customWidth="1"/>
    <col min="8954" max="8954" width="14.42578125" style="18" customWidth="1"/>
    <col min="8955" max="8955" width="7.28515625" style="18" customWidth="1"/>
    <col min="8956" max="8956" width="5.5703125" style="18" customWidth="1"/>
    <col min="8957" max="8957" width="9" style="18" customWidth="1"/>
    <col min="8958" max="8959" width="9.85546875" style="18" customWidth="1"/>
    <col min="8960" max="8960" width="11.140625" style="18" customWidth="1"/>
    <col min="8961" max="8961" width="2.85546875" style="18" customWidth="1"/>
    <col min="8962" max="8962" width="3.5703125" style="18" customWidth="1"/>
    <col min="8963" max="9207" width="9.140625" style="18"/>
    <col min="9208" max="9208" width="8.7109375" style="18" customWidth="1"/>
    <col min="9209" max="9209" width="9.85546875" style="18" customWidth="1"/>
    <col min="9210" max="9210" width="14.42578125" style="18" customWidth="1"/>
    <col min="9211" max="9211" width="7.28515625" style="18" customWidth="1"/>
    <col min="9212" max="9212" width="5.5703125" style="18" customWidth="1"/>
    <col min="9213" max="9213" width="9" style="18" customWidth="1"/>
    <col min="9214" max="9215" width="9.85546875" style="18" customWidth="1"/>
    <col min="9216" max="9216" width="11.140625" style="18" customWidth="1"/>
    <col min="9217" max="9217" width="2.85546875" style="18" customWidth="1"/>
    <col min="9218" max="9218" width="3.5703125" style="18" customWidth="1"/>
    <col min="9219" max="9463" width="9.140625" style="18"/>
    <col min="9464" max="9464" width="8.7109375" style="18" customWidth="1"/>
    <col min="9465" max="9465" width="9.85546875" style="18" customWidth="1"/>
    <col min="9466" max="9466" width="14.42578125" style="18" customWidth="1"/>
    <col min="9467" max="9467" width="7.28515625" style="18" customWidth="1"/>
    <col min="9468" max="9468" width="5.5703125" style="18" customWidth="1"/>
    <col min="9469" max="9469" width="9" style="18" customWidth="1"/>
    <col min="9470" max="9471" width="9.85546875" style="18" customWidth="1"/>
    <col min="9472" max="9472" width="11.140625" style="18" customWidth="1"/>
    <col min="9473" max="9473" width="2.85546875" style="18" customWidth="1"/>
    <col min="9474" max="9474" width="3.5703125" style="18" customWidth="1"/>
    <col min="9475" max="9719" width="9.140625" style="18"/>
    <col min="9720" max="9720" width="8.7109375" style="18" customWidth="1"/>
    <col min="9721" max="9721" width="9.85546875" style="18" customWidth="1"/>
    <col min="9722" max="9722" width="14.42578125" style="18" customWidth="1"/>
    <col min="9723" max="9723" width="7.28515625" style="18" customWidth="1"/>
    <col min="9724" max="9724" width="5.5703125" style="18" customWidth="1"/>
    <col min="9725" max="9725" width="9" style="18" customWidth="1"/>
    <col min="9726" max="9727" width="9.85546875" style="18" customWidth="1"/>
    <col min="9728" max="9728" width="11.140625" style="18" customWidth="1"/>
    <col min="9729" max="9729" width="2.85546875" style="18" customWidth="1"/>
    <col min="9730" max="9730" width="3.5703125" style="18" customWidth="1"/>
    <col min="9731" max="9975" width="9.140625" style="18"/>
    <col min="9976" max="9976" width="8.7109375" style="18" customWidth="1"/>
    <col min="9977" max="9977" width="9.85546875" style="18" customWidth="1"/>
    <col min="9978" max="9978" width="14.42578125" style="18" customWidth="1"/>
    <col min="9979" max="9979" width="7.28515625" style="18" customWidth="1"/>
    <col min="9980" max="9980" width="5.5703125" style="18" customWidth="1"/>
    <col min="9981" max="9981" width="9" style="18" customWidth="1"/>
    <col min="9982" max="9983" width="9.85546875" style="18" customWidth="1"/>
    <col min="9984" max="9984" width="11.140625" style="18" customWidth="1"/>
    <col min="9985" max="9985" width="2.85546875" style="18" customWidth="1"/>
    <col min="9986" max="9986" width="3.5703125" style="18" customWidth="1"/>
    <col min="9987" max="10231" width="9.140625" style="18"/>
    <col min="10232" max="10232" width="8.7109375" style="18" customWidth="1"/>
    <col min="10233" max="10233" width="9.85546875" style="18" customWidth="1"/>
    <col min="10234" max="10234" width="14.42578125" style="18" customWidth="1"/>
    <col min="10235" max="10235" width="7.28515625" style="18" customWidth="1"/>
    <col min="10236" max="10236" width="5.5703125" style="18" customWidth="1"/>
    <col min="10237" max="10237" width="9" style="18" customWidth="1"/>
    <col min="10238" max="10239" width="9.85546875" style="18" customWidth="1"/>
    <col min="10240" max="10240" width="11.140625" style="18" customWidth="1"/>
    <col min="10241" max="10241" width="2.85546875" style="18" customWidth="1"/>
    <col min="10242" max="10242" width="3.5703125" style="18" customWidth="1"/>
    <col min="10243" max="10487" width="9.140625" style="18"/>
    <col min="10488" max="10488" width="8.7109375" style="18" customWidth="1"/>
    <col min="10489" max="10489" width="9.85546875" style="18" customWidth="1"/>
    <col min="10490" max="10490" width="14.42578125" style="18" customWidth="1"/>
    <col min="10491" max="10491" width="7.28515625" style="18" customWidth="1"/>
    <col min="10492" max="10492" width="5.5703125" style="18" customWidth="1"/>
    <col min="10493" max="10493" width="9" style="18" customWidth="1"/>
    <col min="10494" max="10495" width="9.85546875" style="18" customWidth="1"/>
    <col min="10496" max="10496" width="11.140625" style="18" customWidth="1"/>
    <col min="10497" max="10497" width="2.85546875" style="18" customWidth="1"/>
    <col min="10498" max="10498" width="3.5703125" style="18" customWidth="1"/>
    <col min="10499" max="10743" width="9.140625" style="18"/>
    <col min="10744" max="10744" width="8.7109375" style="18" customWidth="1"/>
    <col min="10745" max="10745" width="9.85546875" style="18" customWidth="1"/>
    <col min="10746" max="10746" width="14.42578125" style="18" customWidth="1"/>
    <col min="10747" max="10747" width="7.28515625" style="18" customWidth="1"/>
    <col min="10748" max="10748" width="5.5703125" style="18" customWidth="1"/>
    <col min="10749" max="10749" width="9" style="18" customWidth="1"/>
    <col min="10750" max="10751" width="9.85546875" style="18" customWidth="1"/>
    <col min="10752" max="10752" width="11.140625" style="18" customWidth="1"/>
    <col min="10753" max="10753" width="2.85546875" style="18" customWidth="1"/>
    <col min="10754" max="10754" width="3.5703125" style="18" customWidth="1"/>
    <col min="10755" max="10999" width="9.140625" style="18"/>
    <col min="11000" max="11000" width="8.7109375" style="18" customWidth="1"/>
    <col min="11001" max="11001" width="9.85546875" style="18" customWidth="1"/>
    <col min="11002" max="11002" width="14.42578125" style="18" customWidth="1"/>
    <col min="11003" max="11003" width="7.28515625" style="18" customWidth="1"/>
    <col min="11004" max="11004" width="5.5703125" style="18" customWidth="1"/>
    <col min="11005" max="11005" width="9" style="18" customWidth="1"/>
    <col min="11006" max="11007" width="9.85546875" style="18" customWidth="1"/>
    <col min="11008" max="11008" width="11.140625" style="18" customWidth="1"/>
    <col min="11009" max="11009" width="2.85546875" style="18" customWidth="1"/>
    <col min="11010" max="11010" width="3.5703125" style="18" customWidth="1"/>
    <col min="11011" max="11255" width="9.140625" style="18"/>
    <col min="11256" max="11256" width="8.7109375" style="18" customWidth="1"/>
    <col min="11257" max="11257" width="9.85546875" style="18" customWidth="1"/>
    <col min="11258" max="11258" width="14.42578125" style="18" customWidth="1"/>
    <col min="11259" max="11259" width="7.28515625" style="18" customWidth="1"/>
    <col min="11260" max="11260" width="5.5703125" style="18" customWidth="1"/>
    <col min="11261" max="11261" width="9" style="18" customWidth="1"/>
    <col min="11262" max="11263" width="9.85546875" style="18" customWidth="1"/>
    <col min="11264" max="11264" width="11.140625" style="18" customWidth="1"/>
    <col min="11265" max="11265" width="2.85546875" style="18" customWidth="1"/>
    <col min="11266" max="11266" width="3.5703125" style="18" customWidth="1"/>
    <col min="11267" max="11511" width="9.140625" style="18"/>
    <col min="11512" max="11512" width="8.7109375" style="18" customWidth="1"/>
    <col min="11513" max="11513" width="9.85546875" style="18" customWidth="1"/>
    <col min="11514" max="11514" width="14.42578125" style="18" customWidth="1"/>
    <col min="11515" max="11515" width="7.28515625" style="18" customWidth="1"/>
    <col min="11516" max="11516" width="5.5703125" style="18" customWidth="1"/>
    <col min="11517" max="11517" width="9" style="18" customWidth="1"/>
    <col min="11518" max="11519" width="9.85546875" style="18" customWidth="1"/>
    <col min="11520" max="11520" width="11.140625" style="18" customWidth="1"/>
    <col min="11521" max="11521" width="2.85546875" style="18" customWidth="1"/>
    <col min="11522" max="11522" width="3.5703125" style="18" customWidth="1"/>
    <col min="11523" max="11767" width="9.140625" style="18"/>
    <col min="11768" max="11768" width="8.7109375" style="18" customWidth="1"/>
    <col min="11769" max="11769" width="9.85546875" style="18" customWidth="1"/>
    <col min="11770" max="11770" width="14.42578125" style="18" customWidth="1"/>
    <col min="11771" max="11771" width="7.28515625" style="18" customWidth="1"/>
    <col min="11772" max="11772" width="5.5703125" style="18" customWidth="1"/>
    <col min="11773" max="11773" width="9" style="18" customWidth="1"/>
    <col min="11774" max="11775" width="9.85546875" style="18" customWidth="1"/>
    <col min="11776" max="11776" width="11.140625" style="18" customWidth="1"/>
    <col min="11777" max="11777" width="2.85546875" style="18" customWidth="1"/>
    <col min="11778" max="11778" width="3.5703125" style="18" customWidth="1"/>
    <col min="11779" max="12023" width="9.140625" style="18"/>
    <col min="12024" max="12024" width="8.7109375" style="18" customWidth="1"/>
    <col min="12025" max="12025" width="9.85546875" style="18" customWidth="1"/>
    <col min="12026" max="12026" width="14.42578125" style="18" customWidth="1"/>
    <col min="12027" max="12027" width="7.28515625" style="18" customWidth="1"/>
    <col min="12028" max="12028" width="5.5703125" style="18" customWidth="1"/>
    <col min="12029" max="12029" width="9" style="18" customWidth="1"/>
    <col min="12030" max="12031" width="9.85546875" style="18" customWidth="1"/>
    <col min="12032" max="12032" width="11.140625" style="18" customWidth="1"/>
    <col min="12033" max="12033" width="2.85546875" style="18" customWidth="1"/>
    <col min="12034" max="12034" width="3.5703125" style="18" customWidth="1"/>
    <col min="12035" max="12279" width="9.140625" style="18"/>
    <col min="12280" max="12280" width="8.7109375" style="18" customWidth="1"/>
    <col min="12281" max="12281" width="9.85546875" style="18" customWidth="1"/>
    <col min="12282" max="12282" width="14.42578125" style="18" customWidth="1"/>
    <col min="12283" max="12283" width="7.28515625" style="18" customWidth="1"/>
    <col min="12284" max="12284" width="5.5703125" style="18" customWidth="1"/>
    <col min="12285" max="12285" width="9" style="18" customWidth="1"/>
    <col min="12286" max="12287" width="9.85546875" style="18" customWidth="1"/>
    <col min="12288" max="12288" width="11.140625" style="18" customWidth="1"/>
    <col min="12289" max="12289" width="2.85546875" style="18" customWidth="1"/>
    <col min="12290" max="12290" width="3.5703125" style="18" customWidth="1"/>
    <col min="12291" max="12535" width="9.140625" style="18"/>
    <col min="12536" max="12536" width="8.7109375" style="18" customWidth="1"/>
    <col min="12537" max="12537" width="9.85546875" style="18" customWidth="1"/>
    <col min="12538" max="12538" width="14.42578125" style="18" customWidth="1"/>
    <col min="12539" max="12539" width="7.28515625" style="18" customWidth="1"/>
    <col min="12540" max="12540" width="5.5703125" style="18" customWidth="1"/>
    <col min="12541" max="12541" width="9" style="18" customWidth="1"/>
    <col min="12542" max="12543" width="9.85546875" style="18" customWidth="1"/>
    <col min="12544" max="12544" width="11.140625" style="18" customWidth="1"/>
    <col min="12545" max="12545" width="2.85546875" style="18" customWidth="1"/>
    <col min="12546" max="12546" width="3.5703125" style="18" customWidth="1"/>
    <col min="12547" max="12791" width="9.140625" style="18"/>
    <col min="12792" max="12792" width="8.7109375" style="18" customWidth="1"/>
    <col min="12793" max="12793" width="9.85546875" style="18" customWidth="1"/>
    <col min="12794" max="12794" width="14.42578125" style="18" customWidth="1"/>
    <col min="12795" max="12795" width="7.28515625" style="18" customWidth="1"/>
    <col min="12796" max="12796" width="5.5703125" style="18" customWidth="1"/>
    <col min="12797" max="12797" width="9" style="18" customWidth="1"/>
    <col min="12798" max="12799" width="9.85546875" style="18" customWidth="1"/>
    <col min="12800" max="12800" width="11.140625" style="18" customWidth="1"/>
    <col min="12801" max="12801" width="2.85546875" style="18" customWidth="1"/>
    <col min="12802" max="12802" width="3.5703125" style="18" customWidth="1"/>
    <col min="12803" max="13047" width="9.140625" style="18"/>
    <col min="13048" max="13048" width="8.7109375" style="18" customWidth="1"/>
    <col min="13049" max="13049" width="9.85546875" style="18" customWidth="1"/>
    <col min="13050" max="13050" width="14.42578125" style="18" customWidth="1"/>
    <col min="13051" max="13051" width="7.28515625" style="18" customWidth="1"/>
    <col min="13052" max="13052" width="5.5703125" style="18" customWidth="1"/>
    <col min="13053" max="13053" width="9" style="18" customWidth="1"/>
    <col min="13054" max="13055" width="9.85546875" style="18" customWidth="1"/>
    <col min="13056" max="13056" width="11.140625" style="18" customWidth="1"/>
    <col min="13057" max="13057" width="2.85546875" style="18" customWidth="1"/>
    <col min="13058" max="13058" width="3.5703125" style="18" customWidth="1"/>
    <col min="13059" max="13303" width="9.140625" style="18"/>
    <col min="13304" max="13304" width="8.7109375" style="18" customWidth="1"/>
    <col min="13305" max="13305" width="9.85546875" style="18" customWidth="1"/>
    <col min="13306" max="13306" width="14.42578125" style="18" customWidth="1"/>
    <col min="13307" max="13307" width="7.28515625" style="18" customWidth="1"/>
    <col min="13308" max="13308" width="5.5703125" style="18" customWidth="1"/>
    <col min="13309" max="13309" width="9" style="18" customWidth="1"/>
    <col min="13310" max="13311" width="9.85546875" style="18" customWidth="1"/>
    <col min="13312" max="13312" width="11.140625" style="18" customWidth="1"/>
    <col min="13313" max="13313" width="2.85546875" style="18" customWidth="1"/>
    <col min="13314" max="13314" width="3.5703125" style="18" customWidth="1"/>
    <col min="13315" max="13559" width="9.140625" style="18"/>
    <col min="13560" max="13560" width="8.7109375" style="18" customWidth="1"/>
    <col min="13561" max="13561" width="9.85546875" style="18" customWidth="1"/>
    <col min="13562" max="13562" width="14.42578125" style="18" customWidth="1"/>
    <col min="13563" max="13563" width="7.28515625" style="18" customWidth="1"/>
    <col min="13564" max="13564" width="5.5703125" style="18" customWidth="1"/>
    <col min="13565" max="13565" width="9" style="18" customWidth="1"/>
    <col min="13566" max="13567" width="9.85546875" style="18" customWidth="1"/>
    <col min="13568" max="13568" width="11.140625" style="18" customWidth="1"/>
    <col min="13569" max="13569" width="2.85546875" style="18" customWidth="1"/>
    <col min="13570" max="13570" width="3.5703125" style="18" customWidth="1"/>
    <col min="13571" max="13815" width="9.140625" style="18"/>
    <col min="13816" max="13816" width="8.7109375" style="18" customWidth="1"/>
    <col min="13817" max="13817" width="9.85546875" style="18" customWidth="1"/>
    <col min="13818" max="13818" width="14.42578125" style="18" customWidth="1"/>
    <col min="13819" max="13819" width="7.28515625" style="18" customWidth="1"/>
    <col min="13820" max="13820" width="5.5703125" style="18" customWidth="1"/>
    <col min="13821" max="13821" width="9" style="18" customWidth="1"/>
    <col min="13822" max="13823" width="9.85546875" style="18" customWidth="1"/>
    <col min="13824" max="13824" width="11.140625" style="18" customWidth="1"/>
    <col min="13825" max="13825" width="2.85546875" style="18" customWidth="1"/>
    <col min="13826" max="13826" width="3.5703125" style="18" customWidth="1"/>
    <col min="13827" max="14071" width="9.140625" style="18"/>
    <col min="14072" max="14072" width="8.7109375" style="18" customWidth="1"/>
    <col min="14073" max="14073" width="9.85546875" style="18" customWidth="1"/>
    <col min="14074" max="14074" width="14.42578125" style="18" customWidth="1"/>
    <col min="14075" max="14075" width="7.28515625" style="18" customWidth="1"/>
    <col min="14076" max="14076" width="5.5703125" style="18" customWidth="1"/>
    <col min="14077" max="14077" width="9" style="18" customWidth="1"/>
    <col min="14078" max="14079" width="9.85546875" style="18" customWidth="1"/>
    <col min="14080" max="14080" width="11.140625" style="18" customWidth="1"/>
    <col min="14081" max="14081" width="2.85546875" style="18" customWidth="1"/>
    <col min="14082" max="14082" width="3.5703125" style="18" customWidth="1"/>
    <col min="14083" max="14327" width="9.140625" style="18"/>
    <col min="14328" max="14328" width="8.7109375" style="18" customWidth="1"/>
    <col min="14329" max="14329" width="9.85546875" style="18" customWidth="1"/>
    <col min="14330" max="14330" width="14.42578125" style="18" customWidth="1"/>
    <col min="14331" max="14331" width="7.28515625" style="18" customWidth="1"/>
    <col min="14332" max="14332" width="5.5703125" style="18" customWidth="1"/>
    <col min="14333" max="14333" width="9" style="18" customWidth="1"/>
    <col min="14334" max="14335" width="9.85546875" style="18" customWidth="1"/>
    <col min="14336" max="14336" width="11.140625" style="18" customWidth="1"/>
    <col min="14337" max="14337" width="2.85546875" style="18" customWidth="1"/>
    <col min="14338" max="14338" width="3.5703125" style="18" customWidth="1"/>
    <col min="14339" max="14583" width="9.140625" style="18"/>
    <col min="14584" max="14584" width="8.7109375" style="18" customWidth="1"/>
    <col min="14585" max="14585" width="9.85546875" style="18" customWidth="1"/>
    <col min="14586" max="14586" width="14.42578125" style="18" customWidth="1"/>
    <col min="14587" max="14587" width="7.28515625" style="18" customWidth="1"/>
    <col min="14588" max="14588" width="5.5703125" style="18" customWidth="1"/>
    <col min="14589" max="14589" width="9" style="18" customWidth="1"/>
    <col min="14590" max="14591" width="9.85546875" style="18" customWidth="1"/>
    <col min="14592" max="14592" width="11.140625" style="18" customWidth="1"/>
    <col min="14593" max="14593" width="2.85546875" style="18" customWidth="1"/>
    <col min="14594" max="14594" width="3.5703125" style="18" customWidth="1"/>
    <col min="14595" max="14839" width="9.140625" style="18"/>
    <col min="14840" max="14840" width="8.7109375" style="18" customWidth="1"/>
    <col min="14841" max="14841" width="9.85546875" style="18" customWidth="1"/>
    <col min="14842" max="14842" width="14.42578125" style="18" customWidth="1"/>
    <col min="14843" max="14843" width="7.28515625" style="18" customWidth="1"/>
    <col min="14844" max="14844" width="5.5703125" style="18" customWidth="1"/>
    <col min="14845" max="14845" width="9" style="18" customWidth="1"/>
    <col min="14846" max="14847" width="9.85546875" style="18" customWidth="1"/>
    <col min="14848" max="14848" width="11.140625" style="18" customWidth="1"/>
    <col min="14849" max="14849" width="2.85546875" style="18" customWidth="1"/>
    <col min="14850" max="14850" width="3.5703125" style="18" customWidth="1"/>
    <col min="14851" max="15095" width="9.140625" style="18"/>
    <col min="15096" max="15096" width="8.7109375" style="18" customWidth="1"/>
    <col min="15097" max="15097" width="9.85546875" style="18" customWidth="1"/>
    <col min="15098" max="15098" width="14.42578125" style="18" customWidth="1"/>
    <col min="15099" max="15099" width="7.28515625" style="18" customWidth="1"/>
    <col min="15100" max="15100" width="5.5703125" style="18" customWidth="1"/>
    <col min="15101" max="15101" width="9" style="18" customWidth="1"/>
    <col min="15102" max="15103" width="9.85546875" style="18" customWidth="1"/>
    <col min="15104" max="15104" width="11.140625" style="18" customWidth="1"/>
    <col min="15105" max="15105" width="2.85546875" style="18" customWidth="1"/>
    <col min="15106" max="15106" width="3.5703125" style="18" customWidth="1"/>
    <col min="15107" max="15351" width="9.140625" style="18"/>
    <col min="15352" max="15352" width="8.7109375" style="18" customWidth="1"/>
    <col min="15353" max="15353" width="9.85546875" style="18" customWidth="1"/>
    <col min="15354" max="15354" width="14.42578125" style="18" customWidth="1"/>
    <col min="15355" max="15355" width="7.28515625" style="18" customWidth="1"/>
    <col min="15356" max="15356" width="5.5703125" style="18" customWidth="1"/>
    <col min="15357" max="15357" width="9" style="18" customWidth="1"/>
    <col min="15358" max="15359" width="9.85546875" style="18" customWidth="1"/>
    <col min="15360" max="15360" width="11.140625" style="18" customWidth="1"/>
    <col min="15361" max="15361" width="2.85546875" style="18" customWidth="1"/>
    <col min="15362" max="15362" width="3.5703125" style="18" customWidth="1"/>
    <col min="15363" max="15607" width="9.140625" style="18"/>
    <col min="15608" max="15608" width="8.7109375" style="18" customWidth="1"/>
    <col min="15609" max="15609" width="9.85546875" style="18" customWidth="1"/>
    <col min="15610" max="15610" width="14.42578125" style="18" customWidth="1"/>
    <col min="15611" max="15611" width="7.28515625" style="18" customWidth="1"/>
    <col min="15612" max="15612" width="5.5703125" style="18" customWidth="1"/>
    <col min="15613" max="15613" width="9" style="18" customWidth="1"/>
    <col min="15614" max="15615" width="9.85546875" style="18" customWidth="1"/>
    <col min="15616" max="15616" width="11.140625" style="18" customWidth="1"/>
    <col min="15617" max="15617" width="2.85546875" style="18" customWidth="1"/>
    <col min="15618" max="15618" width="3.5703125" style="18" customWidth="1"/>
    <col min="15619" max="15863" width="9.140625" style="18"/>
    <col min="15864" max="15864" width="8.7109375" style="18" customWidth="1"/>
    <col min="15865" max="15865" width="9.85546875" style="18" customWidth="1"/>
    <col min="15866" max="15866" width="14.42578125" style="18" customWidth="1"/>
    <col min="15867" max="15867" width="7.28515625" style="18" customWidth="1"/>
    <col min="15868" max="15868" width="5.5703125" style="18" customWidth="1"/>
    <col min="15869" max="15869" width="9" style="18" customWidth="1"/>
    <col min="15870" max="15871" width="9.85546875" style="18" customWidth="1"/>
    <col min="15872" max="15872" width="11.140625" style="18" customWidth="1"/>
    <col min="15873" max="15873" width="2.85546875" style="18" customWidth="1"/>
    <col min="15874" max="15874" width="3.5703125" style="18" customWidth="1"/>
    <col min="15875" max="16119" width="9.140625" style="18"/>
    <col min="16120" max="16120" width="8.7109375" style="18" customWidth="1"/>
    <col min="16121" max="16121" width="9.85546875" style="18" customWidth="1"/>
    <col min="16122" max="16122" width="14.42578125" style="18" customWidth="1"/>
    <col min="16123" max="16123" width="7.28515625" style="18" customWidth="1"/>
    <col min="16124" max="16124" width="5.5703125" style="18" customWidth="1"/>
    <col min="16125" max="16125" width="9" style="18" customWidth="1"/>
    <col min="16126" max="16127" width="9.85546875" style="18" customWidth="1"/>
    <col min="16128" max="16128" width="11.140625" style="18" customWidth="1"/>
    <col min="16129" max="16129" width="2.85546875" style="18" customWidth="1"/>
    <col min="16130" max="16130" width="3.5703125" style="18" customWidth="1"/>
    <col min="16131" max="16384" width="9.140625" style="18"/>
  </cols>
  <sheetData>
    <row r="1" spans="1:26" ht="46.5" customHeight="1" x14ac:dyDescent="0.25">
      <c r="A1" s="170" t="s">
        <v>165</v>
      </c>
      <c r="B1" s="170"/>
      <c r="C1" s="170"/>
      <c r="D1" s="170"/>
      <c r="E1" s="170"/>
      <c r="F1" s="170"/>
      <c r="G1" s="170"/>
      <c r="H1" s="170"/>
    </row>
    <row r="2" spans="1:26" ht="16.5" customHeight="1" x14ac:dyDescent="0.25">
      <c r="A2" s="171" t="s">
        <v>0</v>
      </c>
      <c r="B2" s="171"/>
      <c r="C2" s="171"/>
      <c r="D2" s="171"/>
      <c r="E2" s="171"/>
      <c r="F2" s="171"/>
      <c r="G2" s="171"/>
      <c r="H2" s="171"/>
    </row>
    <row r="3" spans="1:26" x14ac:dyDescent="0.25">
      <c r="A3" s="78" t="s">
        <v>1</v>
      </c>
      <c r="B3" s="78"/>
      <c r="C3" s="78"/>
      <c r="D3" s="78"/>
      <c r="E3" s="78" t="str">
        <f ca="1">TEXT(TODAY(),"DD/MM/YYYY")</f>
        <v>22/07/2025</v>
      </c>
      <c r="F3" s="78"/>
      <c r="G3" s="78"/>
      <c r="H3" s="78"/>
      <c r="K3" s="51" t="s">
        <v>236</v>
      </c>
      <c r="L3" s="48" t="s">
        <v>234</v>
      </c>
      <c r="M3" s="48" t="s">
        <v>239</v>
      </c>
      <c r="N3" s="48" t="s">
        <v>237</v>
      </c>
      <c r="O3" s="48" t="s">
        <v>238</v>
      </c>
      <c r="P3" s="48" t="s">
        <v>240</v>
      </c>
    </row>
    <row r="4" spans="1:26" ht="15" customHeight="1" x14ac:dyDescent="0.25">
      <c r="A4" s="78" t="s">
        <v>233</v>
      </c>
      <c r="B4" s="78"/>
      <c r="C4" s="78"/>
      <c r="D4" s="78"/>
      <c r="E4" s="78" t="s">
        <v>234</v>
      </c>
      <c r="F4" s="78"/>
      <c r="G4" s="78"/>
      <c r="H4" s="78"/>
      <c r="K4" s="47" t="s">
        <v>235</v>
      </c>
      <c r="L4" s="48" t="s">
        <v>171</v>
      </c>
      <c r="M4" s="48" t="s">
        <v>244</v>
      </c>
      <c r="N4" s="48" t="s">
        <v>246</v>
      </c>
      <c r="O4" s="48" t="s">
        <v>248</v>
      </c>
      <c r="P4" s="48"/>
    </row>
    <row r="5" spans="1:26" ht="15" customHeight="1" x14ac:dyDescent="0.25">
      <c r="A5" s="78" t="s">
        <v>2</v>
      </c>
      <c r="B5" s="78"/>
      <c r="C5" s="78"/>
      <c r="D5" s="78"/>
      <c r="E5" s="78" t="s">
        <v>171</v>
      </c>
      <c r="F5" s="78"/>
      <c r="G5" s="78"/>
      <c r="H5" s="78"/>
      <c r="K5" s="47"/>
      <c r="L5" s="48" t="s">
        <v>241</v>
      </c>
      <c r="M5" s="48" t="s">
        <v>245</v>
      </c>
      <c r="N5" s="48" t="s">
        <v>247</v>
      </c>
      <c r="O5" s="48" t="s">
        <v>249</v>
      </c>
      <c r="P5" s="48"/>
    </row>
    <row r="6" spans="1:26" x14ac:dyDescent="0.25">
      <c r="A6" s="78" t="s">
        <v>3</v>
      </c>
      <c r="B6" s="78"/>
      <c r="C6" s="78"/>
      <c r="D6" s="78"/>
      <c r="E6" s="172">
        <v>45860</v>
      </c>
      <c r="F6" s="78"/>
      <c r="G6" s="78"/>
      <c r="H6" s="78"/>
      <c r="K6" s="47"/>
      <c r="L6" s="48" t="s">
        <v>242</v>
      </c>
      <c r="M6" s="48"/>
      <c r="N6" s="48"/>
      <c r="O6" s="48" t="s">
        <v>250</v>
      </c>
      <c r="P6" s="48"/>
    </row>
    <row r="7" spans="1:26" ht="16.5" customHeight="1" x14ac:dyDescent="0.25">
      <c r="A7" s="78" t="s">
        <v>4</v>
      </c>
      <c r="B7" s="78"/>
      <c r="C7" s="78"/>
      <c r="D7" s="78"/>
      <c r="E7" s="131" t="s">
        <v>302</v>
      </c>
      <c r="F7" s="78"/>
      <c r="G7" s="78"/>
      <c r="H7" s="78"/>
      <c r="K7" s="47"/>
      <c r="L7" s="48" t="s">
        <v>243</v>
      </c>
      <c r="M7" s="48"/>
      <c r="N7" s="48"/>
      <c r="O7" s="48" t="s">
        <v>250</v>
      </c>
      <c r="P7" s="48"/>
    </row>
    <row r="8" spans="1:26" ht="15" customHeight="1" x14ac:dyDescent="0.25">
      <c r="A8" s="78" t="s">
        <v>5</v>
      </c>
      <c r="B8" s="78"/>
      <c r="C8" s="78"/>
      <c r="D8" s="78"/>
      <c r="E8" s="78" t="str">
        <f>E7</f>
        <v xml:space="preserve">Om Value Homes
</v>
      </c>
      <c r="F8" s="78"/>
      <c r="G8" s="78"/>
      <c r="H8" s="78"/>
      <c r="K8" s="47"/>
      <c r="L8" s="48"/>
      <c r="M8" s="48"/>
      <c r="N8" s="48"/>
      <c r="O8" s="48" t="s">
        <v>251</v>
      </c>
      <c r="P8" s="48"/>
    </row>
    <row r="9" spans="1:26" x14ac:dyDescent="0.25">
      <c r="A9" s="78" t="s">
        <v>6</v>
      </c>
      <c r="B9" s="78"/>
      <c r="C9" s="78"/>
      <c r="D9" s="78"/>
      <c r="E9" s="102" t="s">
        <v>303</v>
      </c>
      <c r="F9" s="127"/>
      <c r="G9" s="127"/>
      <c r="H9" s="127"/>
      <c r="K9" s="47"/>
      <c r="L9" s="48"/>
      <c r="M9" s="48"/>
      <c r="N9" s="48"/>
      <c r="O9" s="48" t="s">
        <v>252</v>
      </c>
      <c r="P9" s="48"/>
    </row>
    <row r="10" spans="1:26" x14ac:dyDescent="0.25">
      <c r="A10" s="78" t="s">
        <v>168</v>
      </c>
      <c r="B10" s="78"/>
      <c r="C10" s="78"/>
      <c r="D10" s="78"/>
      <c r="E10" s="78">
        <v>9146100650</v>
      </c>
      <c r="F10" s="78"/>
      <c r="G10" s="78"/>
      <c r="H10" s="78"/>
      <c r="K10" s="47"/>
      <c r="L10" s="48"/>
      <c r="M10" s="48"/>
      <c r="N10" s="48"/>
      <c r="O10" s="48"/>
      <c r="P10" s="48"/>
    </row>
    <row r="11" spans="1:26" x14ac:dyDescent="0.25">
      <c r="A11" s="78" t="s">
        <v>169</v>
      </c>
      <c r="B11" s="78"/>
      <c r="C11" s="78"/>
      <c r="D11" s="78"/>
      <c r="E11" s="78">
        <v>7264005102</v>
      </c>
      <c r="F11" s="78"/>
      <c r="G11" s="78"/>
      <c r="H11" s="78"/>
      <c r="I11" s="78" t="s">
        <v>349</v>
      </c>
      <c r="J11" s="78"/>
      <c r="K11" s="78"/>
      <c r="L11" s="78"/>
    </row>
    <row r="12" spans="1:26" x14ac:dyDescent="0.25">
      <c r="A12" s="78" t="s">
        <v>7</v>
      </c>
      <c r="B12" s="78"/>
      <c r="C12" s="78"/>
      <c r="D12" s="78"/>
      <c r="E12" s="78" t="s">
        <v>304</v>
      </c>
      <c r="F12" s="78"/>
      <c r="G12" s="78"/>
      <c r="H12" s="78"/>
    </row>
    <row r="13" spans="1:26" x14ac:dyDescent="0.25">
      <c r="A13" s="78" t="s">
        <v>172</v>
      </c>
      <c r="B13" s="78"/>
      <c r="C13" s="78"/>
      <c r="D13" s="78"/>
      <c r="E13" s="78" t="s">
        <v>28</v>
      </c>
      <c r="F13" s="78"/>
      <c r="G13" s="78"/>
      <c r="H13" s="78"/>
      <c r="S13" s="48" t="s">
        <v>178</v>
      </c>
      <c r="T13" s="48" t="s">
        <v>188</v>
      </c>
      <c r="U13" s="48" t="s">
        <v>173</v>
      </c>
      <c r="V13" s="48" t="s">
        <v>193</v>
      </c>
      <c r="W13" s="48" t="s">
        <v>211</v>
      </c>
      <c r="X13"/>
      <c r="Y13" t="s">
        <v>193</v>
      </c>
      <c r="Z13" t="e">
        <f ca="1">OFFSET($S$13,1,MATCH($G20,$S$13:$W$13,0)-1,15,1)</f>
        <v>#VALUE!</v>
      </c>
    </row>
    <row r="14" spans="1:26" x14ac:dyDescent="0.25">
      <c r="A14" s="79" t="s">
        <v>279</v>
      </c>
      <c r="B14" s="79"/>
      <c r="C14" s="79"/>
      <c r="D14" s="79"/>
      <c r="E14" s="131" t="s">
        <v>341</v>
      </c>
      <c r="F14" s="131"/>
      <c r="G14" s="131"/>
      <c r="H14" s="131"/>
      <c r="S14" s="48" t="s">
        <v>179</v>
      </c>
      <c r="T14" s="48" t="s">
        <v>186</v>
      </c>
      <c r="U14" s="48" t="s">
        <v>208</v>
      </c>
      <c r="V14" s="48" t="s">
        <v>194</v>
      </c>
      <c r="W14" s="48" t="s">
        <v>212</v>
      </c>
      <c r="X14"/>
      <c r="Y14"/>
      <c r="Z14"/>
    </row>
    <row r="15" spans="1:26" x14ac:dyDescent="0.25">
      <c r="A15" s="79" t="s">
        <v>8</v>
      </c>
      <c r="B15" s="79"/>
      <c r="C15" s="79"/>
      <c r="D15" s="79"/>
      <c r="E15" s="131" t="s">
        <v>305</v>
      </c>
      <c r="F15" s="78"/>
      <c r="G15" s="78"/>
      <c r="H15" s="78"/>
      <c r="I15" s="215" t="e">
        <f ca="1">OFFSET($D$5,1,MATCH($J13,$D$5:$H$5,0)-1,15,1)</f>
        <v>#N/A</v>
      </c>
      <c r="J15" s="216"/>
      <c r="K15" s="216"/>
      <c r="L15" s="216"/>
      <c r="M15" s="216"/>
      <c r="N15" s="216"/>
      <c r="O15" s="216"/>
      <c r="P15" s="216"/>
      <c r="S15" s="48" t="s">
        <v>180</v>
      </c>
      <c r="T15" s="48" t="s">
        <v>187</v>
      </c>
      <c r="U15" s="48" t="s">
        <v>209</v>
      </c>
      <c r="V15" s="48" t="s">
        <v>195</v>
      </c>
      <c r="W15" s="48" t="s">
        <v>225</v>
      </c>
      <c r="X15"/>
      <c r="Y15"/>
      <c r="Z15"/>
    </row>
    <row r="16" spans="1:26" ht="32.25" customHeight="1" x14ac:dyDescent="0.25">
      <c r="A16" s="131" t="s">
        <v>9</v>
      </c>
      <c r="B16" s="131"/>
      <c r="C16" s="131" t="str">
        <f>CONCATENATE((IF(OR(E9="",E9="NA"),"",E9)),", ",(IF(OR(A17="",A17="NA"),"",A17)),".",(IF(OR(C17="",C17="NA"),"",C17)),", near ",(IF(OR(C22="",C22="NA"),"",C22)),", ",(IF(OR(C19="",C19="NA"),"",C19)),", ",(IF(OR(C18="",C18="NA"),"",C18)),", ",(IF(OR(G19="",G19="NA"),"",G19)),", ",(IF(OR(C20="",C20="NA"),"",C20)),", ",(IF(OR(C21="",C21="NA"),"",C21)),", ",(IF(OR(G20="",G20="NA"),"",G20))," - ",(IF(OR(G21="",G21="NA"),"",G21)),".")</f>
        <v>Fair Township Building No 1, Gut No.232/5/1 , near Sai Siddi Developers, Internal Road, , Dhansar, Palghar West, Palghar, Palghar - 401404.</v>
      </c>
      <c r="D16" s="131"/>
      <c r="E16" s="131"/>
      <c r="F16" s="131"/>
      <c r="G16" s="131"/>
      <c r="H16" s="131"/>
      <c r="S16" s="48" t="s">
        <v>181</v>
      </c>
      <c r="T16" s="48" t="s">
        <v>189</v>
      </c>
      <c r="U16" s="48" t="s">
        <v>210</v>
      </c>
      <c r="V16" s="48" t="s">
        <v>196</v>
      </c>
      <c r="W16" s="48" t="s">
        <v>213</v>
      </c>
      <c r="X16"/>
      <c r="Y16"/>
      <c r="Z16"/>
    </row>
    <row r="17" spans="1:26" x14ac:dyDescent="0.25">
      <c r="A17" s="131" t="s">
        <v>306</v>
      </c>
      <c r="B17" s="131"/>
      <c r="C17" s="131" t="s">
        <v>339</v>
      </c>
      <c r="D17" s="131"/>
      <c r="E17" s="131"/>
      <c r="F17" s="131"/>
      <c r="G17" s="131"/>
      <c r="H17" s="131"/>
      <c r="S17" s="48" t="s">
        <v>182</v>
      </c>
      <c r="T17" s="48" t="s">
        <v>190</v>
      </c>
      <c r="U17" s="48" t="s">
        <v>173</v>
      </c>
      <c r="V17" s="48" t="s">
        <v>197</v>
      </c>
      <c r="W17" s="48" t="s">
        <v>214</v>
      </c>
      <c r="X17"/>
      <c r="Y17"/>
      <c r="Z17"/>
    </row>
    <row r="18" spans="1:26" ht="15.75" customHeight="1" x14ac:dyDescent="0.25">
      <c r="A18" s="131" t="s">
        <v>163</v>
      </c>
      <c r="B18" s="131"/>
      <c r="C18" s="131" t="s">
        <v>28</v>
      </c>
      <c r="D18" s="131"/>
      <c r="E18" s="131"/>
      <c r="F18" s="131"/>
      <c r="G18" s="131"/>
      <c r="H18" s="131"/>
      <c r="S18" s="48" t="s">
        <v>183</v>
      </c>
      <c r="T18" s="48" t="s">
        <v>188</v>
      </c>
      <c r="U18" s="48"/>
      <c r="V18" s="48" t="s">
        <v>198</v>
      </c>
      <c r="W18" s="48" t="s">
        <v>215</v>
      </c>
      <c r="X18"/>
      <c r="Y18"/>
      <c r="Z18"/>
    </row>
    <row r="19" spans="1:26" ht="15.75" customHeight="1" x14ac:dyDescent="0.25">
      <c r="A19" s="131" t="s">
        <v>10</v>
      </c>
      <c r="B19" s="131"/>
      <c r="C19" s="78" t="s">
        <v>308</v>
      </c>
      <c r="D19" s="78"/>
      <c r="E19" s="131" t="s">
        <v>69</v>
      </c>
      <c r="F19" s="131"/>
      <c r="G19" s="131" t="s">
        <v>307</v>
      </c>
      <c r="H19" s="131"/>
      <c r="S19" s="48" t="s">
        <v>184</v>
      </c>
      <c r="T19" s="48" t="s">
        <v>191</v>
      </c>
      <c r="U19" s="48"/>
      <c r="V19" s="48" t="s">
        <v>199</v>
      </c>
      <c r="W19" s="48" t="s">
        <v>216</v>
      </c>
      <c r="X19"/>
      <c r="Y19"/>
      <c r="Z19"/>
    </row>
    <row r="20" spans="1:26" x14ac:dyDescent="0.25">
      <c r="A20" s="78" t="s">
        <v>12</v>
      </c>
      <c r="B20" s="78"/>
      <c r="C20" s="131" t="s">
        <v>310</v>
      </c>
      <c r="D20" s="131"/>
      <c r="E20" s="131" t="s">
        <v>11</v>
      </c>
      <c r="F20" s="131"/>
      <c r="G20" s="169" t="s">
        <v>188</v>
      </c>
      <c r="H20" s="169"/>
      <c r="S20" s="48" t="s">
        <v>185</v>
      </c>
      <c r="T20" s="48" t="s">
        <v>192</v>
      </c>
      <c r="U20" s="48"/>
      <c r="V20" s="48" t="s">
        <v>200</v>
      </c>
      <c r="W20" s="48" t="s">
        <v>217</v>
      </c>
      <c r="X20"/>
      <c r="Y20"/>
      <c r="Z20"/>
    </row>
    <row r="21" spans="1:26" x14ac:dyDescent="0.25">
      <c r="A21" s="78" t="s">
        <v>70</v>
      </c>
      <c r="B21" s="78"/>
      <c r="C21" s="131" t="s">
        <v>188</v>
      </c>
      <c r="D21" s="131"/>
      <c r="E21" s="131" t="s">
        <v>13</v>
      </c>
      <c r="F21" s="131"/>
      <c r="G21" s="131">
        <v>401404</v>
      </c>
      <c r="H21" s="131"/>
      <c r="S21" s="48"/>
      <c r="T21" s="48"/>
      <c r="U21" s="48"/>
      <c r="V21" s="48" t="s">
        <v>201</v>
      </c>
      <c r="W21" s="48" t="s">
        <v>218</v>
      </c>
      <c r="X21"/>
      <c r="Y21"/>
      <c r="Z21"/>
    </row>
    <row r="22" spans="1:26" ht="32.25" customHeight="1" x14ac:dyDescent="0.25">
      <c r="A22" s="78" t="s">
        <v>119</v>
      </c>
      <c r="B22" s="78"/>
      <c r="C22" s="131" t="s">
        <v>311</v>
      </c>
      <c r="D22" s="131"/>
      <c r="E22" s="131" t="s">
        <v>14</v>
      </c>
      <c r="F22" s="131"/>
      <c r="G22" s="131" t="s">
        <v>309</v>
      </c>
      <c r="H22" s="131"/>
      <c r="S22" s="48"/>
      <c r="T22" s="48"/>
      <c r="U22" s="48"/>
      <c r="V22" s="48" t="s">
        <v>202</v>
      </c>
      <c r="W22" s="48" t="s">
        <v>219</v>
      </c>
      <c r="X22"/>
      <c r="Y22"/>
      <c r="Z22"/>
    </row>
    <row r="23" spans="1:26" ht="15" customHeight="1" x14ac:dyDescent="0.25">
      <c r="A23" s="168" t="s">
        <v>71</v>
      </c>
      <c r="B23" s="168"/>
      <c r="C23" s="168"/>
      <c r="D23" s="168"/>
      <c r="E23" s="78" t="s">
        <v>15</v>
      </c>
      <c r="F23" s="78"/>
      <c r="G23" s="78"/>
      <c r="H23" s="78"/>
      <c r="S23" s="48"/>
      <c r="T23" s="48"/>
      <c r="U23" s="48"/>
      <c r="V23" s="48" t="s">
        <v>203</v>
      </c>
      <c r="W23" s="48" t="s">
        <v>220</v>
      </c>
      <c r="X23"/>
      <c r="Y23"/>
      <c r="Z23"/>
    </row>
    <row r="24" spans="1:26" ht="18.75" customHeight="1" x14ac:dyDescent="0.25">
      <c r="A24" s="168"/>
      <c r="B24" s="168"/>
      <c r="C24" s="168"/>
      <c r="D24" s="168"/>
      <c r="E24" s="78"/>
      <c r="F24" s="78"/>
      <c r="G24" s="78"/>
      <c r="H24" s="78"/>
      <c r="S24" s="48"/>
      <c r="T24" s="48"/>
      <c r="U24" s="48"/>
      <c r="V24" s="48" t="s">
        <v>204</v>
      </c>
      <c r="W24" s="48" t="s">
        <v>221</v>
      </c>
      <c r="X24"/>
      <c r="Y24"/>
      <c r="Z24"/>
    </row>
    <row r="25" spans="1:26" ht="15" customHeight="1" x14ac:dyDescent="0.25">
      <c r="A25" s="168" t="s">
        <v>16</v>
      </c>
      <c r="B25" s="168"/>
      <c r="C25" s="168"/>
      <c r="D25" s="168"/>
      <c r="E25" s="131" t="s">
        <v>17</v>
      </c>
      <c r="F25" s="131"/>
      <c r="G25" s="131"/>
      <c r="H25" s="131"/>
      <c r="S25" s="48"/>
      <c r="T25" s="48"/>
      <c r="U25" s="48"/>
      <c r="V25" s="48" t="s">
        <v>205</v>
      </c>
      <c r="W25" s="48" t="s">
        <v>222</v>
      </c>
      <c r="X25"/>
      <c r="Y25"/>
      <c r="Z25"/>
    </row>
    <row r="26" spans="1:26" ht="15" customHeight="1" x14ac:dyDescent="0.25">
      <c r="A26" s="79" t="s">
        <v>18</v>
      </c>
      <c r="B26" s="79"/>
      <c r="C26" s="79"/>
      <c r="D26" s="79"/>
      <c r="E26" s="131" t="str">
        <f>IF(AND(G20="Mumbai"),"Upper Class","Middle Class")</f>
        <v>Middle Class</v>
      </c>
      <c r="F26" s="131"/>
      <c r="G26" s="131"/>
      <c r="H26" s="131"/>
      <c r="S26" s="48"/>
      <c r="T26" s="48"/>
      <c r="U26" s="48"/>
      <c r="V26" s="48" t="s">
        <v>206</v>
      </c>
      <c r="W26" s="48" t="s">
        <v>223</v>
      </c>
      <c r="X26"/>
      <c r="Y26"/>
      <c r="Z26"/>
    </row>
    <row r="27" spans="1:26" x14ac:dyDescent="0.25">
      <c r="A27" s="79" t="s">
        <v>19</v>
      </c>
      <c r="B27" s="79"/>
      <c r="C27" s="79"/>
      <c r="D27" s="79"/>
      <c r="E27" s="131" t="s">
        <v>20</v>
      </c>
      <c r="F27" s="131"/>
      <c r="G27" s="131"/>
      <c r="H27" s="131"/>
      <c r="S27" s="48"/>
      <c r="T27" s="48"/>
      <c r="U27" s="48"/>
      <c r="V27" s="48" t="s">
        <v>207</v>
      </c>
      <c r="W27" s="48" t="s">
        <v>224</v>
      </c>
      <c r="X27"/>
      <c r="Y27"/>
      <c r="Z27"/>
    </row>
    <row r="28" spans="1:26" ht="15.75" customHeight="1" x14ac:dyDescent="0.25">
      <c r="A28" s="79" t="s">
        <v>21</v>
      </c>
      <c r="B28" s="79"/>
      <c r="C28" s="79"/>
      <c r="D28" s="79"/>
      <c r="E28" s="131" t="str">
        <f>IF(AND(G20="Mumbai"),"Developed","Developing")</f>
        <v>Developing</v>
      </c>
      <c r="F28" s="131"/>
      <c r="G28" s="131"/>
      <c r="H28" s="131"/>
    </row>
    <row r="29" spans="1:26" x14ac:dyDescent="0.25">
      <c r="A29" s="79" t="s">
        <v>22</v>
      </c>
      <c r="B29" s="79"/>
      <c r="C29" s="79"/>
      <c r="D29" s="79"/>
      <c r="E29" s="131" t="s">
        <v>23</v>
      </c>
      <c r="F29" s="131"/>
      <c r="G29" s="131"/>
      <c r="H29" s="131"/>
    </row>
    <row r="30" spans="1:26" ht="15.75" customHeight="1" x14ac:dyDescent="0.25">
      <c r="A30" s="79" t="s">
        <v>76</v>
      </c>
      <c r="B30" s="79"/>
      <c r="C30" s="79"/>
      <c r="D30" s="79"/>
      <c r="E30" s="131" t="s">
        <v>77</v>
      </c>
      <c r="F30" s="131"/>
      <c r="G30" s="131"/>
      <c r="H30" s="131"/>
    </row>
    <row r="31" spans="1:26" ht="15" customHeight="1" x14ac:dyDescent="0.25">
      <c r="A31" s="79" t="s">
        <v>30</v>
      </c>
      <c r="B31" s="79"/>
      <c r="C31" s="79"/>
      <c r="D31" s="79"/>
      <c r="E31" s="131"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31"/>
      <c r="G31" s="131"/>
      <c r="H31" s="131"/>
    </row>
    <row r="32" spans="1:26" ht="15.75" customHeight="1" x14ac:dyDescent="0.25">
      <c r="A32" s="79" t="s">
        <v>88</v>
      </c>
      <c r="B32" s="79"/>
      <c r="C32" s="79"/>
      <c r="D32" s="79"/>
      <c r="E32" s="131" t="s">
        <v>31</v>
      </c>
      <c r="F32" s="131"/>
      <c r="G32" s="131"/>
      <c r="H32" s="131"/>
    </row>
    <row r="33" spans="1:19" s="19" customFormat="1" x14ac:dyDescent="0.25">
      <c r="A33" s="167" t="s">
        <v>89</v>
      </c>
      <c r="B33" s="167"/>
      <c r="C33" s="164" t="s">
        <v>174</v>
      </c>
      <c r="D33" s="165"/>
      <c r="E33" s="166"/>
      <c r="F33" s="164" t="s">
        <v>29</v>
      </c>
      <c r="G33" s="165"/>
      <c r="H33" s="166"/>
      <c r="S33" s="19" t="e">
        <f ca="1">OFFSET($S$13,1,MATCH($G20,$S$13:$W$13,0)-1,15,1)</f>
        <v>#VALUE!</v>
      </c>
    </row>
    <row r="34" spans="1:19" s="19" customFormat="1" x14ac:dyDescent="0.25">
      <c r="A34" s="150" t="s">
        <v>24</v>
      </c>
      <c r="B34" s="150" t="s">
        <v>28</v>
      </c>
      <c r="C34" s="151" t="s">
        <v>313</v>
      </c>
      <c r="D34" s="152"/>
      <c r="E34" s="153"/>
      <c r="F34" s="151" t="s">
        <v>315</v>
      </c>
      <c r="G34" s="152"/>
      <c r="H34" s="153"/>
    </row>
    <row r="35" spans="1:19" x14ac:dyDescent="0.25">
      <c r="A35" s="150" t="s">
        <v>25</v>
      </c>
      <c r="B35" s="150" t="s">
        <v>28</v>
      </c>
      <c r="C35" s="151" t="s">
        <v>313</v>
      </c>
      <c r="D35" s="152"/>
      <c r="E35" s="153"/>
      <c r="F35" s="151" t="s">
        <v>315</v>
      </c>
      <c r="G35" s="152"/>
      <c r="H35" s="153"/>
    </row>
    <row r="36" spans="1:19" s="19" customFormat="1" x14ac:dyDescent="0.25">
      <c r="A36" s="150" t="s">
        <v>27</v>
      </c>
      <c r="B36" s="150" t="s">
        <v>28</v>
      </c>
      <c r="C36" s="151" t="s">
        <v>312</v>
      </c>
      <c r="D36" s="152"/>
      <c r="E36" s="153"/>
      <c r="F36" s="151" t="s">
        <v>315</v>
      </c>
      <c r="G36" s="152"/>
      <c r="H36" s="153"/>
    </row>
    <row r="37" spans="1:19" x14ac:dyDescent="0.25">
      <c r="A37" s="150" t="s">
        <v>26</v>
      </c>
      <c r="B37" s="150" t="s">
        <v>28</v>
      </c>
      <c r="C37" s="151" t="s">
        <v>314</v>
      </c>
      <c r="D37" s="152"/>
      <c r="E37" s="153"/>
      <c r="F37" s="151" t="s">
        <v>10</v>
      </c>
      <c r="G37" s="152"/>
      <c r="H37" s="153"/>
    </row>
    <row r="38" spans="1:19" x14ac:dyDescent="0.25">
      <c r="A38" s="79" t="s">
        <v>280</v>
      </c>
      <c r="B38" s="79"/>
      <c r="C38" s="79"/>
      <c r="D38" s="79"/>
      <c r="E38" s="79"/>
      <c r="F38" s="79"/>
      <c r="G38" s="79"/>
      <c r="H38" s="79"/>
    </row>
    <row r="39" spans="1:19" ht="15.75" customHeight="1" x14ac:dyDescent="0.25">
      <c r="A39" s="79" t="s">
        <v>166</v>
      </c>
      <c r="B39" s="79"/>
      <c r="C39" s="124" t="s">
        <v>316</v>
      </c>
      <c r="D39" s="124"/>
      <c r="E39" s="124"/>
      <c r="F39" s="124"/>
      <c r="G39" s="124"/>
      <c r="H39" s="124"/>
    </row>
    <row r="40" spans="1:19" x14ac:dyDescent="0.25">
      <c r="A40" s="79" t="s">
        <v>162</v>
      </c>
      <c r="B40" s="79"/>
      <c r="C40" s="130" t="s">
        <v>317</v>
      </c>
      <c r="D40" s="131"/>
      <c r="E40" s="131"/>
      <c r="F40" s="131"/>
      <c r="G40" s="131"/>
      <c r="H40" s="131"/>
    </row>
    <row r="41" spans="1:19" x14ac:dyDescent="0.25">
      <c r="A41" s="124" t="s">
        <v>32</v>
      </c>
      <c r="B41" s="124"/>
      <c r="C41" s="124"/>
      <c r="D41" s="124"/>
      <c r="E41" s="124"/>
      <c r="F41" s="124"/>
      <c r="G41" s="124"/>
      <c r="H41" s="124"/>
    </row>
    <row r="42" spans="1:19" x14ac:dyDescent="0.25">
      <c r="A42" s="79" t="s">
        <v>33</v>
      </c>
      <c r="B42" s="79"/>
      <c r="C42" s="79"/>
      <c r="D42" s="79"/>
      <c r="E42" s="155">
        <v>4292.09</v>
      </c>
      <c r="F42" s="155"/>
      <c r="G42" s="155"/>
      <c r="H42" s="155"/>
    </row>
    <row r="43" spans="1:19" x14ac:dyDescent="0.25">
      <c r="A43" s="79" t="s">
        <v>34</v>
      </c>
      <c r="B43" s="79"/>
      <c r="C43" s="79"/>
      <c r="D43" s="79"/>
      <c r="E43" s="161">
        <f>4721.3/E42</f>
        <v>1.1000002329867267</v>
      </c>
      <c r="F43" s="161"/>
      <c r="G43" s="161"/>
      <c r="H43" s="161"/>
    </row>
    <row r="44" spans="1:19" x14ac:dyDescent="0.25">
      <c r="A44" s="79" t="s">
        <v>35</v>
      </c>
      <c r="B44" s="79"/>
      <c r="C44" s="79"/>
      <c r="D44" s="79"/>
      <c r="E44" s="161">
        <f>E46/E42-E43</f>
        <v>1.5259791849658326</v>
      </c>
      <c r="F44" s="161"/>
      <c r="G44" s="161"/>
      <c r="H44" s="161"/>
    </row>
    <row r="45" spans="1:19" x14ac:dyDescent="0.25">
      <c r="A45" s="79" t="s">
        <v>36</v>
      </c>
      <c r="B45" s="79"/>
      <c r="C45" s="79"/>
      <c r="D45" s="79"/>
      <c r="E45" s="161">
        <f>E43+E44</f>
        <v>2.6259794179525593</v>
      </c>
      <c r="F45" s="161"/>
      <c r="G45" s="161"/>
      <c r="H45" s="161"/>
    </row>
    <row r="46" spans="1:19" x14ac:dyDescent="0.25">
      <c r="A46" s="79" t="s">
        <v>87</v>
      </c>
      <c r="B46" s="79"/>
      <c r="C46" s="79"/>
      <c r="D46" s="79"/>
      <c r="E46" s="162">
        <v>11270.94</v>
      </c>
      <c r="F46" s="162"/>
      <c r="G46" s="162"/>
      <c r="H46" s="162"/>
    </row>
    <row r="47" spans="1:19" x14ac:dyDescent="0.25">
      <c r="A47" s="78" t="s">
        <v>37</v>
      </c>
      <c r="B47" s="78"/>
      <c r="C47" s="78"/>
      <c r="D47" s="78"/>
      <c r="E47" s="78" t="s">
        <v>318</v>
      </c>
      <c r="F47" s="78"/>
      <c r="G47" s="78"/>
      <c r="H47" s="78"/>
    </row>
    <row r="48" spans="1:19" x14ac:dyDescent="0.25">
      <c r="A48" s="124" t="s">
        <v>38</v>
      </c>
      <c r="B48" s="124"/>
      <c r="C48" s="124"/>
      <c r="D48" s="124"/>
      <c r="E48" s="124"/>
      <c r="F48" s="124"/>
      <c r="G48" s="124"/>
      <c r="H48" s="124"/>
    </row>
    <row r="49" spans="1:24" ht="33.75" customHeight="1" x14ac:dyDescent="0.25">
      <c r="A49" s="111" t="s">
        <v>151</v>
      </c>
      <c r="B49" s="112"/>
      <c r="C49" s="113" t="s">
        <v>276</v>
      </c>
      <c r="D49" s="114"/>
      <c r="E49" s="114"/>
      <c r="F49" s="114"/>
      <c r="G49" s="114"/>
      <c r="H49" s="115"/>
      <c r="R49" t="s">
        <v>253</v>
      </c>
      <c r="S49" t="s">
        <v>173</v>
      </c>
      <c r="T49" t="s">
        <v>178</v>
      </c>
      <c r="U49" t="s">
        <v>193</v>
      </c>
      <c r="V49" t="s">
        <v>188</v>
      </c>
    </row>
    <row r="50" spans="1:24" ht="15.75" customHeight="1" x14ac:dyDescent="0.25">
      <c r="A50" s="111" t="s">
        <v>39</v>
      </c>
      <c r="B50" s="112"/>
      <c r="C50" s="111" t="s">
        <v>319</v>
      </c>
      <c r="D50" s="163"/>
      <c r="E50" s="112"/>
      <c r="F50" s="17" t="s">
        <v>40</v>
      </c>
      <c r="G50" s="204">
        <v>45076</v>
      </c>
      <c r="H50" s="112"/>
      <c r="R50"/>
      <c r="S50" t="s">
        <v>254</v>
      </c>
      <c r="T50" t="s">
        <v>259</v>
      </c>
      <c r="U50" t="s">
        <v>270</v>
      </c>
      <c r="V50" t="s">
        <v>275</v>
      </c>
    </row>
    <row r="51" spans="1:24" x14ac:dyDescent="0.25">
      <c r="A51" s="111" t="s">
        <v>41</v>
      </c>
      <c r="B51" s="112"/>
      <c r="C51" s="111" t="str">
        <f>C50</f>
        <v>Mahsul/K-1/MJ1/BSP/SR/CR/227/2022</v>
      </c>
      <c r="D51" s="163"/>
      <c r="E51" s="112"/>
      <c r="F51" s="17" t="s">
        <v>40</v>
      </c>
      <c r="G51" s="204">
        <v>45076</v>
      </c>
      <c r="H51" s="112"/>
      <c r="R51"/>
      <c r="S51" t="s">
        <v>255</v>
      </c>
      <c r="T51" t="s">
        <v>260</v>
      </c>
      <c r="U51" t="s">
        <v>268</v>
      </c>
      <c r="V51" t="s">
        <v>276</v>
      </c>
    </row>
    <row r="52" spans="1:24" s="20" customFormat="1" ht="15.75" customHeight="1" x14ac:dyDescent="0.25">
      <c r="A52" s="211" t="s">
        <v>155</v>
      </c>
      <c r="B52" s="212"/>
      <c r="C52" s="111" t="s">
        <v>320</v>
      </c>
      <c r="D52" s="163"/>
      <c r="E52" s="112"/>
      <c r="F52" s="17" t="s">
        <v>40</v>
      </c>
      <c r="G52" s="204">
        <v>45076</v>
      </c>
      <c r="H52" s="112"/>
      <c r="R52"/>
      <c r="S52" t="s">
        <v>256</v>
      </c>
      <c r="T52" t="s">
        <v>261</v>
      </c>
      <c r="U52" t="s">
        <v>258</v>
      </c>
      <c r="V52" t="s">
        <v>277</v>
      </c>
    </row>
    <row r="53" spans="1:24" s="20" customFormat="1" x14ac:dyDescent="0.25">
      <c r="A53" s="213"/>
      <c r="B53" s="214"/>
      <c r="C53" s="111" t="s">
        <v>321</v>
      </c>
      <c r="D53" s="163"/>
      <c r="E53" s="163"/>
      <c r="F53" s="163"/>
      <c r="G53" s="163"/>
      <c r="H53" s="112"/>
      <c r="R53"/>
      <c r="S53" t="s">
        <v>257</v>
      </c>
      <c r="T53" t="s">
        <v>264</v>
      </c>
      <c r="U53" t="s">
        <v>271</v>
      </c>
    </row>
    <row r="54" spans="1:24" s="20" customFormat="1" hidden="1" x14ac:dyDescent="0.25">
      <c r="A54" s="207" t="s">
        <v>281</v>
      </c>
      <c r="B54" s="208"/>
      <c r="C54" s="111" t="str">
        <f>C53</f>
        <v>Building No.1 (Wing A, B, C) = G + 1st to 7th Floor</v>
      </c>
      <c r="D54" s="163"/>
      <c r="E54" s="112"/>
      <c r="F54" s="17" t="s">
        <v>40</v>
      </c>
      <c r="G54" s="111"/>
      <c r="H54" s="112"/>
      <c r="R54"/>
      <c r="S54" t="s">
        <v>256</v>
      </c>
      <c r="T54" t="s">
        <v>261</v>
      </c>
      <c r="U54" t="s">
        <v>258</v>
      </c>
      <c r="V54" t="s">
        <v>277</v>
      </c>
    </row>
    <row r="55" spans="1:24" s="20" customFormat="1" ht="32.25" hidden="1" customHeight="1" x14ac:dyDescent="0.25">
      <c r="A55" s="209"/>
      <c r="B55" s="210"/>
      <c r="C55" s="137"/>
      <c r="D55" s="138"/>
      <c r="E55" s="138"/>
      <c r="F55" s="138"/>
      <c r="G55" s="138"/>
      <c r="H55" s="139"/>
      <c r="R55"/>
      <c r="S55" t="s">
        <v>258</v>
      </c>
      <c r="T55" t="s">
        <v>262</v>
      </c>
      <c r="U55" t="s">
        <v>272</v>
      </c>
      <c r="V55" s="18"/>
      <c r="W55" s="18"/>
      <c r="X55" s="18"/>
    </row>
    <row r="56" spans="1:24" s="20" customFormat="1" ht="34.5" hidden="1" customHeight="1" x14ac:dyDescent="0.25">
      <c r="A56" s="207" t="s">
        <v>282</v>
      </c>
      <c r="B56" s="208"/>
      <c r="C56" s="111">
        <f>C55</f>
        <v>0</v>
      </c>
      <c r="D56" s="163"/>
      <c r="E56" s="112"/>
      <c r="F56" s="17" t="s">
        <v>40</v>
      </c>
      <c r="G56" s="111">
        <f>G55</f>
        <v>0</v>
      </c>
      <c r="H56" s="112"/>
      <c r="R56"/>
      <c r="S56" s="18"/>
      <c r="T56" t="s">
        <v>263</v>
      </c>
      <c r="U56" t="s">
        <v>273</v>
      </c>
      <c r="V56" s="18"/>
      <c r="W56" s="18"/>
      <c r="X56" s="18"/>
    </row>
    <row r="57" spans="1:24" s="20" customFormat="1" ht="41.25" hidden="1" customHeight="1" x14ac:dyDescent="0.25">
      <c r="A57" s="209"/>
      <c r="B57" s="210"/>
      <c r="C57" s="111"/>
      <c r="D57" s="163"/>
      <c r="E57" s="163"/>
      <c r="F57" s="163"/>
      <c r="G57" s="163"/>
      <c r="H57" s="112"/>
      <c r="R57"/>
      <c r="S57" s="18"/>
      <c r="T57" t="s">
        <v>265</v>
      </c>
      <c r="U57" t="s">
        <v>274</v>
      </c>
      <c r="V57" s="18"/>
      <c r="W57" s="18"/>
      <c r="X57" s="18"/>
    </row>
    <row r="58" spans="1:24" s="20" customFormat="1" ht="15.75" hidden="1" customHeight="1" x14ac:dyDescent="0.25">
      <c r="A58" s="207" t="s">
        <v>283</v>
      </c>
      <c r="B58" s="208"/>
      <c r="C58" s="111">
        <f>C57</f>
        <v>0</v>
      </c>
      <c r="D58" s="163"/>
      <c r="E58" s="112"/>
      <c r="F58" s="17" t="s">
        <v>40</v>
      </c>
      <c r="G58" s="111">
        <f>G57</f>
        <v>0</v>
      </c>
      <c r="H58" s="112"/>
      <c r="R58"/>
      <c r="S58" s="18"/>
      <c r="T58" t="s">
        <v>266</v>
      </c>
      <c r="U58" s="18" t="s">
        <v>297</v>
      </c>
      <c r="V58" s="18"/>
      <c r="W58" s="18"/>
      <c r="X58" s="18"/>
    </row>
    <row r="59" spans="1:24" s="20" customFormat="1" ht="33.75" hidden="1" customHeight="1" x14ac:dyDescent="0.25">
      <c r="A59" s="209"/>
      <c r="B59" s="210"/>
      <c r="C59" s="111"/>
      <c r="D59" s="163"/>
      <c r="E59" s="163"/>
      <c r="F59" s="163"/>
      <c r="G59" s="163"/>
      <c r="H59" s="112"/>
      <c r="R59"/>
      <c r="S59" s="18"/>
      <c r="T59" t="s">
        <v>267</v>
      </c>
      <c r="U59" s="18"/>
      <c r="V59" s="18"/>
      <c r="W59" s="18"/>
      <c r="X59" s="18"/>
    </row>
    <row r="60" spans="1:24" x14ac:dyDescent="0.25">
      <c r="A60" s="219" t="s">
        <v>42</v>
      </c>
      <c r="B60" s="220"/>
      <c r="C60" s="219" t="s">
        <v>101</v>
      </c>
      <c r="D60" s="221"/>
      <c r="E60" s="220"/>
      <c r="F60" s="40" t="s">
        <v>40</v>
      </c>
      <c r="G60" s="205" t="s">
        <v>28</v>
      </c>
      <c r="H60" s="206"/>
      <c r="R60"/>
      <c r="T60" t="s">
        <v>269</v>
      </c>
    </row>
    <row r="61" spans="1:24" x14ac:dyDescent="0.25">
      <c r="A61" s="175" t="s">
        <v>44</v>
      </c>
      <c r="B61" s="175"/>
      <c r="C61" s="175"/>
      <c r="D61" s="175"/>
      <c r="E61" s="175"/>
      <c r="F61" s="175"/>
      <c r="G61" s="175"/>
      <c r="H61" s="175"/>
      <c r="T61" t="s">
        <v>278</v>
      </c>
    </row>
    <row r="62" spans="1:24" x14ac:dyDescent="0.25">
      <c r="A62" s="131" t="s">
        <v>86</v>
      </c>
      <c r="B62" s="131"/>
      <c r="C62" s="131"/>
      <c r="D62" s="78">
        <f>2783.6+1382.53+1658.96</f>
        <v>5825.09</v>
      </c>
      <c r="E62" s="78"/>
      <c r="F62" s="78"/>
      <c r="G62" s="78"/>
      <c r="H62" s="78"/>
      <c r="R62"/>
    </row>
    <row r="63" spans="1:24" x14ac:dyDescent="0.25">
      <c r="A63" s="131" t="s">
        <v>45</v>
      </c>
      <c r="B63" s="78"/>
      <c r="C63" s="78"/>
      <c r="D63" s="78" t="s">
        <v>338</v>
      </c>
      <c r="E63" s="78"/>
      <c r="F63" s="78"/>
      <c r="G63" s="78"/>
      <c r="H63" s="78"/>
      <c r="I63" s="21"/>
      <c r="R63"/>
    </row>
    <row r="64" spans="1:24" ht="48.75" customHeight="1" x14ac:dyDescent="0.25">
      <c r="A64" s="147" t="s">
        <v>46</v>
      </c>
      <c r="B64" s="148"/>
      <c r="C64" s="149"/>
      <c r="D64" s="145" t="s">
        <v>342</v>
      </c>
      <c r="E64" s="146"/>
      <c r="F64" s="146"/>
      <c r="G64" s="146"/>
      <c r="H64" s="146"/>
      <c r="R64"/>
    </row>
    <row r="65" spans="1:19" ht="15.75" customHeight="1" x14ac:dyDescent="0.25">
      <c r="A65" s="147" t="s">
        <v>84</v>
      </c>
      <c r="B65" s="148"/>
      <c r="C65" s="148"/>
      <c r="D65" s="197" t="s">
        <v>345</v>
      </c>
      <c r="E65" s="198"/>
      <c r="F65" s="198"/>
      <c r="G65" s="198"/>
      <c r="H65" s="199"/>
      <c r="R65"/>
    </row>
    <row r="66" spans="1:19" ht="15.75" customHeight="1" x14ac:dyDescent="0.25">
      <c r="A66" s="193"/>
      <c r="B66" s="194"/>
      <c r="C66" s="194"/>
      <c r="D66" s="200" t="s">
        <v>343</v>
      </c>
      <c r="E66" s="201"/>
      <c r="F66" s="201"/>
      <c r="G66" s="201"/>
      <c r="H66" s="202"/>
      <c r="R66"/>
    </row>
    <row r="67" spans="1:19" ht="15.75" customHeight="1" x14ac:dyDescent="0.25">
      <c r="A67" s="195"/>
      <c r="B67" s="196"/>
      <c r="C67" s="196"/>
      <c r="D67" s="190" t="s">
        <v>344</v>
      </c>
      <c r="E67" s="191"/>
      <c r="F67" s="191"/>
      <c r="G67" s="191"/>
      <c r="H67" s="192"/>
      <c r="S67"/>
    </row>
    <row r="68" spans="1:19" ht="15.75" customHeight="1" x14ac:dyDescent="0.25">
      <c r="A68" s="78" t="s">
        <v>43</v>
      </c>
      <c r="B68" s="78"/>
      <c r="C68" s="78"/>
      <c r="D68" s="156" t="s">
        <v>322</v>
      </c>
      <c r="E68" s="156"/>
      <c r="F68" s="156"/>
      <c r="G68" s="156"/>
      <c r="H68" s="156"/>
      <c r="J68" s="22"/>
      <c r="K68" s="21"/>
      <c r="N68" s="21"/>
      <c r="S68"/>
    </row>
    <row r="69" spans="1:19" ht="15.75" customHeight="1" x14ac:dyDescent="0.25">
      <c r="A69" s="78" t="s">
        <v>82</v>
      </c>
      <c r="B69" s="78"/>
      <c r="C69" s="78"/>
      <c r="D69" s="160" t="str">
        <f>(IF(G60="NA","60 Years After Completion",IF(G60&lt;&gt;"NA",""&amp;60-ROUNDDOWN((E3-G60)/360,0)&amp;" Years"," ")))</f>
        <v>60 Years After Completion</v>
      </c>
      <c r="E69" s="160"/>
      <c r="F69" s="160"/>
      <c r="G69" s="160"/>
      <c r="H69" s="160"/>
      <c r="N69" s="21"/>
      <c r="S69"/>
    </row>
    <row r="70" spans="1:19" ht="15.75" customHeight="1" x14ac:dyDescent="0.25">
      <c r="A70" s="78" t="s">
        <v>83</v>
      </c>
      <c r="B70" s="78"/>
      <c r="C70" s="78"/>
      <c r="D70" s="131" t="s">
        <v>23</v>
      </c>
      <c r="E70" s="131"/>
      <c r="F70" s="131"/>
      <c r="G70" s="131"/>
      <c r="H70" s="131"/>
      <c r="J70" s="23"/>
      <c r="K70" s="23"/>
      <c r="S70"/>
    </row>
    <row r="71" spans="1:19" ht="33.75" customHeight="1" x14ac:dyDescent="0.25">
      <c r="A71" s="78" t="s">
        <v>346</v>
      </c>
      <c r="B71" s="78"/>
      <c r="C71" s="78"/>
      <c r="D71" s="131" t="s">
        <v>326</v>
      </c>
      <c r="E71" s="131"/>
      <c r="F71" s="131"/>
      <c r="G71" s="131"/>
      <c r="H71" s="131"/>
      <c r="S71"/>
    </row>
    <row r="72" spans="1:19" x14ac:dyDescent="0.25">
      <c r="A72" s="131" t="s">
        <v>147</v>
      </c>
      <c r="B72" s="131"/>
      <c r="C72" s="131"/>
      <c r="D72" s="131" t="s">
        <v>28</v>
      </c>
      <c r="E72" s="131"/>
      <c r="F72" s="131"/>
      <c r="G72" s="131"/>
      <c r="H72" s="131"/>
      <c r="I72" s="24"/>
      <c r="J72" s="24"/>
      <c r="K72" s="24"/>
      <c r="L72" s="24"/>
      <c r="M72" s="24"/>
      <c r="N72" s="24"/>
    </row>
    <row r="73" spans="1:19" ht="15.75" customHeight="1" x14ac:dyDescent="0.25">
      <c r="A73" s="78" t="s">
        <v>81</v>
      </c>
      <c r="B73" s="78"/>
      <c r="C73" s="78"/>
      <c r="D73" s="131" t="str">
        <f ca="1">(IF(G79&gt;95%,"Nothing",IF(G79&gt;0%,"Cement, Aggregate, Steel, etc",IF(G79=0%,"Work not yet Started"))))</f>
        <v>Cement, Aggregate, Steel, etc</v>
      </c>
      <c r="E73" s="131"/>
      <c r="F73" s="131"/>
      <c r="G73" s="131"/>
      <c r="H73" s="131"/>
      <c r="J73" s="23"/>
      <c r="S73"/>
    </row>
    <row r="74" spans="1:19" ht="33.75" customHeight="1" thickBot="1" x14ac:dyDescent="0.3">
      <c r="A74" s="131" t="s">
        <v>114</v>
      </c>
      <c r="B74" s="131"/>
      <c r="C74" s="131"/>
      <c r="D74" s="131" t="str">
        <f ca="1">(IF(D73="Nothing","Yes",IF(D73="Cement, Aggregate, Steel, etc","Under Construction",IF(D73="Work not yet Started","Work not yet Started"))))</f>
        <v>Under Construction</v>
      </c>
      <c r="E74" s="131"/>
      <c r="F74" s="131" t="str">
        <f ca="1">(IF(D73="Nothing","Yes",IF(D73="Cement, Aggregate, Steel, etc","Under Construction",IF(D73="Work not yet Started","Work not yet Started"))))</f>
        <v>Under Construction</v>
      </c>
      <c r="G74" s="131"/>
      <c r="H74" s="131"/>
      <c r="S74"/>
    </row>
    <row r="75" spans="1:19" ht="15.75" customHeight="1" x14ac:dyDescent="0.25">
      <c r="A75" s="102" t="s">
        <v>137</v>
      </c>
      <c r="B75" s="102"/>
      <c r="C75" s="102" t="str">
        <f>D65</f>
        <v>Building No.1 A Wing = G + 1st to 7th Floor</v>
      </c>
      <c r="D75" s="102"/>
      <c r="E75" s="102"/>
      <c r="F75" s="102"/>
      <c r="G75" s="102"/>
      <c r="H75" s="102"/>
      <c r="I75" s="76" t="str">
        <f ca="1">IF(D88=100%,"All work Completed. Possession granted to the Building.",IF(D87=100%,"All work Completed, Waiting for OC",I76&amp;""&amp;I77&amp;""&amp;J76&amp;""&amp;J75&amp;" "&amp;J77))</f>
        <v>Excavation, Plinth, RCC Slab Completed, Brickwork upto 6 Floor Completed</v>
      </c>
      <c r="J75" s="43"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Brickwork upto 6 Floor</v>
      </c>
      <c r="S75"/>
    </row>
    <row r="76" spans="1:19" x14ac:dyDescent="0.25">
      <c r="A76" s="46" t="s">
        <v>139</v>
      </c>
      <c r="B76" s="46">
        <f>IF(AND(ISNUMBER(SEARCH("1B",C75))),1,IF(AND(ISNUMBER(SEARCH("2B",C75))),2,IF(AND(ISNUMBER(SEARCH("3B",C75))),3,IF(AND(ISNUMBER(SEARCH("4B",C75))),4,IF(ISNUMBER(SEARCH("5B",C75)),5,0)))))</f>
        <v>0</v>
      </c>
      <c r="C76" s="46" t="s">
        <v>68</v>
      </c>
      <c r="D76" s="46">
        <v>1</v>
      </c>
      <c r="E76" s="46" t="s">
        <v>67</v>
      </c>
      <c r="F76" s="46">
        <v>0</v>
      </c>
      <c r="G76" s="46" t="s">
        <v>75</v>
      </c>
      <c r="H76" s="46">
        <f ca="1">--TRIM(RIGHT(SUBSTITUTE(LEFT(C75,_xlfn.AGGREGATE(16,6,FIND({0,1,2,3,4,5,6,7,8,9},C75,ROW(INDIRECT("1:"&amp;LEN(C75)))),1))," ",REPT(" ",LEN(C75))),LEN(C75)))</f>
        <v>7</v>
      </c>
      <c r="I76" s="77" t="str">
        <f ca="1">IF(D79=100%,"Excavation","")&amp;IF(D80=100%,", Plinth","")&amp;IF(D81=100%,", RCC Slab","")&amp;IF(D82=100%,", Brickwork","")&amp;IF(D83=100%,", Internal Plaster","")&amp;IF(D84=100%,", External Plaster","")&amp;IF(D85=100%,", Flooring","")&amp;IF(D86=100%,", Painting","")&amp;IF(D87=100%,", Building common Amenities","")</f>
        <v>Excavation, Plinth, RCC Slab</v>
      </c>
      <c r="J76" s="45"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x14ac:dyDescent="0.25">
      <c r="A77" s="127" t="s">
        <v>85</v>
      </c>
      <c r="B77" s="127"/>
      <c r="C77" s="102" t="str">
        <f ca="1">I75</f>
        <v>Excavation, Plinth, RCC Slab Completed, Brickwork upto 6 Floor Completed</v>
      </c>
      <c r="D77" s="102"/>
      <c r="E77" s="102"/>
      <c r="F77" s="102"/>
      <c r="G77" s="102"/>
      <c r="H77" s="102"/>
      <c r="I77" s="77" t="str">
        <f ca="1">IF(I76&lt;&gt;""," Completed","")</f>
        <v xml:space="preserve"> Completed</v>
      </c>
      <c r="J77" s="45" t="str">
        <f ca="1">IF(J75&lt;&gt;"","Completed","")</f>
        <v>Completed</v>
      </c>
      <c r="S77"/>
    </row>
    <row r="78" spans="1:19" ht="15.75" customHeight="1" x14ac:dyDescent="0.25">
      <c r="A78" s="104" t="s">
        <v>47</v>
      </c>
      <c r="B78" s="98"/>
      <c r="C78" s="66" t="s">
        <v>136</v>
      </c>
      <c r="D78" s="66" t="s">
        <v>78</v>
      </c>
      <c r="E78" s="98" t="s">
        <v>80</v>
      </c>
      <c r="F78" s="98"/>
      <c r="G78" s="98" t="s">
        <v>79</v>
      </c>
      <c r="H78" s="125"/>
      <c r="I78" s="13" t="s">
        <v>138</v>
      </c>
      <c r="J78" s="25">
        <f ca="1">H76*25%</f>
        <v>1.75</v>
      </c>
      <c r="S78"/>
    </row>
    <row r="79" spans="1:19" x14ac:dyDescent="0.25">
      <c r="A79" s="104" t="s">
        <v>125</v>
      </c>
      <c r="B79" s="98"/>
      <c r="C79" s="66">
        <f ca="1">J80</f>
        <v>7</v>
      </c>
      <c r="D79" s="67">
        <f ca="1">((100/H76)*C79)/100</f>
        <v>1</v>
      </c>
      <c r="E79" s="116">
        <f ca="1">(((C80/H76*10)+(40/(D76+F76+H76)*C81)+(7.5/(H76)*C82)+(7.5/(H76)*C83)+(10/H76*C84)+(10/H76*C85)+(5/H76*C86)+(5/H76*C87)+(5/H76*C88))/100)</f>
        <v>0.56428571428571428</v>
      </c>
      <c r="F79" s="157"/>
      <c r="G79" s="116">
        <f ca="1">((((C79/H76)*20)+((C80/H76)*25)+(30/(H76+F76+D76)*C81)+(5/H76*C82)+(5/H76*C83)+(5/H76*C84)+(5/H76*C85)+(0/H76*C86)+(0/H76*C87)+(5/H76*C88))/100)</f>
        <v>0.79285714285714293</v>
      </c>
      <c r="H79" s="117"/>
      <c r="I79" s="13" t="s">
        <v>96</v>
      </c>
      <c r="J79" s="26">
        <f ca="1">H76*50%</f>
        <v>3.5</v>
      </c>
    </row>
    <row r="80" spans="1:19" x14ac:dyDescent="0.25">
      <c r="A80" s="104" t="s">
        <v>48</v>
      </c>
      <c r="B80" s="98"/>
      <c r="C80" s="66">
        <f ca="1">J88</f>
        <v>7</v>
      </c>
      <c r="D80" s="67">
        <f ca="1">((100/H76)*C80)/100</f>
        <v>1</v>
      </c>
      <c r="E80" s="118"/>
      <c r="F80" s="158"/>
      <c r="G80" s="118"/>
      <c r="H80" s="119"/>
      <c r="I80" s="13" t="s">
        <v>97</v>
      </c>
      <c r="J80" s="26">
        <f ca="1">H76</f>
        <v>7</v>
      </c>
      <c r="S80"/>
    </row>
    <row r="81" spans="1:19" ht="15.75" customHeight="1" x14ac:dyDescent="0.25">
      <c r="A81" s="104" t="s">
        <v>126</v>
      </c>
      <c r="B81" s="98"/>
      <c r="C81" s="66">
        <v>8</v>
      </c>
      <c r="D81" s="67">
        <f ca="1">((100/(D76+F76+H76))*C81)/100</f>
        <v>1</v>
      </c>
      <c r="E81" s="118"/>
      <c r="F81" s="158"/>
      <c r="G81" s="118"/>
      <c r="H81" s="119"/>
      <c r="I81" s="13" t="s">
        <v>98</v>
      </c>
      <c r="J81" s="27">
        <f ca="1">(IF(B76&gt;1,(H76/(B76+2)),H76/4))</f>
        <v>1.75</v>
      </c>
      <c r="S81"/>
    </row>
    <row r="82" spans="1:19" ht="15.75" customHeight="1" x14ac:dyDescent="0.25">
      <c r="A82" s="104" t="s">
        <v>133</v>
      </c>
      <c r="B82" s="98" t="s">
        <v>127</v>
      </c>
      <c r="C82" s="66">
        <v>6</v>
      </c>
      <c r="D82" s="67">
        <f ca="1">((100/H76)*C82)/100</f>
        <v>0.85714285714285721</v>
      </c>
      <c r="E82" s="118"/>
      <c r="F82" s="158"/>
      <c r="G82" s="118"/>
      <c r="H82" s="119"/>
      <c r="I82" s="13" t="s">
        <v>99</v>
      </c>
      <c r="J82" s="27">
        <f ca="1">(IF(B76&gt;1,(H76/(B76+2)+J81),H76/4+J81))</f>
        <v>3.5</v>
      </c>
    </row>
    <row r="83" spans="1:19" ht="15.75" customHeight="1" x14ac:dyDescent="0.25">
      <c r="A83" s="104" t="s">
        <v>134</v>
      </c>
      <c r="B83" s="98" t="s">
        <v>127</v>
      </c>
      <c r="C83" s="66">
        <v>0</v>
      </c>
      <c r="D83" s="67">
        <f ca="1">((100/H76)*C83)/100</f>
        <v>0</v>
      </c>
      <c r="E83" s="118"/>
      <c r="F83" s="158"/>
      <c r="G83" s="118"/>
      <c r="H83" s="119"/>
      <c r="I83" s="13" t="s">
        <v>145</v>
      </c>
      <c r="J83" s="27">
        <f>(IF(B76&gt;1,(H76/(B76+2)+J82),0))</f>
        <v>0</v>
      </c>
    </row>
    <row r="84" spans="1:19" ht="15" customHeight="1" x14ac:dyDescent="0.25">
      <c r="A84" s="104" t="s">
        <v>132</v>
      </c>
      <c r="B84" s="98" t="s">
        <v>129</v>
      </c>
      <c r="C84" s="66">
        <v>0</v>
      </c>
      <c r="D84" s="67">
        <f ca="1">((100/(H76))*C84)/100</f>
        <v>0</v>
      </c>
      <c r="E84" s="118"/>
      <c r="F84" s="158"/>
      <c r="G84" s="118"/>
      <c r="H84" s="119"/>
      <c r="I84" s="13" t="s">
        <v>140</v>
      </c>
      <c r="J84" s="27">
        <f>(IF(B76&gt;2,(H76/(B76+2)+J83),0))</f>
        <v>0</v>
      </c>
    </row>
    <row r="85" spans="1:19" ht="15.75" customHeight="1" x14ac:dyDescent="0.25">
      <c r="A85" s="104" t="s">
        <v>128</v>
      </c>
      <c r="B85" s="98" t="s">
        <v>128</v>
      </c>
      <c r="C85" s="66">
        <v>0</v>
      </c>
      <c r="D85" s="67">
        <f ca="1">((100/H76)*C85)/100</f>
        <v>0</v>
      </c>
      <c r="E85" s="118"/>
      <c r="F85" s="158"/>
      <c r="G85" s="118"/>
      <c r="H85" s="119"/>
      <c r="I85" s="13" t="s">
        <v>141</v>
      </c>
      <c r="J85" s="28">
        <f>(IF(B76&gt;3,(H76/(B76+2)+J84),0))</f>
        <v>0</v>
      </c>
    </row>
    <row r="86" spans="1:19" ht="15.75" customHeight="1" x14ac:dyDescent="0.25">
      <c r="A86" s="104" t="s">
        <v>135</v>
      </c>
      <c r="B86" s="98"/>
      <c r="C86" s="66">
        <v>0</v>
      </c>
      <c r="D86" s="67">
        <f ca="1">((100/H76)*C86)/100</f>
        <v>0</v>
      </c>
      <c r="E86" s="118"/>
      <c r="F86" s="158"/>
      <c r="G86" s="118"/>
      <c r="H86" s="119"/>
      <c r="I86" s="13" t="s">
        <v>142</v>
      </c>
      <c r="J86" s="27">
        <f>(IF(B76&gt;4,(H76/(B76+2)+J85),0))</f>
        <v>0</v>
      </c>
    </row>
    <row r="87" spans="1:19" ht="15.75" customHeight="1" x14ac:dyDescent="0.25">
      <c r="A87" s="104" t="s">
        <v>130</v>
      </c>
      <c r="B87" s="98" t="s">
        <v>130</v>
      </c>
      <c r="C87" s="66">
        <v>0</v>
      </c>
      <c r="D87" s="67">
        <f ca="1">((100/(H76))*C87)/100</f>
        <v>0</v>
      </c>
      <c r="E87" s="118"/>
      <c r="F87" s="158"/>
      <c r="G87" s="118"/>
      <c r="H87" s="119"/>
      <c r="I87" s="13" t="s">
        <v>146</v>
      </c>
      <c r="J87" s="27">
        <f ca="1">(IF(B76=1,(H76/(B76+3)+J82),IF(B76=0,(H76/4+J82),IF(B76&gt;1,0))))</f>
        <v>5.25</v>
      </c>
    </row>
    <row r="88" spans="1:19" ht="16.5" thickBot="1" x14ac:dyDescent="0.3">
      <c r="A88" s="96" t="s">
        <v>131</v>
      </c>
      <c r="B88" s="97"/>
      <c r="C88" s="68">
        <v>0</v>
      </c>
      <c r="D88" s="69">
        <f ca="1">((100/(H76))*C88)/100</f>
        <v>0</v>
      </c>
      <c r="E88" s="120"/>
      <c r="F88" s="159"/>
      <c r="G88" s="120"/>
      <c r="H88" s="121"/>
      <c r="I88" s="14" t="s">
        <v>100</v>
      </c>
      <c r="J88" s="29">
        <f ca="1">(IF(B76&gt;1.5,(H76/(B76+2)+J82+MAX(0,J83-J82)+MAX(0,J84-J83)+MAX(0,J85-J84)+MAX(0,J86-J85)+MAX(0,J87-J86)),IF(B76=1,(H76/(B76+3)+J87),IF(B76=0,H76/4+J87))))</f>
        <v>7</v>
      </c>
    </row>
    <row r="89" spans="1:19" ht="31.5" customHeight="1" x14ac:dyDescent="0.25">
      <c r="A89" s="140" t="s">
        <v>137</v>
      </c>
      <c r="B89" s="141"/>
      <c r="C89" s="142" t="s">
        <v>356</v>
      </c>
      <c r="D89" s="143"/>
      <c r="E89" s="143"/>
      <c r="F89" s="143"/>
      <c r="G89" s="143"/>
      <c r="H89" s="144"/>
      <c r="I89" s="42" t="str">
        <f ca="1">IF(D102=100%,"All work Completed. Possession granted to the Building.",IF(D101=100%,"All work Completed, Waiting for OC",I90&amp;""&amp;I91&amp;""&amp;J90&amp;""&amp;J89&amp;" "&amp;J91))</f>
        <v xml:space="preserve">Excavation Completed, Plinth work is process </v>
      </c>
      <c r="J89" s="43"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c>
      <c r="K89" s="223" t="s">
        <v>357</v>
      </c>
      <c r="L89" s="224"/>
      <c r="M89" s="224"/>
    </row>
    <row r="90" spans="1:19" x14ac:dyDescent="0.25">
      <c r="A90" s="15" t="s">
        <v>139</v>
      </c>
      <c r="B90" s="46">
        <f>IF(AND(ISNUMBER(SEARCH("1B",C89))),1,IF(AND(ISNUMBER(SEARCH("2B",C89))),2,IF(AND(ISNUMBER(SEARCH("3B",C89))),3,IF(AND(ISNUMBER(SEARCH("4B",C89))),4,IF(ISNUMBER(SEARCH("5B",C89)),5,0)))))</f>
        <v>0</v>
      </c>
      <c r="C90" s="46" t="s">
        <v>68</v>
      </c>
      <c r="D90" s="46">
        <v>1</v>
      </c>
      <c r="E90" s="46" t="s">
        <v>67</v>
      </c>
      <c r="F90" s="46">
        <v>0</v>
      </c>
      <c r="G90" s="46" t="s">
        <v>75</v>
      </c>
      <c r="H90" s="16">
        <f ca="1">--TRIM(RIGHT(SUBSTITUTE(LEFT(C89,_xlfn.AGGREGATE(16,6,FIND({0,1,2,3,4,5,6,7,8,9},C89,ROW(INDIRECT("1:"&amp;LEN(C89)))),1))," ",REPT(" ",LEN(C89))),LEN(C89)))</f>
        <v>7</v>
      </c>
      <c r="I90" s="44" t="str">
        <f ca="1">IF(D93=100%,"Excavation","")&amp;IF(D94=100%,", Plinth","")&amp;IF(D95=100%,", RCC Slab","")&amp;IF(D96=100%,", Brickwork","")&amp;IF(D97=100%,", Internal Plaster","")&amp;IF(D98=100%,", External Plaster","")&amp;IF(D99=100%,", Flooring","")&amp;IF(D100=100%,", Painting","")&amp;IF(D101=100%,", Building common Amenities","")</f>
        <v>Excavation</v>
      </c>
      <c r="J90" s="45"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Plinth work is process</v>
      </c>
      <c r="K90" s="223"/>
      <c r="L90" s="224"/>
      <c r="M90" s="224"/>
    </row>
    <row r="91" spans="1:19" x14ac:dyDescent="0.25">
      <c r="A91" s="126" t="s">
        <v>85</v>
      </c>
      <c r="B91" s="127"/>
      <c r="C91" s="102" t="str">
        <f ca="1">(IF($G$60="NA",I89,"All work Completed. OC Received."))</f>
        <v xml:space="preserve">Excavation Completed, Plinth work is process </v>
      </c>
      <c r="D91" s="102"/>
      <c r="E91" s="102"/>
      <c r="F91" s="102"/>
      <c r="G91" s="102"/>
      <c r="H91" s="103"/>
      <c r="I91" s="44" t="str">
        <f ca="1">IF(I90&lt;&gt;""," Completed","")</f>
        <v xml:space="preserve"> Completed</v>
      </c>
      <c r="J91" s="45" t="str">
        <f ca="1">IF(J89&lt;&gt;"","Completed","")</f>
        <v/>
      </c>
      <c r="K91" s="223"/>
      <c r="L91" s="224"/>
      <c r="M91" s="224"/>
    </row>
    <row r="92" spans="1:19" ht="15.75" customHeight="1" x14ac:dyDescent="0.25">
      <c r="A92" s="104" t="s">
        <v>47</v>
      </c>
      <c r="B92" s="98"/>
      <c r="C92" s="66" t="s">
        <v>136</v>
      </c>
      <c r="D92" s="66" t="s">
        <v>78</v>
      </c>
      <c r="E92" s="98" t="s">
        <v>80</v>
      </c>
      <c r="F92" s="98"/>
      <c r="G92" s="98" t="s">
        <v>79</v>
      </c>
      <c r="H92" s="125"/>
      <c r="I92" s="13" t="s">
        <v>138</v>
      </c>
      <c r="J92" s="25">
        <f ca="1">H90*25%</f>
        <v>1.75</v>
      </c>
    </row>
    <row r="93" spans="1:19" x14ac:dyDescent="0.25">
      <c r="A93" s="104" t="s">
        <v>125</v>
      </c>
      <c r="B93" s="98"/>
      <c r="C93" s="66">
        <f ca="1">J94</f>
        <v>7</v>
      </c>
      <c r="D93" s="67">
        <f ca="1">((100/H90)*C93)/100</f>
        <v>1</v>
      </c>
      <c r="E93" s="116">
        <f ca="1">(((C94/H90*10)+(40/(D90+F90+H90)*C95)+(7.5/(H90)*C96)+(7.5/(H90)*C97)+(10/H90*C98)+(10/H90*C99)+(5/H90*C100)+(5/H90*C101)+(5/H90*C102))/100)</f>
        <v>7.4999999999999997E-2</v>
      </c>
      <c r="F93" s="157"/>
      <c r="G93" s="116">
        <f ca="1">((((C93/H90)*20)+((C94/H90)*25)+(30/(H90+F90+D90)*C95)+(5/H90*C96)+(5/H90*C97)+(5/H90*C98)+(5/H90*C99)+(0/H90*C100)+(0/H90*C101)+(5/H90*C102))/100)</f>
        <v>0.38750000000000001</v>
      </c>
      <c r="H93" s="117"/>
      <c r="I93" s="13" t="s">
        <v>96</v>
      </c>
      <c r="J93" s="26">
        <f ca="1">H90*50%</f>
        <v>3.5</v>
      </c>
    </row>
    <row r="94" spans="1:19" x14ac:dyDescent="0.25">
      <c r="A94" s="104" t="s">
        <v>48</v>
      </c>
      <c r="B94" s="98"/>
      <c r="C94" s="70">
        <f ca="1">J101</f>
        <v>5.25</v>
      </c>
      <c r="D94" s="67">
        <f ca="1">((100/H90)*C94)/100</f>
        <v>0.75</v>
      </c>
      <c r="E94" s="118"/>
      <c r="F94" s="158"/>
      <c r="G94" s="118"/>
      <c r="H94" s="119"/>
      <c r="I94" s="13" t="s">
        <v>97</v>
      </c>
      <c r="J94" s="26">
        <f ca="1">H90</f>
        <v>7</v>
      </c>
    </row>
    <row r="95" spans="1:19" ht="15.75" customHeight="1" x14ac:dyDescent="0.25">
      <c r="A95" s="104" t="s">
        <v>126</v>
      </c>
      <c r="B95" s="98"/>
      <c r="C95" s="66">
        <v>0</v>
      </c>
      <c r="D95" s="67">
        <f ca="1">((100/(D90+F90+H90))*C95)/100</f>
        <v>0</v>
      </c>
      <c r="E95" s="118"/>
      <c r="F95" s="158"/>
      <c r="G95" s="118"/>
      <c r="H95" s="119"/>
      <c r="I95" s="13" t="s">
        <v>98</v>
      </c>
      <c r="J95" s="27">
        <f ca="1">(IF(B90&gt;1,(H90/(B90+2)),H90/4))</f>
        <v>1.75</v>
      </c>
    </row>
    <row r="96" spans="1:19" ht="15.75" customHeight="1" x14ac:dyDescent="0.25">
      <c r="A96" s="104" t="s">
        <v>133</v>
      </c>
      <c r="B96" s="98" t="s">
        <v>127</v>
      </c>
      <c r="C96" s="66">
        <v>0</v>
      </c>
      <c r="D96" s="67">
        <f ca="1">((100/H90)*C96)/100</f>
        <v>0</v>
      </c>
      <c r="E96" s="118"/>
      <c r="F96" s="158"/>
      <c r="G96" s="118"/>
      <c r="H96" s="119"/>
      <c r="I96" s="13" t="s">
        <v>99</v>
      </c>
      <c r="J96" s="27">
        <f ca="1">(IF(B90&gt;1,(H90/(B90+2)+J95),H90/4+J95))</f>
        <v>3.5</v>
      </c>
    </row>
    <row r="97" spans="1:12" ht="15.75" customHeight="1" x14ac:dyDescent="0.25">
      <c r="A97" s="104" t="s">
        <v>134</v>
      </c>
      <c r="B97" s="98" t="s">
        <v>127</v>
      </c>
      <c r="C97" s="66">
        <v>0</v>
      </c>
      <c r="D97" s="67">
        <f ca="1">((100/H90)*C97)/100</f>
        <v>0</v>
      </c>
      <c r="E97" s="118"/>
      <c r="F97" s="158"/>
      <c r="G97" s="118"/>
      <c r="H97" s="119"/>
      <c r="I97" s="13" t="s">
        <v>145</v>
      </c>
      <c r="J97" s="27">
        <f>(IF(B90&gt;1,(H90/(B90+2)+J96),0))</f>
        <v>0</v>
      </c>
    </row>
    <row r="98" spans="1:12" ht="15" customHeight="1" x14ac:dyDescent="0.25">
      <c r="A98" s="104" t="s">
        <v>132</v>
      </c>
      <c r="B98" s="98" t="s">
        <v>129</v>
      </c>
      <c r="C98" s="66">
        <v>0</v>
      </c>
      <c r="D98" s="67">
        <f ca="1">((100/(H90))*C98)/100</f>
        <v>0</v>
      </c>
      <c r="E98" s="118"/>
      <c r="F98" s="158"/>
      <c r="G98" s="118"/>
      <c r="H98" s="119"/>
      <c r="I98" s="13" t="s">
        <v>140</v>
      </c>
      <c r="J98" s="27">
        <f>(IF(B90&gt;2,(H90/(B90+2)+J97),0))</f>
        <v>0</v>
      </c>
    </row>
    <row r="99" spans="1:12" ht="15.75" customHeight="1" x14ac:dyDescent="0.25">
      <c r="A99" s="104" t="s">
        <v>128</v>
      </c>
      <c r="B99" s="98" t="s">
        <v>128</v>
      </c>
      <c r="C99" s="66">
        <v>0</v>
      </c>
      <c r="D99" s="67">
        <f ca="1">((100/H90)*C99)/100</f>
        <v>0</v>
      </c>
      <c r="E99" s="118"/>
      <c r="F99" s="158"/>
      <c r="G99" s="118"/>
      <c r="H99" s="119"/>
      <c r="I99" s="13" t="s">
        <v>141</v>
      </c>
      <c r="J99" s="28">
        <f>(IF(B90&gt;3,(H90/(B90+2)+J98),0))</f>
        <v>0</v>
      </c>
    </row>
    <row r="100" spans="1:12" ht="15.75" customHeight="1" x14ac:dyDescent="0.25">
      <c r="A100" s="104" t="s">
        <v>135</v>
      </c>
      <c r="B100" s="98"/>
      <c r="C100" s="66">
        <v>0</v>
      </c>
      <c r="D100" s="67">
        <f ca="1">((100/H90)*C100)/100</f>
        <v>0</v>
      </c>
      <c r="E100" s="118"/>
      <c r="F100" s="158"/>
      <c r="G100" s="118"/>
      <c r="H100" s="119"/>
      <c r="I100" s="13" t="s">
        <v>142</v>
      </c>
      <c r="J100" s="27">
        <f>(IF(B90&gt;4,(H90/(B90+2)+J99),0))</f>
        <v>0</v>
      </c>
    </row>
    <row r="101" spans="1:12" ht="15.75" customHeight="1" x14ac:dyDescent="0.25">
      <c r="A101" s="104" t="s">
        <v>130</v>
      </c>
      <c r="B101" s="98" t="s">
        <v>130</v>
      </c>
      <c r="C101" s="66">
        <v>0</v>
      </c>
      <c r="D101" s="67">
        <f ca="1">((100/(H90))*C101)/100</f>
        <v>0</v>
      </c>
      <c r="E101" s="118"/>
      <c r="F101" s="158"/>
      <c r="G101" s="118"/>
      <c r="H101" s="119"/>
      <c r="I101" s="13" t="s">
        <v>146</v>
      </c>
      <c r="J101" s="27">
        <f ca="1">(IF(B90=1,(H90/(B90+3)+J96),IF(B90=0,(H90/4+J96),IF(B90&gt;1,0))))</f>
        <v>5.25</v>
      </c>
    </row>
    <row r="102" spans="1:12" ht="16.5" thickBot="1" x14ac:dyDescent="0.3">
      <c r="A102" s="96" t="s">
        <v>131</v>
      </c>
      <c r="B102" s="97"/>
      <c r="C102" s="68">
        <v>0</v>
      </c>
      <c r="D102" s="69">
        <f ca="1">((100/(H90))*C102)/100</f>
        <v>0</v>
      </c>
      <c r="E102" s="120"/>
      <c r="F102" s="159"/>
      <c r="G102" s="120"/>
      <c r="H102" s="121"/>
      <c r="I102" s="14" t="s">
        <v>100</v>
      </c>
      <c r="J102" s="29">
        <f ca="1">(IF(B90&gt;1.5,(H90/(B90+2)+J96+MAX(0,J97-J96)+MAX(0,J98-J97)+MAX(0,J99-J98)+MAX(0,J100-J99)+MAX(0,J101-J100)),IF(B90=1,(H90/(B90+3)+J101),IF(B90=0,H90/4+J101))))</f>
        <v>7</v>
      </c>
    </row>
    <row r="103" spans="1:12" ht="15.75" hidden="1" customHeight="1" x14ac:dyDescent="0.25">
      <c r="A103" s="140" t="s">
        <v>137</v>
      </c>
      <c r="B103" s="141"/>
      <c r="C103" s="142" t="str">
        <f>D67</f>
        <v>Building No.1 C Wing = G + 1st to 7th Floor</v>
      </c>
      <c r="D103" s="143"/>
      <c r="E103" s="143"/>
      <c r="F103" s="143"/>
      <c r="G103" s="143"/>
      <c r="H103" s="144"/>
      <c r="I103" s="42" t="str">
        <f ca="1">IF(D116=100%,"All work Completed. Possession granted to the Building.",IF(D115=100%,"All work Completed, Waiting for OC",I104&amp;""&amp;I105&amp;""&amp;J104&amp;""&amp;J103&amp;" "&amp;J105))</f>
        <v xml:space="preserve">Excavation Completed, Footing work Completed </v>
      </c>
      <c r="J103" s="43"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c>
    </row>
    <row r="104" spans="1:12" hidden="1" x14ac:dyDescent="0.25">
      <c r="A104" s="15" t="s">
        <v>139</v>
      </c>
      <c r="B104" s="46">
        <f>IF(AND(ISNUMBER(SEARCH("1B",C103))),1,IF(AND(ISNUMBER(SEARCH("2B",C103))),2,IF(AND(ISNUMBER(SEARCH("3B",C103))),3,IF(AND(ISNUMBER(SEARCH("4B",C103))),4,IF(ISNUMBER(SEARCH("5B",C103)),5,0)))))</f>
        <v>0</v>
      </c>
      <c r="C104" s="46" t="s">
        <v>68</v>
      </c>
      <c r="D104" s="46">
        <v>1</v>
      </c>
      <c r="E104" s="46" t="s">
        <v>67</v>
      </c>
      <c r="F104" s="46">
        <v>0</v>
      </c>
      <c r="G104" s="46" t="s">
        <v>75</v>
      </c>
      <c r="H104" s="16">
        <f ca="1">--TRIM(RIGHT(SUBSTITUTE(LEFT(C103,_xlfn.AGGREGATE(16,6,FIND({0,1,2,3,4,5,6,7,8,9},C103,ROW(INDIRECT("1:"&amp;LEN(C103)))),1))," ",REPT(" ",LEN(C103))),LEN(C103)))</f>
        <v>7</v>
      </c>
      <c r="I104" s="44" t="str">
        <f ca="1">IF(D107=100%,"Excavation","")&amp;IF(D108=100%,", Plinth","")&amp;IF(D109=100%,", RCC Slab","")&amp;IF(D110=100%,", Brickwork","")&amp;IF(D111=100%,", Internal Plaster","")&amp;IF(D112=100%,", External Plaster","")&amp;IF(D113=100%,", Flooring","")&amp;IF(D114=100%,", Painting","")&amp;IF(D115=100%,", Building common Amenities","")</f>
        <v>Excavation</v>
      </c>
      <c r="J104" s="45" t="str">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 Footing work Completed</v>
      </c>
    </row>
    <row r="105" spans="1:12" hidden="1" x14ac:dyDescent="0.25">
      <c r="A105" s="126" t="s">
        <v>85</v>
      </c>
      <c r="B105" s="127"/>
      <c r="C105" s="102" t="str">
        <f ca="1">(IF($G$60="NA",I103,"All work Completed. OC Received."))</f>
        <v xml:space="preserve">Excavation Completed, Footing work Completed </v>
      </c>
      <c r="D105" s="102"/>
      <c r="E105" s="102"/>
      <c r="F105" s="102"/>
      <c r="G105" s="102"/>
      <c r="H105" s="103"/>
      <c r="I105" s="44" t="str">
        <f ca="1">IF(I104&lt;&gt;""," Completed","")</f>
        <v xml:space="preserve"> Completed</v>
      </c>
      <c r="J105" s="45" t="str">
        <f ca="1">IF(J103&lt;&gt;"","Completed","")</f>
        <v/>
      </c>
    </row>
    <row r="106" spans="1:12" ht="15.75" hidden="1" customHeight="1" x14ac:dyDescent="0.25">
      <c r="A106" s="104" t="s">
        <v>47</v>
      </c>
      <c r="B106" s="98"/>
      <c r="C106" s="66" t="s">
        <v>136</v>
      </c>
      <c r="D106" s="66" t="s">
        <v>78</v>
      </c>
      <c r="E106" s="98" t="s">
        <v>80</v>
      </c>
      <c r="F106" s="98"/>
      <c r="G106" s="98" t="s">
        <v>79</v>
      </c>
      <c r="H106" s="125"/>
      <c r="I106" s="13" t="s">
        <v>138</v>
      </c>
      <c r="J106" s="25">
        <f ca="1">H104*25%</f>
        <v>1.75</v>
      </c>
    </row>
    <row r="107" spans="1:12" hidden="1" x14ac:dyDescent="0.25">
      <c r="A107" s="98" t="s">
        <v>125</v>
      </c>
      <c r="B107" s="98"/>
      <c r="C107" s="74">
        <f ca="1">J108</f>
        <v>7</v>
      </c>
      <c r="D107" s="67">
        <f ca="1">((100/H104)*C107)/100</f>
        <v>1</v>
      </c>
      <c r="E107" s="154">
        <f ca="1">(((C108/H104*10)+(40/(D104+F104+H104)*C109)+(7.5/(H104)*C110)+(7.5/(H104)*C111)+(10/H104*C112)+(10/H104*C113)+(5/H104*C114)+(5/H104*C115)+(5/H104*C116))/100)</f>
        <v>0.05</v>
      </c>
      <c r="F107" s="154"/>
      <c r="G107" s="154">
        <f ca="1">((((C107/H104)*20)+((C108/H104)*25)+(30/(H104+F104+D104)*C109)+(5/H104*C110)+(5/H104*C111)+(5/H104*C112)+(5/H104*C113)+(0/H104*C114)+(0/H104*C115)+(5/H104*C116))/100)</f>
        <v>0.32500000000000001</v>
      </c>
      <c r="H107" s="154"/>
      <c r="I107" s="13" t="s">
        <v>96</v>
      </c>
      <c r="J107" s="26">
        <f ca="1">H104*50%</f>
        <v>3.5</v>
      </c>
    </row>
    <row r="108" spans="1:12" hidden="1" x14ac:dyDescent="0.25">
      <c r="A108" s="98" t="s">
        <v>48</v>
      </c>
      <c r="B108" s="98"/>
      <c r="C108" s="70">
        <f ca="1">J110</f>
        <v>3.5</v>
      </c>
      <c r="D108" s="67">
        <f ca="1">((100/H104)*C108)/100</f>
        <v>0.5</v>
      </c>
      <c r="E108" s="154"/>
      <c r="F108" s="154"/>
      <c r="G108" s="154"/>
      <c r="H108" s="154"/>
      <c r="I108" s="13" t="s">
        <v>97</v>
      </c>
      <c r="J108" s="26">
        <f ca="1">H104</f>
        <v>7</v>
      </c>
    </row>
    <row r="109" spans="1:12" ht="15.75" hidden="1" customHeight="1" x14ac:dyDescent="0.25">
      <c r="A109" s="98" t="s">
        <v>126</v>
      </c>
      <c r="B109" s="98"/>
      <c r="C109" s="74">
        <v>0</v>
      </c>
      <c r="D109" s="67">
        <f ca="1">((100/(D104+F104+H104))*C109)/100</f>
        <v>0</v>
      </c>
      <c r="E109" s="154"/>
      <c r="F109" s="154"/>
      <c r="G109" s="154"/>
      <c r="H109" s="154"/>
      <c r="I109" s="13" t="s">
        <v>98</v>
      </c>
      <c r="J109" s="27">
        <f ca="1">(IF(B104&gt;1,(H104/(B104+2)),H104/4))</f>
        <v>1.75</v>
      </c>
      <c r="L109" s="18" t="s">
        <v>354</v>
      </c>
    </row>
    <row r="110" spans="1:12" ht="15.75" hidden="1" customHeight="1" x14ac:dyDescent="0.25">
      <c r="A110" s="98" t="s">
        <v>133</v>
      </c>
      <c r="B110" s="98" t="s">
        <v>127</v>
      </c>
      <c r="C110" s="74">
        <v>0</v>
      </c>
      <c r="D110" s="67">
        <f ca="1">((100/H104)*C110)/100</f>
        <v>0</v>
      </c>
      <c r="E110" s="154"/>
      <c r="F110" s="154"/>
      <c r="G110" s="154"/>
      <c r="H110" s="154"/>
      <c r="I110" s="13" t="s">
        <v>99</v>
      </c>
      <c r="J110" s="27">
        <f ca="1">(IF(B104&gt;1,(H104/(B104+2)+J109),H104/4+J109))</f>
        <v>3.5</v>
      </c>
    </row>
    <row r="111" spans="1:12" ht="15.75" hidden="1" customHeight="1" x14ac:dyDescent="0.25">
      <c r="A111" s="98" t="s">
        <v>134</v>
      </c>
      <c r="B111" s="98" t="s">
        <v>127</v>
      </c>
      <c r="C111" s="74">
        <v>0</v>
      </c>
      <c r="D111" s="67">
        <f ca="1">((100/H104)*C111)/100</f>
        <v>0</v>
      </c>
      <c r="E111" s="154"/>
      <c r="F111" s="154"/>
      <c r="G111" s="154"/>
      <c r="H111" s="154"/>
      <c r="I111" s="13" t="s">
        <v>145</v>
      </c>
      <c r="J111" s="27">
        <f>(IF(B104&gt;1,(H104/(B104+2)+J110),0))</f>
        <v>0</v>
      </c>
    </row>
    <row r="112" spans="1:12" ht="15" hidden="1" customHeight="1" x14ac:dyDescent="0.25">
      <c r="A112" s="98" t="s">
        <v>132</v>
      </c>
      <c r="B112" s="98" t="s">
        <v>129</v>
      </c>
      <c r="C112" s="74">
        <v>0</v>
      </c>
      <c r="D112" s="67">
        <f ca="1">((100/(H104))*C112)/100</f>
        <v>0</v>
      </c>
      <c r="E112" s="154"/>
      <c r="F112" s="154"/>
      <c r="G112" s="154"/>
      <c r="H112" s="154"/>
      <c r="I112" s="13" t="s">
        <v>140</v>
      </c>
      <c r="J112" s="27">
        <f>(IF(B104&gt;2,(H104/(B104+2)+J111),0))</f>
        <v>0</v>
      </c>
    </row>
    <row r="113" spans="1:22" ht="15.75" hidden="1" customHeight="1" x14ac:dyDescent="0.25">
      <c r="A113" s="98" t="s">
        <v>128</v>
      </c>
      <c r="B113" s="98" t="s">
        <v>128</v>
      </c>
      <c r="C113" s="74">
        <v>0</v>
      </c>
      <c r="D113" s="67">
        <f ca="1">((100/H104)*C113)/100</f>
        <v>0</v>
      </c>
      <c r="E113" s="154"/>
      <c r="F113" s="154"/>
      <c r="G113" s="154"/>
      <c r="H113" s="154"/>
      <c r="I113" s="13" t="s">
        <v>141</v>
      </c>
      <c r="J113" s="28">
        <f>(IF(B104&gt;3,(H104/(B104+2)+J112),0))</f>
        <v>0</v>
      </c>
    </row>
    <row r="114" spans="1:22" ht="15.75" hidden="1" customHeight="1" x14ac:dyDescent="0.25">
      <c r="A114" s="98" t="s">
        <v>135</v>
      </c>
      <c r="B114" s="98"/>
      <c r="C114" s="74">
        <v>0</v>
      </c>
      <c r="D114" s="67">
        <f ca="1">((100/H104)*C114)/100</f>
        <v>0</v>
      </c>
      <c r="E114" s="154"/>
      <c r="F114" s="154"/>
      <c r="G114" s="154"/>
      <c r="H114" s="154"/>
      <c r="I114" s="13" t="s">
        <v>142</v>
      </c>
      <c r="J114" s="27">
        <f>(IF(B104&gt;4,(H104/(B104+2)+J113),0))</f>
        <v>0</v>
      </c>
    </row>
    <row r="115" spans="1:22" ht="15.75" hidden="1" customHeight="1" x14ac:dyDescent="0.25">
      <c r="A115" s="98" t="s">
        <v>130</v>
      </c>
      <c r="B115" s="98" t="s">
        <v>130</v>
      </c>
      <c r="C115" s="74">
        <v>0</v>
      </c>
      <c r="D115" s="67">
        <f ca="1">((100/(H104))*C115)/100</f>
        <v>0</v>
      </c>
      <c r="E115" s="154"/>
      <c r="F115" s="154"/>
      <c r="G115" s="154"/>
      <c r="H115" s="154"/>
      <c r="I115" s="13" t="s">
        <v>146</v>
      </c>
      <c r="J115" s="27">
        <f ca="1">(IF(B104=1,(H104/(B104+3)+J110),IF(B104=0,(H104/4+J110),IF(B104&gt;1,0))))</f>
        <v>5.25</v>
      </c>
    </row>
    <row r="116" spans="1:22" ht="16.5" hidden="1" thickBot="1" x14ac:dyDescent="0.3">
      <c r="A116" s="98" t="s">
        <v>131</v>
      </c>
      <c r="B116" s="98"/>
      <c r="C116" s="74">
        <v>0</v>
      </c>
      <c r="D116" s="67">
        <f ca="1">((100/(H104))*C116)/100</f>
        <v>0</v>
      </c>
      <c r="E116" s="154"/>
      <c r="F116" s="154"/>
      <c r="G116" s="154"/>
      <c r="H116" s="154"/>
      <c r="I116" s="14" t="s">
        <v>100</v>
      </c>
      <c r="J116" s="29">
        <f ca="1">(IF(B104&gt;1.5,(H104/(B104+2)+J110+MAX(0,J111-J110)+MAX(0,J112-J111)+MAX(0,J113-J112)+MAX(0,J114-J113)+MAX(0,J115-J114)),IF(B104=1,(H104/(B104+3)+J115),IF(B104=0,H104/4+J115))))</f>
        <v>7</v>
      </c>
    </row>
    <row r="117" spans="1:22" x14ac:dyDescent="0.25">
      <c r="A117" s="124" t="s">
        <v>157</v>
      </c>
      <c r="B117" s="124"/>
      <c r="C117" s="124"/>
      <c r="D117" s="124"/>
      <c r="E117" s="124"/>
      <c r="F117" s="171" t="s">
        <v>161</v>
      </c>
      <c r="G117" s="171"/>
      <c r="H117" s="171"/>
      <c r="R117" t="s">
        <v>253</v>
      </c>
      <c r="S117" t="s">
        <v>173</v>
      </c>
      <c r="T117" t="s">
        <v>178</v>
      </c>
      <c r="U117" t="s">
        <v>193</v>
      </c>
      <c r="V117" t="s">
        <v>188</v>
      </c>
    </row>
    <row r="118" spans="1:22" x14ac:dyDescent="0.25">
      <c r="A118" s="79" t="s">
        <v>159</v>
      </c>
      <c r="B118" s="79"/>
      <c r="C118" s="79"/>
      <c r="D118" s="79"/>
      <c r="E118" s="79"/>
      <c r="F118" s="80">
        <v>3700</v>
      </c>
      <c r="G118" s="80"/>
      <c r="H118" s="80"/>
      <c r="R118"/>
      <c r="S118">
        <v>800000</v>
      </c>
      <c r="T118">
        <v>150000</v>
      </c>
      <c r="U118">
        <v>100000</v>
      </c>
      <c r="V118">
        <v>100000</v>
      </c>
    </row>
    <row r="119" spans="1:22" x14ac:dyDescent="0.25">
      <c r="A119" s="79" t="s">
        <v>158</v>
      </c>
      <c r="B119" s="79"/>
      <c r="C119" s="79"/>
      <c r="D119" s="79"/>
      <c r="E119" s="79"/>
      <c r="F119" s="80">
        <v>8000</v>
      </c>
      <c r="G119" s="80"/>
      <c r="H119" s="80"/>
      <c r="R119"/>
      <c r="S119">
        <v>900000</v>
      </c>
      <c r="T119">
        <v>200000</v>
      </c>
      <c r="U119">
        <v>150000</v>
      </c>
      <c r="V119">
        <v>150000</v>
      </c>
    </row>
    <row r="120" spans="1:22" hidden="1" x14ac:dyDescent="0.25">
      <c r="A120" s="79" t="s">
        <v>160</v>
      </c>
      <c r="B120" s="79"/>
      <c r="C120" s="79"/>
      <c r="D120" s="79"/>
      <c r="E120" s="79"/>
      <c r="F120" s="80"/>
      <c r="G120" s="80"/>
      <c r="H120" s="80"/>
      <c r="R120"/>
      <c r="S120">
        <v>1000000</v>
      </c>
      <c r="T120">
        <v>250000</v>
      </c>
      <c r="U120">
        <v>200000</v>
      </c>
      <c r="V120">
        <v>200000</v>
      </c>
    </row>
    <row r="121" spans="1:22" s="30" customFormat="1" hidden="1" x14ac:dyDescent="0.25">
      <c r="A121" s="79" t="s">
        <v>90</v>
      </c>
      <c r="B121" s="79"/>
      <c r="C121" s="79"/>
      <c r="D121" s="79"/>
      <c r="E121" s="79"/>
      <c r="F121" s="80"/>
      <c r="G121" s="80"/>
      <c r="H121" s="80"/>
      <c r="R121"/>
      <c r="S121">
        <v>1200000</v>
      </c>
      <c r="T121">
        <v>350000</v>
      </c>
      <c r="U121">
        <v>300000</v>
      </c>
      <c r="V121">
        <v>300000</v>
      </c>
    </row>
    <row r="122" spans="1:22" s="30" customFormat="1" hidden="1" x14ac:dyDescent="0.25">
      <c r="A122" s="79" t="s">
        <v>91</v>
      </c>
      <c r="B122" s="79"/>
      <c r="C122" s="79"/>
      <c r="D122" s="79"/>
      <c r="E122" s="79"/>
      <c r="F122" s="80"/>
      <c r="G122" s="80"/>
      <c r="H122" s="80"/>
      <c r="R122"/>
      <c r="S122">
        <v>1300000</v>
      </c>
      <c r="T122">
        <v>400000</v>
      </c>
      <c r="U122">
        <v>350000</v>
      </c>
      <c r="V122" s="20">
        <v>400000</v>
      </c>
    </row>
    <row r="123" spans="1:22" s="30" customFormat="1" hidden="1" x14ac:dyDescent="0.25">
      <c r="A123" s="79" t="s">
        <v>92</v>
      </c>
      <c r="B123" s="79"/>
      <c r="C123" s="79"/>
      <c r="D123" s="79"/>
      <c r="E123" s="79"/>
      <c r="F123" s="80"/>
      <c r="G123" s="80"/>
      <c r="H123" s="80"/>
      <c r="R123"/>
      <c r="S123">
        <v>1400000</v>
      </c>
      <c r="T123">
        <v>500000</v>
      </c>
      <c r="U123">
        <v>400000</v>
      </c>
      <c r="V123"/>
    </row>
    <row r="124" spans="1:22" s="30" customFormat="1" hidden="1" x14ac:dyDescent="0.25">
      <c r="A124" s="79" t="s">
        <v>93</v>
      </c>
      <c r="B124" s="79"/>
      <c r="C124" s="79"/>
      <c r="D124" s="79"/>
      <c r="E124" s="79"/>
      <c r="F124" s="80"/>
      <c r="G124" s="80"/>
      <c r="H124" s="80"/>
      <c r="R124"/>
      <c r="S124">
        <v>1500000</v>
      </c>
      <c r="T124">
        <v>600000</v>
      </c>
      <c r="U124">
        <v>500000</v>
      </c>
      <c r="V124" s="20"/>
    </row>
    <row r="125" spans="1:22" s="30" customFormat="1" x14ac:dyDescent="0.25">
      <c r="A125" s="218" t="s">
        <v>94</v>
      </c>
      <c r="B125" s="218"/>
      <c r="C125" s="218"/>
      <c r="D125" s="218"/>
      <c r="E125" s="218"/>
      <c r="F125" s="80">
        <v>90000</v>
      </c>
      <c r="G125" s="80"/>
      <c r="H125" s="80"/>
      <c r="R125"/>
      <c r="S125">
        <v>1600000</v>
      </c>
      <c r="T125">
        <v>700000</v>
      </c>
      <c r="U125">
        <v>600000</v>
      </c>
      <c r="V125"/>
    </row>
    <row r="126" spans="1:22" s="30" customFormat="1" x14ac:dyDescent="0.25">
      <c r="A126" s="79" t="s">
        <v>352</v>
      </c>
      <c r="B126" s="79"/>
      <c r="C126" s="79"/>
      <c r="D126" s="79"/>
      <c r="E126" s="79"/>
      <c r="F126" s="80">
        <v>100000</v>
      </c>
      <c r="G126" s="80"/>
      <c r="H126" s="80"/>
      <c r="R126"/>
      <c r="S126">
        <v>1700000</v>
      </c>
      <c r="T126">
        <v>800000</v>
      </c>
      <c r="U126"/>
      <c r="V126" s="20"/>
    </row>
    <row r="127" spans="1:22" s="30" customFormat="1" hidden="1" x14ac:dyDescent="0.25">
      <c r="A127" s="79" t="s">
        <v>95</v>
      </c>
      <c r="B127" s="79"/>
      <c r="C127" s="79"/>
      <c r="D127" s="79"/>
      <c r="E127" s="79"/>
      <c r="F127" s="80"/>
      <c r="G127" s="80"/>
      <c r="H127" s="80"/>
      <c r="R127"/>
      <c r="S127">
        <v>1700000</v>
      </c>
      <c r="T127">
        <v>800000</v>
      </c>
      <c r="U127"/>
      <c r="V127" s="20"/>
    </row>
    <row r="128" spans="1:22" x14ac:dyDescent="0.25">
      <c r="A128" s="79" t="s">
        <v>49</v>
      </c>
      <c r="B128" s="79"/>
      <c r="C128" s="79"/>
      <c r="D128" s="79"/>
      <c r="E128" s="79"/>
      <c r="F128" s="80">
        <v>100000</v>
      </c>
      <c r="G128" s="80"/>
      <c r="H128" s="80"/>
      <c r="I128" s="18" t="s">
        <v>350</v>
      </c>
      <c r="R128"/>
      <c r="S128">
        <v>1800000</v>
      </c>
      <c r="T128">
        <v>900000</v>
      </c>
      <c r="U128"/>
    </row>
    <row r="129" spans="1:22" s="31" customFormat="1" x14ac:dyDescent="0.25">
      <c r="A129" s="124" t="s">
        <v>50</v>
      </c>
      <c r="B129" s="124"/>
      <c r="C129" s="124"/>
      <c r="D129" s="124"/>
      <c r="E129" s="124"/>
      <c r="F129" s="80">
        <f>F118*0.8</f>
        <v>2960</v>
      </c>
      <c r="G129" s="80"/>
      <c r="H129" s="80"/>
      <c r="R129" s="18"/>
      <c r="S129" s="18"/>
      <c r="T129">
        <v>1000000</v>
      </c>
      <c r="U129"/>
      <c r="V129" s="18"/>
    </row>
    <row r="130" spans="1:22" s="32" customFormat="1" ht="15.75" customHeight="1" x14ac:dyDescent="0.25">
      <c r="A130" s="107" t="s">
        <v>336</v>
      </c>
      <c r="B130" s="107"/>
      <c r="C130" s="107"/>
      <c r="D130" s="107"/>
      <c r="E130" s="107"/>
      <c r="F130" s="107"/>
      <c r="G130" s="107"/>
      <c r="H130" s="107"/>
      <c r="R130"/>
      <c r="S130" s="18"/>
      <c r="T130"/>
      <c r="U130"/>
      <c r="V130" s="18"/>
    </row>
    <row r="131" spans="1:22" s="32" customFormat="1" ht="15.75" customHeight="1" x14ac:dyDescent="0.25">
      <c r="A131" s="176" t="s">
        <v>51</v>
      </c>
      <c r="B131" s="176"/>
      <c r="C131" s="109" t="s">
        <v>73</v>
      </c>
      <c r="D131" s="109"/>
      <c r="E131" s="178" t="s">
        <v>52</v>
      </c>
      <c r="F131" s="178"/>
      <c r="G131" s="176" t="s">
        <v>53</v>
      </c>
      <c r="H131" s="176"/>
      <c r="R131"/>
      <c r="S131" s="18"/>
      <c r="T131"/>
      <c r="U131" s="18"/>
      <c r="V131" s="18"/>
    </row>
    <row r="132" spans="1:22" s="32" customFormat="1" x14ac:dyDescent="0.25">
      <c r="A132" s="90" t="s">
        <v>332</v>
      </c>
      <c r="B132" s="90"/>
      <c r="C132" s="110">
        <f>COUNT(D150:D161)</f>
        <v>12</v>
      </c>
      <c r="D132" s="134"/>
      <c r="E132" s="110">
        <f t="shared" ref="E132" si="0">SUM(F150:F161)</f>
        <v>1731.0664799999995</v>
      </c>
      <c r="F132" s="134"/>
      <c r="G132" s="110">
        <f t="shared" ref="G132" si="1">SUM(H150:H161)</f>
        <v>2596.5997199999997</v>
      </c>
      <c r="H132" s="134"/>
      <c r="R132"/>
      <c r="S132" s="18"/>
      <c r="T132"/>
      <c r="U132" s="18"/>
      <c r="V132" s="18"/>
    </row>
    <row r="133" spans="1:22" s="32" customFormat="1" x14ac:dyDescent="0.25">
      <c r="A133" s="90" t="s">
        <v>333</v>
      </c>
      <c r="B133" s="90"/>
      <c r="C133" s="90">
        <f>COUNT(D164:D169)</f>
        <v>6</v>
      </c>
      <c r="D133" s="90"/>
      <c r="E133" s="90">
        <f t="shared" ref="E133" si="2">SUM(F164:F169)</f>
        <v>738.19511999999986</v>
      </c>
      <c r="F133" s="90"/>
      <c r="G133" s="90">
        <f t="shared" ref="G133" si="3">SUM(H164:H169)</f>
        <v>1107.29268</v>
      </c>
      <c r="H133" s="90"/>
      <c r="R133"/>
      <c r="S133" s="18"/>
      <c r="T133"/>
      <c r="U133" s="18"/>
      <c r="V133" s="18"/>
    </row>
    <row r="134" spans="1:22" s="32" customFormat="1" x14ac:dyDescent="0.25">
      <c r="A134" s="90" t="s">
        <v>334</v>
      </c>
      <c r="B134" s="90"/>
      <c r="C134" s="105">
        <f>COUNT(D172:D177)</f>
        <v>6</v>
      </c>
      <c r="D134" s="106"/>
      <c r="E134" s="105">
        <f t="shared" ref="E134" si="4">SUM(F172:F177)</f>
        <v>650.94213599999989</v>
      </c>
      <c r="F134" s="106"/>
      <c r="G134" s="105">
        <f t="shared" ref="G134" si="5">SUM(H172:H177)</f>
        <v>976.41320399999995</v>
      </c>
      <c r="H134" s="106"/>
      <c r="R134"/>
      <c r="S134" s="18"/>
      <c r="T134"/>
      <c r="U134" s="18"/>
      <c r="V134" s="18"/>
    </row>
    <row r="135" spans="1:22" s="32" customFormat="1" x14ac:dyDescent="0.25">
      <c r="A135" s="107" t="s">
        <v>150</v>
      </c>
      <c r="B135" s="107"/>
      <c r="C135" s="108">
        <f>SUM(C132:D134)</f>
        <v>24</v>
      </c>
      <c r="D135" s="109"/>
      <c r="E135" s="108">
        <f t="shared" ref="E135" si="6">SUM(E132:F134)</f>
        <v>3120.2037359999995</v>
      </c>
      <c r="F135" s="109"/>
      <c r="G135" s="108">
        <f t="shared" ref="G135" si="7">SUM(G132:H134)</f>
        <v>4680.3056039999992</v>
      </c>
      <c r="H135" s="109"/>
      <c r="R135"/>
      <c r="S135" s="18"/>
      <c r="T135"/>
      <c r="U135" s="18"/>
      <c r="V135" s="18"/>
    </row>
    <row r="136" spans="1:22" s="32" customFormat="1" x14ac:dyDescent="0.25">
      <c r="A136" s="107" t="s">
        <v>337</v>
      </c>
      <c r="B136" s="107"/>
      <c r="C136" s="107"/>
      <c r="D136" s="107"/>
      <c r="E136" s="107"/>
      <c r="F136" s="107"/>
      <c r="G136" s="107"/>
      <c r="H136" s="107"/>
      <c r="T136"/>
    </row>
    <row r="137" spans="1:22" s="32" customFormat="1" ht="15.75" customHeight="1" x14ac:dyDescent="0.25">
      <c r="A137" s="176" t="s">
        <v>51</v>
      </c>
      <c r="B137" s="176"/>
      <c r="C137" s="109" t="s">
        <v>73</v>
      </c>
      <c r="D137" s="109"/>
      <c r="E137" s="178" t="s">
        <v>52</v>
      </c>
      <c r="F137" s="178"/>
      <c r="G137" s="176" t="s">
        <v>53</v>
      </c>
      <c r="H137" s="176"/>
      <c r="T137"/>
    </row>
    <row r="138" spans="1:22" s="32" customFormat="1" ht="15.75" customHeight="1" x14ac:dyDescent="0.25">
      <c r="A138" s="90" t="s">
        <v>332</v>
      </c>
      <c r="B138" s="90"/>
      <c r="C138" s="90">
        <f>COUNT(D184:D190)+COUNT(D192:D198)*6</f>
        <v>49</v>
      </c>
      <c r="D138" s="90"/>
      <c r="E138" s="90">
        <f t="shared" ref="E138" si="8">SUM(F184:F190)+SUM(F192:F198)*6</f>
        <v>20459.027159999998</v>
      </c>
      <c r="F138" s="90"/>
      <c r="G138" s="90">
        <f t="shared" ref="G138" si="9">SUM(H184:H190)+SUM(H192:H198)*6</f>
        <v>30005.247402000001</v>
      </c>
      <c r="H138" s="90"/>
      <c r="T138"/>
    </row>
    <row r="139" spans="1:22" s="32" customFormat="1" x14ac:dyDescent="0.25">
      <c r="A139" s="90" t="s">
        <v>333</v>
      </c>
      <c r="B139" s="90"/>
      <c r="C139" s="110">
        <f>COUNT(D201:D204)+COUNT(D206:D209)*6</f>
        <v>28</v>
      </c>
      <c r="D139" s="110"/>
      <c r="E139" s="110">
        <f t="shared" ref="E139" si="10">SUM(F201:F204)+SUM(F206:F209)*6</f>
        <v>10159.278480000001</v>
      </c>
      <c r="F139" s="110"/>
      <c r="G139" s="110">
        <f t="shared" ref="G139" si="11">SUM(H201:H204)+SUM(H206:H209)*6</f>
        <v>14839.239635999997</v>
      </c>
      <c r="H139" s="110"/>
      <c r="T139"/>
    </row>
    <row r="140" spans="1:22" s="32" customFormat="1" x14ac:dyDescent="0.25">
      <c r="A140" s="90" t="s">
        <v>334</v>
      </c>
      <c r="B140" s="90"/>
      <c r="C140" s="110">
        <f>COUNT(D212:D215)+COUNT(D217:D220)*6</f>
        <v>28</v>
      </c>
      <c r="D140" s="110"/>
      <c r="E140" s="110">
        <f t="shared" ref="E140" si="12">SUM(F212:F215)+SUM(F217:F220)*6</f>
        <v>12866.101560000001</v>
      </c>
      <c r="F140" s="110"/>
      <c r="G140" s="110">
        <f t="shared" ref="G140" si="13">SUM(H212:H215)+SUM(H217:H220)*6</f>
        <v>18807.888762000002</v>
      </c>
      <c r="H140" s="110"/>
      <c r="T140"/>
    </row>
    <row r="141" spans="1:22" s="32" customFormat="1" ht="16.5" thickBot="1" x14ac:dyDescent="0.3">
      <c r="A141" s="99" t="s">
        <v>150</v>
      </c>
      <c r="B141" s="99"/>
      <c r="C141" s="100">
        <f>SUM(C138:D140)</f>
        <v>105</v>
      </c>
      <c r="D141" s="101"/>
      <c r="E141" s="100">
        <f t="shared" ref="E141" si="14">SUM(E138:F140)</f>
        <v>43484.407200000001</v>
      </c>
      <c r="F141" s="101"/>
      <c r="G141" s="100">
        <f t="shared" ref="G141" si="15">SUM(G138:H140)</f>
        <v>63652.375800000002</v>
      </c>
      <c r="H141" s="101"/>
      <c r="T141"/>
    </row>
    <row r="142" spans="1:22" s="32" customFormat="1" ht="16.5" thickBot="1" x14ac:dyDescent="0.3">
      <c r="A142" s="182" t="s">
        <v>167</v>
      </c>
      <c r="B142" s="183"/>
      <c r="C142" s="184">
        <f>C135+C141</f>
        <v>129</v>
      </c>
      <c r="D142" s="184"/>
      <c r="E142" s="185">
        <f>E135+E141</f>
        <v>46604.610935999997</v>
      </c>
      <c r="F142" s="185"/>
      <c r="G142" s="135">
        <f>G135+G141</f>
        <v>68332.681404000003</v>
      </c>
      <c r="H142" s="136"/>
      <c r="T142"/>
    </row>
    <row r="143" spans="1:22" s="31" customFormat="1" x14ac:dyDescent="0.25">
      <c r="A143" s="179" t="s">
        <v>54</v>
      </c>
      <c r="B143" s="179"/>
      <c r="C143" s="179"/>
      <c r="D143" s="179"/>
      <c r="E143" s="179"/>
      <c r="F143" s="179"/>
      <c r="G143" s="179"/>
      <c r="H143" s="179"/>
      <c r="T143" s="32"/>
    </row>
    <row r="144" spans="1:22" x14ac:dyDescent="0.25">
      <c r="A144" s="217" t="s">
        <v>175</v>
      </c>
      <c r="B144" s="217"/>
      <c r="C144" s="217"/>
      <c r="D144" s="217"/>
      <c r="E144" s="217"/>
      <c r="F144" s="217"/>
      <c r="G144" s="217"/>
      <c r="H144" s="217"/>
      <c r="T144" s="32"/>
    </row>
    <row r="145" spans="1:20" ht="47.25" customHeight="1" x14ac:dyDescent="0.25">
      <c r="A145" s="132" t="s">
        <v>117</v>
      </c>
      <c r="B145" s="132" t="s">
        <v>176</v>
      </c>
      <c r="C145" s="132" t="s">
        <v>55</v>
      </c>
      <c r="D145" s="122" t="s">
        <v>324</v>
      </c>
      <c r="E145" s="128" t="s">
        <v>156</v>
      </c>
      <c r="F145" s="132" t="s">
        <v>56</v>
      </c>
      <c r="G145" s="128" t="s">
        <v>57</v>
      </c>
      <c r="H145" s="71" t="s">
        <v>148</v>
      </c>
      <c r="T145" s="32"/>
    </row>
    <row r="146" spans="1:20" s="34" customFormat="1" x14ac:dyDescent="0.25">
      <c r="A146" s="133"/>
      <c r="B146" s="133"/>
      <c r="C146" s="133"/>
      <c r="D146" s="123"/>
      <c r="E146" s="129"/>
      <c r="F146" s="133"/>
      <c r="G146" s="129"/>
      <c r="H146" s="72">
        <v>0.5</v>
      </c>
      <c r="T146" s="32"/>
    </row>
    <row r="147" spans="1:20" s="63" customFormat="1" x14ac:dyDescent="0.25">
      <c r="A147" s="85" t="s">
        <v>331</v>
      </c>
      <c r="B147" s="86"/>
      <c r="C147" s="86"/>
      <c r="D147" s="86"/>
      <c r="E147" s="86"/>
      <c r="F147" s="86"/>
      <c r="G147" s="86"/>
      <c r="H147" s="87"/>
      <c r="J147" s="65">
        <f>10.764</f>
        <v>10.763999999999999</v>
      </c>
      <c r="T147" s="32"/>
    </row>
    <row r="148" spans="1:20" s="63" customFormat="1" x14ac:dyDescent="0.25">
      <c r="A148" s="85" t="s">
        <v>332</v>
      </c>
      <c r="B148" s="86"/>
      <c r="C148" s="86"/>
      <c r="D148" s="86"/>
      <c r="E148" s="86"/>
      <c r="F148" s="86"/>
      <c r="G148" s="86"/>
      <c r="H148" s="87"/>
      <c r="T148" s="32"/>
    </row>
    <row r="149" spans="1:20" s="34" customFormat="1" x14ac:dyDescent="0.25">
      <c r="A149" s="85" t="s">
        <v>323</v>
      </c>
      <c r="B149" s="86"/>
      <c r="C149" s="86"/>
      <c r="D149" s="86"/>
      <c r="E149" s="86"/>
      <c r="F149" s="86"/>
      <c r="G149" s="86"/>
      <c r="H149" s="87"/>
      <c r="J149" s="33"/>
      <c r="T149" s="32"/>
    </row>
    <row r="150" spans="1:20" s="34" customFormat="1" ht="15.75" customHeight="1" x14ac:dyDescent="0.25">
      <c r="A150" s="88">
        <v>1</v>
      </c>
      <c r="B150" s="89"/>
      <c r="C150" s="39" t="s">
        <v>325</v>
      </c>
      <c r="D150" s="65">
        <f>(19.2)*(10.764)</f>
        <v>206.66879999999998</v>
      </c>
      <c r="E150" s="39">
        <v>0</v>
      </c>
      <c r="F150" s="56">
        <f>D150+(IF(E150&lt;201,E150,IF(E150&lt;301,E150/2,E150/3)))</f>
        <v>206.66879999999998</v>
      </c>
      <c r="G150" s="57">
        <v>0</v>
      </c>
      <c r="H150" s="56">
        <f>(F150+(IF(G150&lt;101,G150,IF(G150&lt;201,G150/2,IF(G150&lt;=301,G150/3,G150/4)))))*(($H$146)+1)</f>
        <v>310.00319999999999</v>
      </c>
      <c r="I150" s="33">
        <f>3.5*5.35</f>
        <v>18.724999999999998</v>
      </c>
      <c r="L150" s="92"/>
      <c r="M150" s="92"/>
      <c r="N150" s="33"/>
      <c r="T150" s="32"/>
    </row>
    <row r="151" spans="1:20" s="34" customFormat="1" ht="15.75" customHeight="1" x14ac:dyDescent="0.25">
      <c r="A151" s="88">
        <f>A150+1</f>
        <v>2</v>
      </c>
      <c r="B151" s="89"/>
      <c r="C151" s="62" t="s">
        <v>325</v>
      </c>
      <c r="D151" s="65">
        <f>(22.51)*(10.764)</f>
        <v>242.29764</v>
      </c>
      <c r="E151" s="39">
        <v>0</v>
      </c>
      <c r="F151" s="56">
        <f t="shared" ref="F151:F153" si="16">D151+(IF(E151&lt;201,E151,IF(E151&lt;301,E151/2,E151/3)))</f>
        <v>242.29764</v>
      </c>
      <c r="G151" s="49">
        <v>0</v>
      </c>
      <c r="H151" s="56">
        <f t="shared" ref="H151:H153" si="17">(F151+(IF(G151&lt;101,G151,IF(G151&lt;201,G151/2,IF(G151&lt;=301,G151/3,G151/4)))))*(($H$146)+1)</f>
        <v>363.44646</v>
      </c>
      <c r="I151" s="33"/>
      <c r="L151" s="92"/>
      <c r="M151" s="92"/>
      <c r="N151" s="33"/>
      <c r="T151" s="31"/>
    </row>
    <row r="152" spans="1:20" s="34" customFormat="1" ht="15.75" customHeight="1" x14ac:dyDescent="0.25">
      <c r="A152" s="88">
        <f>A151+1</f>
        <v>3</v>
      </c>
      <c r="B152" s="89"/>
      <c r="C152" s="62" t="s">
        <v>325</v>
      </c>
      <c r="D152" s="65">
        <f>(17.63)*(10.764)</f>
        <v>189.76931999999996</v>
      </c>
      <c r="E152" s="39">
        <v>0</v>
      </c>
      <c r="F152" s="56">
        <f t="shared" si="16"/>
        <v>189.76931999999996</v>
      </c>
      <c r="G152" s="49">
        <v>0</v>
      </c>
      <c r="H152" s="56">
        <f t="shared" si="17"/>
        <v>284.65397999999993</v>
      </c>
      <c r="I152" s="33"/>
      <c r="L152" s="92"/>
      <c r="M152" s="92"/>
      <c r="N152" s="33"/>
      <c r="T152" s="18"/>
    </row>
    <row r="153" spans="1:20" s="34" customFormat="1" ht="15.75" customHeight="1" x14ac:dyDescent="0.25">
      <c r="A153" s="88">
        <f>A152+1</f>
        <v>4</v>
      </c>
      <c r="B153" s="89"/>
      <c r="C153" s="62" t="s">
        <v>325</v>
      </c>
      <c r="D153" s="65">
        <f>(13.29)*(10.764)</f>
        <v>143.05355999999998</v>
      </c>
      <c r="E153" s="39">
        <v>0</v>
      </c>
      <c r="F153" s="56">
        <f t="shared" si="16"/>
        <v>143.05355999999998</v>
      </c>
      <c r="G153" s="49">
        <v>0</v>
      </c>
      <c r="H153" s="56">
        <f t="shared" si="17"/>
        <v>214.58033999999998</v>
      </c>
      <c r="I153" s="33"/>
      <c r="L153" s="92"/>
      <c r="M153" s="92"/>
      <c r="N153" s="33"/>
      <c r="T153" s="18"/>
    </row>
    <row r="154" spans="1:20" s="63" customFormat="1" ht="15.75" customHeight="1" x14ac:dyDescent="0.25">
      <c r="A154" s="88">
        <f t="shared" ref="A154:A157" si="18">A153+1</f>
        <v>5</v>
      </c>
      <c r="B154" s="89"/>
      <c r="C154" s="62" t="s">
        <v>325</v>
      </c>
      <c r="D154" s="65">
        <f>(9.98)*(10.764)</f>
        <v>107.42471999999999</v>
      </c>
      <c r="E154" s="62">
        <v>0</v>
      </c>
      <c r="F154" s="62">
        <f>D154+(IF(E154&lt;201,E154,IF(E154&lt;301,E154/2,E154/3)))</f>
        <v>107.42471999999999</v>
      </c>
      <c r="G154" s="57">
        <v>0</v>
      </c>
      <c r="H154" s="62">
        <f>(F154+(IF(G154&lt;101,G154,IF(G154&lt;201,G154/2,IF(G154&lt;=301,G154/3,G154/4)))))*(($H$146)+1)</f>
        <v>161.13708</v>
      </c>
      <c r="I154" s="33">
        <f>4.25*2.1+0.75*1.05</f>
        <v>9.7125000000000004</v>
      </c>
      <c r="L154" s="92"/>
      <c r="M154" s="92"/>
      <c r="N154" s="33"/>
      <c r="T154" s="32"/>
    </row>
    <row r="155" spans="1:20" s="63" customFormat="1" ht="15.75" customHeight="1" x14ac:dyDescent="0.25">
      <c r="A155" s="88">
        <f t="shared" si="18"/>
        <v>6</v>
      </c>
      <c r="B155" s="89"/>
      <c r="C155" s="62" t="s">
        <v>325</v>
      </c>
      <c r="D155" s="65">
        <f>(10.28)*(10.764)</f>
        <v>110.65391999999999</v>
      </c>
      <c r="E155" s="62">
        <v>0</v>
      </c>
      <c r="F155" s="62">
        <f t="shared" ref="F155:F158" si="19">D155+(IF(E155&lt;201,E155,IF(E155&lt;301,E155/2,E155/3)))</f>
        <v>110.65391999999999</v>
      </c>
      <c r="G155" s="62">
        <v>0</v>
      </c>
      <c r="H155" s="62">
        <f t="shared" ref="H155:H158" si="20">(F155+(IF(G155&lt;101,G155,IF(G155&lt;201,G155/2,IF(G155&lt;=301,G155/3,G155/4)))))*(($H$146)+1)</f>
        <v>165.98087999999998</v>
      </c>
      <c r="I155" s="33"/>
      <c r="L155" s="92"/>
      <c r="M155" s="92"/>
      <c r="N155" s="33"/>
      <c r="T155" s="31"/>
    </row>
    <row r="156" spans="1:20" s="63" customFormat="1" ht="15.75" customHeight="1" x14ac:dyDescent="0.25">
      <c r="A156" s="88">
        <f t="shared" si="18"/>
        <v>7</v>
      </c>
      <c r="B156" s="89"/>
      <c r="C156" s="62" t="s">
        <v>325</v>
      </c>
      <c r="D156" s="65">
        <f>(10.85)*(10.764)</f>
        <v>116.78939999999999</v>
      </c>
      <c r="E156" s="62">
        <v>0</v>
      </c>
      <c r="F156" s="62">
        <f t="shared" si="19"/>
        <v>116.78939999999999</v>
      </c>
      <c r="G156" s="62">
        <v>0</v>
      </c>
      <c r="H156" s="62">
        <f t="shared" si="20"/>
        <v>175.18409999999997</v>
      </c>
      <c r="I156" s="33"/>
      <c r="L156" s="92"/>
      <c r="M156" s="92"/>
      <c r="N156" s="33"/>
      <c r="T156" s="18"/>
    </row>
    <row r="157" spans="1:20" s="63" customFormat="1" ht="15.75" customHeight="1" x14ac:dyDescent="0.25">
      <c r="A157" s="88">
        <f t="shared" si="18"/>
        <v>8</v>
      </c>
      <c r="B157" s="89"/>
      <c r="C157" s="62" t="s">
        <v>325</v>
      </c>
      <c r="D157" s="65">
        <f>(9.51)*(10.764)</f>
        <v>102.36563999999998</v>
      </c>
      <c r="E157" s="62">
        <v>0</v>
      </c>
      <c r="F157" s="62">
        <f t="shared" si="19"/>
        <v>102.36563999999998</v>
      </c>
      <c r="G157" s="62">
        <v>0</v>
      </c>
      <c r="H157" s="62">
        <f t="shared" si="20"/>
        <v>153.54845999999998</v>
      </c>
      <c r="I157" s="33"/>
      <c r="L157" s="92"/>
      <c r="M157" s="92"/>
      <c r="N157" s="33"/>
      <c r="T157" s="18"/>
    </row>
    <row r="158" spans="1:20" s="63" customFormat="1" ht="15.75" customHeight="1" x14ac:dyDescent="0.25">
      <c r="A158" s="88">
        <f>A157+1</f>
        <v>9</v>
      </c>
      <c r="B158" s="89"/>
      <c r="C158" s="62" t="s">
        <v>325</v>
      </c>
      <c r="D158" s="65">
        <f>(13.28)*(10.764)</f>
        <v>142.94591999999997</v>
      </c>
      <c r="E158" s="62">
        <v>0</v>
      </c>
      <c r="F158" s="62">
        <f t="shared" si="19"/>
        <v>142.94591999999997</v>
      </c>
      <c r="G158" s="62">
        <v>0</v>
      </c>
      <c r="H158" s="62">
        <f t="shared" si="20"/>
        <v>214.41887999999994</v>
      </c>
      <c r="I158" s="33"/>
      <c r="L158" s="92"/>
      <c r="M158" s="92"/>
      <c r="N158" s="33"/>
      <c r="T158" s="18"/>
    </row>
    <row r="159" spans="1:20" s="63" customFormat="1" ht="15.75" customHeight="1" x14ac:dyDescent="0.25">
      <c r="A159" s="88">
        <f t="shared" ref="A159:A161" si="21">A158+1</f>
        <v>10</v>
      </c>
      <c r="B159" s="89"/>
      <c r="C159" s="62" t="s">
        <v>325</v>
      </c>
      <c r="D159" s="65">
        <f>(14.12)*(10.764)</f>
        <v>151.98767999999998</v>
      </c>
      <c r="E159" s="62">
        <v>0</v>
      </c>
      <c r="F159" s="62">
        <f>D159+(IF(E159&lt;201,E159,IF(E159&lt;301,E159/2,E159/3)))</f>
        <v>151.98767999999998</v>
      </c>
      <c r="G159" s="57">
        <v>0</v>
      </c>
      <c r="H159" s="62">
        <f>(F159+(IF(G159&lt;101,G159,IF(G159&lt;201,G159/2,IF(G159&lt;=301,G159/3,G159/4)))))*(($H$146)+1)</f>
        <v>227.98151999999999</v>
      </c>
      <c r="I159" s="33"/>
      <c r="L159" s="92"/>
      <c r="M159" s="92"/>
      <c r="N159" s="33"/>
      <c r="T159" s="32"/>
    </row>
    <row r="160" spans="1:20" s="63" customFormat="1" ht="15.75" customHeight="1" x14ac:dyDescent="0.25">
      <c r="A160" s="88">
        <f t="shared" si="21"/>
        <v>11</v>
      </c>
      <c r="B160" s="89"/>
      <c r="C160" s="62" t="s">
        <v>325</v>
      </c>
      <c r="D160" s="65">
        <f>(9.98)*(10.764)</f>
        <v>107.42471999999999</v>
      </c>
      <c r="E160" s="62">
        <v>0</v>
      </c>
      <c r="F160" s="62">
        <f t="shared" ref="F160:F161" si="22">D160+(IF(E160&lt;201,E160,IF(E160&lt;301,E160/2,E160/3)))</f>
        <v>107.42471999999999</v>
      </c>
      <c r="G160" s="62">
        <v>0</v>
      </c>
      <c r="H160" s="62">
        <f t="shared" ref="H160:H161" si="23">(F160+(IF(G160&lt;101,G160,IF(G160&lt;201,G160/2,IF(G160&lt;=301,G160/3,G160/4)))))*(($H$146)+1)</f>
        <v>161.13708</v>
      </c>
      <c r="I160" s="33"/>
      <c r="L160" s="92"/>
      <c r="M160" s="92"/>
      <c r="N160" s="33"/>
      <c r="T160" s="31"/>
    </row>
    <row r="161" spans="1:20" s="63" customFormat="1" ht="15.75" customHeight="1" x14ac:dyDescent="0.25">
      <c r="A161" s="88">
        <f t="shared" si="21"/>
        <v>12</v>
      </c>
      <c r="B161" s="89"/>
      <c r="C161" s="62" t="s">
        <v>325</v>
      </c>
      <c r="D161" s="65">
        <f>(10.19)*(10.764)</f>
        <v>109.68515999999998</v>
      </c>
      <c r="E161" s="62">
        <v>0</v>
      </c>
      <c r="F161" s="62">
        <f t="shared" si="22"/>
        <v>109.68515999999998</v>
      </c>
      <c r="G161" s="62">
        <v>0</v>
      </c>
      <c r="H161" s="62">
        <f t="shared" si="23"/>
        <v>164.52773999999997</v>
      </c>
      <c r="I161" s="33"/>
      <c r="L161" s="92"/>
      <c r="M161" s="92"/>
      <c r="N161" s="33"/>
      <c r="T161" s="18"/>
    </row>
    <row r="162" spans="1:20" s="63" customFormat="1" x14ac:dyDescent="0.25">
      <c r="A162" s="85" t="s">
        <v>333</v>
      </c>
      <c r="B162" s="86"/>
      <c r="C162" s="86"/>
      <c r="D162" s="86"/>
      <c r="E162" s="86"/>
      <c r="F162" s="86"/>
      <c r="G162" s="86"/>
      <c r="H162" s="87"/>
      <c r="T162" s="32"/>
    </row>
    <row r="163" spans="1:20" s="63" customFormat="1" x14ac:dyDescent="0.25">
      <c r="A163" s="85" t="s">
        <v>323</v>
      </c>
      <c r="B163" s="86"/>
      <c r="C163" s="86"/>
      <c r="D163" s="86"/>
      <c r="E163" s="86"/>
      <c r="F163" s="86"/>
      <c r="G163" s="86"/>
      <c r="H163" s="87"/>
      <c r="J163" s="33"/>
      <c r="T163" s="32"/>
    </row>
    <row r="164" spans="1:20" s="63" customFormat="1" ht="15.75" customHeight="1" x14ac:dyDescent="0.25">
      <c r="A164" s="88">
        <v>1</v>
      </c>
      <c r="B164" s="89"/>
      <c r="C164" s="62" t="s">
        <v>325</v>
      </c>
      <c r="D164" s="65">
        <f>(10.19)*(10.764)</f>
        <v>109.68515999999998</v>
      </c>
      <c r="E164" s="62">
        <v>0</v>
      </c>
      <c r="F164" s="62">
        <f>D164+(IF(E164&lt;201,E164,IF(E164&lt;301,E164/2,E164/3)))</f>
        <v>109.68515999999998</v>
      </c>
      <c r="G164" s="57">
        <v>0</v>
      </c>
      <c r="H164" s="62">
        <f>(F164+(IF(G164&lt;101,G164,IF(G164&lt;201,G164/2,IF(G164&lt;=301,G164/3,G164/4)))))*(($H$146)+1)</f>
        <v>164.52773999999997</v>
      </c>
      <c r="I164" s="33">
        <f>3.6*2.6+0.65*0.75</f>
        <v>9.8475000000000019</v>
      </c>
      <c r="L164" s="92"/>
      <c r="M164" s="92"/>
      <c r="N164" s="33"/>
      <c r="T164" s="32"/>
    </row>
    <row r="165" spans="1:20" s="63" customFormat="1" ht="15.75" customHeight="1" x14ac:dyDescent="0.25">
      <c r="A165" s="88">
        <f>A164+1</f>
        <v>2</v>
      </c>
      <c r="B165" s="89"/>
      <c r="C165" s="62" t="s">
        <v>325</v>
      </c>
      <c r="D165" s="65">
        <f>(9.98)*(10.764)</f>
        <v>107.42471999999999</v>
      </c>
      <c r="E165" s="62">
        <v>0</v>
      </c>
      <c r="F165" s="62">
        <f t="shared" ref="F165:F167" si="24">D165+(IF(E165&lt;201,E165,IF(E165&lt;301,E165/2,E165/3)))</f>
        <v>107.42471999999999</v>
      </c>
      <c r="G165" s="62">
        <v>0</v>
      </c>
      <c r="H165" s="62">
        <f t="shared" ref="H165:H167" si="25">(F165+(IF(G165&lt;101,G165,IF(G165&lt;201,G165/2,IF(G165&lt;=301,G165/3,G165/4)))))*(($H$146)+1)</f>
        <v>161.13708</v>
      </c>
      <c r="I165" s="33"/>
      <c r="L165" s="92"/>
      <c r="M165" s="92"/>
      <c r="N165" s="33"/>
      <c r="T165" s="31"/>
    </row>
    <row r="166" spans="1:20" s="63" customFormat="1" ht="15.75" customHeight="1" x14ac:dyDescent="0.25">
      <c r="A166" s="88">
        <f>A165+1</f>
        <v>3</v>
      </c>
      <c r="B166" s="89"/>
      <c r="C166" s="62" t="s">
        <v>325</v>
      </c>
      <c r="D166" s="65">
        <f>(14.12)*(10.764)</f>
        <v>151.98767999999998</v>
      </c>
      <c r="E166" s="62">
        <v>0</v>
      </c>
      <c r="F166" s="62">
        <f t="shared" si="24"/>
        <v>151.98767999999998</v>
      </c>
      <c r="G166" s="62">
        <v>0</v>
      </c>
      <c r="H166" s="62">
        <f t="shared" si="25"/>
        <v>227.98151999999999</v>
      </c>
      <c r="I166" s="33">
        <f>5*2.75</f>
        <v>13.75</v>
      </c>
      <c r="L166" s="92"/>
      <c r="M166" s="92"/>
      <c r="N166" s="33"/>
      <c r="T166" s="18"/>
    </row>
    <row r="167" spans="1:20" s="63" customFormat="1" ht="15.75" customHeight="1" x14ac:dyDescent="0.25">
      <c r="A167" s="88">
        <f>A166+1</f>
        <v>4</v>
      </c>
      <c r="B167" s="89"/>
      <c r="C167" s="62" t="s">
        <v>325</v>
      </c>
      <c r="D167" s="65">
        <f>(14.12)*(10.764)</f>
        <v>151.98767999999998</v>
      </c>
      <c r="E167" s="62">
        <v>0</v>
      </c>
      <c r="F167" s="62">
        <f t="shared" si="24"/>
        <v>151.98767999999998</v>
      </c>
      <c r="G167" s="62">
        <v>0</v>
      </c>
      <c r="H167" s="62">
        <f t="shared" si="25"/>
        <v>227.98151999999999</v>
      </c>
      <c r="I167" s="33"/>
      <c r="L167" s="92"/>
      <c r="M167" s="92"/>
      <c r="N167" s="33"/>
      <c r="T167" s="18"/>
    </row>
    <row r="168" spans="1:20" s="63" customFormat="1" ht="15.75" customHeight="1" x14ac:dyDescent="0.25">
      <c r="A168" s="88">
        <f t="shared" ref="A168:A169" si="26">A167+1</f>
        <v>5</v>
      </c>
      <c r="B168" s="89"/>
      <c r="C168" s="62" t="s">
        <v>325</v>
      </c>
      <c r="D168" s="65">
        <f>(9.98)*(10.764)</f>
        <v>107.42471999999999</v>
      </c>
      <c r="E168" s="62">
        <v>0</v>
      </c>
      <c r="F168" s="62">
        <f>D168+(IF(E168&lt;201,E168,IF(E168&lt;301,E168/2,E168/3)))</f>
        <v>107.42471999999999</v>
      </c>
      <c r="G168" s="57">
        <v>0</v>
      </c>
      <c r="H168" s="62">
        <f>(F168+(IF(G168&lt;101,G168,IF(G168&lt;201,G168/2,IF(G168&lt;=301,G168/3,G168/4)))))*(($H$146)+1)</f>
        <v>161.13708</v>
      </c>
      <c r="I168" s="33"/>
      <c r="L168" s="92"/>
      <c r="M168" s="92"/>
      <c r="N168" s="33"/>
      <c r="T168" s="32"/>
    </row>
    <row r="169" spans="1:20" s="63" customFormat="1" ht="15.75" customHeight="1" x14ac:dyDescent="0.25">
      <c r="A169" s="88">
        <f t="shared" si="26"/>
        <v>6</v>
      </c>
      <c r="B169" s="89"/>
      <c r="C169" s="62" t="s">
        <v>325</v>
      </c>
      <c r="D169" s="65">
        <f>(10.19)*(10.764)</f>
        <v>109.68515999999998</v>
      </c>
      <c r="E169" s="62">
        <v>0</v>
      </c>
      <c r="F169" s="62">
        <f t="shared" ref="F169" si="27">D169+(IF(E169&lt;201,E169,IF(E169&lt;301,E169/2,E169/3)))</f>
        <v>109.68515999999998</v>
      </c>
      <c r="G169" s="62">
        <v>0</v>
      </c>
      <c r="H169" s="62">
        <f t="shared" ref="H169" si="28">(F169+(IF(G169&lt;101,G169,IF(G169&lt;201,G169/2,IF(G169&lt;=301,G169/3,G169/4)))))*(($H$146)+1)</f>
        <v>164.52773999999997</v>
      </c>
      <c r="I169" s="33"/>
      <c r="L169" s="92"/>
      <c r="M169" s="92"/>
      <c r="N169" s="33"/>
      <c r="T169" s="31"/>
    </row>
    <row r="170" spans="1:20" s="63" customFormat="1" x14ac:dyDescent="0.25">
      <c r="A170" s="85" t="s">
        <v>334</v>
      </c>
      <c r="B170" s="86"/>
      <c r="C170" s="86"/>
      <c r="D170" s="86"/>
      <c r="E170" s="86"/>
      <c r="F170" s="86"/>
      <c r="G170" s="86"/>
      <c r="H170" s="87"/>
      <c r="T170" s="32"/>
    </row>
    <row r="171" spans="1:20" s="63" customFormat="1" x14ac:dyDescent="0.25">
      <c r="A171" s="85" t="s">
        <v>335</v>
      </c>
      <c r="B171" s="86"/>
      <c r="C171" s="86"/>
      <c r="D171" s="86"/>
      <c r="E171" s="86"/>
      <c r="F171" s="86"/>
      <c r="G171" s="86"/>
      <c r="H171" s="87"/>
      <c r="J171" s="33"/>
      <c r="T171" s="32"/>
    </row>
    <row r="172" spans="1:20" s="63" customFormat="1" ht="15.75" customHeight="1" x14ac:dyDescent="0.25">
      <c r="A172" s="88">
        <v>1</v>
      </c>
      <c r="B172" s="89"/>
      <c r="C172" s="62" t="s">
        <v>325</v>
      </c>
      <c r="D172" s="65">
        <f>(10.19)*(10.764)</f>
        <v>109.68515999999998</v>
      </c>
      <c r="E172" s="62">
        <v>0</v>
      </c>
      <c r="F172" s="62">
        <f>D172+(IF(E172&lt;201,E172,IF(E172&lt;301,E172/2,E172/3)))</f>
        <v>109.68515999999998</v>
      </c>
      <c r="G172" s="57">
        <v>0</v>
      </c>
      <c r="H172" s="62">
        <f>(F172+(IF(G172&lt;101,G172,IF(G172&lt;201,G172/2,IF(G172&lt;=301,G172/3,G172/4)))))*(($H$146)+1)</f>
        <v>164.52773999999997</v>
      </c>
      <c r="I172" s="33"/>
      <c r="L172" s="92"/>
      <c r="M172" s="92"/>
      <c r="N172" s="33"/>
      <c r="T172" s="32"/>
    </row>
    <row r="173" spans="1:20" s="63" customFormat="1" ht="15.75" customHeight="1" x14ac:dyDescent="0.25">
      <c r="A173" s="88">
        <f>A172+1</f>
        <v>2</v>
      </c>
      <c r="B173" s="89"/>
      <c r="C173" s="62" t="s">
        <v>325</v>
      </c>
      <c r="D173" s="65">
        <f>(6.68)*(10.764)</f>
        <v>71.903519999999986</v>
      </c>
      <c r="E173" s="62">
        <v>0</v>
      </c>
      <c r="F173" s="62">
        <f t="shared" ref="F173:F175" si="29">D173+(IF(E173&lt;201,E173,IF(E173&lt;301,E173/2,E173/3)))</f>
        <v>71.903519999999986</v>
      </c>
      <c r="G173" s="62">
        <v>0</v>
      </c>
      <c r="H173" s="62">
        <f t="shared" ref="H173:H175" si="30">(F173+(IF(G173&lt;101,G173,IF(G173&lt;201,G173/2,IF(G173&lt;=301,G173/3,G173/4)))))*(($H$146)+1)</f>
        <v>107.85527999999998</v>
      </c>
      <c r="I173" s="33">
        <f>3.05*2.1</f>
        <v>6.4050000000000002</v>
      </c>
      <c r="L173" s="92"/>
      <c r="M173" s="92"/>
      <c r="N173" s="33"/>
      <c r="T173" s="31"/>
    </row>
    <row r="174" spans="1:20" s="63" customFormat="1" ht="15.75" customHeight="1" x14ac:dyDescent="0.25">
      <c r="A174" s="88">
        <f>A173+1</f>
        <v>3</v>
      </c>
      <c r="B174" s="89"/>
      <c r="C174" s="62" t="s">
        <v>325</v>
      </c>
      <c r="D174" s="65">
        <f>(14.12)*(10.764)</f>
        <v>151.98767999999998</v>
      </c>
      <c r="E174" s="62">
        <v>0</v>
      </c>
      <c r="F174" s="62">
        <f t="shared" si="29"/>
        <v>151.98767999999998</v>
      </c>
      <c r="G174" s="62">
        <v>0</v>
      </c>
      <c r="H174" s="62">
        <f t="shared" si="30"/>
        <v>227.98151999999999</v>
      </c>
      <c r="I174" s="33">
        <f>5*2.75</f>
        <v>13.75</v>
      </c>
      <c r="L174" s="92"/>
      <c r="M174" s="92"/>
      <c r="N174" s="33"/>
      <c r="T174" s="18"/>
    </row>
    <row r="175" spans="1:20" s="63" customFormat="1" ht="15.75" customHeight="1" x14ac:dyDescent="0.25">
      <c r="A175" s="88">
        <f>A174+1</f>
        <v>4</v>
      </c>
      <c r="B175" s="89"/>
      <c r="C175" s="62" t="s">
        <v>325</v>
      </c>
      <c r="D175" s="65">
        <f>(14.82)*(10.764)</f>
        <v>159.52248</v>
      </c>
      <c r="E175" s="62">
        <v>0</v>
      </c>
      <c r="F175" s="62">
        <f t="shared" si="29"/>
        <v>159.52248</v>
      </c>
      <c r="G175" s="62">
        <v>0</v>
      </c>
      <c r="H175" s="62">
        <f t="shared" si="30"/>
        <v>239.28372000000002</v>
      </c>
      <c r="I175" s="33">
        <f>5*2.75+0.45*1.55</f>
        <v>14.4475</v>
      </c>
      <c r="L175" s="92"/>
      <c r="M175" s="92"/>
      <c r="N175" s="33"/>
      <c r="T175" s="18"/>
    </row>
    <row r="176" spans="1:20" s="63" customFormat="1" ht="15.75" customHeight="1" x14ac:dyDescent="0.25">
      <c r="A176" s="88">
        <f t="shared" ref="A176:A177" si="31">A175+1</f>
        <v>5</v>
      </c>
      <c r="B176" s="89"/>
      <c r="C176" s="62" t="s">
        <v>325</v>
      </c>
      <c r="D176" s="65">
        <f>7.332*(10.764)</f>
        <v>78.92164799999999</v>
      </c>
      <c r="E176" s="62">
        <v>0</v>
      </c>
      <c r="F176" s="62">
        <f>D176+(IF(E176&lt;201,E176,IF(E176&lt;301,E176/2,E176/3)))</f>
        <v>78.92164799999999</v>
      </c>
      <c r="G176" s="57">
        <v>0</v>
      </c>
      <c r="H176" s="62">
        <f>(F176+(IF(G176&lt;101,G176,IF(G176&lt;201,G176/2,IF(G176&lt;=301,G176/3,G176/4)))))*(($H$146)+1)</f>
        <v>118.38247199999998</v>
      </c>
      <c r="I176" s="33"/>
      <c r="L176" s="92"/>
      <c r="M176" s="92"/>
      <c r="N176" s="33"/>
      <c r="T176" s="32"/>
    </row>
    <row r="177" spans="1:20" s="63" customFormat="1" ht="15.75" customHeight="1" x14ac:dyDescent="0.25">
      <c r="A177" s="88">
        <f t="shared" si="31"/>
        <v>6</v>
      </c>
      <c r="B177" s="89"/>
      <c r="C177" s="62" t="s">
        <v>325</v>
      </c>
      <c r="D177" s="65">
        <f>7.332*(10.764)</f>
        <v>78.92164799999999</v>
      </c>
      <c r="E177" s="62">
        <v>0</v>
      </c>
      <c r="F177" s="62">
        <f t="shared" ref="F177" si="32">D177+(IF(E177&lt;201,E177,IF(E177&lt;301,E177/2,E177/3)))</f>
        <v>78.92164799999999</v>
      </c>
      <c r="G177" s="62">
        <v>0</v>
      </c>
      <c r="H177" s="62">
        <f t="shared" ref="H177" si="33">(F177+(IF(G177&lt;101,G177,IF(G177&lt;201,G177/2,IF(G177&lt;=301,G177/3,G177/4)))))*(($H$146)+1)</f>
        <v>118.38247199999998</v>
      </c>
      <c r="I177" s="33"/>
      <c r="L177" s="92"/>
      <c r="M177" s="92"/>
      <c r="N177" s="33"/>
      <c r="T177" s="31"/>
    </row>
    <row r="178" spans="1:20" s="34" customFormat="1" x14ac:dyDescent="0.25">
      <c r="A178" s="88"/>
      <c r="B178" s="177"/>
      <c r="C178" s="177"/>
      <c r="D178" s="177"/>
      <c r="E178" s="177"/>
      <c r="F178" s="177"/>
      <c r="G178" s="177"/>
      <c r="H178" s="89"/>
      <c r="I178" s="33"/>
      <c r="N178" s="33"/>
    </row>
    <row r="179" spans="1:20" ht="47.25" customHeight="1" x14ac:dyDescent="0.25">
      <c r="A179" s="180" t="s">
        <v>118</v>
      </c>
      <c r="B179" s="132" t="s">
        <v>177</v>
      </c>
      <c r="C179" s="132" t="s">
        <v>55</v>
      </c>
      <c r="D179" s="122" t="s">
        <v>324</v>
      </c>
      <c r="E179" s="132" t="s">
        <v>231</v>
      </c>
      <c r="F179" s="132" t="s">
        <v>56</v>
      </c>
      <c r="G179" s="128" t="s">
        <v>57</v>
      </c>
      <c r="H179" s="71" t="s">
        <v>148</v>
      </c>
      <c r="I179" s="33"/>
      <c r="T179" s="34"/>
    </row>
    <row r="180" spans="1:20" s="34" customFormat="1" x14ac:dyDescent="0.25">
      <c r="A180" s="181"/>
      <c r="B180" s="133"/>
      <c r="C180" s="133"/>
      <c r="D180" s="123"/>
      <c r="E180" s="133"/>
      <c r="F180" s="133"/>
      <c r="G180" s="129"/>
      <c r="H180" s="72">
        <v>0.45</v>
      </c>
      <c r="I180" s="33"/>
    </row>
    <row r="181" spans="1:20" s="63" customFormat="1" x14ac:dyDescent="0.25">
      <c r="A181" s="85" t="s">
        <v>331</v>
      </c>
      <c r="B181" s="86"/>
      <c r="C181" s="86"/>
      <c r="D181" s="86"/>
      <c r="E181" s="86"/>
      <c r="F181" s="86"/>
      <c r="G181" s="86"/>
      <c r="H181" s="87"/>
      <c r="I181" s="33"/>
    </row>
    <row r="182" spans="1:20" s="63" customFormat="1" x14ac:dyDescent="0.25">
      <c r="A182" s="85" t="s">
        <v>332</v>
      </c>
      <c r="B182" s="86"/>
      <c r="C182" s="86"/>
      <c r="D182" s="86"/>
      <c r="E182" s="86"/>
      <c r="F182" s="86"/>
      <c r="G182" s="86"/>
      <c r="H182" s="87"/>
      <c r="I182" s="33"/>
    </row>
    <row r="183" spans="1:20" s="63" customFormat="1" ht="15.75" customHeight="1" x14ac:dyDescent="0.25">
      <c r="A183" s="91" t="s">
        <v>330</v>
      </c>
      <c r="B183" s="91"/>
      <c r="C183" s="91"/>
      <c r="D183" s="91"/>
      <c r="E183" s="91"/>
      <c r="F183" s="91"/>
      <c r="G183" s="91"/>
      <c r="H183" s="91"/>
      <c r="I183" s="33"/>
      <c r="L183" s="92"/>
      <c r="M183" s="92"/>
    </row>
    <row r="184" spans="1:20" s="63" customFormat="1" x14ac:dyDescent="0.25">
      <c r="A184" s="84">
        <f>LEFT(A183,SUM(LEN(A183)-LEN(SUBSTITUTE(A183,{"0","1","2","3","4","5","6","7","8","9"},""))))*100+1</f>
        <v>101</v>
      </c>
      <c r="B184" s="84"/>
      <c r="C184" s="62" t="s">
        <v>327</v>
      </c>
      <c r="D184" s="65">
        <f>(34.38)*(10.764)</f>
        <v>370.06632000000002</v>
      </c>
      <c r="E184" s="62">
        <v>0</v>
      </c>
      <c r="F184" s="62">
        <f t="shared" ref="F184:F190" si="34">D184+E184</f>
        <v>370.06632000000002</v>
      </c>
      <c r="G184" s="65">
        <f>(9.24)*(10.764)</f>
        <v>99.45935999999999</v>
      </c>
      <c r="H184" s="62">
        <f t="shared" ref="H184:H190" si="35">F184*(($H$180)+1)+(IF(G184&lt;101,G184,IF(G184&lt;201,G184/2,IF(G184&lt;=301,G184/3,G184/4))))</f>
        <v>636.05552399999999</v>
      </c>
      <c r="I184" s="33">
        <f>(4.6*2.75+2.15*2.1+3.6*2.6+1.05*1.8+1.8*1.05+0.9*2.1)</f>
        <v>32.195</v>
      </c>
      <c r="J184" s="33">
        <f>1*5.1+1.45*2.75</f>
        <v>9.0874999999999986</v>
      </c>
      <c r="N184" s="33"/>
    </row>
    <row r="185" spans="1:20" s="63" customFormat="1" x14ac:dyDescent="0.25">
      <c r="A185" s="84">
        <f t="shared" ref="A185:A190" si="36">A184+1</f>
        <v>102</v>
      </c>
      <c r="B185" s="84"/>
      <c r="C185" s="62" t="s">
        <v>327</v>
      </c>
      <c r="D185" s="65">
        <f>(33.83)*(10.764)</f>
        <v>364.14611999999994</v>
      </c>
      <c r="E185" s="62">
        <v>0</v>
      </c>
      <c r="F185" s="62">
        <f t="shared" si="34"/>
        <v>364.14611999999994</v>
      </c>
      <c r="G185" s="65">
        <f>(9.24)*(10.764)</f>
        <v>99.45935999999999</v>
      </c>
      <c r="H185" s="62">
        <f t="shared" si="35"/>
        <v>627.47123399999987</v>
      </c>
      <c r="I185" s="33"/>
      <c r="J185" s="33">
        <f>1*5.1+1.45*2.75</f>
        <v>9.0874999999999986</v>
      </c>
      <c r="N185" s="33"/>
    </row>
    <row r="186" spans="1:20" s="63" customFormat="1" x14ac:dyDescent="0.25">
      <c r="A186" s="84">
        <f t="shared" si="36"/>
        <v>103</v>
      </c>
      <c r="B186" s="84"/>
      <c r="C186" s="62" t="s">
        <v>327</v>
      </c>
      <c r="D186" s="65">
        <f>(33.16)*(10.764)</f>
        <v>356.93423999999993</v>
      </c>
      <c r="E186" s="62">
        <v>0</v>
      </c>
      <c r="F186" s="62">
        <f t="shared" si="34"/>
        <v>356.93423999999993</v>
      </c>
      <c r="G186" s="65">
        <f>(10.47)*(10.764)</f>
        <v>112.69908</v>
      </c>
      <c r="H186" s="62">
        <f t="shared" si="35"/>
        <v>573.90418799999998</v>
      </c>
      <c r="I186" s="33"/>
      <c r="J186" s="33">
        <f>1*5+1.8*2.75</f>
        <v>9.9499999999999993</v>
      </c>
      <c r="N186" s="33"/>
    </row>
    <row r="187" spans="1:20" s="63" customFormat="1" x14ac:dyDescent="0.25">
      <c r="A187" s="84">
        <f t="shared" si="36"/>
        <v>104</v>
      </c>
      <c r="B187" s="84"/>
      <c r="C187" s="62" t="s">
        <v>328</v>
      </c>
      <c r="D187" s="65">
        <f>(62.82)*(10.764)</f>
        <v>676.19448</v>
      </c>
      <c r="E187" s="62">
        <v>0</v>
      </c>
      <c r="F187" s="62">
        <f t="shared" si="34"/>
        <v>676.19448</v>
      </c>
      <c r="G187" s="65">
        <f>(15.68)*(10.764)</f>
        <v>168.77951999999999</v>
      </c>
      <c r="H187" s="62">
        <f t="shared" si="35"/>
        <v>1064.871756</v>
      </c>
      <c r="I187" s="33">
        <f>(2.75*5.35+2.75*2.15+2.75*3.05+2.45*2.75+3.5*3.05+1.2*1.95+0.55*1.7+0.5*1.7+1.35*2.15+1.2*2+1*0.9+0.9*1.1)</f>
        <v>57.7425</v>
      </c>
      <c r="J187" s="33"/>
      <c r="N187" s="33"/>
    </row>
    <row r="188" spans="1:20" s="63" customFormat="1" x14ac:dyDescent="0.25">
      <c r="A188" s="84">
        <f t="shared" si="36"/>
        <v>105</v>
      </c>
      <c r="B188" s="84"/>
      <c r="C188" s="62" t="s">
        <v>327</v>
      </c>
      <c r="D188" s="65">
        <f>(27.73)*(10.764)</f>
        <v>298.48572000000001</v>
      </c>
      <c r="E188" s="65">
        <f>(1.89+4.55)*(10.764)</f>
        <v>69.320159999999987</v>
      </c>
      <c r="F188" s="62">
        <f t="shared" si="34"/>
        <v>367.80588</v>
      </c>
      <c r="G188" s="62">
        <v>0</v>
      </c>
      <c r="H188" s="62">
        <f t="shared" si="35"/>
        <v>533.31852600000002</v>
      </c>
      <c r="I188" s="33"/>
      <c r="N188" s="33"/>
    </row>
    <row r="189" spans="1:20" s="63" customFormat="1" x14ac:dyDescent="0.25">
      <c r="A189" s="84">
        <f t="shared" si="36"/>
        <v>106</v>
      </c>
      <c r="B189" s="84"/>
      <c r="C189" s="62" t="s">
        <v>327</v>
      </c>
      <c r="D189" s="65">
        <f>(27.73)*(10.764)</f>
        <v>298.48572000000001</v>
      </c>
      <c r="E189" s="65">
        <f>(1.89+4.55)*(10.764)</f>
        <v>69.320159999999987</v>
      </c>
      <c r="F189" s="62">
        <f t="shared" si="34"/>
        <v>367.80588</v>
      </c>
      <c r="G189" s="62">
        <v>0</v>
      </c>
      <c r="H189" s="62">
        <f t="shared" si="35"/>
        <v>533.31852600000002</v>
      </c>
      <c r="I189" s="33"/>
      <c r="N189" s="33"/>
    </row>
    <row r="190" spans="1:20" s="63" customFormat="1" x14ac:dyDescent="0.25">
      <c r="A190" s="84">
        <f t="shared" si="36"/>
        <v>107</v>
      </c>
      <c r="B190" s="84"/>
      <c r="C190" s="62" t="s">
        <v>327</v>
      </c>
      <c r="D190" s="65">
        <f>(26.42)*(10.764)</f>
        <v>284.38488000000001</v>
      </c>
      <c r="E190" s="65">
        <f>(1.89+4.55)*(10.764)</f>
        <v>69.320159999999987</v>
      </c>
      <c r="F190" s="62">
        <f t="shared" si="34"/>
        <v>353.70504</v>
      </c>
      <c r="G190" s="62">
        <v>0</v>
      </c>
      <c r="H190" s="62">
        <f t="shared" si="35"/>
        <v>512.87230799999998</v>
      </c>
      <c r="I190" s="33"/>
      <c r="J190" s="33">
        <f>0.8*(2.75+2.6)+(0.8*2.1)</f>
        <v>5.9600000000000009</v>
      </c>
      <c r="K190" s="33"/>
      <c r="N190" s="33"/>
    </row>
    <row r="191" spans="1:20" s="63" customFormat="1" x14ac:dyDescent="0.25">
      <c r="A191" s="85" t="s">
        <v>329</v>
      </c>
      <c r="B191" s="86"/>
      <c r="C191" s="86"/>
      <c r="D191" s="86"/>
      <c r="E191" s="86"/>
      <c r="F191" s="86"/>
      <c r="G191" s="86"/>
      <c r="H191" s="87"/>
      <c r="I191" s="33"/>
    </row>
    <row r="192" spans="1:20" s="63" customFormat="1" ht="15.75" customHeight="1" x14ac:dyDescent="0.25">
      <c r="A192" s="88" t="str">
        <f ca="1">(SUMPRODUCT(MID(0&amp;(LEFT(A191,SUM(LEN(A191)-LEN(SUBSTITUTE(A191,{"0","1","2"},""))))), LARGE(INDEX(ISNUMBER(--MID((LEFT(A191,SUM(LEN(A191)-LEN(SUBSTITUTE(A191,{"0","1","2"},""))))), ROW(INDIRECT("1:"&amp;LEN((LEFT(A191,SUM(LEN(A191)-LEN(SUBSTITUTE(A191,{"0","1","2"},"")))))))), 1)) * ROW(INDIRECT("1:"&amp;LEN((LEFT(A191,SUM(LEN(A191)-LEN(SUBSTITUTE(A191,{"0","1","2"},"")))))))), 0), ROW(INDIRECT("1:"&amp;LEN((LEFT(A191,SUM(LEN(A191)-LEN(SUBSTITUTE(A191,{"0","1","2"},"")))))))))+1, 1) * 10^ROW(INDIRECT("1:"&amp;LEN((LEFT(A191,SUM(LEN(A191)-LEN(SUBSTITUTE(A191,{"0","1","2"},""))))))))/10))*100+1&amp;""&amp;" to "&amp;""&amp;(SUMPRODUCT(MID(0&amp;(--TRIM(RIGHT(SUBSTITUTE(LEFT(A191,_xlfn.AGGREGATE(16,6,FIND({0,1,2,3,4,5,6,7,8,9},A191,ROW(INDIRECT("1:"&amp;LEN(A191)))),1))," ",REPT(" ",LEN(A191))),LEN(A191)))), LARGE(INDEX(ISNUMBER(--MID((--TRIM(RIGHT(SUBSTITUTE(LEFT(A191,_xlfn.AGGREGATE(16,6,FIND({0,1,2,3,4,5,6,7,8,9},A191,ROW(INDIRECT("1:"&amp;LEN(A191)))),1))," ",REPT(" ",LEN(A191))),LEN(A191)))), ROW(INDIRECT("1:"&amp;LEN((--TRIM(RIGHT(SUBSTITUTE(LEFT(A191,_xlfn.AGGREGATE(16,6,FIND({0,1,2,3,4,5,6,7,8,9},A191,ROW(INDIRECT("1:"&amp;LEN(A191)))),1))," ",REPT(" ",LEN(A191))),LEN(A191))))))), 1)) * ROW(INDIRECT("1:"&amp;LEN((--TRIM(RIGHT(SUBSTITUTE(LEFT(A191,_xlfn.AGGREGATE(16,6,FIND({0,1,2,3,4,5,6,7,8,9},A191,ROW(INDIRECT("1:"&amp;LEN(A191)))),1))," ",REPT(" ",LEN(A191))),LEN(A191))))))), 0), ROW(INDIRECT("1:"&amp;LEN((--TRIM(RIGHT(SUBSTITUTE(LEFT(A191,_xlfn.AGGREGATE(16,6,FIND({0,1,2,3,4,5,6,7,8,9},A191,ROW(INDIRECT("1:"&amp;LEN(A191)))),1))," ",REPT(" ",LEN(A191))),LEN(A191))))))))+1, 1) * 10^ROW(INDIRECT("1:"&amp;LEN((--TRIM(RIGHT(SUBSTITUTE(LEFT(A191,_xlfn.AGGREGATE(16,6,FIND({0,1,2,3,4,5,6,7,8,9},A191,ROW(INDIRECT("1:"&amp;LEN(A191)))),1))," ",REPT(" ",LEN(A191))),LEN(A191)))))))/10))*100+1</f>
        <v>201 to 701</v>
      </c>
      <c r="B192" s="89"/>
      <c r="C192" s="62" t="s">
        <v>327</v>
      </c>
      <c r="D192" s="65">
        <f>(29.03)*(10.764)</f>
        <v>312.47892000000002</v>
      </c>
      <c r="E192" s="65">
        <f>(1.89+4.55)*(10.764)</f>
        <v>69.320159999999987</v>
      </c>
      <c r="F192" s="62">
        <f t="shared" ref="F192:F198" si="37">D192+E192</f>
        <v>381.79908</v>
      </c>
      <c r="G192" s="62">
        <v>0</v>
      </c>
      <c r="H192" s="62">
        <f t="shared" ref="H192:H198" si="38">F192*(($H$180)+1)+(IF(G192&lt;101,G192,IF(G192&lt;201,G192/2,IF(G192&lt;=301,G192/3,G192/4))))</f>
        <v>553.60866599999997</v>
      </c>
      <c r="I192" s="33"/>
    </row>
    <row r="193" spans="1:14" s="63" customFormat="1" ht="15.75" customHeight="1" x14ac:dyDescent="0.25">
      <c r="A193" s="88" t="str">
        <f ca="1">(SUMPRODUCT(MID(0&amp;(LEFT(A192,SUM(LEN(A192)-LEN(SUBSTITUTE(A192,{"0","1","2"},""))))), LARGE(INDEX(ISNUMBER(--MID((LEFT(A192,SUM(LEN(A192)-LEN(SUBSTITUTE(A192,{"0","1","2"},""))))), ROW(INDIRECT("1:"&amp;LEN((LEFT(A192,SUM(LEN(A192)-LEN(SUBSTITUTE(A192,{"0","1","2"},"")))))))), 1)) * ROW(INDIRECT("1:"&amp;LEN((LEFT(A192,SUM(LEN(A192)-LEN(SUBSTITUTE(A192,{"0","1","2"},"")))))))), 0), ROW(INDIRECT("1:"&amp;LEN((LEFT(A192,SUM(LEN(A192)-LEN(SUBSTITUTE(A192,{"0","1","2"},"")))))))))+1, 1) * 10^ROW(INDIRECT("1:"&amp;LEN((LEFT(A192,SUM(LEN(A192)-LEN(SUBSTITUTE(A192,{"0","1","2"},""))))))))/10))*1+1&amp;""&amp;" to "&amp;""&amp;(SUMPRODUCT(MID(0&amp;(--TRIM(RIGHT(SUBSTITUTE(LEFT(A192,_xlfn.AGGREGATE(16,6,FIND({0,1,2,3,4,5,6,7,8,9},A192,ROW(INDIRECT("1:"&amp;LEN(A192)))),1))," ",REPT(" ",LEN(A192))),LEN(A192)))), LARGE(INDEX(ISNUMBER(--MID((--TRIM(RIGHT(SUBSTITUTE(LEFT(A192,_xlfn.AGGREGATE(16,6,FIND({0,1,2,3,4,5,6,7,8,9},A192,ROW(INDIRECT("1:"&amp;LEN(A192)))),1))," ",REPT(" ",LEN(A192))),LEN(A192)))), ROW(INDIRECT("1:"&amp;LEN((--TRIM(RIGHT(SUBSTITUTE(LEFT(A192,_xlfn.AGGREGATE(16,6,FIND({0,1,2,3,4,5,6,7,8,9},A192,ROW(INDIRECT("1:"&amp;LEN(A192)))),1))," ",REPT(" ",LEN(A192))),LEN(A192))))))), 1)) * ROW(INDIRECT("1:"&amp;LEN((--TRIM(RIGHT(SUBSTITUTE(LEFT(A192,_xlfn.AGGREGATE(16,6,FIND({0,1,2,3,4,5,6,7,8,9},A192,ROW(INDIRECT("1:"&amp;LEN(A192)))),1))," ",REPT(" ",LEN(A192))),LEN(A192))))))), 0), ROW(INDIRECT("1:"&amp;LEN((--TRIM(RIGHT(SUBSTITUTE(LEFT(A192,_xlfn.AGGREGATE(16,6,FIND({0,1,2,3,4,5,6,7,8,9},A192,ROW(INDIRECT("1:"&amp;LEN(A192)))),1))," ",REPT(" ",LEN(A192))),LEN(A192))))))))+1, 1) * 10^ROW(INDIRECT("1:"&amp;LEN((--TRIM(RIGHT(SUBSTITUTE(LEFT(A192,_xlfn.AGGREGATE(16,6,FIND({0,1,2,3,4,5,6,7,8,9},A192,ROW(INDIRECT("1:"&amp;LEN(A192)))),1))," ",REPT(" ",LEN(A192))),LEN(A192)))))))/10))*1+1</f>
        <v>202 to 702</v>
      </c>
      <c r="B193" s="89"/>
      <c r="C193" s="62" t="s">
        <v>327</v>
      </c>
      <c r="D193" s="65">
        <f>(28.49)*(10.764)</f>
        <v>306.66635999999994</v>
      </c>
      <c r="E193" s="65">
        <f>(1.89+4.55)*(10.764)</f>
        <v>69.320159999999987</v>
      </c>
      <c r="F193" s="62">
        <f t="shared" si="37"/>
        <v>375.98651999999993</v>
      </c>
      <c r="G193" s="62">
        <v>0</v>
      </c>
      <c r="H193" s="62">
        <f t="shared" si="38"/>
        <v>545.18045399999983</v>
      </c>
      <c r="I193" s="33"/>
    </row>
    <row r="194" spans="1:14" s="63" customFormat="1" ht="15.75" customHeight="1" x14ac:dyDescent="0.25">
      <c r="A194" s="88" t="str">
        <f ca="1">(SUMPRODUCT(MID(0&amp;(LEFT(A193,SUM(LEN(A193)-LEN(SUBSTITUTE(A193,{"0","1","2"},""))))), LARGE(INDEX(ISNUMBER(--MID((LEFT(A193,SUM(LEN(A193)-LEN(SUBSTITUTE(A193,{"0","1","2"},""))))), ROW(INDIRECT("1:"&amp;LEN((LEFT(A193,SUM(LEN(A193)-LEN(SUBSTITUTE(A193,{"0","1","2"},"")))))))), 1)) * ROW(INDIRECT("1:"&amp;LEN((LEFT(A193,SUM(LEN(A193)-LEN(SUBSTITUTE(A193,{"0","1","2"},"")))))))), 0), ROW(INDIRECT("1:"&amp;LEN((LEFT(A193,SUM(LEN(A193)-LEN(SUBSTITUTE(A193,{"0","1","2"},"")))))))))+1, 1) * 10^ROW(INDIRECT("1:"&amp;LEN((LEFT(A193,SUM(LEN(A193)-LEN(SUBSTITUTE(A193,{"0","1","2"},""))))))))/10))*1+1&amp;""&amp;" to "&amp;""&amp;(SUMPRODUCT(MID(0&amp;(--TRIM(RIGHT(SUBSTITUTE(LEFT(A193,_xlfn.AGGREGATE(16,6,FIND({0,1,2,3,4,5,6,7,8,9},A193,ROW(INDIRECT("1:"&amp;LEN(A193)))),1))," ",REPT(" ",LEN(A193))),LEN(A193)))), LARGE(INDEX(ISNUMBER(--MID((--TRIM(RIGHT(SUBSTITUTE(LEFT(A193,_xlfn.AGGREGATE(16,6,FIND({0,1,2,3,4,5,6,7,8,9},A193,ROW(INDIRECT("1:"&amp;LEN(A193)))),1))," ",REPT(" ",LEN(A193))),LEN(A193)))), ROW(INDIRECT("1:"&amp;LEN((--TRIM(RIGHT(SUBSTITUTE(LEFT(A193,_xlfn.AGGREGATE(16,6,FIND({0,1,2,3,4,5,6,7,8,9},A193,ROW(INDIRECT("1:"&amp;LEN(A193)))),1))," ",REPT(" ",LEN(A193))),LEN(A193))))))), 1)) * ROW(INDIRECT("1:"&amp;LEN((--TRIM(RIGHT(SUBSTITUTE(LEFT(A193,_xlfn.AGGREGATE(16,6,FIND({0,1,2,3,4,5,6,7,8,9},A193,ROW(INDIRECT("1:"&amp;LEN(A193)))),1))," ",REPT(" ",LEN(A193))),LEN(A193))))))), 0), ROW(INDIRECT("1:"&amp;LEN((--TRIM(RIGHT(SUBSTITUTE(LEFT(A193,_xlfn.AGGREGATE(16,6,FIND({0,1,2,3,4,5,6,7,8,9},A193,ROW(INDIRECT("1:"&amp;LEN(A193)))),1))," ",REPT(" ",LEN(A193))),LEN(A193))))))))+1, 1) * 10^ROW(INDIRECT("1:"&amp;LEN((--TRIM(RIGHT(SUBSTITUTE(LEFT(A193,_xlfn.AGGREGATE(16,6,FIND({0,1,2,3,4,5,6,7,8,9},A193,ROW(INDIRECT("1:"&amp;LEN(A193)))),1))," ",REPT(" ",LEN(A193))),LEN(A193)))))))/10))*1+1</f>
        <v>203 to 703</v>
      </c>
      <c r="B194" s="89"/>
      <c r="C194" s="62" t="s">
        <v>327</v>
      </c>
      <c r="D194" s="65">
        <f>(27.82)*(10.764)</f>
        <v>299.45447999999999</v>
      </c>
      <c r="E194" s="65">
        <f>(1.89+4.55)*(10.764)</f>
        <v>69.320159999999987</v>
      </c>
      <c r="F194" s="62">
        <f t="shared" si="37"/>
        <v>368.77463999999998</v>
      </c>
      <c r="G194" s="62">
        <v>0</v>
      </c>
      <c r="H194" s="62">
        <f t="shared" si="38"/>
        <v>534.72322799999995</v>
      </c>
      <c r="I194" s="33"/>
    </row>
    <row r="195" spans="1:14" s="63" customFormat="1" ht="15.75" customHeight="1" x14ac:dyDescent="0.25">
      <c r="A195" s="88" t="str">
        <f ca="1">(SUMPRODUCT(MID(0&amp;(LEFT(A194,SUM(LEN(A194)-LEN(SUBSTITUTE(A194,{"0","1","2"},""))))), LARGE(INDEX(ISNUMBER(--MID((LEFT(A194,SUM(LEN(A194)-LEN(SUBSTITUTE(A194,{"0","1","2"},""))))), ROW(INDIRECT("1:"&amp;LEN((LEFT(A194,SUM(LEN(A194)-LEN(SUBSTITUTE(A194,{"0","1","2"},"")))))))), 1)) * ROW(INDIRECT("1:"&amp;LEN((LEFT(A194,SUM(LEN(A194)-LEN(SUBSTITUTE(A194,{"0","1","2"},"")))))))), 0), ROW(INDIRECT("1:"&amp;LEN((LEFT(A194,SUM(LEN(A194)-LEN(SUBSTITUTE(A194,{"0","1","2"},"")))))))))+1, 1) * 10^ROW(INDIRECT("1:"&amp;LEN((LEFT(A194,SUM(LEN(A194)-LEN(SUBSTITUTE(A194,{"0","1","2"},""))))))))/10))*1+1&amp;""&amp;" to "&amp;""&amp;(SUMPRODUCT(MID(0&amp;(--TRIM(RIGHT(SUBSTITUTE(LEFT(A194,_xlfn.AGGREGATE(16,6,FIND({0,1,2,3,4,5,6,7,8,9},A194,ROW(INDIRECT("1:"&amp;LEN(A194)))),1))," ",REPT(" ",LEN(A194))),LEN(A194)))), LARGE(INDEX(ISNUMBER(--MID((--TRIM(RIGHT(SUBSTITUTE(LEFT(A194,_xlfn.AGGREGATE(16,6,FIND({0,1,2,3,4,5,6,7,8,9},A194,ROW(INDIRECT("1:"&amp;LEN(A194)))),1))," ",REPT(" ",LEN(A194))),LEN(A194)))), ROW(INDIRECT("1:"&amp;LEN((--TRIM(RIGHT(SUBSTITUTE(LEFT(A194,_xlfn.AGGREGATE(16,6,FIND({0,1,2,3,4,5,6,7,8,9},A194,ROW(INDIRECT("1:"&amp;LEN(A194)))),1))," ",REPT(" ",LEN(A194))),LEN(A194))))))), 1)) * ROW(INDIRECT("1:"&amp;LEN((--TRIM(RIGHT(SUBSTITUTE(LEFT(A194,_xlfn.AGGREGATE(16,6,FIND({0,1,2,3,4,5,6,7,8,9},A194,ROW(INDIRECT("1:"&amp;LEN(A194)))),1))," ",REPT(" ",LEN(A194))),LEN(A194))))))), 0), ROW(INDIRECT("1:"&amp;LEN((--TRIM(RIGHT(SUBSTITUTE(LEFT(A194,_xlfn.AGGREGATE(16,6,FIND({0,1,2,3,4,5,6,7,8,9},A194,ROW(INDIRECT("1:"&amp;LEN(A194)))),1))," ",REPT(" ",LEN(A194))),LEN(A194))))))))+1, 1) * 10^ROW(INDIRECT("1:"&amp;LEN((--TRIM(RIGHT(SUBSTITUTE(LEFT(A194,_xlfn.AGGREGATE(16,6,FIND({0,1,2,3,4,5,6,7,8,9},A194,ROW(INDIRECT("1:"&amp;LEN(A194)))),1))," ",REPT(" ",LEN(A194))),LEN(A194)))))))/10))*1+1</f>
        <v>204 to 704</v>
      </c>
      <c r="B195" s="89"/>
      <c r="C195" s="62" t="s">
        <v>347</v>
      </c>
      <c r="D195" s="65">
        <f>(62.28)*(10.764)</f>
        <v>670.38191999999992</v>
      </c>
      <c r="E195" s="65">
        <f>(4.41)*(10.764)</f>
        <v>47.469239999999999</v>
      </c>
      <c r="F195" s="62">
        <f t="shared" si="37"/>
        <v>717.85115999999994</v>
      </c>
      <c r="G195" s="62">
        <v>0</v>
      </c>
      <c r="H195" s="62">
        <f t="shared" si="38"/>
        <v>1040.8841819999998</v>
      </c>
      <c r="I195" s="33"/>
    </row>
    <row r="196" spans="1:14" s="63" customFormat="1" ht="15.75" customHeight="1" x14ac:dyDescent="0.25">
      <c r="A196" s="88" t="str">
        <f ca="1">(SUMPRODUCT(MID(0&amp;(LEFT(A195,SUM(LEN(A195)-LEN(SUBSTITUTE(A195,{"0","1","2"},""))))), LARGE(INDEX(ISNUMBER(--MID((LEFT(A195,SUM(LEN(A195)-LEN(SUBSTITUTE(A195,{"0","1","2"},""))))), ROW(INDIRECT("1:"&amp;LEN((LEFT(A195,SUM(LEN(A195)-LEN(SUBSTITUTE(A195,{"0","1","2"},"")))))))), 1)) * ROW(INDIRECT("1:"&amp;LEN((LEFT(A195,SUM(LEN(A195)-LEN(SUBSTITUTE(A195,{"0","1","2"},"")))))))), 0), ROW(INDIRECT("1:"&amp;LEN((LEFT(A195,SUM(LEN(A195)-LEN(SUBSTITUTE(A195,{"0","1","2"},"")))))))))+1, 1) * 10^ROW(INDIRECT("1:"&amp;LEN((LEFT(A195,SUM(LEN(A195)-LEN(SUBSTITUTE(A195,{"0","1","2"},""))))))))/10))*1+1&amp;""&amp;" to "&amp;""&amp;(SUMPRODUCT(MID(0&amp;(--TRIM(RIGHT(SUBSTITUTE(LEFT(A195,_xlfn.AGGREGATE(16,6,FIND({0,1,2,3,4,5,6,7,8,9},A195,ROW(INDIRECT("1:"&amp;LEN(A195)))),1))," ",REPT(" ",LEN(A195))),LEN(A195)))), LARGE(INDEX(ISNUMBER(--MID((--TRIM(RIGHT(SUBSTITUTE(LEFT(A195,_xlfn.AGGREGATE(16,6,FIND({0,1,2,3,4,5,6,7,8,9},A195,ROW(INDIRECT("1:"&amp;LEN(A195)))),1))," ",REPT(" ",LEN(A195))),LEN(A195)))), ROW(INDIRECT("1:"&amp;LEN((--TRIM(RIGHT(SUBSTITUTE(LEFT(A195,_xlfn.AGGREGATE(16,6,FIND({0,1,2,3,4,5,6,7,8,9},A195,ROW(INDIRECT("1:"&amp;LEN(A195)))),1))," ",REPT(" ",LEN(A195))),LEN(A195))))))), 1)) * ROW(INDIRECT("1:"&amp;LEN((--TRIM(RIGHT(SUBSTITUTE(LEFT(A195,_xlfn.AGGREGATE(16,6,FIND({0,1,2,3,4,5,6,7,8,9},A195,ROW(INDIRECT("1:"&amp;LEN(A195)))),1))," ",REPT(" ",LEN(A195))),LEN(A195))))))), 0), ROW(INDIRECT("1:"&amp;LEN((--TRIM(RIGHT(SUBSTITUTE(LEFT(A195,_xlfn.AGGREGATE(16,6,FIND({0,1,2,3,4,5,6,7,8,9},A195,ROW(INDIRECT("1:"&amp;LEN(A195)))),1))," ",REPT(" ",LEN(A195))),LEN(A195))))))))+1, 1) * 10^ROW(INDIRECT("1:"&amp;LEN((--TRIM(RIGHT(SUBSTITUTE(LEFT(A195,_xlfn.AGGREGATE(16,6,FIND({0,1,2,3,4,5,6,7,8,9},A195,ROW(INDIRECT("1:"&amp;LEN(A195)))),1))," ",REPT(" ",LEN(A195))),LEN(A195)))))))/10))*1+1</f>
        <v>205 to 705</v>
      </c>
      <c r="B196" s="89"/>
      <c r="C196" s="62" t="s">
        <v>327</v>
      </c>
      <c r="D196" s="65">
        <f>(27.73)*(10.764)</f>
        <v>298.48572000000001</v>
      </c>
      <c r="E196" s="65">
        <f>(1.89+4.55)*(10.764)</f>
        <v>69.320159999999987</v>
      </c>
      <c r="F196" s="62">
        <f t="shared" si="37"/>
        <v>367.80588</v>
      </c>
      <c r="G196" s="62">
        <v>0</v>
      </c>
      <c r="H196" s="62">
        <f t="shared" si="38"/>
        <v>533.31852600000002</v>
      </c>
      <c r="I196" s="33">
        <f>(3*2.75+2.15*2.1+2.55*2.6+1.05*1.8+1.85*1.05+1*2.1+0.5*1.06)</f>
        <v>25.857500000000002</v>
      </c>
      <c r="J196" s="33">
        <f>0.8*(2.75+2.6+2.1)</f>
        <v>5.96</v>
      </c>
    </row>
    <row r="197" spans="1:14" s="63" customFormat="1" ht="15.75" customHeight="1" x14ac:dyDescent="0.25">
      <c r="A197" s="88" t="str">
        <f ca="1">(SUMPRODUCT(MID(0&amp;(LEFT(A196,SUM(LEN(A196)-LEN(SUBSTITUTE(A196,{"0","1","2"},""))))), LARGE(INDEX(ISNUMBER(--MID((LEFT(A196,SUM(LEN(A196)-LEN(SUBSTITUTE(A196,{"0","1","2"},""))))), ROW(INDIRECT("1:"&amp;LEN((LEFT(A196,SUM(LEN(A196)-LEN(SUBSTITUTE(A196,{"0","1","2"},"")))))))), 1)) * ROW(INDIRECT("1:"&amp;LEN((LEFT(A196,SUM(LEN(A196)-LEN(SUBSTITUTE(A196,{"0","1","2"},"")))))))), 0), ROW(INDIRECT("1:"&amp;LEN((LEFT(A196,SUM(LEN(A196)-LEN(SUBSTITUTE(A196,{"0","1","2"},"")))))))))+1, 1) * 10^ROW(INDIRECT("1:"&amp;LEN((LEFT(A196,SUM(LEN(A196)-LEN(SUBSTITUTE(A196,{"0","1","2"},""))))))))/10))*1+1&amp;""&amp;" to "&amp;""&amp;(SUMPRODUCT(MID(0&amp;(--TRIM(RIGHT(SUBSTITUTE(LEFT(A196,_xlfn.AGGREGATE(16,6,FIND({0,1,2,3,4,5,6,7,8,9},A196,ROW(INDIRECT("1:"&amp;LEN(A196)))),1))," ",REPT(" ",LEN(A196))),LEN(A196)))), LARGE(INDEX(ISNUMBER(--MID((--TRIM(RIGHT(SUBSTITUTE(LEFT(A196,_xlfn.AGGREGATE(16,6,FIND({0,1,2,3,4,5,6,7,8,9},A196,ROW(INDIRECT("1:"&amp;LEN(A196)))),1))," ",REPT(" ",LEN(A196))),LEN(A196)))), ROW(INDIRECT("1:"&amp;LEN((--TRIM(RIGHT(SUBSTITUTE(LEFT(A196,_xlfn.AGGREGATE(16,6,FIND({0,1,2,3,4,5,6,7,8,9},A196,ROW(INDIRECT("1:"&amp;LEN(A196)))),1))," ",REPT(" ",LEN(A196))),LEN(A196))))))), 1)) * ROW(INDIRECT("1:"&amp;LEN((--TRIM(RIGHT(SUBSTITUTE(LEFT(A196,_xlfn.AGGREGATE(16,6,FIND({0,1,2,3,4,5,6,7,8,9},A196,ROW(INDIRECT("1:"&amp;LEN(A196)))),1))," ",REPT(" ",LEN(A196))),LEN(A196))))))), 0), ROW(INDIRECT("1:"&amp;LEN((--TRIM(RIGHT(SUBSTITUTE(LEFT(A196,_xlfn.AGGREGATE(16,6,FIND({0,1,2,3,4,5,6,7,8,9},A196,ROW(INDIRECT("1:"&amp;LEN(A196)))),1))," ",REPT(" ",LEN(A196))),LEN(A196))))))))+1, 1) * 10^ROW(INDIRECT("1:"&amp;LEN((--TRIM(RIGHT(SUBSTITUTE(LEFT(A196,_xlfn.AGGREGATE(16,6,FIND({0,1,2,3,4,5,6,7,8,9},A196,ROW(INDIRECT("1:"&amp;LEN(A196)))),1))," ",REPT(" ",LEN(A196))),LEN(A196)))))))/10))*1+1</f>
        <v>206 to 706</v>
      </c>
      <c r="B197" s="89"/>
      <c r="C197" s="62" t="s">
        <v>327</v>
      </c>
      <c r="D197" s="65">
        <f>(27.73)*(10.764)</f>
        <v>298.48572000000001</v>
      </c>
      <c r="E197" s="65">
        <f>(1.89+4.55)*(10.764)</f>
        <v>69.320159999999987</v>
      </c>
      <c r="F197" s="62">
        <f t="shared" si="37"/>
        <v>367.80588</v>
      </c>
      <c r="G197" s="62">
        <v>0</v>
      </c>
      <c r="H197" s="62">
        <f t="shared" si="38"/>
        <v>533.31852600000002</v>
      </c>
      <c r="I197" s="33"/>
    </row>
    <row r="198" spans="1:14" s="63" customFormat="1" ht="15.75" customHeight="1" x14ac:dyDescent="0.25">
      <c r="A198" s="88" t="str">
        <f ca="1">(SUMPRODUCT(MID(0&amp;(LEFT(A197,SUM(LEN(A197)-LEN(SUBSTITUTE(A197,{"0","1","2"},""))))), LARGE(INDEX(ISNUMBER(--MID((LEFT(A197,SUM(LEN(A197)-LEN(SUBSTITUTE(A197,{"0","1","2"},""))))), ROW(INDIRECT("1:"&amp;LEN((LEFT(A197,SUM(LEN(A197)-LEN(SUBSTITUTE(A197,{"0","1","2"},"")))))))), 1)) * ROW(INDIRECT("1:"&amp;LEN((LEFT(A197,SUM(LEN(A197)-LEN(SUBSTITUTE(A197,{"0","1","2"},"")))))))), 0), ROW(INDIRECT("1:"&amp;LEN((LEFT(A197,SUM(LEN(A197)-LEN(SUBSTITUTE(A197,{"0","1","2"},"")))))))))+1, 1) * 10^ROW(INDIRECT("1:"&amp;LEN((LEFT(A197,SUM(LEN(A197)-LEN(SUBSTITUTE(A197,{"0","1","2"},""))))))))/10))*1+1&amp;""&amp;" to "&amp;""&amp;(SUMPRODUCT(MID(0&amp;(--TRIM(RIGHT(SUBSTITUTE(LEFT(A197,_xlfn.AGGREGATE(16,6,FIND({0,1,2,3,4,5,6,7,8,9},A197,ROW(INDIRECT("1:"&amp;LEN(A197)))),1))," ",REPT(" ",LEN(A197))),LEN(A197)))), LARGE(INDEX(ISNUMBER(--MID((--TRIM(RIGHT(SUBSTITUTE(LEFT(A197,_xlfn.AGGREGATE(16,6,FIND({0,1,2,3,4,5,6,7,8,9},A197,ROW(INDIRECT("1:"&amp;LEN(A197)))),1))," ",REPT(" ",LEN(A197))),LEN(A197)))), ROW(INDIRECT("1:"&amp;LEN((--TRIM(RIGHT(SUBSTITUTE(LEFT(A197,_xlfn.AGGREGATE(16,6,FIND({0,1,2,3,4,5,6,7,8,9},A197,ROW(INDIRECT("1:"&amp;LEN(A197)))),1))," ",REPT(" ",LEN(A197))),LEN(A197))))))), 1)) * ROW(INDIRECT("1:"&amp;LEN((--TRIM(RIGHT(SUBSTITUTE(LEFT(A197,_xlfn.AGGREGATE(16,6,FIND({0,1,2,3,4,5,6,7,8,9},A197,ROW(INDIRECT("1:"&amp;LEN(A197)))),1))," ",REPT(" ",LEN(A197))),LEN(A197))))))), 0), ROW(INDIRECT("1:"&amp;LEN((--TRIM(RIGHT(SUBSTITUTE(LEFT(A197,_xlfn.AGGREGATE(16,6,FIND({0,1,2,3,4,5,6,7,8,9},A197,ROW(INDIRECT("1:"&amp;LEN(A197)))),1))," ",REPT(" ",LEN(A197))),LEN(A197))))))))+1, 1) * 10^ROW(INDIRECT("1:"&amp;LEN((--TRIM(RIGHT(SUBSTITUTE(LEFT(A197,_xlfn.AGGREGATE(16,6,FIND({0,1,2,3,4,5,6,7,8,9},A197,ROW(INDIRECT("1:"&amp;LEN(A197)))),1))," ",REPT(" ",LEN(A197))),LEN(A197)))))))/10))*1+1</f>
        <v>207 to 707</v>
      </c>
      <c r="B198" s="89"/>
      <c r="C198" s="62" t="s">
        <v>327</v>
      </c>
      <c r="D198" s="65">
        <f>(26.42)*(10.764)</f>
        <v>284.38488000000001</v>
      </c>
      <c r="E198" s="65">
        <f>(1.89+4.55)*(10.764)</f>
        <v>69.320159999999987</v>
      </c>
      <c r="F198" s="62">
        <f t="shared" si="37"/>
        <v>353.70504</v>
      </c>
      <c r="G198" s="62">
        <v>0</v>
      </c>
      <c r="H198" s="62">
        <f t="shared" si="38"/>
        <v>512.87230799999998</v>
      </c>
      <c r="I198" s="33"/>
    </row>
    <row r="199" spans="1:14" s="63" customFormat="1" x14ac:dyDescent="0.25">
      <c r="A199" s="85" t="s">
        <v>333</v>
      </c>
      <c r="B199" s="86"/>
      <c r="C199" s="86"/>
      <c r="D199" s="86"/>
      <c r="E199" s="86"/>
      <c r="F199" s="86"/>
      <c r="G199" s="86"/>
      <c r="H199" s="87"/>
      <c r="I199" s="33"/>
    </row>
    <row r="200" spans="1:14" s="63" customFormat="1" ht="15.75" customHeight="1" x14ac:dyDescent="0.25">
      <c r="A200" s="91" t="s">
        <v>330</v>
      </c>
      <c r="B200" s="91"/>
      <c r="C200" s="91"/>
      <c r="D200" s="91"/>
      <c r="E200" s="91"/>
      <c r="F200" s="91"/>
      <c r="G200" s="91"/>
      <c r="H200" s="91"/>
      <c r="I200" s="33"/>
      <c r="L200" s="92"/>
      <c r="M200" s="92"/>
    </row>
    <row r="201" spans="1:14" s="63" customFormat="1" x14ac:dyDescent="0.25">
      <c r="A201" s="84">
        <f>LEFT(A200,SUM(LEN(A200)-LEN(SUBSTITUTE(A200,{"0","1","2","3","4","5","6","7","8","9"},""))))*100+1</f>
        <v>101</v>
      </c>
      <c r="B201" s="84"/>
      <c r="C201" s="62" t="s">
        <v>327</v>
      </c>
      <c r="D201" s="65">
        <f>(33.51)*(10.764)</f>
        <v>360.70163999999994</v>
      </c>
      <c r="E201" s="62">
        <v>0</v>
      </c>
      <c r="F201" s="62">
        <f>D201+E201</f>
        <v>360.70163999999994</v>
      </c>
      <c r="G201" s="65">
        <f>(10.06)*(10.764)</f>
        <v>108.28583999999999</v>
      </c>
      <c r="H201" s="62">
        <f>F201*(($H$180)+1)+(IF(G201&lt;101,G201,IF(G201&lt;201,G201/2,IF(G201&lt;=301,G201/3,G201/4))))</f>
        <v>577.1602979999999</v>
      </c>
      <c r="I201" s="33"/>
      <c r="J201" s="33"/>
      <c r="N201" s="33"/>
    </row>
    <row r="202" spans="1:14" s="63" customFormat="1" x14ac:dyDescent="0.25">
      <c r="A202" s="84">
        <f>A201+1</f>
        <v>102</v>
      </c>
      <c r="B202" s="84"/>
      <c r="C202" s="62" t="s">
        <v>327</v>
      </c>
      <c r="D202" s="65">
        <f>(33.51)*(10.764)</f>
        <v>360.70163999999994</v>
      </c>
      <c r="E202" s="62">
        <v>0</v>
      </c>
      <c r="F202" s="62">
        <f>D202+E202</f>
        <v>360.70163999999994</v>
      </c>
      <c r="G202" s="65">
        <f>(10.06)*(10.764)</f>
        <v>108.28583999999999</v>
      </c>
      <c r="H202" s="62">
        <f>F202*(($H$180)+1)+(IF(G202&lt;101,G202,IF(G202&lt;201,G202/2,IF(G202&lt;=301,G202/3,G202/4))))</f>
        <v>577.1602979999999</v>
      </c>
      <c r="I202" s="33">
        <f>4.3*2.75+2.15*2.1+3.6*2.6+1.05*1.8+1.8*1.05+0.9*2.1</f>
        <v>31.370000000000005</v>
      </c>
      <c r="J202" s="33">
        <f>1*5.1+1.7*2.75</f>
        <v>9.7749999999999986</v>
      </c>
      <c r="N202" s="33"/>
    </row>
    <row r="203" spans="1:14" s="63" customFormat="1" x14ac:dyDescent="0.25">
      <c r="A203" s="84">
        <f>A202+1</f>
        <v>103</v>
      </c>
      <c r="B203" s="84"/>
      <c r="C203" s="62" t="s">
        <v>327</v>
      </c>
      <c r="D203" s="65">
        <f>(26.42)*(10.764)</f>
        <v>284.38488000000001</v>
      </c>
      <c r="E203" s="65">
        <f>(1.89+4.55)*(10.764)</f>
        <v>69.320159999999987</v>
      </c>
      <c r="F203" s="62">
        <f>D203+E203</f>
        <v>353.70504</v>
      </c>
      <c r="G203" s="62">
        <v>0</v>
      </c>
      <c r="H203" s="62">
        <f>F203*(($H$180)+1)+(IF(G203&lt;101,G203,IF(G203&lt;201,G203/2,IF(G203&lt;=301,G203/3,G203/4))))</f>
        <v>512.87230799999998</v>
      </c>
      <c r="I203" s="33">
        <f>3*2.75+2.15*2.1+2.55*2.6+1.65*1.05+0.9*1.2+0.9*2.1</f>
        <v>24.097499999999997</v>
      </c>
      <c r="J203" s="33">
        <f>0.8*(2.75+2.1+2.6)</f>
        <v>5.96</v>
      </c>
      <c r="N203" s="33"/>
    </row>
    <row r="204" spans="1:14" s="63" customFormat="1" x14ac:dyDescent="0.25">
      <c r="A204" s="84">
        <f>A203+1</f>
        <v>104</v>
      </c>
      <c r="B204" s="84"/>
      <c r="C204" s="62" t="s">
        <v>327</v>
      </c>
      <c r="D204" s="65">
        <f>(26.42)*(10.764)</f>
        <v>284.38488000000001</v>
      </c>
      <c r="E204" s="65">
        <f>(1.89+4.55)*(10.764)</f>
        <v>69.320159999999987</v>
      </c>
      <c r="F204" s="62">
        <f>D204+E204</f>
        <v>353.70504</v>
      </c>
      <c r="G204" s="62">
        <v>0</v>
      </c>
      <c r="H204" s="62">
        <f>F204*(($H$180)+1)+(IF(G204&lt;101,G204,IF(G204&lt;201,G204/2,IF(G204&lt;=301,G204/3,G204/4))))</f>
        <v>512.87230799999998</v>
      </c>
      <c r="I204" s="33"/>
      <c r="J204" s="33"/>
      <c r="N204" s="33"/>
    </row>
    <row r="205" spans="1:14" s="63" customFormat="1" x14ac:dyDescent="0.25">
      <c r="A205" s="85" t="s">
        <v>329</v>
      </c>
      <c r="B205" s="86"/>
      <c r="C205" s="86"/>
      <c r="D205" s="86"/>
      <c r="E205" s="86"/>
      <c r="F205" s="86"/>
      <c r="G205" s="86"/>
      <c r="H205" s="87"/>
      <c r="I205" s="33"/>
    </row>
    <row r="206" spans="1:14" s="63" customFormat="1" ht="15.75" customHeight="1" x14ac:dyDescent="0.25">
      <c r="A206" s="88" t="str">
        <f ca="1">(SUMPRODUCT(MID(0&amp;(LEFT(A205,SUM(LEN(A205)-LEN(SUBSTITUTE(A205,{"0","1","2"},""))))), LARGE(INDEX(ISNUMBER(--MID((LEFT(A205,SUM(LEN(A205)-LEN(SUBSTITUTE(A205,{"0","1","2"},""))))), ROW(INDIRECT("1:"&amp;LEN((LEFT(A205,SUM(LEN(A205)-LEN(SUBSTITUTE(A205,{"0","1","2"},"")))))))), 1)) * ROW(INDIRECT("1:"&amp;LEN((LEFT(A205,SUM(LEN(A205)-LEN(SUBSTITUTE(A205,{"0","1","2"},"")))))))), 0), ROW(INDIRECT("1:"&amp;LEN((LEFT(A205,SUM(LEN(A205)-LEN(SUBSTITUTE(A205,{"0","1","2"},"")))))))))+1, 1) * 10^ROW(INDIRECT("1:"&amp;LEN((LEFT(A205,SUM(LEN(A205)-LEN(SUBSTITUTE(A205,{"0","1","2"},""))))))))/10))*100+1&amp;""&amp;" to "&amp;""&amp;(SUMPRODUCT(MID(0&amp;(--TRIM(RIGHT(SUBSTITUTE(LEFT(A205,_xlfn.AGGREGATE(16,6,FIND({0,1,2,3,4,5,6,7,8,9},A205,ROW(INDIRECT("1:"&amp;LEN(A205)))),1))," ",REPT(" ",LEN(A205))),LEN(A205)))), LARGE(INDEX(ISNUMBER(--MID((--TRIM(RIGHT(SUBSTITUTE(LEFT(A205,_xlfn.AGGREGATE(16,6,FIND({0,1,2,3,4,5,6,7,8,9},A205,ROW(INDIRECT("1:"&amp;LEN(A205)))),1))," ",REPT(" ",LEN(A205))),LEN(A205)))), ROW(INDIRECT("1:"&amp;LEN((--TRIM(RIGHT(SUBSTITUTE(LEFT(A205,_xlfn.AGGREGATE(16,6,FIND({0,1,2,3,4,5,6,7,8,9},A205,ROW(INDIRECT("1:"&amp;LEN(A205)))),1))," ",REPT(" ",LEN(A205))),LEN(A205))))))), 1)) * ROW(INDIRECT("1:"&amp;LEN((--TRIM(RIGHT(SUBSTITUTE(LEFT(A205,_xlfn.AGGREGATE(16,6,FIND({0,1,2,3,4,5,6,7,8,9},A205,ROW(INDIRECT("1:"&amp;LEN(A205)))),1))," ",REPT(" ",LEN(A205))),LEN(A205))))))), 0), ROW(INDIRECT("1:"&amp;LEN((--TRIM(RIGHT(SUBSTITUTE(LEFT(A205,_xlfn.AGGREGATE(16,6,FIND({0,1,2,3,4,5,6,7,8,9},A205,ROW(INDIRECT("1:"&amp;LEN(A205)))),1))," ",REPT(" ",LEN(A205))),LEN(A205))))))))+1, 1) * 10^ROW(INDIRECT("1:"&amp;LEN((--TRIM(RIGHT(SUBSTITUTE(LEFT(A205,_xlfn.AGGREGATE(16,6,FIND({0,1,2,3,4,5,6,7,8,9},A205,ROW(INDIRECT("1:"&amp;LEN(A205)))),1))," ",REPT(" ",LEN(A205))),LEN(A205)))))))/10))*100+1</f>
        <v>201 to 701</v>
      </c>
      <c r="B206" s="89"/>
      <c r="C206" s="62" t="s">
        <v>327</v>
      </c>
      <c r="D206" s="65">
        <f>(28.29)*(10.764)</f>
        <v>304.51355999999998</v>
      </c>
      <c r="E206" s="65">
        <f>(1.89+4.55)*(10.764)</f>
        <v>69.320159999999987</v>
      </c>
      <c r="F206" s="62">
        <f>D206+E206</f>
        <v>373.83371999999997</v>
      </c>
      <c r="G206" s="62">
        <v>0</v>
      </c>
      <c r="H206" s="62">
        <f>F206*(($H$180)+1)+(IF(G206&lt;101,G206,IF(G206&lt;201,G206/2,IF(G206&lt;=301,G206/3,G206/4))))</f>
        <v>542.0588939999999</v>
      </c>
      <c r="I206" s="33">
        <f>(3.3*2.75+2.15*2.1+2.6*2.6+1.05*1.8+1.8*1.05+0.9*2.1)</f>
        <v>26.020000000000003</v>
      </c>
      <c r="J206" s="33">
        <f>0.8*(2.75+2.6+2.1)</f>
        <v>5.96</v>
      </c>
    </row>
    <row r="207" spans="1:14" s="63" customFormat="1" ht="15.75" customHeight="1" x14ac:dyDescent="0.25">
      <c r="A207" s="88" t="str">
        <f ca="1">(SUMPRODUCT(MID(0&amp;(LEFT(A206,SUM(LEN(A206)-LEN(SUBSTITUTE(A206,{"0","1","2"},""))))), LARGE(INDEX(ISNUMBER(--MID((LEFT(A206,SUM(LEN(A206)-LEN(SUBSTITUTE(A206,{"0","1","2"},""))))), ROW(INDIRECT("1:"&amp;LEN((LEFT(A206,SUM(LEN(A206)-LEN(SUBSTITUTE(A206,{"0","1","2"},"")))))))), 1)) * ROW(INDIRECT("1:"&amp;LEN((LEFT(A206,SUM(LEN(A206)-LEN(SUBSTITUTE(A206,{"0","1","2"},"")))))))), 0), ROW(INDIRECT("1:"&amp;LEN((LEFT(A206,SUM(LEN(A206)-LEN(SUBSTITUTE(A206,{"0","1","2"},"")))))))))+1, 1) * 10^ROW(INDIRECT("1:"&amp;LEN((LEFT(A206,SUM(LEN(A206)-LEN(SUBSTITUTE(A206,{"0","1","2"},""))))))))/10))*1+1&amp;""&amp;" to "&amp;""&amp;(SUMPRODUCT(MID(0&amp;(--TRIM(RIGHT(SUBSTITUTE(LEFT(A206,_xlfn.AGGREGATE(16,6,FIND({0,1,2,3,4,5,6,7,8,9},A206,ROW(INDIRECT("1:"&amp;LEN(A206)))),1))," ",REPT(" ",LEN(A206))),LEN(A206)))), LARGE(INDEX(ISNUMBER(--MID((--TRIM(RIGHT(SUBSTITUTE(LEFT(A206,_xlfn.AGGREGATE(16,6,FIND({0,1,2,3,4,5,6,7,8,9},A206,ROW(INDIRECT("1:"&amp;LEN(A206)))),1))," ",REPT(" ",LEN(A206))),LEN(A206)))), ROW(INDIRECT("1:"&amp;LEN((--TRIM(RIGHT(SUBSTITUTE(LEFT(A206,_xlfn.AGGREGATE(16,6,FIND({0,1,2,3,4,5,6,7,8,9},A206,ROW(INDIRECT("1:"&amp;LEN(A206)))),1))," ",REPT(" ",LEN(A206))),LEN(A206))))))), 1)) * ROW(INDIRECT("1:"&amp;LEN((--TRIM(RIGHT(SUBSTITUTE(LEFT(A206,_xlfn.AGGREGATE(16,6,FIND({0,1,2,3,4,5,6,7,8,9},A206,ROW(INDIRECT("1:"&amp;LEN(A206)))),1))," ",REPT(" ",LEN(A206))),LEN(A206))))))), 0), ROW(INDIRECT("1:"&amp;LEN((--TRIM(RIGHT(SUBSTITUTE(LEFT(A206,_xlfn.AGGREGATE(16,6,FIND({0,1,2,3,4,5,6,7,8,9},A206,ROW(INDIRECT("1:"&amp;LEN(A206)))),1))," ",REPT(" ",LEN(A206))),LEN(A206))))))))+1, 1) * 10^ROW(INDIRECT("1:"&amp;LEN((--TRIM(RIGHT(SUBSTITUTE(LEFT(A206,_xlfn.AGGREGATE(16,6,FIND({0,1,2,3,4,5,6,7,8,9},A206,ROW(INDIRECT("1:"&amp;LEN(A206)))),1))," ",REPT(" ",LEN(A206))),LEN(A206)))))))/10))*1+1</f>
        <v>202 to 702</v>
      </c>
      <c r="B207" s="89"/>
      <c r="C207" s="62" t="s">
        <v>327</v>
      </c>
      <c r="D207" s="65">
        <f>(28.29)*(10.764)</f>
        <v>304.51355999999998</v>
      </c>
      <c r="E207" s="65">
        <f>(1.89+4.55)*(10.764)</f>
        <v>69.320159999999987</v>
      </c>
      <c r="F207" s="62">
        <f>D207+E207</f>
        <v>373.83371999999997</v>
      </c>
      <c r="G207" s="62">
        <v>0</v>
      </c>
      <c r="H207" s="62">
        <f>F207*(($H$180)+1)+(IF(G207&lt;101,G207,IF(G207&lt;201,G207/2,IF(G207&lt;=301,G207/3,G207/4))))</f>
        <v>542.0588939999999</v>
      </c>
      <c r="I207" s="33"/>
    </row>
    <row r="208" spans="1:14" s="63" customFormat="1" ht="15.75" customHeight="1" x14ac:dyDescent="0.25">
      <c r="A208" s="88" t="str">
        <f ca="1">(SUMPRODUCT(MID(0&amp;(LEFT(A207,SUM(LEN(A207)-LEN(SUBSTITUTE(A207,{"0","1","2"},""))))), LARGE(INDEX(ISNUMBER(--MID((LEFT(A207,SUM(LEN(A207)-LEN(SUBSTITUTE(A207,{"0","1","2"},""))))), ROW(INDIRECT("1:"&amp;LEN((LEFT(A207,SUM(LEN(A207)-LEN(SUBSTITUTE(A207,{"0","1","2"},"")))))))), 1)) * ROW(INDIRECT("1:"&amp;LEN((LEFT(A207,SUM(LEN(A207)-LEN(SUBSTITUTE(A207,{"0","1","2"},"")))))))), 0), ROW(INDIRECT("1:"&amp;LEN((LEFT(A207,SUM(LEN(A207)-LEN(SUBSTITUTE(A207,{"0","1","2"},"")))))))))+1, 1) * 10^ROW(INDIRECT("1:"&amp;LEN((LEFT(A207,SUM(LEN(A207)-LEN(SUBSTITUTE(A207,{"0","1","2"},""))))))))/10))*1+1&amp;""&amp;" to "&amp;""&amp;(SUMPRODUCT(MID(0&amp;(--TRIM(RIGHT(SUBSTITUTE(LEFT(A207,_xlfn.AGGREGATE(16,6,FIND({0,1,2,3,4,5,6,7,8,9},A207,ROW(INDIRECT("1:"&amp;LEN(A207)))),1))," ",REPT(" ",LEN(A207))),LEN(A207)))), LARGE(INDEX(ISNUMBER(--MID((--TRIM(RIGHT(SUBSTITUTE(LEFT(A207,_xlfn.AGGREGATE(16,6,FIND({0,1,2,3,4,5,6,7,8,9},A207,ROW(INDIRECT("1:"&amp;LEN(A207)))),1))," ",REPT(" ",LEN(A207))),LEN(A207)))), ROW(INDIRECT("1:"&amp;LEN((--TRIM(RIGHT(SUBSTITUTE(LEFT(A207,_xlfn.AGGREGATE(16,6,FIND({0,1,2,3,4,5,6,7,8,9},A207,ROW(INDIRECT("1:"&amp;LEN(A207)))),1))," ",REPT(" ",LEN(A207))),LEN(A207))))))), 1)) * ROW(INDIRECT("1:"&amp;LEN((--TRIM(RIGHT(SUBSTITUTE(LEFT(A207,_xlfn.AGGREGATE(16,6,FIND({0,1,2,3,4,5,6,7,8,9},A207,ROW(INDIRECT("1:"&amp;LEN(A207)))),1))," ",REPT(" ",LEN(A207))),LEN(A207))))))), 0), ROW(INDIRECT("1:"&amp;LEN((--TRIM(RIGHT(SUBSTITUTE(LEFT(A207,_xlfn.AGGREGATE(16,6,FIND({0,1,2,3,4,5,6,7,8,9},A207,ROW(INDIRECT("1:"&amp;LEN(A207)))),1))," ",REPT(" ",LEN(A207))),LEN(A207))))))))+1, 1) * 10^ROW(INDIRECT("1:"&amp;LEN((--TRIM(RIGHT(SUBSTITUTE(LEFT(A207,_xlfn.AGGREGATE(16,6,FIND({0,1,2,3,4,5,6,7,8,9},A207,ROW(INDIRECT("1:"&amp;LEN(A207)))),1))," ",REPT(" ",LEN(A207))),LEN(A207)))))))/10))*1+1</f>
        <v>203 to 703</v>
      </c>
      <c r="B208" s="89"/>
      <c r="C208" s="62" t="s">
        <v>327</v>
      </c>
      <c r="D208" s="65">
        <f>(26.42)*(10.764)</f>
        <v>284.38488000000001</v>
      </c>
      <c r="E208" s="65">
        <f>(1.89+4.55)*(10.764)</f>
        <v>69.320159999999987</v>
      </c>
      <c r="F208" s="62">
        <f>D208+E208</f>
        <v>353.70504</v>
      </c>
      <c r="G208" s="62">
        <v>0</v>
      </c>
      <c r="H208" s="62">
        <f>F208*(($H$180)+1)+(IF(G208&lt;101,G208,IF(G208&lt;201,G208/2,IF(G208&lt;=301,G208/3,G208/4))))</f>
        <v>512.87230799999998</v>
      </c>
      <c r="I208" s="33"/>
    </row>
    <row r="209" spans="1:14" s="63" customFormat="1" ht="15.75" customHeight="1" x14ac:dyDescent="0.25">
      <c r="A209" s="88" t="str">
        <f ca="1">(SUMPRODUCT(MID(0&amp;(LEFT(A208,SUM(LEN(A208)-LEN(SUBSTITUTE(A208,{"0","1","2"},""))))), LARGE(INDEX(ISNUMBER(--MID((LEFT(A208,SUM(LEN(A208)-LEN(SUBSTITUTE(A208,{"0","1","2"},""))))), ROW(INDIRECT("1:"&amp;LEN((LEFT(A208,SUM(LEN(A208)-LEN(SUBSTITUTE(A208,{"0","1","2"},"")))))))), 1)) * ROW(INDIRECT("1:"&amp;LEN((LEFT(A208,SUM(LEN(A208)-LEN(SUBSTITUTE(A208,{"0","1","2"},"")))))))), 0), ROW(INDIRECT("1:"&amp;LEN((LEFT(A208,SUM(LEN(A208)-LEN(SUBSTITUTE(A208,{"0","1","2"},"")))))))))+1, 1) * 10^ROW(INDIRECT("1:"&amp;LEN((LEFT(A208,SUM(LEN(A208)-LEN(SUBSTITUTE(A208,{"0","1","2"},""))))))))/10))*1+1&amp;""&amp;" to "&amp;""&amp;(SUMPRODUCT(MID(0&amp;(--TRIM(RIGHT(SUBSTITUTE(LEFT(A208,_xlfn.AGGREGATE(16,6,FIND({0,1,2,3,4,5,6,7,8,9},A208,ROW(INDIRECT("1:"&amp;LEN(A208)))),1))," ",REPT(" ",LEN(A208))),LEN(A208)))), LARGE(INDEX(ISNUMBER(--MID((--TRIM(RIGHT(SUBSTITUTE(LEFT(A208,_xlfn.AGGREGATE(16,6,FIND({0,1,2,3,4,5,6,7,8,9},A208,ROW(INDIRECT("1:"&amp;LEN(A208)))),1))," ",REPT(" ",LEN(A208))),LEN(A208)))), ROW(INDIRECT("1:"&amp;LEN((--TRIM(RIGHT(SUBSTITUTE(LEFT(A208,_xlfn.AGGREGATE(16,6,FIND({0,1,2,3,4,5,6,7,8,9},A208,ROW(INDIRECT("1:"&amp;LEN(A208)))),1))," ",REPT(" ",LEN(A208))),LEN(A208))))))), 1)) * ROW(INDIRECT("1:"&amp;LEN((--TRIM(RIGHT(SUBSTITUTE(LEFT(A208,_xlfn.AGGREGATE(16,6,FIND({0,1,2,3,4,5,6,7,8,9},A208,ROW(INDIRECT("1:"&amp;LEN(A208)))),1))," ",REPT(" ",LEN(A208))),LEN(A208))))))), 0), ROW(INDIRECT("1:"&amp;LEN((--TRIM(RIGHT(SUBSTITUTE(LEFT(A208,_xlfn.AGGREGATE(16,6,FIND({0,1,2,3,4,5,6,7,8,9},A208,ROW(INDIRECT("1:"&amp;LEN(A208)))),1))," ",REPT(" ",LEN(A208))),LEN(A208))))))))+1, 1) * 10^ROW(INDIRECT("1:"&amp;LEN((--TRIM(RIGHT(SUBSTITUTE(LEFT(A208,_xlfn.AGGREGATE(16,6,FIND({0,1,2,3,4,5,6,7,8,9},A208,ROW(INDIRECT("1:"&amp;LEN(A208)))),1))," ",REPT(" ",LEN(A208))),LEN(A208)))))))/10))*1+1</f>
        <v>204 to 704</v>
      </c>
      <c r="B209" s="89"/>
      <c r="C209" s="62" t="s">
        <v>327</v>
      </c>
      <c r="D209" s="65">
        <f>(26.42)*(10.764)</f>
        <v>284.38488000000001</v>
      </c>
      <c r="E209" s="65">
        <f>(1.89+4.55)*(10.764)</f>
        <v>69.320159999999987</v>
      </c>
      <c r="F209" s="62">
        <f>D209+E209</f>
        <v>353.70504</v>
      </c>
      <c r="G209" s="62">
        <v>0</v>
      </c>
      <c r="H209" s="62">
        <f>F209*(($H$180)+1)+(IF(G209&lt;101,G209,IF(G209&lt;201,G209/2,IF(G209&lt;=301,G209/3,G209/4))))</f>
        <v>512.87230799999998</v>
      </c>
      <c r="I209" s="33"/>
    </row>
    <row r="210" spans="1:14" s="63" customFormat="1" x14ac:dyDescent="0.25">
      <c r="A210" s="85" t="s">
        <v>334</v>
      </c>
      <c r="B210" s="86"/>
      <c r="C210" s="86"/>
      <c r="D210" s="86"/>
      <c r="E210" s="86"/>
      <c r="F210" s="86"/>
      <c r="G210" s="86"/>
      <c r="H210" s="87"/>
      <c r="I210" s="33"/>
    </row>
    <row r="211" spans="1:14" s="63" customFormat="1" ht="15.75" customHeight="1" x14ac:dyDescent="0.25">
      <c r="A211" s="91" t="s">
        <v>330</v>
      </c>
      <c r="B211" s="91"/>
      <c r="C211" s="91"/>
      <c r="D211" s="91"/>
      <c r="E211" s="91"/>
      <c r="F211" s="91"/>
      <c r="G211" s="91"/>
      <c r="H211" s="91"/>
      <c r="I211" s="33"/>
      <c r="L211" s="92"/>
      <c r="M211" s="92"/>
    </row>
    <row r="212" spans="1:14" s="63" customFormat="1" x14ac:dyDescent="0.25">
      <c r="A212" s="84">
        <f>LEFT(A211,SUM(LEN(A211)-LEN(SUBSTITUTE(A211,{"0","1","2","3","4","5","6","7","8","9"},""))))*100+1</f>
        <v>101</v>
      </c>
      <c r="B212" s="84"/>
      <c r="C212" s="62" t="s">
        <v>327</v>
      </c>
      <c r="D212" s="65">
        <f>(26.42)*(10.764)</f>
        <v>284.38488000000001</v>
      </c>
      <c r="E212" s="65">
        <f>(1.89+4.55)*(10.764)</f>
        <v>69.320159999999987</v>
      </c>
      <c r="F212" s="62">
        <f>D212+E212</f>
        <v>353.70504</v>
      </c>
      <c r="G212" s="62">
        <v>0</v>
      </c>
      <c r="H212" s="62">
        <f>F212*(($H$180)+1)+(IF(G212&lt;101,G212,IF(G212&lt;201,G212/2,IF(G212&lt;=301,G212/3,G212/4))))</f>
        <v>512.87230799999998</v>
      </c>
      <c r="I212" s="33"/>
      <c r="J212" s="33">
        <f>0.8*(2.75+2.1+2.6)</f>
        <v>5.96</v>
      </c>
      <c r="N212" s="33"/>
    </row>
    <row r="213" spans="1:14" s="63" customFormat="1" x14ac:dyDescent="0.25">
      <c r="A213" s="84">
        <f>A212+1</f>
        <v>102</v>
      </c>
      <c r="B213" s="84"/>
      <c r="C213" s="62" t="s">
        <v>348</v>
      </c>
      <c r="D213" s="65">
        <f>(43.55)*(10.764)</f>
        <v>468.77219999999994</v>
      </c>
      <c r="E213" s="65">
        <f>(2.47+4.55)*(10.764)</f>
        <v>75.563279999999992</v>
      </c>
      <c r="F213" s="62">
        <f>D213+E213</f>
        <v>544.33547999999996</v>
      </c>
      <c r="G213" s="65">
        <f>(1.65)*(10.764)</f>
        <v>17.760599999999997</v>
      </c>
      <c r="H213" s="62">
        <f>F213*(($H$180)+1)+(IF(G213&lt;101,G213,IF(G213&lt;201,G213/2,IF(G213&lt;=301,G213/3,G213/4))))</f>
        <v>807.04704599999991</v>
      </c>
      <c r="I213" s="33"/>
      <c r="J213" s="33"/>
      <c r="N213" s="33"/>
    </row>
    <row r="214" spans="1:14" s="63" customFormat="1" x14ac:dyDescent="0.25">
      <c r="A214" s="84">
        <f>A213+1</f>
        <v>103</v>
      </c>
      <c r="B214" s="84"/>
      <c r="C214" s="64" t="s">
        <v>348</v>
      </c>
      <c r="D214" s="65">
        <f>(48.03)*(10.764)</f>
        <v>516.99491999999998</v>
      </c>
      <c r="E214" s="62">
        <v>0</v>
      </c>
      <c r="F214" s="62">
        <f>D214+E214</f>
        <v>516.99491999999998</v>
      </c>
      <c r="G214" s="65">
        <f>(7.46)*(10.764)</f>
        <v>80.29943999999999</v>
      </c>
      <c r="H214" s="62">
        <f>F214*(($H$180)+1)+(IF(G214&lt;101,G214,IF(G214&lt;201,G214/2,IF(G214&lt;=301,G214/3,G214/4))))</f>
        <v>829.94207399999993</v>
      </c>
      <c r="I214" s="33">
        <f>(4.3*2.75+2.1*2.75+3.5*2.75+2.97*2.6+1.2*2+1.2*1.85+0.9*2.6+0.9*1.2+1.2*0.45+0.45*1.55)</f>
        <v>44.224499999999999</v>
      </c>
      <c r="J214" s="33"/>
      <c r="N214" s="33"/>
    </row>
    <row r="215" spans="1:14" s="63" customFormat="1" x14ac:dyDescent="0.25">
      <c r="A215" s="84">
        <f>A214+1</f>
        <v>104</v>
      </c>
      <c r="B215" s="84"/>
      <c r="C215" s="62" t="s">
        <v>327</v>
      </c>
      <c r="D215" s="65">
        <f>(33.51)*(10.764)</f>
        <v>360.70163999999994</v>
      </c>
      <c r="E215" s="62">
        <v>0</v>
      </c>
      <c r="F215" s="62">
        <f>D215+E215</f>
        <v>360.70163999999994</v>
      </c>
      <c r="G215" s="65">
        <f>(10.03)*(10.764)</f>
        <v>107.96291999999998</v>
      </c>
      <c r="H215" s="62">
        <f>F215*(($H$180)+1)+(IF(G215&lt;101,G215,IF(G215&lt;201,G215/2,IF(G215&lt;=301,G215/3,G215/4))))</f>
        <v>576.99883799999986</v>
      </c>
      <c r="I215" s="33">
        <f>(4.3*2.75+2.15*2.1+3.6*2.6+1.05*1.8+1.8*1.05+0.9*2.1)</f>
        <v>31.370000000000005</v>
      </c>
      <c r="J215" s="33">
        <f>2.75*1.7+1*5.1</f>
        <v>9.7749999999999986</v>
      </c>
      <c r="N215" s="33"/>
    </row>
    <row r="216" spans="1:14" s="63" customFormat="1" x14ac:dyDescent="0.25">
      <c r="A216" s="85" t="s">
        <v>329</v>
      </c>
      <c r="B216" s="86"/>
      <c r="C216" s="86"/>
      <c r="D216" s="86"/>
      <c r="E216" s="86"/>
      <c r="F216" s="86"/>
      <c r="G216" s="86"/>
      <c r="H216" s="87"/>
      <c r="I216" s="33"/>
    </row>
    <row r="217" spans="1:14" s="63" customFormat="1" ht="15.75" customHeight="1" x14ac:dyDescent="0.25">
      <c r="A217" s="88" t="str">
        <f ca="1">(SUMPRODUCT(MID(0&amp;(LEFT(A216,SUM(LEN(A216)-LEN(SUBSTITUTE(A216,{"0","1","2"},""))))), LARGE(INDEX(ISNUMBER(--MID((LEFT(A216,SUM(LEN(A216)-LEN(SUBSTITUTE(A216,{"0","1","2"},""))))), ROW(INDIRECT("1:"&amp;LEN((LEFT(A216,SUM(LEN(A216)-LEN(SUBSTITUTE(A216,{"0","1","2"},"")))))))), 1)) * ROW(INDIRECT("1:"&amp;LEN((LEFT(A216,SUM(LEN(A216)-LEN(SUBSTITUTE(A216,{"0","1","2"},"")))))))), 0), ROW(INDIRECT("1:"&amp;LEN((LEFT(A216,SUM(LEN(A216)-LEN(SUBSTITUTE(A216,{"0","1","2"},"")))))))))+1, 1) * 10^ROW(INDIRECT("1:"&amp;LEN((LEFT(A216,SUM(LEN(A216)-LEN(SUBSTITUTE(A216,{"0","1","2"},""))))))))/10))*100+1&amp;""&amp;" to "&amp;""&amp;(SUMPRODUCT(MID(0&amp;(--TRIM(RIGHT(SUBSTITUTE(LEFT(A216,_xlfn.AGGREGATE(16,6,FIND({0,1,2,3,4,5,6,7,8,9},A216,ROW(INDIRECT("1:"&amp;LEN(A216)))),1))," ",REPT(" ",LEN(A216))),LEN(A216)))), LARGE(INDEX(ISNUMBER(--MID((--TRIM(RIGHT(SUBSTITUTE(LEFT(A216,_xlfn.AGGREGATE(16,6,FIND({0,1,2,3,4,5,6,7,8,9},A216,ROW(INDIRECT("1:"&amp;LEN(A216)))),1))," ",REPT(" ",LEN(A216))),LEN(A216)))), ROW(INDIRECT("1:"&amp;LEN((--TRIM(RIGHT(SUBSTITUTE(LEFT(A216,_xlfn.AGGREGATE(16,6,FIND({0,1,2,3,4,5,6,7,8,9},A216,ROW(INDIRECT("1:"&amp;LEN(A216)))),1))," ",REPT(" ",LEN(A216))),LEN(A216))))))), 1)) * ROW(INDIRECT("1:"&amp;LEN((--TRIM(RIGHT(SUBSTITUTE(LEFT(A216,_xlfn.AGGREGATE(16,6,FIND({0,1,2,3,4,5,6,7,8,9},A216,ROW(INDIRECT("1:"&amp;LEN(A216)))),1))," ",REPT(" ",LEN(A216))),LEN(A216))))))), 0), ROW(INDIRECT("1:"&amp;LEN((--TRIM(RIGHT(SUBSTITUTE(LEFT(A216,_xlfn.AGGREGATE(16,6,FIND({0,1,2,3,4,5,6,7,8,9},A216,ROW(INDIRECT("1:"&amp;LEN(A216)))),1))," ",REPT(" ",LEN(A216))),LEN(A216))))))))+1, 1) * 10^ROW(INDIRECT("1:"&amp;LEN((--TRIM(RIGHT(SUBSTITUTE(LEFT(A216,_xlfn.AGGREGATE(16,6,FIND({0,1,2,3,4,5,6,7,8,9},A216,ROW(INDIRECT("1:"&amp;LEN(A216)))),1))," ",REPT(" ",LEN(A216))),LEN(A216)))))))/10))*100+1</f>
        <v>201 to 701</v>
      </c>
      <c r="B217" s="89"/>
      <c r="C217" s="62" t="s">
        <v>327</v>
      </c>
      <c r="D217" s="65">
        <f>(26.42)*(10.764)</f>
        <v>284.38488000000001</v>
      </c>
      <c r="E217" s="65">
        <f>(1.89+4.55)*(10.764)</f>
        <v>69.320159999999987</v>
      </c>
      <c r="F217" s="62">
        <f>D217+E217</f>
        <v>353.70504</v>
      </c>
      <c r="G217" s="62">
        <v>0</v>
      </c>
      <c r="H217" s="62">
        <f>F217*(($H$180)+1)+(IF(G217&lt;101,G217,IF(G217&lt;201,G217/2,IF(G217&lt;=301,G217/3,G217/4))))</f>
        <v>512.87230799999998</v>
      </c>
      <c r="I217" s="33"/>
      <c r="J217" s="33"/>
    </row>
    <row r="218" spans="1:14" s="63" customFormat="1" ht="15.75" customHeight="1" x14ac:dyDescent="0.25">
      <c r="A218" s="88" t="str">
        <f ca="1">(SUMPRODUCT(MID(0&amp;(LEFT(A217,SUM(LEN(A217)-LEN(SUBSTITUTE(A217,{"0","1","2"},""))))), LARGE(INDEX(ISNUMBER(--MID((LEFT(A217,SUM(LEN(A217)-LEN(SUBSTITUTE(A217,{"0","1","2"},""))))), ROW(INDIRECT("1:"&amp;LEN((LEFT(A217,SUM(LEN(A217)-LEN(SUBSTITUTE(A217,{"0","1","2"},"")))))))), 1)) * ROW(INDIRECT("1:"&amp;LEN((LEFT(A217,SUM(LEN(A217)-LEN(SUBSTITUTE(A217,{"0","1","2"},"")))))))), 0), ROW(INDIRECT("1:"&amp;LEN((LEFT(A217,SUM(LEN(A217)-LEN(SUBSTITUTE(A217,{"0","1","2"},"")))))))))+1, 1) * 10^ROW(INDIRECT("1:"&amp;LEN((LEFT(A217,SUM(LEN(A217)-LEN(SUBSTITUTE(A217,{"0","1","2"},""))))))))/10))*1+1&amp;""&amp;" to "&amp;""&amp;(SUMPRODUCT(MID(0&amp;(--TRIM(RIGHT(SUBSTITUTE(LEFT(A217,_xlfn.AGGREGATE(16,6,FIND({0,1,2,3,4,5,6,7,8,9},A217,ROW(INDIRECT("1:"&amp;LEN(A217)))),1))," ",REPT(" ",LEN(A217))),LEN(A217)))), LARGE(INDEX(ISNUMBER(--MID((--TRIM(RIGHT(SUBSTITUTE(LEFT(A217,_xlfn.AGGREGATE(16,6,FIND({0,1,2,3,4,5,6,7,8,9},A217,ROW(INDIRECT("1:"&amp;LEN(A217)))),1))," ",REPT(" ",LEN(A217))),LEN(A217)))), ROW(INDIRECT("1:"&amp;LEN((--TRIM(RIGHT(SUBSTITUTE(LEFT(A217,_xlfn.AGGREGATE(16,6,FIND({0,1,2,3,4,5,6,7,8,9},A217,ROW(INDIRECT("1:"&amp;LEN(A217)))),1))," ",REPT(" ",LEN(A217))),LEN(A217))))))), 1)) * ROW(INDIRECT("1:"&amp;LEN((--TRIM(RIGHT(SUBSTITUTE(LEFT(A217,_xlfn.AGGREGATE(16,6,FIND({0,1,2,3,4,5,6,7,8,9},A217,ROW(INDIRECT("1:"&amp;LEN(A217)))),1))," ",REPT(" ",LEN(A217))),LEN(A217))))))), 0), ROW(INDIRECT("1:"&amp;LEN((--TRIM(RIGHT(SUBSTITUTE(LEFT(A217,_xlfn.AGGREGATE(16,6,FIND({0,1,2,3,4,5,6,7,8,9},A217,ROW(INDIRECT("1:"&amp;LEN(A217)))),1))," ",REPT(" ",LEN(A217))),LEN(A217))))))))+1, 1) * 10^ROW(INDIRECT("1:"&amp;LEN((--TRIM(RIGHT(SUBSTITUTE(LEFT(A217,_xlfn.AGGREGATE(16,6,FIND({0,1,2,3,4,5,6,7,8,9},A217,ROW(INDIRECT("1:"&amp;LEN(A217)))),1))," ",REPT(" ",LEN(A217))),LEN(A217)))))))/10))*1+1</f>
        <v>202 to 702</v>
      </c>
      <c r="B218" s="89"/>
      <c r="C218" s="64" t="s">
        <v>348</v>
      </c>
      <c r="D218" s="65">
        <f>(43.55)*(10.764)</f>
        <v>468.77219999999994</v>
      </c>
      <c r="E218" s="65">
        <f>(4.13+4.55)*(10.764)</f>
        <v>93.431519999999992</v>
      </c>
      <c r="F218" s="62">
        <f>D218+E218</f>
        <v>562.20371999999998</v>
      </c>
      <c r="G218" s="62">
        <v>0</v>
      </c>
      <c r="H218" s="62">
        <f>F218*(($H$180)+1)+(IF(G218&lt;101,G218,IF(G218&lt;201,G218/2,IF(G218&lt;=301,G218/3,G218/4))))</f>
        <v>815.19539399999996</v>
      </c>
      <c r="I218" s="33"/>
    </row>
    <row r="219" spans="1:14" s="63" customFormat="1" ht="15.75" customHeight="1" x14ac:dyDescent="0.25">
      <c r="A219" s="88" t="str">
        <f ca="1">(SUMPRODUCT(MID(0&amp;(LEFT(A218,SUM(LEN(A218)-LEN(SUBSTITUTE(A218,{"0","1","2"},""))))), LARGE(INDEX(ISNUMBER(--MID((LEFT(A218,SUM(LEN(A218)-LEN(SUBSTITUTE(A218,{"0","1","2"},""))))), ROW(INDIRECT("1:"&amp;LEN((LEFT(A218,SUM(LEN(A218)-LEN(SUBSTITUTE(A218,{"0","1","2"},"")))))))), 1)) * ROW(INDIRECT("1:"&amp;LEN((LEFT(A218,SUM(LEN(A218)-LEN(SUBSTITUTE(A218,{"0","1","2"},"")))))))), 0), ROW(INDIRECT("1:"&amp;LEN((LEFT(A218,SUM(LEN(A218)-LEN(SUBSTITUTE(A218,{"0","1","2"},"")))))))))+1, 1) * 10^ROW(INDIRECT("1:"&amp;LEN((LEFT(A218,SUM(LEN(A218)-LEN(SUBSTITUTE(A218,{"0","1","2"},""))))))))/10))*1+1&amp;""&amp;" to "&amp;""&amp;(SUMPRODUCT(MID(0&amp;(--TRIM(RIGHT(SUBSTITUTE(LEFT(A218,_xlfn.AGGREGATE(16,6,FIND({0,1,2,3,4,5,6,7,8,9},A218,ROW(INDIRECT("1:"&amp;LEN(A218)))),1))," ",REPT(" ",LEN(A218))),LEN(A218)))), LARGE(INDEX(ISNUMBER(--MID((--TRIM(RIGHT(SUBSTITUTE(LEFT(A218,_xlfn.AGGREGATE(16,6,FIND({0,1,2,3,4,5,6,7,8,9},A218,ROW(INDIRECT("1:"&amp;LEN(A218)))),1))," ",REPT(" ",LEN(A218))),LEN(A218)))), ROW(INDIRECT("1:"&amp;LEN((--TRIM(RIGHT(SUBSTITUTE(LEFT(A218,_xlfn.AGGREGATE(16,6,FIND({0,1,2,3,4,5,6,7,8,9},A218,ROW(INDIRECT("1:"&amp;LEN(A218)))),1))," ",REPT(" ",LEN(A218))),LEN(A218))))))), 1)) * ROW(INDIRECT("1:"&amp;LEN((--TRIM(RIGHT(SUBSTITUTE(LEFT(A218,_xlfn.AGGREGATE(16,6,FIND({0,1,2,3,4,5,6,7,8,9},A218,ROW(INDIRECT("1:"&amp;LEN(A218)))),1))," ",REPT(" ",LEN(A218))),LEN(A218))))))), 0), ROW(INDIRECT("1:"&amp;LEN((--TRIM(RIGHT(SUBSTITUTE(LEFT(A218,_xlfn.AGGREGATE(16,6,FIND({0,1,2,3,4,5,6,7,8,9},A218,ROW(INDIRECT("1:"&amp;LEN(A218)))),1))," ",REPT(" ",LEN(A218))),LEN(A218))))))))+1, 1) * 10^ROW(INDIRECT("1:"&amp;LEN((--TRIM(RIGHT(SUBSTITUTE(LEFT(A218,_xlfn.AGGREGATE(16,6,FIND({0,1,2,3,4,5,6,7,8,9},A218,ROW(INDIRECT("1:"&amp;LEN(A218)))),1))," ",REPT(" ",LEN(A218))),LEN(A218)))))))/10))*1+1</f>
        <v>203 to 703</v>
      </c>
      <c r="B219" s="89"/>
      <c r="C219" s="64" t="s">
        <v>348</v>
      </c>
      <c r="D219" s="65">
        <f>(45.56)*(10.764)</f>
        <v>490.40784000000002</v>
      </c>
      <c r="E219" s="65">
        <f>(4.13+2.34)*(10.764)</f>
        <v>69.643079999999998</v>
      </c>
      <c r="F219" s="62">
        <f>D219+E219</f>
        <v>560.05092000000002</v>
      </c>
      <c r="G219" s="62">
        <v>0</v>
      </c>
      <c r="H219" s="62">
        <f>F219*(($H$180)+1)+(IF(G219&lt;101,G219,IF(G219&lt;201,G219/2,IF(G219&lt;=301,G219/3,G219/4))))</f>
        <v>812.07383400000003</v>
      </c>
      <c r="I219" s="33"/>
      <c r="J219" s="33">
        <f>0.8*(2.75+2.75)+(1.5*1.2)</f>
        <v>6.2</v>
      </c>
    </row>
    <row r="220" spans="1:14" s="63" customFormat="1" ht="15.75" customHeight="1" x14ac:dyDescent="0.25">
      <c r="A220" s="88" t="str">
        <f ca="1">(SUMPRODUCT(MID(0&amp;(LEFT(A219,SUM(LEN(A219)-LEN(SUBSTITUTE(A219,{"0","1","2"},""))))), LARGE(INDEX(ISNUMBER(--MID((LEFT(A219,SUM(LEN(A219)-LEN(SUBSTITUTE(A219,{"0","1","2"},""))))), ROW(INDIRECT("1:"&amp;LEN((LEFT(A219,SUM(LEN(A219)-LEN(SUBSTITUTE(A219,{"0","1","2"},"")))))))), 1)) * ROW(INDIRECT("1:"&amp;LEN((LEFT(A219,SUM(LEN(A219)-LEN(SUBSTITUTE(A219,{"0","1","2"},"")))))))), 0), ROW(INDIRECT("1:"&amp;LEN((LEFT(A219,SUM(LEN(A219)-LEN(SUBSTITUTE(A219,{"0","1","2"},"")))))))))+1, 1) * 10^ROW(INDIRECT("1:"&amp;LEN((LEFT(A219,SUM(LEN(A219)-LEN(SUBSTITUTE(A219,{"0","1","2"},""))))))))/10))*1+1&amp;""&amp;" to "&amp;""&amp;(SUMPRODUCT(MID(0&amp;(--TRIM(RIGHT(SUBSTITUTE(LEFT(A219,_xlfn.AGGREGATE(16,6,FIND({0,1,2,3,4,5,6,7,8,9},A219,ROW(INDIRECT("1:"&amp;LEN(A219)))),1))," ",REPT(" ",LEN(A219))),LEN(A219)))), LARGE(INDEX(ISNUMBER(--MID((--TRIM(RIGHT(SUBSTITUTE(LEFT(A219,_xlfn.AGGREGATE(16,6,FIND({0,1,2,3,4,5,6,7,8,9},A219,ROW(INDIRECT("1:"&amp;LEN(A219)))),1))," ",REPT(" ",LEN(A219))),LEN(A219)))), ROW(INDIRECT("1:"&amp;LEN((--TRIM(RIGHT(SUBSTITUTE(LEFT(A219,_xlfn.AGGREGATE(16,6,FIND({0,1,2,3,4,5,6,7,8,9},A219,ROW(INDIRECT("1:"&amp;LEN(A219)))),1))," ",REPT(" ",LEN(A219))),LEN(A219))))))), 1)) * ROW(INDIRECT("1:"&amp;LEN((--TRIM(RIGHT(SUBSTITUTE(LEFT(A219,_xlfn.AGGREGATE(16,6,FIND({0,1,2,3,4,5,6,7,8,9},A219,ROW(INDIRECT("1:"&amp;LEN(A219)))),1))," ",REPT(" ",LEN(A219))),LEN(A219))))))), 0), ROW(INDIRECT("1:"&amp;LEN((--TRIM(RIGHT(SUBSTITUTE(LEFT(A219,_xlfn.AGGREGATE(16,6,FIND({0,1,2,3,4,5,6,7,8,9},A219,ROW(INDIRECT("1:"&amp;LEN(A219)))),1))," ",REPT(" ",LEN(A219))),LEN(A219))))))))+1, 1) * 10^ROW(INDIRECT("1:"&amp;LEN((--TRIM(RIGHT(SUBSTITUTE(LEFT(A219,_xlfn.AGGREGATE(16,6,FIND({0,1,2,3,4,5,6,7,8,9},A219,ROW(INDIRECT("1:"&amp;LEN(A219)))),1))," ",REPT(" ",LEN(A219))),LEN(A219)))))))/10))*1+1</f>
        <v>204 to 704</v>
      </c>
      <c r="B220" s="89"/>
      <c r="C220" s="62" t="s">
        <v>327</v>
      </c>
      <c r="D220" s="65">
        <f>(28.16)*(10.764)</f>
        <v>303.11424</v>
      </c>
      <c r="E220" s="65">
        <f>(1.89+4.55)*(10.764)</f>
        <v>69.320159999999987</v>
      </c>
      <c r="F220" s="62">
        <f>D220+E220</f>
        <v>372.43439999999998</v>
      </c>
      <c r="G220" s="62">
        <v>0</v>
      </c>
      <c r="H220" s="62">
        <f>F220*(($H$180)+1)+(IF(G220&lt;101,G220,IF(G220&lt;201,G220/2,IF(G220&lt;=301,G220/3,G220/4))))</f>
        <v>540.02987999999993</v>
      </c>
      <c r="I220" s="33">
        <f>(3.3*2.75+2.15*2.1+2.6*2.6+1.05*1.8+1.8*1.05+0.9*2.15)</f>
        <v>26.065000000000001</v>
      </c>
      <c r="J220" s="33">
        <f>0.8*(2.6+2.1+2.75)</f>
        <v>5.9600000000000009</v>
      </c>
    </row>
    <row r="221" spans="1:14" s="34" customFormat="1" hidden="1" x14ac:dyDescent="0.25">
      <c r="A221" s="85" t="s">
        <v>115</v>
      </c>
      <c r="B221" s="86"/>
      <c r="C221" s="86"/>
      <c r="D221" s="86"/>
      <c r="E221" s="86"/>
      <c r="F221" s="86"/>
      <c r="G221" s="86"/>
      <c r="H221" s="87"/>
      <c r="J221" s="33"/>
    </row>
    <row r="222" spans="1:14" s="34" customFormat="1" ht="15.75" hidden="1" customHeight="1" x14ac:dyDescent="0.25">
      <c r="A222" s="88">
        <v>1</v>
      </c>
      <c r="B222" s="89"/>
      <c r="C222" s="39"/>
      <c r="D222" s="39"/>
      <c r="E222" s="39">
        <v>0</v>
      </c>
      <c r="F222" s="39">
        <f>D222+E222</f>
        <v>0</v>
      </c>
      <c r="G222" s="49">
        <v>0</v>
      </c>
      <c r="H222" s="49">
        <f>F222*(($H$180)+1)+(IF(G222&lt;101,G222,IF(G222&lt;201,G222/2,IF(G222&lt;=301,G222/3,G222/4))))</f>
        <v>0</v>
      </c>
      <c r="I222" s="33"/>
      <c r="L222" s="92"/>
      <c r="M222" s="92"/>
      <c r="N222" s="33"/>
    </row>
    <row r="223" spans="1:14" s="34" customFormat="1" ht="15.75" hidden="1" customHeight="1" x14ac:dyDescent="0.25">
      <c r="A223" s="88">
        <f>A222+1</f>
        <v>2</v>
      </c>
      <c r="B223" s="89"/>
      <c r="C223" s="39"/>
      <c r="D223" s="39"/>
      <c r="E223" s="39">
        <v>0</v>
      </c>
      <c r="F223" s="49">
        <f>D223+E223</f>
        <v>0</v>
      </c>
      <c r="G223" s="49">
        <v>0</v>
      </c>
      <c r="H223" s="49">
        <f>F223*(($H$180)+1)+(IF(G223&lt;101,G223,IF(G223&lt;201,G223/2,IF(G223&lt;=301,G223/3,G223/4))))</f>
        <v>0</v>
      </c>
      <c r="I223" s="33"/>
      <c r="L223" s="92"/>
      <c r="M223" s="92"/>
      <c r="N223" s="33"/>
    </row>
    <row r="224" spans="1:14" s="34" customFormat="1" ht="15.75" hidden="1" customHeight="1" x14ac:dyDescent="0.25">
      <c r="A224" s="88">
        <f>A223+1</f>
        <v>3</v>
      </c>
      <c r="B224" s="89"/>
      <c r="C224" s="39"/>
      <c r="D224" s="39"/>
      <c r="E224" s="39">
        <v>0</v>
      </c>
      <c r="F224" s="49">
        <f>D224+E224</f>
        <v>0</v>
      </c>
      <c r="G224" s="49">
        <v>0</v>
      </c>
      <c r="H224" s="49">
        <f>F224*(($H$180)+1)+(IF(G224&lt;101,G224,IF(G224&lt;201,G224/2,IF(G224&lt;=301,G224/3,G224/4))))</f>
        <v>0</v>
      </c>
      <c r="I224" s="33"/>
      <c r="L224" s="92"/>
      <c r="M224" s="92"/>
      <c r="N224" s="33"/>
    </row>
    <row r="225" spans="1:20" s="34" customFormat="1" ht="15.75" hidden="1" customHeight="1" x14ac:dyDescent="0.25">
      <c r="A225" s="88">
        <f>A224+1</f>
        <v>4</v>
      </c>
      <c r="B225" s="89"/>
      <c r="C225" s="39"/>
      <c r="D225" s="39"/>
      <c r="E225" s="39">
        <v>0</v>
      </c>
      <c r="F225" s="49">
        <f>D225+E225</f>
        <v>0</v>
      </c>
      <c r="G225" s="49">
        <v>0</v>
      </c>
      <c r="H225" s="49">
        <f>F225*(($H$180)+1)+(IF(G225&lt;101,G225,IF(G225&lt;201,G225/2,IF(G225&lt;=301,G225/3,G225/4))))</f>
        <v>0</v>
      </c>
      <c r="I225" s="33"/>
      <c r="L225" s="92"/>
      <c r="M225" s="92"/>
      <c r="N225" s="33"/>
      <c r="T225" s="18"/>
    </row>
    <row r="226" spans="1:20" s="34" customFormat="1" hidden="1" x14ac:dyDescent="0.25">
      <c r="A226" s="91" t="s">
        <v>116</v>
      </c>
      <c r="B226" s="91"/>
      <c r="C226" s="91"/>
      <c r="D226" s="91"/>
      <c r="E226" s="91"/>
      <c r="F226" s="91"/>
      <c r="G226" s="91"/>
      <c r="H226" s="91"/>
      <c r="I226" s="33"/>
      <c r="L226" s="92"/>
      <c r="M226" s="92"/>
    </row>
    <row r="227" spans="1:20" s="34" customFormat="1" hidden="1" x14ac:dyDescent="0.25">
      <c r="A227" s="84">
        <f>LEFT(A226,SUM(LEN(A226)-LEN(SUBSTITUTE(A226,{"0","1","2","3","4","5","6","7","8","9"},""))))*100+1</f>
        <v>201</v>
      </c>
      <c r="B227" s="84"/>
      <c r="C227" s="39"/>
      <c r="D227" s="39"/>
      <c r="E227" s="49">
        <v>0</v>
      </c>
      <c r="F227" s="49">
        <f>D227+E227</f>
        <v>0</v>
      </c>
      <c r="G227" s="49">
        <v>0</v>
      </c>
      <c r="H227" s="49">
        <f>F227*(($H$180)+1)+(IF(G227&lt;101,G227,IF(G227&lt;201,G227/2,IF(G227&lt;=301,G227/3,G227/4))))</f>
        <v>0</v>
      </c>
      <c r="I227" s="33"/>
      <c r="N227" s="33"/>
    </row>
    <row r="228" spans="1:20" s="34" customFormat="1" hidden="1" x14ac:dyDescent="0.25">
      <c r="A228" s="84">
        <f>A227+1</f>
        <v>202</v>
      </c>
      <c r="B228" s="84"/>
      <c r="C228" s="39"/>
      <c r="D228" s="39"/>
      <c r="E228" s="49">
        <v>0</v>
      </c>
      <c r="F228" s="49">
        <f>D228+E228</f>
        <v>0</v>
      </c>
      <c r="G228" s="49">
        <v>0</v>
      </c>
      <c r="H228" s="49">
        <f>F228*(($H$180)+1)+(IF(G228&lt;101,G228,IF(G228&lt;201,G228/2,IF(G228&lt;=301,G228/3,G228/4))))</f>
        <v>0</v>
      </c>
      <c r="I228" s="33"/>
      <c r="N228" s="33"/>
    </row>
    <row r="229" spans="1:20" s="34" customFormat="1" hidden="1" x14ac:dyDescent="0.25">
      <c r="A229" s="84">
        <f>A228+1</f>
        <v>203</v>
      </c>
      <c r="B229" s="84"/>
      <c r="C229" s="39"/>
      <c r="D229" s="39"/>
      <c r="E229" s="49">
        <v>0</v>
      </c>
      <c r="F229" s="49">
        <f>D229+E229</f>
        <v>0</v>
      </c>
      <c r="G229" s="49">
        <v>0</v>
      </c>
      <c r="H229" s="49">
        <f>F229*(($H$180)+1)+(IF(G229&lt;101,G229,IF(G229&lt;201,G229/2,IF(G229&lt;=301,G229/3,G229/4))))</f>
        <v>0</v>
      </c>
      <c r="I229" s="33"/>
      <c r="N229" s="33"/>
    </row>
    <row r="230" spans="1:20" s="34" customFormat="1" hidden="1" x14ac:dyDescent="0.25">
      <c r="A230" s="84">
        <f>A229+1</f>
        <v>204</v>
      </c>
      <c r="B230" s="84"/>
      <c r="C230" s="39"/>
      <c r="D230" s="39"/>
      <c r="E230" s="49">
        <v>0</v>
      </c>
      <c r="F230" s="49">
        <f>D230+E230</f>
        <v>0</v>
      </c>
      <c r="G230" s="49">
        <v>0</v>
      </c>
      <c r="H230" s="49">
        <f>F230*(($H$180)+1)+(IF(G230&lt;101,G230,IF(G230&lt;201,G230/2,IF(G230&lt;=301,G230/3,G230/4))))</f>
        <v>0</v>
      </c>
      <c r="I230" s="33"/>
      <c r="N230" s="33"/>
    </row>
    <row r="231" spans="1:20" s="34" customFormat="1" hidden="1" x14ac:dyDescent="0.25">
      <c r="A231" s="84">
        <f>A230+1</f>
        <v>205</v>
      </c>
      <c r="B231" s="84"/>
      <c r="C231" s="39"/>
      <c r="D231" s="39"/>
      <c r="E231" s="49">
        <v>0</v>
      </c>
      <c r="F231" s="49">
        <f>D231+E231</f>
        <v>0</v>
      </c>
      <c r="G231" s="49">
        <v>0</v>
      </c>
      <c r="H231" s="49">
        <f>F231*(($H$180)+1)+(IF(G231&lt;101,G231,IF(G231&lt;201,G231/2,IF(G231&lt;=301,G231/3,G231/4))))</f>
        <v>0</v>
      </c>
      <c r="I231" s="33"/>
      <c r="N231" s="33"/>
    </row>
    <row r="232" spans="1:20" s="34" customFormat="1" ht="15.75" hidden="1" customHeight="1" x14ac:dyDescent="0.25">
      <c r="A232" s="85" t="s">
        <v>149</v>
      </c>
      <c r="B232" s="86"/>
      <c r="C232" s="86"/>
      <c r="D232" s="86"/>
      <c r="E232" s="86"/>
      <c r="F232" s="86"/>
      <c r="G232" s="86"/>
      <c r="H232" s="87"/>
      <c r="I232" s="33"/>
    </row>
    <row r="233" spans="1:20" s="34" customFormat="1" ht="15.75" hidden="1" customHeight="1" x14ac:dyDescent="0.25">
      <c r="A233" s="88" t="str">
        <f ca="1">(SUMPRODUCT(MID(0&amp;(LEFT(A232,SUM(LEN(A232)-LEN(SUBSTITUTE(A232,{"0","1","2"},""))))), LARGE(INDEX(ISNUMBER(--MID((LEFT(A232,SUM(LEN(A232)-LEN(SUBSTITUTE(A232,{"0","1","2"},""))))), ROW(INDIRECT("1:"&amp;LEN((LEFT(A232,SUM(LEN(A232)-LEN(SUBSTITUTE(A232,{"0","1","2"},"")))))))), 1)) * ROW(INDIRECT("1:"&amp;LEN((LEFT(A232,SUM(LEN(A232)-LEN(SUBSTITUTE(A232,{"0","1","2"},"")))))))), 0), ROW(INDIRECT("1:"&amp;LEN((LEFT(A232,SUM(LEN(A232)-LEN(SUBSTITUTE(A232,{"0","1","2"},"")))))))))+1, 1) * 10^ROW(INDIRECT("1:"&amp;LEN((LEFT(A232,SUM(LEN(A232)-LEN(SUBSTITUTE(A232,{"0","1","2"},""))))))))/10))*100+1&amp;""&amp;" ,.., "&amp;""&amp;(SUMPRODUCT(MID(0&amp;(--TRIM(RIGHT(SUBSTITUTE(LEFT(A232,_xlfn.AGGREGATE(16,6,FIND({0,1,2,3,4,5,6,7,8,9},A232,ROW(INDIRECT("1:"&amp;LEN(A232)))),1))," ",REPT(" ",LEN(A232))),LEN(A232)))), LARGE(INDEX(ISNUMBER(--MID((--TRIM(RIGHT(SUBSTITUTE(LEFT(A232,_xlfn.AGGREGATE(16,6,FIND({0,1,2,3,4,5,6,7,8,9},A232,ROW(INDIRECT("1:"&amp;LEN(A232)))),1))," ",REPT(" ",LEN(A232))),LEN(A232)))), ROW(INDIRECT("1:"&amp;LEN((--TRIM(RIGHT(SUBSTITUTE(LEFT(A232,_xlfn.AGGREGATE(16,6,FIND({0,1,2,3,4,5,6,7,8,9},A232,ROW(INDIRECT("1:"&amp;LEN(A232)))),1))," ",REPT(" ",LEN(A232))),LEN(A232))))))), 1)) * ROW(INDIRECT("1:"&amp;LEN((--TRIM(RIGHT(SUBSTITUTE(LEFT(A232,_xlfn.AGGREGATE(16,6,FIND({0,1,2,3,4,5,6,7,8,9},A232,ROW(INDIRECT("1:"&amp;LEN(A232)))),1))," ",REPT(" ",LEN(A232))),LEN(A232))))))), 0), ROW(INDIRECT("1:"&amp;LEN((--TRIM(RIGHT(SUBSTITUTE(LEFT(A232,_xlfn.AGGREGATE(16,6,FIND({0,1,2,3,4,5,6,7,8,9},A232,ROW(INDIRECT("1:"&amp;LEN(A232)))),1))," ",REPT(" ",LEN(A232))),LEN(A232))))))))+1, 1) * 10^ROW(INDIRECT("1:"&amp;LEN((--TRIM(RIGHT(SUBSTITUTE(LEFT(A232,_xlfn.AGGREGATE(16,6,FIND({0,1,2,3,4,5,6,7,8,9},A232,ROW(INDIRECT("1:"&amp;LEN(A232)))),1))," ",REPT(" ",LEN(A232))),LEN(A232)))))))/10))*100+1</f>
        <v>301 ,.., 1501</v>
      </c>
      <c r="B233" s="89"/>
      <c r="C233" s="39"/>
      <c r="D233" s="39"/>
      <c r="E233" s="49">
        <v>0</v>
      </c>
      <c r="F233" s="49">
        <f>D233+E233</f>
        <v>0</v>
      </c>
      <c r="G233" s="49">
        <v>0</v>
      </c>
      <c r="H233" s="49">
        <f>F233*(($H$180)+1)+(IF(G233&lt;101,G233,IF(G233&lt;201,G233/2,IF(G233&lt;=301,G233/3,G233/4))))</f>
        <v>0</v>
      </c>
      <c r="I233" s="33"/>
    </row>
    <row r="234" spans="1:20" s="34" customFormat="1" ht="15.75" hidden="1" customHeight="1" x14ac:dyDescent="0.25">
      <c r="A234" s="88" t="str">
        <f ca="1">(SUMPRODUCT(MID(0&amp;(LEFT(A233,SUM(LEN(A233)-LEN(SUBSTITUTE(A233,{"0","1","2"},""))))), LARGE(INDEX(ISNUMBER(--MID((LEFT(A233,SUM(LEN(A233)-LEN(SUBSTITUTE(A233,{"0","1","2"},""))))), ROW(INDIRECT("1:"&amp;LEN((LEFT(A233,SUM(LEN(A233)-LEN(SUBSTITUTE(A233,{"0","1","2"},"")))))))), 1)) * ROW(INDIRECT("1:"&amp;LEN((LEFT(A233,SUM(LEN(A233)-LEN(SUBSTITUTE(A233,{"0","1","2"},"")))))))), 0), ROW(INDIRECT("1:"&amp;LEN((LEFT(A233,SUM(LEN(A233)-LEN(SUBSTITUTE(A233,{"0","1","2"},"")))))))))+1, 1) * 10^ROW(INDIRECT("1:"&amp;LEN((LEFT(A233,SUM(LEN(A233)-LEN(SUBSTITUTE(A233,{"0","1","2"},""))))))))/10))*1+1&amp;""&amp;" ,.., "&amp;""&amp;(SUMPRODUCT(MID(0&amp;(--TRIM(RIGHT(SUBSTITUTE(LEFT(A233,_xlfn.AGGREGATE(16,6,FIND({0,1,2,3,4,5,6,7,8,9},A233,ROW(INDIRECT("1:"&amp;LEN(A233)))),1))," ",REPT(" ",LEN(A233))),LEN(A233)))), LARGE(INDEX(ISNUMBER(--MID((--TRIM(RIGHT(SUBSTITUTE(LEFT(A233,_xlfn.AGGREGATE(16,6,FIND({0,1,2,3,4,5,6,7,8,9},A233,ROW(INDIRECT("1:"&amp;LEN(A233)))),1))," ",REPT(" ",LEN(A233))),LEN(A233)))), ROW(INDIRECT("1:"&amp;LEN((--TRIM(RIGHT(SUBSTITUTE(LEFT(A233,_xlfn.AGGREGATE(16,6,FIND({0,1,2,3,4,5,6,7,8,9},A233,ROW(INDIRECT("1:"&amp;LEN(A233)))),1))," ",REPT(" ",LEN(A233))),LEN(A233))))))), 1)) * ROW(INDIRECT("1:"&amp;LEN((--TRIM(RIGHT(SUBSTITUTE(LEFT(A233,_xlfn.AGGREGATE(16,6,FIND({0,1,2,3,4,5,6,7,8,9},A233,ROW(INDIRECT("1:"&amp;LEN(A233)))),1))," ",REPT(" ",LEN(A233))),LEN(A233))))))), 0), ROW(INDIRECT("1:"&amp;LEN((--TRIM(RIGHT(SUBSTITUTE(LEFT(A233,_xlfn.AGGREGATE(16,6,FIND({0,1,2,3,4,5,6,7,8,9},A233,ROW(INDIRECT("1:"&amp;LEN(A233)))),1))," ",REPT(" ",LEN(A233))),LEN(A233))))))))+1, 1) * 10^ROW(INDIRECT("1:"&amp;LEN((--TRIM(RIGHT(SUBSTITUTE(LEFT(A233,_xlfn.AGGREGATE(16,6,FIND({0,1,2,3,4,5,6,7,8,9},A233,ROW(INDIRECT("1:"&amp;LEN(A233)))),1))," ",REPT(" ",LEN(A233))),LEN(A233)))))))/10))*1+1</f>
        <v>302 ,.., 1502</v>
      </c>
      <c r="B234" s="89"/>
      <c r="C234" s="39"/>
      <c r="D234" s="39"/>
      <c r="E234" s="49">
        <v>0</v>
      </c>
      <c r="F234" s="49">
        <f>D234+E234</f>
        <v>0</v>
      </c>
      <c r="G234" s="49">
        <v>0</v>
      </c>
      <c r="H234" s="49">
        <f>F234*(($H$180)+1)+(IF(G234&lt;101,G234,IF(G234&lt;201,G234/2,IF(G234&lt;=301,G234/3,G234/4))))</f>
        <v>0</v>
      </c>
      <c r="I234" s="33"/>
    </row>
    <row r="235" spans="1:20" s="34" customFormat="1" ht="15.75" hidden="1" customHeight="1" x14ac:dyDescent="0.25">
      <c r="A235" s="88" t="str">
        <f ca="1">(SUMPRODUCT(MID(0&amp;(LEFT(A234,SUM(LEN(A234)-LEN(SUBSTITUTE(A234,{"0","1","2"},""))))), LARGE(INDEX(ISNUMBER(--MID((LEFT(A234,SUM(LEN(A234)-LEN(SUBSTITUTE(A234,{"0","1","2"},""))))), ROW(INDIRECT("1:"&amp;LEN((LEFT(A234,SUM(LEN(A234)-LEN(SUBSTITUTE(A234,{"0","1","2"},"")))))))), 1)) * ROW(INDIRECT("1:"&amp;LEN((LEFT(A234,SUM(LEN(A234)-LEN(SUBSTITUTE(A234,{"0","1","2"},"")))))))), 0), ROW(INDIRECT("1:"&amp;LEN((LEFT(A234,SUM(LEN(A234)-LEN(SUBSTITUTE(A234,{"0","1","2"},"")))))))))+1, 1) * 10^ROW(INDIRECT("1:"&amp;LEN((LEFT(A234,SUM(LEN(A234)-LEN(SUBSTITUTE(A234,{"0","1","2"},""))))))))/10))*1+1&amp;""&amp;" ,.., "&amp;""&amp;(SUMPRODUCT(MID(0&amp;(--TRIM(RIGHT(SUBSTITUTE(LEFT(A234,_xlfn.AGGREGATE(16,6,FIND({0,1,2,3,4,5,6,7,8,9},A234,ROW(INDIRECT("1:"&amp;LEN(A234)))),1))," ",REPT(" ",LEN(A234))),LEN(A234)))), LARGE(INDEX(ISNUMBER(--MID((--TRIM(RIGHT(SUBSTITUTE(LEFT(A234,_xlfn.AGGREGATE(16,6,FIND({0,1,2,3,4,5,6,7,8,9},A234,ROW(INDIRECT("1:"&amp;LEN(A234)))),1))," ",REPT(" ",LEN(A234))),LEN(A234)))), ROW(INDIRECT("1:"&amp;LEN((--TRIM(RIGHT(SUBSTITUTE(LEFT(A234,_xlfn.AGGREGATE(16,6,FIND({0,1,2,3,4,5,6,7,8,9},A234,ROW(INDIRECT("1:"&amp;LEN(A234)))),1))," ",REPT(" ",LEN(A234))),LEN(A234))))))), 1)) * ROW(INDIRECT("1:"&amp;LEN((--TRIM(RIGHT(SUBSTITUTE(LEFT(A234,_xlfn.AGGREGATE(16,6,FIND({0,1,2,3,4,5,6,7,8,9},A234,ROW(INDIRECT("1:"&amp;LEN(A234)))),1))," ",REPT(" ",LEN(A234))),LEN(A234))))))), 0), ROW(INDIRECT("1:"&amp;LEN((--TRIM(RIGHT(SUBSTITUTE(LEFT(A234,_xlfn.AGGREGATE(16,6,FIND({0,1,2,3,4,5,6,7,8,9},A234,ROW(INDIRECT("1:"&amp;LEN(A234)))),1))," ",REPT(" ",LEN(A234))),LEN(A234))))))))+1, 1) * 10^ROW(INDIRECT("1:"&amp;LEN((--TRIM(RIGHT(SUBSTITUTE(LEFT(A234,_xlfn.AGGREGATE(16,6,FIND({0,1,2,3,4,5,6,7,8,9},A234,ROW(INDIRECT("1:"&amp;LEN(A234)))),1))," ",REPT(" ",LEN(A234))),LEN(A234)))))))/10))*1+1</f>
        <v>303 ,.., 1503</v>
      </c>
      <c r="B235" s="89"/>
      <c r="C235" s="39"/>
      <c r="D235" s="39"/>
      <c r="E235" s="49">
        <v>0</v>
      </c>
      <c r="F235" s="49">
        <f>D235+E235</f>
        <v>0</v>
      </c>
      <c r="G235" s="49">
        <v>0</v>
      </c>
      <c r="H235" s="49">
        <f>F235*(($H$180)+1)+(IF(G235&lt;101,G235,IF(G235&lt;201,G235/2,IF(G235&lt;=301,G235/3,G235/4))))</f>
        <v>0</v>
      </c>
      <c r="I235" s="33"/>
    </row>
    <row r="236" spans="1:20" s="34" customFormat="1" ht="15.75" hidden="1" customHeight="1" x14ac:dyDescent="0.25">
      <c r="A236" s="88" t="str">
        <f ca="1">(SUMPRODUCT(MID(0&amp;(LEFT(A235,SUM(LEN(A235)-LEN(SUBSTITUTE(A235,{"0","1","2"},""))))), LARGE(INDEX(ISNUMBER(--MID((LEFT(A235,SUM(LEN(A235)-LEN(SUBSTITUTE(A235,{"0","1","2"},""))))), ROW(INDIRECT("1:"&amp;LEN((LEFT(A235,SUM(LEN(A235)-LEN(SUBSTITUTE(A235,{"0","1","2"},"")))))))), 1)) * ROW(INDIRECT("1:"&amp;LEN((LEFT(A235,SUM(LEN(A235)-LEN(SUBSTITUTE(A235,{"0","1","2"},"")))))))), 0), ROW(INDIRECT("1:"&amp;LEN((LEFT(A235,SUM(LEN(A235)-LEN(SUBSTITUTE(A235,{"0","1","2"},"")))))))))+1, 1) * 10^ROW(INDIRECT("1:"&amp;LEN((LEFT(A235,SUM(LEN(A235)-LEN(SUBSTITUTE(A235,{"0","1","2"},""))))))))/10))*1+1&amp;""&amp;" ,.., "&amp;""&amp;(SUMPRODUCT(MID(0&amp;(--TRIM(RIGHT(SUBSTITUTE(LEFT(A235,_xlfn.AGGREGATE(16,6,FIND({0,1,2,3,4,5,6,7,8,9},A235,ROW(INDIRECT("1:"&amp;LEN(A235)))),1))," ",REPT(" ",LEN(A235))),LEN(A235)))), LARGE(INDEX(ISNUMBER(--MID((--TRIM(RIGHT(SUBSTITUTE(LEFT(A235,_xlfn.AGGREGATE(16,6,FIND({0,1,2,3,4,5,6,7,8,9},A235,ROW(INDIRECT("1:"&amp;LEN(A235)))),1))," ",REPT(" ",LEN(A235))),LEN(A235)))), ROW(INDIRECT("1:"&amp;LEN((--TRIM(RIGHT(SUBSTITUTE(LEFT(A235,_xlfn.AGGREGATE(16,6,FIND({0,1,2,3,4,5,6,7,8,9},A235,ROW(INDIRECT("1:"&amp;LEN(A235)))),1))," ",REPT(" ",LEN(A235))),LEN(A235))))))), 1)) * ROW(INDIRECT("1:"&amp;LEN((--TRIM(RIGHT(SUBSTITUTE(LEFT(A235,_xlfn.AGGREGATE(16,6,FIND({0,1,2,3,4,5,6,7,8,9},A235,ROW(INDIRECT("1:"&amp;LEN(A235)))),1))," ",REPT(" ",LEN(A235))),LEN(A235))))))), 0), ROW(INDIRECT("1:"&amp;LEN((--TRIM(RIGHT(SUBSTITUTE(LEFT(A235,_xlfn.AGGREGATE(16,6,FIND({0,1,2,3,4,5,6,7,8,9},A235,ROW(INDIRECT("1:"&amp;LEN(A235)))),1))," ",REPT(" ",LEN(A235))),LEN(A235))))))))+1, 1) * 10^ROW(INDIRECT("1:"&amp;LEN((--TRIM(RIGHT(SUBSTITUTE(LEFT(A235,_xlfn.AGGREGATE(16,6,FIND({0,1,2,3,4,5,6,7,8,9},A235,ROW(INDIRECT("1:"&amp;LEN(A235)))),1))," ",REPT(" ",LEN(A235))),LEN(A235)))))))/10))*1+1</f>
        <v>304 ,.., 1504</v>
      </c>
      <c r="B236" s="89"/>
      <c r="C236" s="39"/>
      <c r="D236" s="39"/>
      <c r="E236" s="49">
        <v>0</v>
      </c>
      <c r="F236" s="49">
        <f>D236+E236</f>
        <v>0</v>
      </c>
      <c r="G236" s="49">
        <v>0</v>
      </c>
      <c r="H236" s="49">
        <f>F236*(($H$180)+1)+(IF(G236&lt;101,G236,IF(G236&lt;201,G236/2,IF(G236&lt;=301,G236/3,G236/4))))</f>
        <v>0</v>
      </c>
      <c r="I236" s="33"/>
    </row>
    <row r="237" spans="1:20" s="34" customFormat="1" ht="15.75" hidden="1" customHeight="1" x14ac:dyDescent="0.25">
      <c r="A237" s="88" t="str">
        <f ca="1">(SUMPRODUCT(MID(0&amp;(LEFT(A236,SUM(LEN(A236)-LEN(SUBSTITUTE(A236,{"0","1","2"},""))))), LARGE(INDEX(ISNUMBER(--MID((LEFT(A236,SUM(LEN(A236)-LEN(SUBSTITUTE(A236,{"0","1","2"},""))))), ROW(INDIRECT("1:"&amp;LEN((LEFT(A236,SUM(LEN(A236)-LEN(SUBSTITUTE(A236,{"0","1","2"},"")))))))), 1)) * ROW(INDIRECT("1:"&amp;LEN((LEFT(A236,SUM(LEN(A236)-LEN(SUBSTITUTE(A236,{"0","1","2"},"")))))))), 0), ROW(INDIRECT("1:"&amp;LEN((LEFT(A236,SUM(LEN(A236)-LEN(SUBSTITUTE(A236,{"0","1","2"},"")))))))))+1, 1) * 10^ROW(INDIRECT("1:"&amp;LEN((LEFT(A236,SUM(LEN(A236)-LEN(SUBSTITUTE(A236,{"0","1","2"},""))))))))/10))*1+1&amp;""&amp;" ,.., "&amp;""&amp;(SUMPRODUCT(MID(0&amp;(--TRIM(RIGHT(SUBSTITUTE(LEFT(A236,_xlfn.AGGREGATE(16,6,FIND({0,1,2,3,4,5,6,7,8,9},A236,ROW(INDIRECT("1:"&amp;LEN(A236)))),1))," ",REPT(" ",LEN(A236))),LEN(A236)))), LARGE(INDEX(ISNUMBER(--MID((--TRIM(RIGHT(SUBSTITUTE(LEFT(A236,_xlfn.AGGREGATE(16,6,FIND({0,1,2,3,4,5,6,7,8,9},A236,ROW(INDIRECT("1:"&amp;LEN(A236)))),1))," ",REPT(" ",LEN(A236))),LEN(A236)))), ROW(INDIRECT("1:"&amp;LEN((--TRIM(RIGHT(SUBSTITUTE(LEFT(A236,_xlfn.AGGREGATE(16,6,FIND({0,1,2,3,4,5,6,7,8,9},A236,ROW(INDIRECT("1:"&amp;LEN(A236)))),1))," ",REPT(" ",LEN(A236))),LEN(A236))))))), 1)) * ROW(INDIRECT("1:"&amp;LEN((--TRIM(RIGHT(SUBSTITUTE(LEFT(A236,_xlfn.AGGREGATE(16,6,FIND({0,1,2,3,4,5,6,7,8,9},A236,ROW(INDIRECT("1:"&amp;LEN(A236)))),1))," ",REPT(" ",LEN(A236))),LEN(A236))))))), 0), ROW(INDIRECT("1:"&amp;LEN((--TRIM(RIGHT(SUBSTITUTE(LEFT(A236,_xlfn.AGGREGATE(16,6,FIND({0,1,2,3,4,5,6,7,8,9},A236,ROW(INDIRECT("1:"&amp;LEN(A236)))),1))," ",REPT(" ",LEN(A236))),LEN(A236))))))))+1, 1) * 10^ROW(INDIRECT("1:"&amp;LEN((--TRIM(RIGHT(SUBSTITUTE(LEFT(A236,_xlfn.AGGREGATE(16,6,FIND({0,1,2,3,4,5,6,7,8,9},A236,ROW(INDIRECT("1:"&amp;LEN(A236)))),1))," ",REPT(" ",LEN(A236))),LEN(A236)))))))/10))*1+1</f>
        <v>305 ,.., 1505</v>
      </c>
      <c r="B237" s="89"/>
      <c r="C237" s="39"/>
      <c r="D237" s="39"/>
      <c r="E237" s="49">
        <v>0</v>
      </c>
      <c r="F237" s="49">
        <f>D237+E237</f>
        <v>0</v>
      </c>
      <c r="G237" s="49">
        <v>0</v>
      </c>
      <c r="H237" s="49">
        <f>F237*(($H$180)+1)+(IF(G237&lt;101,G237,IF(G237&lt;201,G237/2,IF(G237&lt;=301,G237/3,G237/4))))</f>
        <v>0</v>
      </c>
      <c r="I237" s="33"/>
    </row>
    <row r="238" spans="1:20" s="34" customFormat="1" hidden="1" x14ac:dyDescent="0.25">
      <c r="A238" s="85" t="s">
        <v>143</v>
      </c>
      <c r="B238" s="86"/>
      <c r="C238" s="86"/>
      <c r="D238" s="86"/>
      <c r="E238" s="86"/>
      <c r="F238" s="86"/>
      <c r="G238" s="86"/>
      <c r="H238" s="87"/>
      <c r="I238" s="33"/>
    </row>
    <row r="239" spans="1:20" s="34" customFormat="1" ht="15.75" hidden="1" customHeight="1" x14ac:dyDescent="0.25">
      <c r="A239" s="88" t="str">
        <f ca="1">(SUMPRODUCT(MID(0&amp;(LEFT(A238,SUM(LEN(A238)-LEN(SUBSTITUTE(A238,{"0","1","2"},""))))), LARGE(INDEX(ISNUMBER(--MID((LEFT(A238,SUM(LEN(A238)-LEN(SUBSTITUTE(A238,{"0","1","2"},""))))), ROW(INDIRECT("1:"&amp;LEN((LEFT(A238,SUM(LEN(A238)-LEN(SUBSTITUTE(A238,{"0","1","2"},"")))))))), 1)) * ROW(INDIRECT("1:"&amp;LEN((LEFT(A238,SUM(LEN(A238)-LEN(SUBSTITUTE(A238,{"0","1","2"},"")))))))), 0), ROW(INDIRECT("1:"&amp;LEN((LEFT(A238,SUM(LEN(A238)-LEN(SUBSTITUTE(A238,{"0","1","2"},"")))))))))+1, 1) * 10^ROW(INDIRECT("1:"&amp;LEN((LEFT(A238,SUM(LEN(A238)-LEN(SUBSTITUTE(A238,{"0","1","2"},""))))))))/10))*100+1&amp;""&amp;" to "&amp;""&amp;(SUMPRODUCT(MID(0&amp;(--TRIM(RIGHT(SUBSTITUTE(LEFT(A238,_xlfn.AGGREGATE(16,6,FIND({0,1,2,3,4,5,6,7,8,9},A238,ROW(INDIRECT("1:"&amp;LEN(A238)))),1))," ",REPT(" ",LEN(A238))),LEN(A238)))), LARGE(INDEX(ISNUMBER(--MID((--TRIM(RIGHT(SUBSTITUTE(LEFT(A238,_xlfn.AGGREGATE(16,6,FIND({0,1,2,3,4,5,6,7,8,9},A238,ROW(INDIRECT("1:"&amp;LEN(A238)))),1))," ",REPT(" ",LEN(A238))),LEN(A238)))), ROW(INDIRECT("1:"&amp;LEN((--TRIM(RIGHT(SUBSTITUTE(LEFT(A238,_xlfn.AGGREGATE(16,6,FIND({0,1,2,3,4,5,6,7,8,9},A238,ROW(INDIRECT("1:"&amp;LEN(A238)))),1))," ",REPT(" ",LEN(A238))),LEN(A238))))))), 1)) * ROW(INDIRECT("1:"&amp;LEN((--TRIM(RIGHT(SUBSTITUTE(LEFT(A238,_xlfn.AGGREGATE(16,6,FIND({0,1,2,3,4,5,6,7,8,9},A238,ROW(INDIRECT("1:"&amp;LEN(A238)))),1))," ",REPT(" ",LEN(A238))),LEN(A238))))))), 0), ROW(INDIRECT("1:"&amp;LEN((--TRIM(RIGHT(SUBSTITUTE(LEFT(A238,_xlfn.AGGREGATE(16,6,FIND({0,1,2,3,4,5,6,7,8,9},A238,ROW(INDIRECT("1:"&amp;LEN(A238)))),1))," ",REPT(" ",LEN(A238))),LEN(A238))))))))+1, 1) * 10^ROW(INDIRECT("1:"&amp;LEN((--TRIM(RIGHT(SUBSTITUTE(LEFT(A238,_xlfn.AGGREGATE(16,6,FIND({0,1,2,3,4,5,6,7,8,9},A238,ROW(INDIRECT("1:"&amp;LEN(A238)))),1))," ",REPT(" ",LEN(A238))),LEN(A238)))))))/10))*100+1</f>
        <v>201 to 501</v>
      </c>
      <c r="B239" s="89"/>
      <c r="C239" s="39"/>
      <c r="D239" s="39"/>
      <c r="E239" s="49">
        <v>0</v>
      </c>
      <c r="F239" s="49">
        <f>D239+E239</f>
        <v>0</v>
      </c>
      <c r="G239" s="49">
        <v>0</v>
      </c>
      <c r="H239" s="49">
        <f>F239*(($H$180)+1)+(IF(G239&lt;101,G239,IF(G239&lt;201,G239/2,IF(G239&lt;=301,G239/3,G239/4))))</f>
        <v>0</v>
      </c>
      <c r="I239" s="33"/>
    </row>
    <row r="240" spans="1:20" s="34" customFormat="1" ht="15.75" hidden="1" customHeight="1" x14ac:dyDescent="0.25">
      <c r="A240" s="88" t="str">
        <f ca="1">(SUMPRODUCT(MID(0&amp;(LEFT(A239,SUM(LEN(A239)-LEN(SUBSTITUTE(A239,{"0","1","2"},""))))), LARGE(INDEX(ISNUMBER(--MID((LEFT(A239,SUM(LEN(A239)-LEN(SUBSTITUTE(A239,{"0","1","2"},""))))), ROW(INDIRECT("1:"&amp;LEN((LEFT(A239,SUM(LEN(A239)-LEN(SUBSTITUTE(A239,{"0","1","2"},"")))))))), 1)) * ROW(INDIRECT("1:"&amp;LEN((LEFT(A239,SUM(LEN(A239)-LEN(SUBSTITUTE(A239,{"0","1","2"},"")))))))), 0), ROW(INDIRECT("1:"&amp;LEN((LEFT(A239,SUM(LEN(A239)-LEN(SUBSTITUTE(A239,{"0","1","2"},"")))))))))+1, 1) * 10^ROW(INDIRECT("1:"&amp;LEN((LEFT(A239,SUM(LEN(A239)-LEN(SUBSTITUTE(A239,{"0","1","2"},""))))))))/10))*1+1&amp;""&amp;" to "&amp;""&amp;(SUMPRODUCT(MID(0&amp;(--TRIM(RIGHT(SUBSTITUTE(LEFT(A239,_xlfn.AGGREGATE(16,6,FIND({0,1,2,3,4,5,6,7,8,9},A239,ROW(INDIRECT("1:"&amp;LEN(A239)))),1))," ",REPT(" ",LEN(A239))),LEN(A239)))), LARGE(INDEX(ISNUMBER(--MID((--TRIM(RIGHT(SUBSTITUTE(LEFT(A239,_xlfn.AGGREGATE(16,6,FIND({0,1,2,3,4,5,6,7,8,9},A239,ROW(INDIRECT("1:"&amp;LEN(A239)))),1))," ",REPT(" ",LEN(A239))),LEN(A239)))), ROW(INDIRECT("1:"&amp;LEN((--TRIM(RIGHT(SUBSTITUTE(LEFT(A239,_xlfn.AGGREGATE(16,6,FIND({0,1,2,3,4,5,6,7,8,9},A239,ROW(INDIRECT("1:"&amp;LEN(A239)))),1))," ",REPT(" ",LEN(A239))),LEN(A239))))))), 1)) * ROW(INDIRECT("1:"&amp;LEN((--TRIM(RIGHT(SUBSTITUTE(LEFT(A239,_xlfn.AGGREGATE(16,6,FIND({0,1,2,3,4,5,6,7,8,9},A239,ROW(INDIRECT("1:"&amp;LEN(A239)))),1))," ",REPT(" ",LEN(A239))),LEN(A239))))))), 0), ROW(INDIRECT("1:"&amp;LEN((--TRIM(RIGHT(SUBSTITUTE(LEFT(A239,_xlfn.AGGREGATE(16,6,FIND({0,1,2,3,4,5,6,7,8,9},A239,ROW(INDIRECT("1:"&amp;LEN(A239)))),1))," ",REPT(" ",LEN(A239))),LEN(A239))))))))+1, 1) * 10^ROW(INDIRECT("1:"&amp;LEN((--TRIM(RIGHT(SUBSTITUTE(LEFT(A239,_xlfn.AGGREGATE(16,6,FIND({0,1,2,3,4,5,6,7,8,9},A239,ROW(INDIRECT("1:"&amp;LEN(A239)))),1))," ",REPT(" ",LEN(A239))),LEN(A239)))))))/10))*1+1</f>
        <v>202 to 502</v>
      </c>
      <c r="B240" s="89"/>
      <c r="C240" s="39"/>
      <c r="D240" s="39"/>
      <c r="E240" s="49">
        <v>0</v>
      </c>
      <c r="F240" s="49">
        <f>D240+E240</f>
        <v>0</v>
      </c>
      <c r="G240" s="49">
        <v>0</v>
      </c>
      <c r="H240" s="49">
        <f>F240*(($H$180)+1)+(IF(G240&lt;101,G240,IF(G240&lt;201,G240/2,IF(G240&lt;=301,G240/3,G240/4))))</f>
        <v>0</v>
      </c>
      <c r="I240" s="33"/>
    </row>
    <row r="241" spans="1:20" s="34" customFormat="1" ht="15.75" hidden="1" customHeight="1" x14ac:dyDescent="0.25">
      <c r="A241" s="88" t="str">
        <f ca="1">(SUMPRODUCT(MID(0&amp;(LEFT(A240,SUM(LEN(A240)-LEN(SUBSTITUTE(A240,{"0","1","2"},""))))), LARGE(INDEX(ISNUMBER(--MID((LEFT(A240,SUM(LEN(A240)-LEN(SUBSTITUTE(A240,{"0","1","2"},""))))), ROW(INDIRECT("1:"&amp;LEN((LEFT(A240,SUM(LEN(A240)-LEN(SUBSTITUTE(A240,{"0","1","2"},"")))))))), 1)) * ROW(INDIRECT("1:"&amp;LEN((LEFT(A240,SUM(LEN(A240)-LEN(SUBSTITUTE(A240,{"0","1","2"},"")))))))), 0), ROW(INDIRECT("1:"&amp;LEN((LEFT(A240,SUM(LEN(A240)-LEN(SUBSTITUTE(A240,{"0","1","2"},"")))))))))+1, 1) * 10^ROW(INDIRECT("1:"&amp;LEN((LEFT(A240,SUM(LEN(A240)-LEN(SUBSTITUTE(A240,{"0","1","2"},""))))))))/10))*1+1&amp;""&amp;" to "&amp;""&amp;(SUMPRODUCT(MID(0&amp;(--TRIM(RIGHT(SUBSTITUTE(LEFT(A240,_xlfn.AGGREGATE(16,6,FIND({0,1,2,3,4,5,6,7,8,9},A240,ROW(INDIRECT("1:"&amp;LEN(A240)))),1))," ",REPT(" ",LEN(A240))),LEN(A240)))), LARGE(INDEX(ISNUMBER(--MID((--TRIM(RIGHT(SUBSTITUTE(LEFT(A240,_xlfn.AGGREGATE(16,6,FIND({0,1,2,3,4,5,6,7,8,9},A240,ROW(INDIRECT("1:"&amp;LEN(A240)))),1))," ",REPT(" ",LEN(A240))),LEN(A240)))), ROW(INDIRECT("1:"&amp;LEN((--TRIM(RIGHT(SUBSTITUTE(LEFT(A240,_xlfn.AGGREGATE(16,6,FIND({0,1,2,3,4,5,6,7,8,9},A240,ROW(INDIRECT("1:"&amp;LEN(A240)))),1))," ",REPT(" ",LEN(A240))),LEN(A240))))))), 1)) * ROW(INDIRECT("1:"&amp;LEN((--TRIM(RIGHT(SUBSTITUTE(LEFT(A240,_xlfn.AGGREGATE(16,6,FIND({0,1,2,3,4,5,6,7,8,9},A240,ROW(INDIRECT("1:"&amp;LEN(A240)))),1))," ",REPT(" ",LEN(A240))),LEN(A240))))))), 0), ROW(INDIRECT("1:"&amp;LEN((--TRIM(RIGHT(SUBSTITUTE(LEFT(A240,_xlfn.AGGREGATE(16,6,FIND({0,1,2,3,4,5,6,7,8,9},A240,ROW(INDIRECT("1:"&amp;LEN(A240)))),1))," ",REPT(" ",LEN(A240))),LEN(A240))))))))+1, 1) * 10^ROW(INDIRECT("1:"&amp;LEN((--TRIM(RIGHT(SUBSTITUTE(LEFT(A240,_xlfn.AGGREGATE(16,6,FIND({0,1,2,3,4,5,6,7,8,9},A240,ROW(INDIRECT("1:"&amp;LEN(A240)))),1))," ",REPT(" ",LEN(A240))),LEN(A240)))))))/10))*1+1</f>
        <v>203 to 503</v>
      </c>
      <c r="B241" s="89"/>
      <c r="C241" s="39"/>
      <c r="D241" s="39"/>
      <c r="E241" s="49">
        <v>0</v>
      </c>
      <c r="F241" s="49">
        <f>D241+E241</f>
        <v>0</v>
      </c>
      <c r="G241" s="49">
        <v>0</v>
      </c>
      <c r="H241" s="49">
        <f>F241*(($H$180)+1)+(IF(G241&lt;101,G241,IF(G241&lt;201,G241/2,IF(G241&lt;=301,G241/3,G241/4))))</f>
        <v>0</v>
      </c>
      <c r="I241" s="33"/>
    </row>
    <row r="242" spans="1:20" s="34" customFormat="1" ht="15.75" hidden="1" customHeight="1" x14ac:dyDescent="0.25">
      <c r="A242" s="88" t="str">
        <f ca="1">(SUMPRODUCT(MID(0&amp;(LEFT(A241,SUM(LEN(A241)-LEN(SUBSTITUTE(A241,{"0","1","2"},""))))), LARGE(INDEX(ISNUMBER(--MID((LEFT(A241,SUM(LEN(A241)-LEN(SUBSTITUTE(A241,{"0","1","2"},""))))), ROW(INDIRECT("1:"&amp;LEN((LEFT(A241,SUM(LEN(A241)-LEN(SUBSTITUTE(A241,{"0","1","2"},"")))))))), 1)) * ROW(INDIRECT("1:"&amp;LEN((LEFT(A241,SUM(LEN(A241)-LEN(SUBSTITUTE(A241,{"0","1","2"},"")))))))), 0), ROW(INDIRECT("1:"&amp;LEN((LEFT(A241,SUM(LEN(A241)-LEN(SUBSTITUTE(A241,{"0","1","2"},"")))))))))+1, 1) * 10^ROW(INDIRECT("1:"&amp;LEN((LEFT(A241,SUM(LEN(A241)-LEN(SUBSTITUTE(A241,{"0","1","2"},""))))))))/10))*1+1&amp;""&amp;" to "&amp;""&amp;(SUMPRODUCT(MID(0&amp;(--TRIM(RIGHT(SUBSTITUTE(LEFT(A241,_xlfn.AGGREGATE(16,6,FIND({0,1,2,3,4,5,6,7,8,9},A241,ROW(INDIRECT("1:"&amp;LEN(A241)))),1))," ",REPT(" ",LEN(A241))),LEN(A241)))), LARGE(INDEX(ISNUMBER(--MID((--TRIM(RIGHT(SUBSTITUTE(LEFT(A241,_xlfn.AGGREGATE(16,6,FIND({0,1,2,3,4,5,6,7,8,9},A241,ROW(INDIRECT("1:"&amp;LEN(A241)))),1))," ",REPT(" ",LEN(A241))),LEN(A241)))), ROW(INDIRECT("1:"&amp;LEN((--TRIM(RIGHT(SUBSTITUTE(LEFT(A241,_xlfn.AGGREGATE(16,6,FIND({0,1,2,3,4,5,6,7,8,9},A241,ROW(INDIRECT("1:"&amp;LEN(A241)))),1))," ",REPT(" ",LEN(A241))),LEN(A241))))))), 1)) * ROW(INDIRECT("1:"&amp;LEN((--TRIM(RIGHT(SUBSTITUTE(LEFT(A241,_xlfn.AGGREGATE(16,6,FIND({0,1,2,3,4,5,6,7,8,9},A241,ROW(INDIRECT("1:"&amp;LEN(A241)))),1))," ",REPT(" ",LEN(A241))),LEN(A241))))))), 0), ROW(INDIRECT("1:"&amp;LEN((--TRIM(RIGHT(SUBSTITUTE(LEFT(A241,_xlfn.AGGREGATE(16,6,FIND({0,1,2,3,4,5,6,7,8,9},A241,ROW(INDIRECT("1:"&amp;LEN(A241)))),1))," ",REPT(" ",LEN(A241))),LEN(A241))))))))+1, 1) * 10^ROW(INDIRECT("1:"&amp;LEN((--TRIM(RIGHT(SUBSTITUTE(LEFT(A241,_xlfn.AGGREGATE(16,6,FIND({0,1,2,3,4,5,6,7,8,9},A241,ROW(INDIRECT("1:"&amp;LEN(A241)))),1))," ",REPT(" ",LEN(A241))),LEN(A241)))))))/10))*1+1</f>
        <v>204 to 504</v>
      </c>
      <c r="B242" s="89"/>
      <c r="C242" s="39"/>
      <c r="D242" s="39"/>
      <c r="E242" s="49">
        <v>0</v>
      </c>
      <c r="F242" s="49">
        <f>D242+E242</f>
        <v>0</v>
      </c>
      <c r="G242" s="49">
        <v>0</v>
      </c>
      <c r="H242" s="49">
        <f>F242*(($H$180)+1)+(IF(G242&lt;101,G242,IF(G242&lt;201,G242/2,IF(G242&lt;=301,G242/3,G242/4))))</f>
        <v>0</v>
      </c>
      <c r="I242" s="33"/>
    </row>
    <row r="243" spans="1:20" s="34" customFormat="1" ht="15.75" hidden="1" customHeight="1" x14ac:dyDescent="0.25">
      <c r="A243" s="88" t="str">
        <f ca="1">(SUMPRODUCT(MID(0&amp;(LEFT(A242,SUM(LEN(A242)-LEN(SUBSTITUTE(A242,{"0","1","2"},""))))), LARGE(INDEX(ISNUMBER(--MID((LEFT(A242,SUM(LEN(A242)-LEN(SUBSTITUTE(A242,{"0","1","2"},""))))), ROW(INDIRECT("1:"&amp;LEN((LEFT(A242,SUM(LEN(A242)-LEN(SUBSTITUTE(A242,{"0","1","2"},"")))))))), 1)) * ROW(INDIRECT("1:"&amp;LEN((LEFT(A242,SUM(LEN(A242)-LEN(SUBSTITUTE(A242,{"0","1","2"},"")))))))), 0), ROW(INDIRECT("1:"&amp;LEN((LEFT(A242,SUM(LEN(A242)-LEN(SUBSTITUTE(A242,{"0","1","2"},"")))))))))+1, 1) * 10^ROW(INDIRECT("1:"&amp;LEN((LEFT(A242,SUM(LEN(A242)-LEN(SUBSTITUTE(A242,{"0","1","2"},""))))))))/10))*1+1&amp;""&amp;" to "&amp;""&amp;(SUMPRODUCT(MID(0&amp;(--TRIM(RIGHT(SUBSTITUTE(LEFT(A242,_xlfn.AGGREGATE(16,6,FIND({0,1,2,3,4,5,6,7,8,9},A242,ROW(INDIRECT("1:"&amp;LEN(A242)))),1))," ",REPT(" ",LEN(A242))),LEN(A242)))), LARGE(INDEX(ISNUMBER(--MID((--TRIM(RIGHT(SUBSTITUTE(LEFT(A242,_xlfn.AGGREGATE(16,6,FIND({0,1,2,3,4,5,6,7,8,9},A242,ROW(INDIRECT("1:"&amp;LEN(A242)))),1))," ",REPT(" ",LEN(A242))),LEN(A242)))), ROW(INDIRECT("1:"&amp;LEN((--TRIM(RIGHT(SUBSTITUTE(LEFT(A242,_xlfn.AGGREGATE(16,6,FIND({0,1,2,3,4,5,6,7,8,9},A242,ROW(INDIRECT("1:"&amp;LEN(A242)))),1))," ",REPT(" ",LEN(A242))),LEN(A242))))))), 1)) * ROW(INDIRECT("1:"&amp;LEN((--TRIM(RIGHT(SUBSTITUTE(LEFT(A242,_xlfn.AGGREGATE(16,6,FIND({0,1,2,3,4,5,6,7,8,9},A242,ROW(INDIRECT("1:"&amp;LEN(A242)))),1))," ",REPT(" ",LEN(A242))),LEN(A242))))))), 0), ROW(INDIRECT("1:"&amp;LEN((--TRIM(RIGHT(SUBSTITUTE(LEFT(A242,_xlfn.AGGREGATE(16,6,FIND({0,1,2,3,4,5,6,7,8,9},A242,ROW(INDIRECT("1:"&amp;LEN(A242)))),1))," ",REPT(" ",LEN(A242))),LEN(A242))))))))+1, 1) * 10^ROW(INDIRECT("1:"&amp;LEN((--TRIM(RIGHT(SUBSTITUTE(LEFT(A242,_xlfn.AGGREGATE(16,6,FIND({0,1,2,3,4,5,6,7,8,9},A242,ROW(INDIRECT("1:"&amp;LEN(A242)))),1))," ",REPT(" ",LEN(A242))),LEN(A242)))))))/10))*1+1</f>
        <v>205 to 505</v>
      </c>
      <c r="B243" s="89"/>
      <c r="C243" s="39"/>
      <c r="D243" s="39"/>
      <c r="E243" s="49">
        <v>0</v>
      </c>
      <c r="F243" s="49">
        <f>D243+E243</f>
        <v>0</v>
      </c>
      <c r="G243" s="49">
        <v>0</v>
      </c>
      <c r="H243" s="49">
        <f>F243*(($H$180)+1)+(IF(G243&lt;101,G243,IF(G243&lt;201,G243/2,IF(G243&lt;=301,G243/3,G243/4))))</f>
        <v>0</v>
      </c>
      <c r="I243" s="33"/>
    </row>
    <row r="244" spans="1:20" s="34" customFormat="1" hidden="1" x14ac:dyDescent="0.25">
      <c r="A244" s="85" t="s">
        <v>144</v>
      </c>
      <c r="B244" s="86"/>
      <c r="C244" s="86"/>
      <c r="D244" s="86"/>
      <c r="E244" s="86"/>
      <c r="F244" s="86"/>
      <c r="G244" s="86"/>
      <c r="H244" s="87"/>
      <c r="I244" s="33"/>
    </row>
    <row r="245" spans="1:20" s="34" customFormat="1" ht="15.75" hidden="1" customHeight="1" x14ac:dyDescent="0.25">
      <c r="A245" s="88" t="str">
        <f ca="1">(SUMPRODUCT(MID(0&amp;(LEFT(A244,SUM(LEN(A244)-LEN(SUBSTITUTE(A244,{"0","1","2"},""))))), LARGE(INDEX(ISNUMBER(--MID((LEFT(A244,SUM(LEN(A244)-LEN(SUBSTITUTE(A244,{"0","1","2"},""))))), ROW(INDIRECT("1:"&amp;LEN((LEFT(A244,SUM(LEN(A244)-LEN(SUBSTITUTE(A244,{"0","1","2"},"")))))))), 1)) * ROW(INDIRECT("1:"&amp;LEN((LEFT(A244,SUM(LEN(A244)-LEN(SUBSTITUTE(A244,{"0","1","2"},"")))))))), 0), ROW(INDIRECT("1:"&amp;LEN((LEFT(A244,SUM(LEN(A244)-LEN(SUBSTITUTE(A244,{"0","1","2"},"")))))))))+1, 1) * 10^ROW(INDIRECT("1:"&amp;LEN((LEFT(A244,SUM(LEN(A244)-LEN(SUBSTITUTE(A244,{"0","1","2"},""))))))))/10))*100+1&amp;""&amp;" &amp; "&amp;""&amp;(SUMPRODUCT(MID(0&amp;(--TRIM(RIGHT(SUBSTITUTE(LEFT(A244,_xlfn.AGGREGATE(16,6,FIND({0,1,2,3,4,5,6,7,8,9},A244,ROW(INDIRECT("1:"&amp;LEN(A244)))),1))," ",REPT(" ",LEN(A244))),LEN(A244)))), LARGE(INDEX(ISNUMBER(--MID((--TRIM(RIGHT(SUBSTITUTE(LEFT(A244,_xlfn.AGGREGATE(16,6,FIND({0,1,2,3,4,5,6,7,8,9},A244,ROW(INDIRECT("1:"&amp;LEN(A244)))),1))," ",REPT(" ",LEN(A244))),LEN(A244)))), ROW(INDIRECT("1:"&amp;LEN((--TRIM(RIGHT(SUBSTITUTE(LEFT(A244,_xlfn.AGGREGATE(16,6,FIND({0,1,2,3,4,5,6,7,8,9},A244,ROW(INDIRECT("1:"&amp;LEN(A244)))),1))," ",REPT(" ",LEN(A244))),LEN(A244))))))), 1)) * ROW(INDIRECT("1:"&amp;LEN((--TRIM(RIGHT(SUBSTITUTE(LEFT(A244,_xlfn.AGGREGATE(16,6,FIND({0,1,2,3,4,5,6,7,8,9},A244,ROW(INDIRECT("1:"&amp;LEN(A244)))),1))," ",REPT(" ",LEN(A244))),LEN(A244))))))), 0), ROW(INDIRECT("1:"&amp;LEN((--TRIM(RIGHT(SUBSTITUTE(LEFT(A244,_xlfn.AGGREGATE(16,6,FIND({0,1,2,3,4,5,6,7,8,9},A244,ROW(INDIRECT("1:"&amp;LEN(A244)))),1))," ",REPT(" ",LEN(A244))),LEN(A244))))))))+1, 1) * 10^ROW(INDIRECT("1:"&amp;LEN((--TRIM(RIGHT(SUBSTITUTE(LEFT(A244,_xlfn.AGGREGATE(16,6,FIND({0,1,2,3,4,5,6,7,8,9},A244,ROW(INDIRECT("1:"&amp;LEN(A244)))),1))," ",REPT(" ",LEN(A244))),LEN(A244)))))))/10))*100+1</f>
        <v>201 &amp; 501</v>
      </c>
      <c r="B245" s="89"/>
      <c r="C245" s="39"/>
      <c r="D245" s="39"/>
      <c r="E245" s="49">
        <v>0</v>
      </c>
      <c r="F245" s="49">
        <f>D245+E245</f>
        <v>0</v>
      </c>
      <c r="G245" s="49">
        <v>0</v>
      </c>
      <c r="H245" s="49">
        <f>F245*(($H$180)+1)+(IF(G245&lt;101,G245,IF(G245&lt;201,G245/2,IF(G245&lt;=301,G245/3,G245/4))))</f>
        <v>0</v>
      </c>
      <c r="I245" s="33"/>
    </row>
    <row r="246" spans="1:20" s="34" customFormat="1" ht="15.75" hidden="1" customHeight="1" x14ac:dyDescent="0.25">
      <c r="A246" s="88" t="str">
        <f ca="1">(SUMPRODUCT(MID(0&amp;(LEFT(A245,SUM(LEN(A245)-LEN(SUBSTITUTE(A245,{"0","1","2"},""))))), LARGE(INDEX(ISNUMBER(--MID((LEFT(A245,SUM(LEN(A245)-LEN(SUBSTITUTE(A245,{"0","1","2"},""))))), ROW(INDIRECT("1:"&amp;LEN((LEFT(A245,SUM(LEN(A245)-LEN(SUBSTITUTE(A245,{"0","1","2"},"")))))))), 1)) * ROW(INDIRECT("1:"&amp;LEN((LEFT(A245,SUM(LEN(A245)-LEN(SUBSTITUTE(A245,{"0","1","2"},"")))))))), 0), ROW(INDIRECT("1:"&amp;LEN((LEFT(A245,SUM(LEN(A245)-LEN(SUBSTITUTE(A245,{"0","1","2"},"")))))))))+1, 1) * 10^ROW(INDIRECT("1:"&amp;LEN((LEFT(A245,SUM(LEN(A245)-LEN(SUBSTITUTE(A245,{"0","1","2"},""))))))))/10))*1+1&amp;""&amp;" &amp; "&amp;""&amp;(SUMPRODUCT(MID(0&amp;(--TRIM(RIGHT(SUBSTITUTE(LEFT(A245,_xlfn.AGGREGATE(16,6,FIND({0,1,2,3,4,5,6,7,8,9},A245,ROW(INDIRECT("1:"&amp;LEN(A245)))),1))," ",REPT(" ",LEN(A245))),LEN(A245)))), LARGE(INDEX(ISNUMBER(--MID((--TRIM(RIGHT(SUBSTITUTE(LEFT(A245,_xlfn.AGGREGATE(16,6,FIND({0,1,2,3,4,5,6,7,8,9},A245,ROW(INDIRECT("1:"&amp;LEN(A245)))),1))," ",REPT(" ",LEN(A245))),LEN(A245)))), ROW(INDIRECT("1:"&amp;LEN((--TRIM(RIGHT(SUBSTITUTE(LEFT(A245,_xlfn.AGGREGATE(16,6,FIND({0,1,2,3,4,5,6,7,8,9},A245,ROW(INDIRECT("1:"&amp;LEN(A245)))),1))," ",REPT(" ",LEN(A245))),LEN(A245))))))), 1)) * ROW(INDIRECT("1:"&amp;LEN((--TRIM(RIGHT(SUBSTITUTE(LEFT(A245,_xlfn.AGGREGATE(16,6,FIND({0,1,2,3,4,5,6,7,8,9},A245,ROW(INDIRECT("1:"&amp;LEN(A245)))),1))," ",REPT(" ",LEN(A245))),LEN(A245))))))), 0), ROW(INDIRECT("1:"&amp;LEN((--TRIM(RIGHT(SUBSTITUTE(LEFT(A245,_xlfn.AGGREGATE(16,6,FIND({0,1,2,3,4,5,6,7,8,9},A245,ROW(INDIRECT("1:"&amp;LEN(A245)))),1))," ",REPT(" ",LEN(A245))),LEN(A245))))))))+1, 1) * 10^ROW(INDIRECT("1:"&amp;LEN((--TRIM(RIGHT(SUBSTITUTE(LEFT(A245,_xlfn.AGGREGATE(16,6,FIND({0,1,2,3,4,5,6,7,8,9},A245,ROW(INDIRECT("1:"&amp;LEN(A245)))),1))," ",REPT(" ",LEN(A245))),LEN(A245)))))))/10))*1+1</f>
        <v>202 &amp; 502</v>
      </c>
      <c r="B246" s="89"/>
      <c r="C246" s="39"/>
      <c r="D246" s="39"/>
      <c r="E246" s="49">
        <v>0</v>
      </c>
      <c r="F246" s="49">
        <f>D246+E246</f>
        <v>0</v>
      </c>
      <c r="G246" s="49">
        <v>0</v>
      </c>
      <c r="H246" s="49">
        <f>F246*(($H$180)+1)+(IF(G246&lt;101,G246,IF(G246&lt;201,G246/2,IF(G246&lt;=301,G246/3,G246/4))))</f>
        <v>0</v>
      </c>
      <c r="I246" s="33"/>
    </row>
    <row r="247" spans="1:20" s="34" customFormat="1" ht="15.75" hidden="1" customHeight="1" x14ac:dyDescent="0.25">
      <c r="A247" s="88" t="str">
        <f ca="1">(SUMPRODUCT(MID(0&amp;(LEFT(A246,SUM(LEN(A246)-LEN(SUBSTITUTE(A246,{"0","1","2"},""))))), LARGE(INDEX(ISNUMBER(--MID((LEFT(A246,SUM(LEN(A246)-LEN(SUBSTITUTE(A246,{"0","1","2"},""))))), ROW(INDIRECT("1:"&amp;LEN((LEFT(A246,SUM(LEN(A246)-LEN(SUBSTITUTE(A246,{"0","1","2"},"")))))))), 1)) * ROW(INDIRECT("1:"&amp;LEN((LEFT(A246,SUM(LEN(A246)-LEN(SUBSTITUTE(A246,{"0","1","2"},"")))))))), 0), ROW(INDIRECT("1:"&amp;LEN((LEFT(A246,SUM(LEN(A246)-LEN(SUBSTITUTE(A246,{"0","1","2"},"")))))))))+1, 1) * 10^ROW(INDIRECT("1:"&amp;LEN((LEFT(A246,SUM(LEN(A246)-LEN(SUBSTITUTE(A246,{"0","1","2"},""))))))))/10))*1+1&amp;""&amp;" &amp; "&amp;""&amp;(SUMPRODUCT(MID(0&amp;(--TRIM(RIGHT(SUBSTITUTE(LEFT(A246,_xlfn.AGGREGATE(16,6,FIND({0,1,2,3,4,5,6,7,8,9},A246,ROW(INDIRECT("1:"&amp;LEN(A246)))),1))," ",REPT(" ",LEN(A246))),LEN(A246)))), LARGE(INDEX(ISNUMBER(--MID((--TRIM(RIGHT(SUBSTITUTE(LEFT(A246,_xlfn.AGGREGATE(16,6,FIND({0,1,2,3,4,5,6,7,8,9},A246,ROW(INDIRECT("1:"&amp;LEN(A246)))),1))," ",REPT(" ",LEN(A246))),LEN(A246)))), ROW(INDIRECT("1:"&amp;LEN((--TRIM(RIGHT(SUBSTITUTE(LEFT(A246,_xlfn.AGGREGATE(16,6,FIND({0,1,2,3,4,5,6,7,8,9},A246,ROW(INDIRECT("1:"&amp;LEN(A246)))),1))," ",REPT(" ",LEN(A246))),LEN(A246))))))), 1)) * ROW(INDIRECT("1:"&amp;LEN((--TRIM(RIGHT(SUBSTITUTE(LEFT(A246,_xlfn.AGGREGATE(16,6,FIND({0,1,2,3,4,5,6,7,8,9},A246,ROW(INDIRECT("1:"&amp;LEN(A246)))),1))," ",REPT(" ",LEN(A246))),LEN(A246))))))), 0), ROW(INDIRECT("1:"&amp;LEN((--TRIM(RIGHT(SUBSTITUTE(LEFT(A246,_xlfn.AGGREGATE(16,6,FIND({0,1,2,3,4,5,6,7,8,9},A246,ROW(INDIRECT("1:"&amp;LEN(A246)))),1))," ",REPT(" ",LEN(A246))),LEN(A246))))))))+1, 1) * 10^ROW(INDIRECT("1:"&amp;LEN((--TRIM(RIGHT(SUBSTITUTE(LEFT(A246,_xlfn.AGGREGATE(16,6,FIND({0,1,2,3,4,5,6,7,8,9},A246,ROW(INDIRECT("1:"&amp;LEN(A246)))),1))," ",REPT(" ",LEN(A246))),LEN(A246)))))))/10))*1+1</f>
        <v>203 &amp; 503</v>
      </c>
      <c r="B247" s="89"/>
      <c r="C247" s="39"/>
      <c r="D247" s="39"/>
      <c r="E247" s="49">
        <v>0</v>
      </c>
      <c r="F247" s="49">
        <f>D247+E247</f>
        <v>0</v>
      </c>
      <c r="G247" s="49">
        <v>0</v>
      </c>
      <c r="H247" s="49">
        <f>F247*(($H$180)+1)+(IF(G247&lt;101,G247,IF(G247&lt;201,G247/2,IF(G247&lt;=301,G247/3,G247/4))))</f>
        <v>0</v>
      </c>
      <c r="I247" s="33"/>
    </row>
    <row r="248" spans="1:20" s="34" customFormat="1" ht="15.75" hidden="1" customHeight="1" x14ac:dyDescent="0.25">
      <c r="A248" s="88" t="str">
        <f ca="1">(SUMPRODUCT(MID(0&amp;(LEFT(A247,SUM(LEN(A247)-LEN(SUBSTITUTE(A247,{"0","1","2"},""))))), LARGE(INDEX(ISNUMBER(--MID((LEFT(A247,SUM(LEN(A247)-LEN(SUBSTITUTE(A247,{"0","1","2"},""))))), ROW(INDIRECT("1:"&amp;LEN((LEFT(A247,SUM(LEN(A247)-LEN(SUBSTITUTE(A247,{"0","1","2"},"")))))))), 1)) * ROW(INDIRECT("1:"&amp;LEN((LEFT(A247,SUM(LEN(A247)-LEN(SUBSTITUTE(A247,{"0","1","2"},"")))))))), 0), ROW(INDIRECT("1:"&amp;LEN((LEFT(A247,SUM(LEN(A247)-LEN(SUBSTITUTE(A247,{"0","1","2"},"")))))))))+1, 1) * 10^ROW(INDIRECT("1:"&amp;LEN((LEFT(A247,SUM(LEN(A247)-LEN(SUBSTITUTE(A247,{"0","1","2"},""))))))))/10))*1+1&amp;""&amp;" &amp; "&amp;""&amp;(SUMPRODUCT(MID(0&amp;(--TRIM(RIGHT(SUBSTITUTE(LEFT(A247,_xlfn.AGGREGATE(16,6,FIND({0,1,2,3,4,5,6,7,8,9},A247,ROW(INDIRECT("1:"&amp;LEN(A247)))),1))," ",REPT(" ",LEN(A247))),LEN(A247)))), LARGE(INDEX(ISNUMBER(--MID((--TRIM(RIGHT(SUBSTITUTE(LEFT(A247,_xlfn.AGGREGATE(16,6,FIND({0,1,2,3,4,5,6,7,8,9},A247,ROW(INDIRECT("1:"&amp;LEN(A247)))),1))," ",REPT(" ",LEN(A247))),LEN(A247)))), ROW(INDIRECT("1:"&amp;LEN((--TRIM(RIGHT(SUBSTITUTE(LEFT(A247,_xlfn.AGGREGATE(16,6,FIND({0,1,2,3,4,5,6,7,8,9},A247,ROW(INDIRECT("1:"&amp;LEN(A247)))),1))," ",REPT(" ",LEN(A247))),LEN(A247))))))), 1)) * ROW(INDIRECT("1:"&amp;LEN((--TRIM(RIGHT(SUBSTITUTE(LEFT(A247,_xlfn.AGGREGATE(16,6,FIND({0,1,2,3,4,5,6,7,8,9},A247,ROW(INDIRECT("1:"&amp;LEN(A247)))),1))," ",REPT(" ",LEN(A247))),LEN(A247))))))), 0), ROW(INDIRECT("1:"&amp;LEN((--TRIM(RIGHT(SUBSTITUTE(LEFT(A247,_xlfn.AGGREGATE(16,6,FIND({0,1,2,3,4,5,6,7,8,9},A247,ROW(INDIRECT("1:"&amp;LEN(A247)))),1))," ",REPT(" ",LEN(A247))),LEN(A247))))))))+1, 1) * 10^ROW(INDIRECT("1:"&amp;LEN((--TRIM(RIGHT(SUBSTITUTE(LEFT(A247,_xlfn.AGGREGATE(16,6,FIND({0,1,2,3,4,5,6,7,8,9},A247,ROW(INDIRECT("1:"&amp;LEN(A247)))),1))," ",REPT(" ",LEN(A247))),LEN(A247)))))))/10))*1+1</f>
        <v>204 &amp; 504</v>
      </c>
      <c r="B248" s="89"/>
      <c r="C248" s="39"/>
      <c r="D248" s="39"/>
      <c r="E248" s="49">
        <v>0</v>
      </c>
      <c r="F248" s="49">
        <f>D248+E248</f>
        <v>0</v>
      </c>
      <c r="G248" s="49">
        <v>0</v>
      </c>
      <c r="H248" s="49">
        <f>F248*(($H$180)+1)+(IF(G248&lt;101,G248,IF(G248&lt;201,G248/2,IF(G248&lt;=301,G248/3,G248/4))))</f>
        <v>0</v>
      </c>
      <c r="I248" s="33"/>
    </row>
    <row r="249" spans="1:20" s="34" customFormat="1" ht="15.75" hidden="1" customHeight="1" x14ac:dyDescent="0.25">
      <c r="A249" s="88" t="str">
        <f ca="1">(SUMPRODUCT(MID(0&amp;(LEFT(A248,SUM(LEN(A248)-LEN(SUBSTITUTE(A248,{"0","1","2"},""))))), LARGE(INDEX(ISNUMBER(--MID((LEFT(A248,SUM(LEN(A248)-LEN(SUBSTITUTE(A248,{"0","1","2"},""))))), ROW(INDIRECT("1:"&amp;LEN((LEFT(A248,SUM(LEN(A248)-LEN(SUBSTITUTE(A248,{"0","1","2"},"")))))))), 1)) * ROW(INDIRECT("1:"&amp;LEN((LEFT(A248,SUM(LEN(A248)-LEN(SUBSTITUTE(A248,{"0","1","2"},"")))))))), 0), ROW(INDIRECT("1:"&amp;LEN((LEFT(A248,SUM(LEN(A248)-LEN(SUBSTITUTE(A248,{"0","1","2"},"")))))))))+1, 1) * 10^ROW(INDIRECT("1:"&amp;LEN((LEFT(A248,SUM(LEN(A248)-LEN(SUBSTITUTE(A248,{"0","1","2"},""))))))))/10))*1+1&amp;""&amp;" &amp; "&amp;""&amp;(SUMPRODUCT(MID(0&amp;(--TRIM(RIGHT(SUBSTITUTE(LEFT(A248,_xlfn.AGGREGATE(16,6,FIND({0,1,2,3,4,5,6,7,8,9},A248,ROW(INDIRECT("1:"&amp;LEN(A248)))),1))," ",REPT(" ",LEN(A248))),LEN(A248)))), LARGE(INDEX(ISNUMBER(--MID((--TRIM(RIGHT(SUBSTITUTE(LEFT(A248,_xlfn.AGGREGATE(16,6,FIND({0,1,2,3,4,5,6,7,8,9},A248,ROW(INDIRECT("1:"&amp;LEN(A248)))),1))," ",REPT(" ",LEN(A248))),LEN(A248)))), ROW(INDIRECT("1:"&amp;LEN((--TRIM(RIGHT(SUBSTITUTE(LEFT(A248,_xlfn.AGGREGATE(16,6,FIND({0,1,2,3,4,5,6,7,8,9},A248,ROW(INDIRECT("1:"&amp;LEN(A248)))),1))," ",REPT(" ",LEN(A248))),LEN(A248))))))), 1)) * ROW(INDIRECT("1:"&amp;LEN((--TRIM(RIGHT(SUBSTITUTE(LEFT(A248,_xlfn.AGGREGATE(16,6,FIND({0,1,2,3,4,5,6,7,8,9},A248,ROW(INDIRECT("1:"&amp;LEN(A248)))),1))," ",REPT(" ",LEN(A248))),LEN(A248))))))), 0), ROW(INDIRECT("1:"&amp;LEN((--TRIM(RIGHT(SUBSTITUTE(LEFT(A248,_xlfn.AGGREGATE(16,6,FIND({0,1,2,3,4,5,6,7,8,9},A248,ROW(INDIRECT("1:"&amp;LEN(A248)))),1))," ",REPT(" ",LEN(A248))),LEN(A248))))))))+1, 1) * 10^ROW(INDIRECT("1:"&amp;LEN((--TRIM(RIGHT(SUBSTITUTE(LEFT(A248,_xlfn.AGGREGATE(16,6,FIND({0,1,2,3,4,5,6,7,8,9},A248,ROW(INDIRECT("1:"&amp;LEN(A248)))),1))," ",REPT(" ",LEN(A248))),LEN(A248)))))))/10))*1+1</f>
        <v>205 &amp; 505</v>
      </c>
      <c r="B249" s="89"/>
      <c r="C249" s="39"/>
      <c r="D249" s="39"/>
      <c r="E249" s="49">
        <v>0</v>
      </c>
      <c r="F249" s="49">
        <f>D249+E249</f>
        <v>0</v>
      </c>
      <c r="G249" s="49">
        <v>0</v>
      </c>
      <c r="H249" s="49">
        <f>F249*(($H$180)+1)+(IF(G249&lt;101,G249,IF(G249&lt;201,G249/2,IF(G249&lt;=301,G249/3,G249/4))))</f>
        <v>0</v>
      </c>
      <c r="I249" s="33"/>
    </row>
    <row r="250" spans="1:20" s="32" customFormat="1" x14ac:dyDescent="0.25">
      <c r="A250" s="189" t="s">
        <v>65</v>
      </c>
      <c r="B250" s="189"/>
      <c r="C250" s="189"/>
      <c r="D250" s="189"/>
      <c r="E250" s="189"/>
      <c r="F250" s="189"/>
      <c r="G250" s="189"/>
      <c r="H250" s="189"/>
      <c r="T250" s="34"/>
    </row>
    <row r="251" spans="1:20" s="32" customFormat="1" ht="33.950000000000003" customHeight="1" x14ac:dyDescent="0.25">
      <c r="A251" s="41" t="s">
        <v>153</v>
      </c>
      <c r="B251" s="186" t="s">
        <v>358</v>
      </c>
      <c r="C251" s="187"/>
      <c r="D251" s="187"/>
      <c r="E251" s="187"/>
      <c r="F251" s="187"/>
      <c r="G251" s="187"/>
      <c r="H251" s="188"/>
      <c r="T251" s="34"/>
    </row>
    <row r="252" spans="1:20" s="32" customFormat="1" x14ac:dyDescent="0.25">
      <c r="A252" s="41" t="s">
        <v>153</v>
      </c>
      <c r="B252" s="186" t="str">
        <f>(IF(H179="Saleable area Loading :","We have considered Saleable area of Flats as per our Calculation.","We considered Saleable area of Flat as per Builder area Sheet."))</f>
        <v>We have considered Saleable area of Flats as per our Calculation.</v>
      </c>
      <c r="C252" s="187"/>
      <c r="D252" s="187"/>
      <c r="E252" s="187"/>
      <c r="F252" s="187"/>
      <c r="G252" s="187"/>
      <c r="H252" s="188"/>
      <c r="T252" s="34"/>
    </row>
    <row r="253" spans="1:20" s="32" customFormat="1" x14ac:dyDescent="0.25">
      <c r="A253" s="41" t="s">
        <v>153</v>
      </c>
      <c r="B253" s="186" t="str">
        <f>(IF(H145="Saleable area Loading :","We have considered Saleable area of Commercial as per our Calculation.","We considered Saleable area of Commercial as per Builder area Sheet."))</f>
        <v>We have considered Saleable area of Commercial as per our Calculation.</v>
      </c>
      <c r="C253" s="187"/>
      <c r="D253" s="187"/>
      <c r="E253" s="187"/>
      <c r="F253" s="187"/>
      <c r="G253" s="187"/>
      <c r="H253" s="188"/>
      <c r="T253" s="34"/>
    </row>
    <row r="254" spans="1:20" s="32" customFormat="1" x14ac:dyDescent="0.25">
      <c r="A254" s="41" t="s">
        <v>153</v>
      </c>
      <c r="B254" s="81" t="s">
        <v>120</v>
      </c>
      <c r="C254" s="82"/>
      <c r="D254" s="82"/>
      <c r="E254" s="82"/>
      <c r="F254" s="82"/>
      <c r="G254" s="82"/>
      <c r="H254" s="83"/>
      <c r="T254" s="34"/>
    </row>
    <row r="255" spans="1:20" s="32" customFormat="1" x14ac:dyDescent="0.25">
      <c r="A255" s="41" t="s">
        <v>153</v>
      </c>
      <c r="B255" s="81" t="s">
        <v>340</v>
      </c>
      <c r="C255" s="82"/>
      <c r="D255" s="82"/>
      <c r="E255" s="82"/>
      <c r="F255" s="82"/>
      <c r="G255" s="82"/>
      <c r="H255" s="83"/>
      <c r="T255" s="34"/>
    </row>
    <row r="256" spans="1:20" s="32" customFormat="1" x14ac:dyDescent="0.25">
      <c r="A256" s="41" t="s">
        <v>153</v>
      </c>
      <c r="B256" s="81" t="s">
        <v>152</v>
      </c>
      <c r="C256" s="82"/>
      <c r="D256" s="82"/>
      <c r="E256" s="82"/>
      <c r="F256" s="82"/>
      <c r="G256" s="82"/>
      <c r="H256" s="83"/>
    </row>
    <row r="257" spans="1:20" s="32" customFormat="1" x14ac:dyDescent="0.25">
      <c r="A257" s="41" t="s">
        <v>153</v>
      </c>
      <c r="B257" s="81" t="s">
        <v>121</v>
      </c>
      <c r="C257" s="82"/>
      <c r="D257" s="82"/>
      <c r="E257" s="82"/>
      <c r="F257" s="82"/>
      <c r="G257" s="82"/>
      <c r="H257" s="83"/>
    </row>
    <row r="258" spans="1:20" s="32" customFormat="1" ht="34.5" hidden="1" customHeight="1" x14ac:dyDescent="0.25">
      <c r="A258" s="41" t="s">
        <v>153</v>
      </c>
      <c r="B258" s="81" t="s">
        <v>154</v>
      </c>
      <c r="C258" s="82"/>
      <c r="D258" s="82"/>
      <c r="E258" s="82"/>
      <c r="F258" s="82"/>
      <c r="G258" s="82"/>
      <c r="H258" s="83"/>
    </row>
    <row r="259" spans="1:20" s="32" customFormat="1" x14ac:dyDescent="0.25">
      <c r="A259" s="41" t="s">
        <v>153</v>
      </c>
      <c r="B259" s="81" t="s">
        <v>122</v>
      </c>
      <c r="C259" s="82"/>
      <c r="D259" s="82"/>
      <c r="E259" s="82"/>
      <c r="F259" s="82"/>
      <c r="G259" s="82"/>
      <c r="H259" s="83"/>
    </row>
    <row r="260" spans="1:20" s="32" customFormat="1" hidden="1" x14ac:dyDescent="0.25">
      <c r="A260" s="50" t="s">
        <v>153</v>
      </c>
      <c r="B260" s="93" t="s">
        <v>232</v>
      </c>
      <c r="C260" s="94"/>
      <c r="D260" s="94"/>
      <c r="E260" s="94"/>
      <c r="F260" s="94"/>
      <c r="G260" s="94"/>
      <c r="H260" s="95"/>
    </row>
    <row r="261" spans="1:20" s="32" customFormat="1" ht="18" customHeight="1" x14ac:dyDescent="0.25">
      <c r="A261" s="75" t="s">
        <v>153</v>
      </c>
      <c r="B261" s="81" t="s">
        <v>351</v>
      </c>
      <c r="C261" s="82"/>
      <c r="D261" s="82"/>
      <c r="E261" s="82"/>
      <c r="F261" s="82"/>
      <c r="G261" s="82"/>
      <c r="H261" s="83"/>
      <c r="I261" s="225" t="s">
        <v>359</v>
      </c>
    </row>
    <row r="262" spans="1:20" s="32" customFormat="1" ht="63" customHeight="1" x14ac:dyDescent="0.25">
      <c r="A262" s="73" t="s">
        <v>153</v>
      </c>
      <c r="B262" s="81" t="s">
        <v>360</v>
      </c>
      <c r="C262" s="82"/>
      <c r="D262" s="82"/>
      <c r="E262" s="82"/>
      <c r="F262" s="82"/>
      <c r="G262" s="82"/>
      <c r="H262" s="83"/>
    </row>
    <row r="263" spans="1:20" x14ac:dyDescent="0.25">
      <c r="A263" s="175" t="s">
        <v>58</v>
      </c>
      <c r="B263" s="175"/>
      <c r="C263" s="175"/>
      <c r="D263" s="175"/>
      <c r="E263" s="175"/>
      <c r="F263" s="175"/>
      <c r="G263" s="175"/>
      <c r="H263" s="175"/>
      <c r="T263" s="32"/>
    </row>
    <row r="264" spans="1:20" x14ac:dyDescent="0.25">
      <c r="A264" s="79" t="s">
        <v>59</v>
      </c>
      <c r="B264" s="79"/>
      <c r="C264" s="79"/>
      <c r="D264" s="79"/>
      <c r="E264" s="79"/>
      <c r="F264" s="79"/>
      <c r="G264" s="79"/>
      <c r="H264" s="79"/>
      <c r="T264" s="32"/>
    </row>
    <row r="265" spans="1:20" ht="15.75" customHeight="1" x14ac:dyDescent="0.25">
      <c r="A265" s="203" t="s">
        <v>60</v>
      </c>
      <c r="B265" s="203"/>
      <c r="C265" s="203"/>
      <c r="D265" s="203"/>
      <c r="E265" s="203"/>
      <c r="F265" s="203"/>
      <c r="G265" s="203"/>
      <c r="H265" s="203"/>
      <c r="T265" s="32"/>
    </row>
    <row r="266" spans="1:20" x14ac:dyDescent="0.25">
      <c r="A266" s="79" t="s">
        <v>61</v>
      </c>
      <c r="B266" s="79"/>
      <c r="C266" s="79"/>
      <c r="D266" s="79"/>
      <c r="E266" s="79"/>
      <c r="F266" s="79"/>
      <c r="G266" s="79"/>
      <c r="H266" s="79"/>
      <c r="T266" s="32"/>
    </row>
    <row r="267" spans="1:20" x14ac:dyDescent="0.25">
      <c r="A267" s="79" t="s">
        <v>62</v>
      </c>
      <c r="B267" s="79"/>
      <c r="C267" s="79"/>
      <c r="D267" s="79"/>
      <c r="E267" s="79"/>
      <c r="F267" s="79"/>
      <c r="G267" s="79"/>
      <c r="H267" s="79"/>
      <c r="T267" s="32"/>
    </row>
    <row r="268" spans="1:20" x14ac:dyDescent="0.25">
      <c r="A268" s="79" t="s">
        <v>123</v>
      </c>
      <c r="B268" s="79"/>
      <c r="C268" s="79"/>
      <c r="D268" s="79"/>
      <c r="E268" s="79"/>
      <c r="F268" s="79"/>
      <c r="G268" s="79"/>
      <c r="H268" s="79"/>
      <c r="T268" s="32"/>
    </row>
    <row r="269" spans="1:20" ht="33.950000000000003" customHeight="1" x14ac:dyDescent="0.25">
      <c r="A269" s="168" t="s">
        <v>124</v>
      </c>
      <c r="B269" s="168"/>
      <c r="C269" s="168"/>
      <c r="D269" s="168"/>
      <c r="E269" s="168"/>
      <c r="F269" s="168"/>
      <c r="G269" s="168"/>
      <c r="H269" s="168"/>
    </row>
    <row r="270" spans="1:20" x14ac:dyDescent="0.25">
      <c r="A270" s="174" t="s">
        <v>72</v>
      </c>
      <c r="B270" s="174"/>
      <c r="C270" s="174" t="s">
        <v>355</v>
      </c>
      <c r="D270" s="174"/>
      <c r="E270" s="174" t="s">
        <v>102</v>
      </c>
      <c r="F270" s="174"/>
      <c r="G270" s="174" t="s">
        <v>353</v>
      </c>
      <c r="H270" s="174"/>
    </row>
    <row r="271" spans="1:20" x14ac:dyDescent="0.25">
      <c r="A271" s="173" t="s">
        <v>74</v>
      </c>
      <c r="B271" s="173"/>
      <c r="C271" s="173"/>
      <c r="D271" s="173"/>
      <c r="E271" s="173"/>
      <c r="F271" s="173"/>
      <c r="G271" s="173"/>
      <c r="H271" s="173"/>
    </row>
    <row r="272" spans="1:20" x14ac:dyDescent="0.25">
      <c r="A272" s="173"/>
      <c r="B272" s="173"/>
      <c r="C272" s="173"/>
      <c r="D272" s="173"/>
      <c r="E272" s="173"/>
      <c r="F272" s="173"/>
      <c r="G272" s="173"/>
      <c r="H272" s="173"/>
    </row>
    <row r="273" spans="1:8" x14ac:dyDescent="0.25">
      <c r="A273" s="173"/>
      <c r="B273" s="173"/>
      <c r="C273" s="173"/>
      <c r="D273" s="173"/>
      <c r="E273" s="173"/>
      <c r="F273" s="173"/>
      <c r="G273" s="173"/>
      <c r="H273" s="173"/>
    </row>
    <row r="274" spans="1:8" x14ac:dyDescent="0.25">
      <c r="A274" s="173"/>
      <c r="B274" s="173"/>
      <c r="C274" s="173"/>
      <c r="D274" s="173"/>
      <c r="E274" s="173"/>
      <c r="F274" s="173"/>
      <c r="G274" s="173"/>
      <c r="H274" s="173"/>
    </row>
    <row r="275" spans="1:8" x14ac:dyDescent="0.25">
      <c r="A275" s="35" t="s">
        <v>63</v>
      </c>
      <c r="B275" s="36"/>
      <c r="C275" s="36"/>
      <c r="D275" s="35" t="str">
        <f>E9</f>
        <v>Fair Township Building No 1</v>
      </c>
      <c r="F275" s="36"/>
      <c r="G275" s="36"/>
      <c r="H275" s="36"/>
    </row>
    <row r="276" spans="1:8" x14ac:dyDescent="0.25">
      <c r="A276" s="36"/>
      <c r="B276" s="36"/>
      <c r="C276" s="36"/>
      <c r="D276" s="36"/>
      <c r="E276" s="36"/>
      <c r="F276" s="36"/>
      <c r="G276" s="36"/>
      <c r="H276" s="36"/>
    </row>
    <row r="277" spans="1:8" x14ac:dyDescent="0.25">
      <c r="A277" s="36"/>
      <c r="B277" s="36"/>
      <c r="C277" s="36"/>
      <c r="D277" s="36"/>
      <c r="E277" s="36"/>
      <c r="F277" s="36"/>
      <c r="G277" s="36"/>
      <c r="H277" s="36"/>
    </row>
    <row r="278" spans="1:8" ht="15" customHeight="1" x14ac:dyDescent="0.25"/>
    <row r="318" spans="1:1" x14ac:dyDescent="0.25">
      <c r="A318" s="38" t="s">
        <v>164</v>
      </c>
    </row>
    <row r="361" spans="1:1" x14ac:dyDescent="0.25">
      <c r="A361" s="38" t="s">
        <v>64</v>
      </c>
    </row>
  </sheetData>
  <mergeCells count="460">
    <mergeCell ref="K89:M91"/>
    <mergeCell ref="B261:H261"/>
    <mergeCell ref="I15:P15"/>
    <mergeCell ref="F127:H127"/>
    <mergeCell ref="F124:H124"/>
    <mergeCell ref="A234:B234"/>
    <mergeCell ref="A144:H144"/>
    <mergeCell ref="G131:H131"/>
    <mergeCell ref="A125:E125"/>
    <mergeCell ref="A151:B151"/>
    <mergeCell ref="A60:B60"/>
    <mergeCell ref="C60:E60"/>
    <mergeCell ref="D62:H62"/>
    <mergeCell ref="F125:H125"/>
    <mergeCell ref="E131:F131"/>
    <mergeCell ref="A131:B131"/>
    <mergeCell ref="A134:B134"/>
    <mergeCell ref="C137:D137"/>
    <mergeCell ref="D72:H72"/>
    <mergeCell ref="A73:C73"/>
    <mergeCell ref="E43:H43"/>
    <mergeCell ref="A43:D43"/>
    <mergeCell ref="A89:B89"/>
    <mergeCell ref="C89:H89"/>
    <mergeCell ref="A84:B84"/>
    <mergeCell ref="A50:B50"/>
    <mergeCell ref="C50:E50"/>
    <mergeCell ref="G50:H50"/>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3:H53"/>
    <mergeCell ref="D67:H67"/>
    <mergeCell ref="C52:E52"/>
    <mergeCell ref="A65:C67"/>
    <mergeCell ref="D65:H65"/>
    <mergeCell ref="D66:H66"/>
    <mergeCell ref="C51:E51"/>
    <mergeCell ref="A268:H268"/>
    <mergeCell ref="A265:H265"/>
    <mergeCell ref="A227:B227"/>
    <mergeCell ref="A137:B137"/>
    <mergeCell ref="D179:D180"/>
    <mergeCell ref="E179:E180"/>
    <mergeCell ref="A97:B97"/>
    <mergeCell ref="A98:B98"/>
    <mergeCell ref="A99:B99"/>
    <mergeCell ref="A113:B113"/>
    <mergeCell ref="F118:H118"/>
    <mergeCell ref="G132:H132"/>
    <mergeCell ref="A116:B116"/>
    <mergeCell ref="F123:H123"/>
    <mergeCell ref="C131:D131"/>
    <mergeCell ref="C141:D141"/>
    <mergeCell ref="A221:H221"/>
    <mergeCell ref="A236:B236"/>
    <mergeCell ref="A233:B233"/>
    <mergeCell ref="A150:B150"/>
    <mergeCell ref="A142:B142"/>
    <mergeCell ref="C142:D142"/>
    <mergeCell ref="E142:F142"/>
    <mergeCell ref="B259:H259"/>
    <mergeCell ref="B257:H257"/>
    <mergeCell ref="B253:H253"/>
    <mergeCell ref="A247:B247"/>
    <mergeCell ref="A244:H244"/>
    <mergeCell ref="A245:B245"/>
    <mergeCell ref="A246:B246"/>
    <mergeCell ref="A249:B249"/>
    <mergeCell ref="A248:B248"/>
    <mergeCell ref="B251:H251"/>
    <mergeCell ref="B252:H252"/>
    <mergeCell ref="B254:H254"/>
    <mergeCell ref="B255:H255"/>
    <mergeCell ref="A250:H250"/>
    <mergeCell ref="A242:B242"/>
    <mergeCell ref="A243:B243"/>
    <mergeCell ref="A238:H238"/>
    <mergeCell ref="A232:H232"/>
    <mergeCell ref="A195:B195"/>
    <mergeCell ref="F117:H117"/>
    <mergeCell ref="F121:H121"/>
    <mergeCell ref="A222:B222"/>
    <mergeCell ref="A153:B153"/>
    <mergeCell ref="A152:B152"/>
    <mergeCell ref="E92:F92"/>
    <mergeCell ref="G92:H92"/>
    <mergeCell ref="A122:E122"/>
    <mergeCell ref="F122:H122"/>
    <mergeCell ref="A124:E124"/>
    <mergeCell ref="F120:H120"/>
    <mergeCell ref="A123:E123"/>
    <mergeCell ref="A110:B110"/>
    <mergeCell ref="A111:B111"/>
    <mergeCell ref="E93:F102"/>
    <mergeCell ref="A100:B100"/>
    <mergeCell ref="A101:B101"/>
    <mergeCell ref="E106:F106"/>
    <mergeCell ref="E107:F116"/>
    <mergeCell ref="A178:H178"/>
    <mergeCell ref="E137:F137"/>
    <mergeCell ref="A143:H143"/>
    <mergeCell ref="A179:A180"/>
    <mergeCell ref="F179:F180"/>
    <mergeCell ref="A271:H274"/>
    <mergeCell ref="A270:B270"/>
    <mergeCell ref="E270:F270"/>
    <mergeCell ref="C270:D270"/>
    <mergeCell ref="G270:H270"/>
    <mergeCell ref="A130:H130"/>
    <mergeCell ref="A128:E128"/>
    <mergeCell ref="F128:H128"/>
    <mergeCell ref="A129:E129"/>
    <mergeCell ref="F129:H129"/>
    <mergeCell ref="A226:H226"/>
    <mergeCell ref="A139:B139"/>
    <mergeCell ref="A235:B235"/>
    <mergeCell ref="A132:B132"/>
    <mergeCell ref="A266:H266"/>
    <mergeCell ref="A136:H136"/>
    <mergeCell ref="A269:H269"/>
    <mergeCell ref="A267:H267"/>
    <mergeCell ref="A263:H263"/>
    <mergeCell ref="G137:H137"/>
    <mergeCell ref="A237:B237"/>
    <mergeCell ref="C145:C146"/>
    <mergeCell ref="B179:B180"/>
    <mergeCell ref="A264:H264"/>
    <mergeCell ref="A77:B77"/>
    <mergeCell ref="A75:B75"/>
    <mergeCell ref="C75:H75"/>
    <mergeCell ref="A83:B83"/>
    <mergeCell ref="A70:C70"/>
    <mergeCell ref="D70:H70"/>
    <mergeCell ref="C77:H77"/>
    <mergeCell ref="A80:B80"/>
    <mergeCell ref="A82:B82"/>
    <mergeCell ref="E78:F78"/>
    <mergeCell ref="A71:C71"/>
    <mergeCell ref="D71:H71"/>
    <mergeCell ref="A74:C74"/>
    <mergeCell ref="D74:H74"/>
    <mergeCell ref="A72:C72"/>
    <mergeCell ref="D73:H73"/>
    <mergeCell ref="A79:B79"/>
    <mergeCell ref="G78:H78"/>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33:B33"/>
    <mergeCell ref="C34:E34"/>
    <mergeCell ref="A35:B35"/>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C57:H57"/>
    <mergeCell ref="C59:H59"/>
    <mergeCell ref="A91:B91"/>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85:B85"/>
    <mergeCell ref="C91:H91"/>
    <mergeCell ref="A45:D45"/>
    <mergeCell ref="A38:H38"/>
    <mergeCell ref="A37:B37"/>
    <mergeCell ref="C37:E37"/>
    <mergeCell ref="G107:H116"/>
    <mergeCell ref="A42:D42"/>
    <mergeCell ref="E42:H42"/>
    <mergeCell ref="A41:H41"/>
    <mergeCell ref="A68:C68"/>
    <mergeCell ref="A69:C69"/>
    <mergeCell ref="D68:H68"/>
    <mergeCell ref="E79:F88"/>
    <mergeCell ref="G79:H88"/>
    <mergeCell ref="A87:B87"/>
    <mergeCell ref="A88:B88"/>
    <mergeCell ref="D69:H69"/>
    <mergeCell ref="A44:D44"/>
    <mergeCell ref="E44:H44"/>
    <mergeCell ref="E45:H45"/>
    <mergeCell ref="E46:H46"/>
    <mergeCell ref="A92:B92"/>
    <mergeCell ref="E47:H47"/>
    <mergeCell ref="C55:H55"/>
    <mergeCell ref="A225:B225"/>
    <mergeCell ref="A78:B78"/>
    <mergeCell ref="A39:B39"/>
    <mergeCell ref="C39:H39"/>
    <mergeCell ref="A46:D46"/>
    <mergeCell ref="L153:M153"/>
    <mergeCell ref="L152:M152"/>
    <mergeCell ref="L151:M151"/>
    <mergeCell ref="L150:M150"/>
    <mergeCell ref="A86:B86"/>
    <mergeCell ref="C139:D139"/>
    <mergeCell ref="E139:F139"/>
    <mergeCell ref="G139:H139"/>
    <mergeCell ref="A118:E118"/>
    <mergeCell ref="A103:B103"/>
    <mergeCell ref="C103:H103"/>
    <mergeCell ref="A149:H149"/>
    <mergeCell ref="E145:E146"/>
    <mergeCell ref="A93:B93"/>
    <mergeCell ref="A47:D47"/>
    <mergeCell ref="A48:H48"/>
    <mergeCell ref="D64:H64"/>
    <mergeCell ref="A64:C64"/>
    <mergeCell ref="A81:B81"/>
    <mergeCell ref="A193:B193"/>
    <mergeCell ref="A194:B194"/>
    <mergeCell ref="L226:M226"/>
    <mergeCell ref="A231:B231"/>
    <mergeCell ref="A228:B228"/>
    <mergeCell ref="A229:B229"/>
    <mergeCell ref="A239:B239"/>
    <mergeCell ref="A40:B40"/>
    <mergeCell ref="C40:H40"/>
    <mergeCell ref="F145:F146"/>
    <mergeCell ref="C132:D132"/>
    <mergeCell ref="E132:F132"/>
    <mergeCell ref="B145:B146"/>
    <mergeCell ref="A145:A146"/>
    <mergeCell ref="C179:C180"/>
    <mergeCell ref="G179:G180"/>
    <mergeCell ref="L225:M225"/>
    <mergeCell ref="L222:M222"/>
    <mergeCell ref="A223:B223"/>
    <mergeCell ref="G142:H142"/>
    <mergeCell ref="L223:M223"/>
    <mergeCell ref="A224:B224"/>
    <mergeCell ref="L224:M224"/>
    <mergeCell ref="B258:H258"/>
    <mergeCell ref="A241:B241"/>
    <mergeCell ref="A230:B230"/>
    <mergeCell ref="A49:B49"/>
    <mergeCell ref="C49:H49"/>
    <mergeCell ref="B256:H256"/>
    <mergeCell ref="A108:B108"/>
    <mergeCell ref="A109:B109"/>
    <mergeCell ref="G93:H102"/>
    <mergeCell ref="A94:B94"/>
    <mergeCell ref="A95:B95"/>
    <mergeCell ref="A96:B96"/>
    <mergeCell ref="F119:H119"/>
    <mergeCell ref="A119:E119"/>
    <mergeCell ref="D145:D146"/>
    <mergeCell ref="A112:B112"/>
    <mergeCell ref="A114:B114"/>
    <mergeCell ref="A115:B115"/>
    <mergeCell ref="A120:E120"/>
    <mergeCell ref="A117:E117"/>
    <mergeCell ref="G106:H106"/>
    <mergeCell ref="A105:B105"/>
    <mergeCell ref="G145:G146"/>
    <mergeCell ref="A240:B240"/>
    <mergeCell ref="L177:M177"/>
    <mergeCell ref="L172:M172"/>
    <mergeCell ref="L173:M173"/>
    <mergeCell ref="L161:M161"/>
    <mergeCell ref="L174:M174"/>
    <mergeCell ref="L175:M175"/>
    <mergeCell ref="B260:H260"/>
    <mergeCell ref="A121:E121"/>
    <mergeCell ref="A102:B102"/>
    <mergeCell ref="A107:B107"/>
    <mergeCell ref="A141:B141"/>
    <mergeCell ref="E141:F141"/>
    <mergeCell ref="C105:H105"/>
    <mergeCell ref="A106:B106"/>
    <mergeCell ref="A127:E127"/>
    <mergeCell ref="G141:H141"/>
    <mergeCell ref="C134:D134"/>
    <mergeCell ref="E134:F134"/>
    <mergeCell ref="G134:H134"/>
    <mergeCell ref="A135:B135"/>
    <mergeCell ref="C135:D135"/>
    <mergeCell ref="E135:F135"/>
    <mergeCell ref="G135:H135"/>
    <mergeCell ref="A140:B140"/>
    <mergeCell ref="L183:M183"/>
    <mergeCell ref="L169:M169"/>
    <mergeCell ref="L176:M176"/>
    <mergeCell ref="A170:H170"/>
    <mergeCell ref="A171:H171"/>
    <mergeCell ref="A172:B172"/>
    <mergeCell ref="A177:B177"/>
    <mergeCell ref="A162:H162"/>
    <mergeCell ref="L154:M154"/>
    <mergeCell ref="A155:B155"/>
    <mergeCell ref="L155:M155"/>
    <mergeCell ref="A156:B156"/>
    <mergeCell ref="L156:M156"/>
    <mergeCell ref="A157:B157"/>
    <mergeCell ref="L157:M157"/>
    <mergeCell ref="A158:B158"/>
    <mergeCell ref="L158:M158"/>
    <mergeCell ref="L159:M159"/>
    <mergeCell ref="L160:M160"/>
    <mergeCell ref="L164:M164"/>
    <mergeCell ref="L165:M165"/>
    <mergeCell ref="L166:M166"/>
    <mergeCell ref="L167:M167"/>
    <mergeCell ref="L168:M168"/>
    <mergeCell ref="L211:M211"/>
    <mergeCell ref="A212:B212"/>
    <mergeCell ref="A213:B213"/>
    <mergeCell ref="A214:B214"/>
    <mergeCell ref="A200:H200"/>
    <mergeCell ref="L200:M200"/>
    <mergeCell ref="A201:B201"/>
    <mergeCell ref="A202:B202"/>
    <mergeCell ref="A203:B203"/>
    <mergeCell ref="A204:B204"/>
    <mergeCell ref="A205:H205"/>
    <mergeCell ref="A206:B206"/>
    <mergeCell ref="A211:H211"/>
    <mergeCell ref="A199:H199"/>
    <mergeCell ref="A196:B196"/>
    <mergeCell ref="A197:B197"/>
    <mergeCell ref="A198:B198"/>
    <mergeCell ref="A181:H181"/>
    <mergeCell ref="A182:H182"/>
    <mergeCell ref="A184:B184"/>
    <mergeCell ref="A183:H183"/>
    <mergeCell ref="A210:H210"/>
    <mergeCell ref="A207:B207"/>
    <mergeCell ref="G138:H138"/>
    <mergeCell ref="A147:H147"/>
    <mergeCell ref="A148:H148"/>
    <mergeCell ref="A185:B185"/>
    <mergeCell ref="A186:B186"/>
    <mergeCell ref="A187:B187"/>
    <mergeCell ref="A176:B176"/>
    <mergeCell ref="A165:B165"/>
    <mergeCell ref="A166:B166"/>
    <mergeCell ref="A167:B167"/>
    <mergeCell ref="A168:B168"/>
    <mergeCell ref="A173:B173"/>
    <mergeCell ref="A174:B174"/>
    <mergeCell ref="A154:B154"/>
    <mergeCell ref="A159:B159"/>
    <mergeCell ref="A160:B160"/>
    <mergeCell ref="A175:B175"/>
    <mergeCell ref="A163:H163"/>
    <mergeCell ref="A164:B164"/>
    <mergeCell ref="A169:B169"/>
    <mergeCell ref="A161:B161"/>
    <mergeCell ref="C140:D140"/>
    <mergeCell ref="E140:F140"/>
    <mergeCell ref="G140:H140"/>
    <mergeCell ref="I11:L11"/>
    <mergeCell ref="A126:E126"/>
    <mergeCell ref="F126:H126"/>
    <mergeCell ref="B262:H262"/>
    <mergeCell ref="A215:B215"/>
    <mergeCell ref="A216:H216"/>
    <mergeCell ref="A217:B217"/>
    <mergeCell ref="A208:B208"/>
    <mergeCell ref="A209:B209"/>
    <mergeCell ref="A188:B188"/>
    <mergeCell ref="A189:B189"/>
    <mergeCell ref="A190:B190"/>
    <mergeCell ref="A191:H191"/>
    <mergeCell ref="A192:B192"/>
    <mergeCell ref="A218:B218"/>
    <mergeCell ref="A219:B219"/>
    <mergeCell ref="A220:B220"/>
    <mergeCell ref="A133:B133"/>
    <mergeCell ref="C133:D133"/>
    <mergeCell ref="E133:F133"/>
    <mergeCell ref="G133:H133"/>
    <mergeCell ref="A138:B138"/>
    <mergeCell ref="C138:D138"/>
    <mergeCell ref="E138:F138"/>
  </mergeCells>
  <dataValidations disablePrompts="1"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5:E146">
      <formula1>"Attached Loft area,Attached Otla area,Attached Mezzanine area"</formula1>
    </dataValidation>
    <dataValidation type="list" allowBlank="1" showInputMessage="1" showErrorMessage="1" sqref="G270:H270">
      <formula1>"Gaurav Panchal,Kunal Kadam,Pranita Mhatre,Shruti Fule,Pooja Kawale,Neha Dhokale,Shruti Tathare, Hitakshi Mhatre, Sachin Sawant"</formula1>
    </dataValidation>
    <dataValidation type="list" allowBlank="1" showInputMessage="1" showErrorMessage="1" sqref="F117:H117">
      <formula1>"On Saleable Area,On Builtup Area,On Carpet Area,On Plot Area"</formula1>
    </dataValidation>
    <dataValidation type="list" allowBlank="1" showInputMessage="1" showErrorMessage="1" sqref="F128:H128">
      <formula1>OFFSET($S$117,1,MATCH($G20,$S$117:$W$117,0)-1,15,1)</formula1>
    </dataValidation>
    <dataValidation type="list" allowBlank="1" showInputMessage="1" showErrorMessage="1" sqref="B145:B146">
      <formula1>"Shop No. (Sale Plan),Sale / Rehab,Sale / Mhada"</formula1>
    </dataValidation>
    <dataValidation type="list" allowBlank="1" showInputMessage="1" showErrorMessage="1" sqref="B179:B180">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79:E180">
      <formula1>"Fungible area,Balcony Area,Chajja Area,Cornice Area,AP Area,WS Area"</formula1>
    </dataValidation>
    <dataValidation type="list" allowBlank="1" showInputMessage="1" showErrorMessage="1" sqref="H146 H180">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4">
      <formula1>0</formula1>
      <formula2>H76</formula2>
    </dataValidation>
    <dataValidation type="list" allowBlank="1" showInputMessage="1" showErrorMessage="1" sqref="H145 H179">
      <formula1>"Saleable area Loading :,Builder Saleable Area"</formula1>
    </dataValidation>
    <dataValidation type="list" allowBlank="1" showInputMessage="1" showErrorMessage="1" sqref="D145:D146 D179:D180">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scale="99" fitToHeight="0" orientation="portrait" r:id="rId2"/>
  <headerFooter>
    <oddHeader>&amp;C&amp;G</oddHeader>
    <oddFooter>&amp;L&amp;"Times New Roman,Bold"&amp;12Ref No: &amp;F&amp;C&amp;G&amp;R&amp;"Times New Roman,Bold"&amp;12&amp;P</oddFooter>
  </headerFooter>
  <rowBreaks count="5" manualBreakCount="5">
    <brk id="142" max="7" man="1"/>
    <brk id="178" max="7" man="1"/>
    <brk id="274" max="16383" man="1"/>
    <brk id="317" max="16383" man="1"/>
    <brk id="360" max="16383" man="1"/>
  </rowBreaks>
  <colBreaks count="1" manualBreakCount="1">
    <brk id="2" max="396" man="1"/>
  </col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22" t="s">
        <v>103</v>
      </c>
      <c r="C3" s="222"/>
      <c r="D3" s="222"/>
      <c r="E3" s="222"/>
      <c r="F3" s="222"/>
      <c r="G3" s="222"/>
      <c r="H3" s="222"/>
    </row>
    <row r="4" spans="1:9" x14ac:dyDescent="0.25">
      <c r="A4" s="2"/>
      <c r="B4" s="3" t="s">
        <v>104</v>
      </c>
      <c r="C4" s="3" t="s">
        <v>105</v>
      </c>
      <c r="D4" s="3" t="s">
        <v>66</v>
      </c>
      <c r="E4" s="3" t="s">
        <v>106</v>
      </c>
      <c r="F4" s="3" t="s">
        <v>112</v>
      </c>
      <c r="G4" s="3" t="s">
        <v>113</v>
      </c>
      <c r="H4" s="3" t="s">
        <v>107</v>
      </c>
    </row>
    <row r="5" spans="1:9" ht="15" customHeight="1" x14ac:dyDescent="0.25">
      <c r="A5" s="2"/>
      <c r="B5" s="5" t="s">
        <v>108</v>
      </c>
      <c r="C5" s="6"/>
      <c r="D5" s="5"/>
      <c r="E5" s="5"/>
      <c r="F5" s="7">
        <f>E5*1.6</f>
        <v>0</v>
      </c>
      <c r="G5" s="7" t="e">
        <f>H5/F5</f>
        <v>#DIV/0!</v>
      </c>
      <c r="H5" s="8"/>
    </row>
    <row r="6" spans="1:9" x14ac:dyDescent="0.25">
      <c r="A6" s="2"/>
      <c r="B6" s="5" t="s">
        <v>108</v>
      </c>
      <c r="C6" s="9"/>
      <c r="D6" s="5"/>
      <c r="E6" s="5"/>
      <c r="F6" s="7">
        <f t="shared" ref="F6:F11" si="0">E6*1.6</f>
        <v>0</v>
      </c>
      <c r="G6" s="7" t="e">
        <f t="shared" ref="G6:G11" si="1">H6/F6</f>
        <v>#DIV/0!</v>
      </c>
      <c r="H6" s="8"/>
    </row>
    <row r="7" spans="1:9" ht="15" customHeight="1" x14ac:dyDescent="0.25">
      <c r="A7" s="2"/>
      <c r="B7" s="5" t="s">
        <v>108</v>
      </c>
      <c r="C7" s="6"/>
      <c r="D7" s="5"/>
      <c r="E7" s="5"/>
      <c r="F7" s="7">
        <f t="shared" si="0"/>
        <v>0</v>
      </c>
      <c r="G7" s="7" t="e">
        <f t="shared" si="1"/>
        <v>#DIV/0!</v>
      </c>
      <c r="H7" s="8"/>
    </row>
    <row r="8" spans="1:9" x14ac:dyDescent="0.25">
      <c r="A8" s="2"/>
      <c r="B8" s="5" t="s">
        <v>108</v>
      </c>
      <c r="C8" s="9"/>
      <c r="D8" s="5"/>
      <c r="E8" s="5"/>
      <c r="F8" s="7">
        <f t="shared" si="0"/>
        <v>0</v>
      </c>
      <c r="G8" s="7" t="e">
        <f t="shared" si="1"/>
        <v>#DIV/0!</v>
      </c>
      <c r="H8" s="8"/>
    </row>
    <row r="9" spans="1:9" ht="15" customHeight="1" x14ac:dyDescent="0.25">
      <c r="A9" s="2"/>
      <c r="B9" s="5" t="s">
        <v>108</v>
      </c>
      <c r="C9" s="9"/>
      <c r="D9" s="5"/>
      <c r="E9" s="5"/>
      <c r="F9" s="7">
        <f t="shared" si="0"/>
        <v>0</v>
      </c>
      <c r="G9" s="7" t="e">
        <f t="shared" si="1"/>
        <v>#DIV/0!</v>
      </c>
      <c r="H9" s="8"/>
    </row>
    <row r="10" spans="1:9" ht="15" customHeight="1" x14ac:dyDescent="0.25">
      <c r="A10" s="2"/>
      <c r="B10" s="5" t="s">
        <v>109</v>
      </c>
      <c r="C10" s="6"/>
      <c r="D10" s="5"/>
      <c r="E10" s="5"/>
      <c r="F10" s="7">
        <f t="shared" si="0"/>
        <v>0</v>
      </c>
      <c r="G10" s="7" t="e">
        <f t="shared" si="1"/>
        <v>#DIV/0!</v>
      </c>
      <c r="H10" s="8"/>
    </row>
    <row r="11" spans="1:9" ht="15" customHeight="1" x14ac:dyDescent="0.25">
      <c r="A11" s="2"/>
      <c r="B11" s="5" t="s">
        <v>109</v>
      </c>
      <c r="C11" s="6"/>
      <c r="D11" s="5"/>
      <c r="E11" s="5"/>
      <c r="F11" s="7">
        <f t="shared" si="0"/>
        <v>0</v>
      </c>
      <c r="G11" s="7" t="e">
        <f t="shared" si="1"/>
        <v>#DIV/0!</v>
      </c>
      <c r="H11" s="8"/>
    </row>
    <row r="12" spans="1:9" ht="15" customHeight="1" x14ac:dyDescent="0.25">
      <c r="A12" s="2"/>
      <c r="B12" s="10" t="s">
        <v>110</v>
      </c>
      <c r="C12" s="5"/>
      <c r="D12" s="5"/>
      <c r="E12" s="5"/>
      <c r="F12" s="5"/>
      <c r="G12" s="11" t="e">
        <f>AVERAGE(G5:G11)</f>
        <v>#DIV/0!</v>
      </c>
      <c r="H12" s="5"/>
    </row>
    <row r="13" spans="1:9" ht="15" customHeight="1" x14ac:dyDescent="0.25">
      <c r="B13" s="10" t="s">
        <v>111</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47"/>
      <c r="C4" s="47" t="s">
        <v>11</v>
      </c>
      <c r="D4" s="48" t="s">
        <v>178</v>
      </c>
      <c r="E4" s="48" t="s">
        <v>188</v>
      </c>
      <c r="F4" s="48" t="s">
        <v>173</v>
      </c>
      <c r="G4" s="48" t="s">
        <v>193</v>
      </c>
      <c r="H4" s="48" t="s">
        <v>211</v>
      </c>
      <c r="J4" t="s">
        <v>193</v>
      </c>
      <c r="K4" t="s">
        <v>209</v>
      </c>
    </row>
    <row r="5" spans="2:11" x14ac:dyDescent="0.25">
      <c r="B5" s="47"/>
      <c r="C5" s="47"/>
      <c r="D5" s="48" t="s">
        <v>179</v>
      </c>
      <c r="E5" s="48" t="s">
        <v>186</v>
      </c>
      <c r="F5" s="48" t="s">
        <v>208</v>
      </c>
      <c r="G5" s="48" t="s">
        <v>194</v>
      </c>
      <c r="H5" s="48" t="s">
        <v>212</v>
      </c>
    </row>
    <row r="6" spans="2:11" x14ac:dyDescent="0.25">
      <c r="B6" s="47"/>
      <c r="C6" s="47"/>
      <c r="D6" s="48" t="s">
        <v>180</v>
      </c>
      <c r="E6" s="48" t="s">
        <v>187</v>
      </c>
      <c r="F6" s="48" t="s">
        <v>209</v>
      </c>
      <c r="G6" s="48" t="s">
        <v>195</v>
      </c>
      <c r="H6" s="48" t="s">
        <v>225</v>
      </c>
    </row>
    <row r="7" spans="2:11" x14ac:dyDescent="0.25">
      <c r="B7" s="47"/>
      <c r="C7" s="47"/>
      <c r="D7" s="48" t="s">
        <v>181</v>
      </c>
      <c r="E7" s="48" t="s">
        <v>189</v>
      </c>
      <c r="F7" s="48" t="s">
        <v>210</v>
      </c>
      <c r="G7" s="48" t="s">
        <v>196</v>
      </c>
      <c r="H7" s="48" t="s">
        <v>213</v>
      </c>
    </row>
    <row r="8" spans="2:11" x14ac:dyDescent="0.25">
      <c r="B8" s="47"/>
      <c r="C8" s="47"/>
      <c r="D8" s="48" t="s">
        <v>182</v>
      </c>
      <c r="E8" s="48" t="s">
        <v>190</v>
      </c>
      <c r="F8" s="48"/>
      <c r="G8" s="48" t="s">
        <v>197</v>
      </c>
      <c r="H8" s="48" t="s">
        <v>214</v>
      </c>
    </row>
    <row r="9" spans="2:11" x14ac:dyDescent="0.25">
      <c r="B9" s="47"/>
      <c r="C9" s="47"/>
      <c r="D9" s="48" t="s">
        <v>183</v>
      </c>
      <c r="E9" s="48" t="s">
        <v>188</v>
      </c>
      <c r="F9" s="48"/>
      <c r="G9" s="48" t="s">
        <v>198</v>
      </c>
      <c r="H9" s="48" t="s">
        <v>215</v>
      </c>
    </row>
    <row r="10" spans="2:11" x14ac:dyDescent="0.25">
      <c r="B10" s="47"/>
      <c r="C10" s="47"/>
      <c r="D10" s="48" t="s">
        <v>184</v>
      </c>
      <c r="E10" s="48" t="s">
        <v>191</v>
      </c>
      <c r="F10" s="48"/>
      <c r="G10" s="48" t="s">
        <v>199</v>
      </c>
      <c r="H10" s="48" t="s">
        <v>216</v>
      </c>
    </row>
    <row r="11" spans="2:11" x14ac:dyDescent="0.25">
      <c r="B11" s="47"/>
      <c r="C11" s="47"/>
      <c r="D11" s="48" t="s">
        <v>185</v>
      </c>
      <c r="E11" s="48" t="s">
        <v>192</v>
      </c>
      <c r="F11" s="48"/>
      <c r="G11" s="48" t="s">
        <v>200</v>
      </c>
      <c r="H11" s="48" t="s">
        <v>217</v>
      </c>
    </row>
    <row r="12" spans="2:11" x14ac:dyDescent="0.25">
      <c r="B12" s="47"/>
      <c r="C12" s="47"/>
      <c r="D12" s="48"/>
      <c r="E12" s="48"/>
      <c r="F12" s="48"/>
      <c r="G12" s="48" t="s">
        <v>201</v>
      </c>
      <c r="H12" s="48" t="s">
        <v>218</v>
      </c>
    </row>
    <row r="13" spans="2:11" x14ac:dyDescent="0.25">
      <c r="B13" s="47"/>
      <c r="C13" s="47"/>
      <c r="D13" s="48"/>
      <c r="E13" s="48"/>
      <c r="F13" s="48"/>
      <c r="G13" s="48" t="s">
        <v>202</v>
      </c>
      <c r="H13" s="48" t="s">
        <v>219</v>
      </c>
    </row>
    <row r="14" spans="2:11" x14ac:dyDescent="0.25">
      <c r="B14" s="47"/>
      <c r="C14" s="47"/>
      <c r="D14" s="48"/>
      <c r="E14" s="48"/>
      <c r="F14" s="48"/>
      <c r="G14" s="48" t="s">
        <v>203</v>
      </c>
      <c r="H14" s="48" t="s">
        <v>220</v>
      </c>
    </row>
    <row r="15" spans="2:11" x14ac:dyDescent="0.25">
      <c r="B15" s="47"/>
      <c r="C15" s="47"/>
      <c r="D15" s="48"/>
      <c r="E15" s="48"/>
      <c r="F15" s="48"/>
      <c r="G15" s="48" t="s">
        <v>204</v>
      </c>
      <c r="H15" s="48" t="s">
        <v>221</v>
      </c>
    </row>
    <row r="16" spans="2:11" x14ac:dyDescent="0.25">
      <c r="B16" s="47"/>
      <c r="C16" s="47"/>
      <c r="D16" s="48"/>
      <c r="E16" s="48"/>
      <c r="F16" s="48"/>
      <c r="G16" s="48" t="s">
        <v>205</v>
      </c>
      <c r="H16" s="48" t="s">
        <v>222</v>
      </c>
    </row>
    <row r="17" spans="2:8" x14ac:dyDescent="0.25">
      <c r="B17" s="47"/>
      <c r="C17" s="47"/>
      <c r="D17" s="48"/>
      <c r="E17" s="48"/>
      <c r="F17" s="48"/>
      <c r="G17" s="48" t="s">
        <v>206</v>
      </c>
      <c r="H17" s="48" t="s">
        <v>223</v>
      </c>
    </row>
    <row r="18" spans="2:8" x14ac:dyDescent="0.25">
      <c r="B18" s="47"/>
      <c r="C18" s="47"/>
      <c r="D18" s="48"/>
      <c r="E18" s="48"/>
      <c r="F18" s="48"/>
      <c r="G18" s="48" t="s">
        <v>207</v>
      </c>
      <c r="H18" s="48" t="s">
        <v>224</v>
      </c>
    </row>
    <row r="24" spans="2:8" x14ac:dyDescent="0.25">
      <c r="C24" t="s">
        <v>170</v>
      </c>
    </row>
    <row r="25" spans="2:8" x14ac:dyDescent="0.25">
      <c r="C25" t="s">
        <v>226</v>
      </c>
    </row>
    <row r="26" spans="2:8" x14ac:dyDescent="0.25">
      <c r="C26" t="s">
        <v>227</v>
      </c>
    </row>
    <row r="27" spans="2:8" x14ac:dyDescent="0.25">
      <c r="C27" t="s">
        <v>228</v>
      </c>
    </row>
    <row r="28" spans="2:8" x14ac:dyDescent="0.25">
      <c r="C28" t="s">
        <v>229</v>
      </c>
    </row>
    <row r="29" spans="2:8" x14ac:dyDescent="0.25">
      <c r="C29" t="s">
        <v>230</v>
      </c>
    </row>
    <row r="30" spans="2:8" x14ac:dyDescent="0.25">
      <c r="C30" t="s">
        <v>170</v>
      </c>
    </row>
    <row r="33" spans="3:11" x14ac:dyDescent="0.25">
      <c r="J33">
        <v>1</v>
      </c>
      <c r="K33">
        <v>2</v>
      </c>
    </row>
    <row r="34" spans="3:11" x14ac:dyDescent="0.25">
      <c r="C34" s="51" t="s">
        <v>236</v>
      </c>
      <c r="D34" s="48" t="s">
        <v>234</v>
      </c>
      <c r="E34" s="48" t="s">
        <v>239</v>
      </c>
      <c r="F34" s="48" t="s">
        <v>237</v>
      </c>
      <c r="G34" s="48" t="s">
        <v>238</v>
      </c>
      <c r="H34" s="48" t="s">
        <v>240</v>
      </c>
      <c r="J34" t="s">
        <v>193</v>
      </c>
      <c r="K34" t="s">
        <v>209</v>
      </c>
    </row>
    <row r="35" spans="3:11" x14ac:dyDescent="0.25">
      <c r="C35" s="47" t="s">
        <v>235</v>
      </c>
      <c r="D35" s="48" t="s">
        <v>171</v>
      </c>
      <c r="E35" s="48" t="s">
        <v>244</v>
      </c>
      <c r="F35" s="48" t="s">
        <v>246</v>
      </c>
      <c r="G35" s="48" t="s">
        <v>248</v>
      </c>
      <c r="H35" s="48"/>
    </row>
    <row r="36" spans="3:11" x14ac:dyDescent="0.25">
      <c r="C36" s="47"/>
      <c r="D36" s="48" t="s">
        <v>241</v>
      </c>
      <c r="E36" s="48" t="s">
        <v>245</v>
      </c>
      <c r="F36" s="48" t="s">
        <v>247</v>
      </c>
      <c r="G36" s="48" t="s">
        <v>249</v>
      </c>
      <c r="H36" s="48"/>
    </row>
    <row r="37" spans="3:11" x14ac:dyDescent="0.25">
      <c r="C37" s="47"/>
      <c r="D37" s="48" t="s">
        <v>242</v>
      </c>
      <c r="E37" s="48"/>
      <c r="F37" s="48"/>
      <c r="G37" s="48" t="s">
        <v>250</v>
      </c>
      <c r="H37" s="48"/>
    </row>
    <row r="38" spans="3:11" x14ac:dyDescent="0.25">
      <c r="C38" s="47"/>
      <c r="D38" s="48" t="s">
        <v>243</v>
      </c>
      <c r="E38" s="48"/>
      <c r="F38" s="48"/>
      <c r="G38" s="48" t="s">
        <v>250</v>
      </c>
      <c r="H38" s="48"/>
    </row>
    <row r="39" spans="3:11" x14ac:dyDescent="0.25">
      <c r="C39" s="47"/>
      <c r="D39" s="48"/>
      <c r="E39" s="48"/>
      <c r="F39" s="48"/>
      <c r="G39" s="48" t="s">
        <v>251</v>
      </c>
      <c r="H39" s="48"/>
    </row>
    <row r="40" spans="3:11" x14ac:dyDescent="0.25">
      <c r="C40" s="47"/>
      <c r="D40" s="48"/>
      <c r="E40" s="48"/>
      <c r="F40" s="48"/>
      <c r="G40" s="48" t="s">
        <v>252</v>
      </c>
      <c r="H40" s="48"/>
    </row>
    <row r="41" spans="3:11" x14ac:dyDescent="0.25">
      <c r="C41" s="47"/>
      <c r="D41" s="48"/>
      <c r="E41" s="48"/>
      <c r="F41" s="48"/>
      <c r="G41" s="48"/>
      <c r="H41" s="48"/>
    </row>
    <row r="43" spans="3:11" x14ac:dyDescent="0.25">
      <c r="C43" t="s">
        <v>253</v>
      </c>
    </row>
    <row r="44" spans="3:11" x14ac:dyDescent="0.25">
      <c r="C44" t="s">
        <v>173</v>
      </c>
      <c r="D44" t="s">
        <v>254</v>
      </c>
    </row>
    <row r="45" spans="3:11" x14ac:dyDescent="0.25">
      <c r="D45" t="s">
        <v>255</v>
      </c>
    </row>
    <row r="46" spans="3:11" x14ac:dyDescent="0.25">
      <c r="D46" t="s">
        <v>256</v>
      </c>
    </row>
    <row r="47" spans="3:11" x14ac:dyDescent="0.25">
      <c r="D47" t="s">
        <v>257</v>
      </c>
    </row>
    <row r="48" spans="3:11" x14ac:dyDescent="0.25">
      <c r="D48" t="s">
        <v>258</v>
      </c>
    </row>
    <row r="49" spans="3:4" x14ac:dyDescent="0.25">
      <c r="C49" t="s">
        <v>178</v>
      </c>
      <c r="D49" t="s">
        <v>259</v>
      </c>
    </row>
    <row r="50" spans="3:4" x14ac:dyDescent="0.25">
      <c r="D50" t="s">
        <v>260</v>
      </c>
    </row>
    <row r="51" spans="3:4" x14ac:dyDescent="0.25">
      <c r="D51" t="s">
        <v>261</v>
      </c>
    </row>
    <row r="52" spans="3:4" x14ac:dyDescent="0.25">
      <c r="D52" t="s">
        <v>264</v>
      </c>
    </row>
    <row r="53" spans="3:4" x14ac:dyDescent="0.25">
      <c r="D53" t="s">
        <v>262</v>
      </c>
    </row>
    <row r="54" spans="3:4" x14ac:dyDescent="0.25">
      <c r="D54" t="s">
        <v>263</v>
      </c>
    </row>
    <row r="55" spans="3:4" x14ac:dyDescent="0.25">
      <c r="D55" t="s">
        <v>265</v>
      </c>
    </row>
    <row r="56" spans="3:4" x14ac:dyDescent="0.25">
      <c r="D56" t="s">
        <v>266</v>
      </c>
    </row>
    <row r="57" spans="3:4" x14ac:dyDescent="0.25">
      <c r="D57" t="s">
        <v>267</v>
      </c>
    </row>
    <row r="58" spans="3:4" x14ac:dyDescent="0.25">
      <c r="D58" t="s">
        <v>269</v>
      </c>
    </row>
    <row r="59" spans="3:4" x14ac:dyDescent="0.25">
      <c r="D59" t="s">
        <v>278</v>
      </c>
    </row>
    <row r="60" spans="3:4" x14ac:dyDescent="0.25">
      <c r="C60" t="s">
        <v>193</v>
      </c>
      <c r="D60" t="s">
        <v>270</v>
      </c>
    </row>
    <row r="61" spans="3:4" x14ac:dyDescent="0.25">
      <c r="D61" t="s">
        <v>268</v>
      </c>
    </row>
    <row r="62" spans="3:4" x14ac:dyDescent="0.25">
      <c r="D62" t="s">
        <v>258</v>
      </c>
    </row>
    <row r="63" spans="3:4" x14ac:dyDescent="0.25">
      <c r="D63" t="s">
        <v>271</v>
      </c>
    </row>
    <row r="64" spans="3:4" x14ac:dyDescent="0.25">
      <c r="D64" t="s">
        <v>272</v>
      </c>
    </row>
    <row r="65" spans="3:4" x14ac:dyDescent="0.25">
      <c r="D65" t="s">
        <v>273</v>
      </c>
    </row>
    <row r="66" spans="3:4" x14ac:dyDescent="0.25">
      <c r="D66" t="s">
        <v>274</v>
      </c>
    </row>
    <row r="67" spans="3:4" x14ac:dyDescent="0.25">
      <c r="C67" t="s">
        <v>188</v>
      </c>
      <c r="D67" t="s">
        <v>275</v>
      </c>
    </row>
    <row r="68" spans="3:4" x14ac:dyDescent="0.25">
      <c r="D68" t="s">
        <v>276</v>
      </c>
    </row>
    <row r="69" spans="3:4" x14ac:dyDescent="0.25">
      <c r="D69" t="s">
        <v>277</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topLeftCell="A9" workbookViewId="0">
      <selection activeCell="D22" sqref="D22"/>
    </sheetView>
  </sheetViews>
  <sheetFormatPr defaultRowHeight="15" x14ac:dyDescent="0.25"/>
  <cols>
    <col min="2" max="2" width="3" bestFit="1" customWidth="1"/>
    <col min="3" max="3" width="130" customWidth="1"/>
  </cols>
  <sheetData>
    <row r="2" spans="2:3" ht="15" customHeight="1" x14ac:dyDescent="0.25">
      <c r="B2" s="52">
        <v>1</v>
      </c>
      <c r="C2" s="55" t="s">
        <v>284</v>
      </c>
    </row>
    <row r="3" spans="2:3" x14ac:dyDescent="0.25">
      <c r="B3" s="52">
        <v>2</v>
      </c>
      <c r="C3" s="53" t="s">
        <v>285</v>
      </c>
    </row>
    <row r="4" spans="2:3" x14ac:dyDescent="0.25">
      <c r="B4" s="52">
        <v>3</v>
      </c>
      <c r="C4" s="54" t="s">
        <v>286</v>
      </c>
    </row>
    <row r="5" spans="2:3" ht="30" x14ac:dyDescent="0.25">
      <c r="B5" s="52">
        <v>4</v>
      </c>
      <c r="C5" s="53" t="s">
        <v>287</v>
      </c>
    </row>
    <row r="6" spans="2:3" x14ac:dyDescent="0.25">
      <c r="B6" s="52">
        <v>5</v>
      </c>
      <c r="C6" s="54" t="s">
        <v>288</v>
      </c>
    </row>
    <row r="7" spans="2:3" ht="30" x14ac:dyDescent="0.25">
      <c r="B7" s="52">
        <v>6</v>
      </c>
      <c r="C7" s="53" t="s">
        <v>289</v>
      </c>
    </row>
    <row r="8" spans="2:3" ht="90" x14ac:dyDescent="0.25">
      <c r="B8" s="52">
        <v>7</v>
      </c>
      <c r="C8" s="53" t="s">
        <v>290</v>
      </c>
    </row>
    <row r="9" spans="2:3" x14ac:dyDescent="0.25">
      <c r="B9" s="52">
        <v>8</v>
      </c>
      <c r="C9" s="54" t="s">
        <v>291</v>
      </c>
    </row>
    <row r="10" spans="2:3" x14ac:dyDescent="0.25">
      <c r="B10" s="52">
        <v>9</v>
      </c>
      <c r="C10" s="54" t="s">
        <v>292</v>
      </c>
    </row>
    <row r="11" spans="2:3" x14ac:dyDescent="0.25">
      <c r="B11" s="52">
        <v>10</v>
      </c>
      <c r="C11" s="54" t="s">
        <v>293</v>
      </c>
    </row>
    <row r="12" spans="2:3" x14ac:dyDescent="0.25">
      <c r="B12" s="52">
        <v>11</v>
      </c>
      <c r="C12" s="54" t="s">
        <v>294</v>
      </c>
    </row>
    <row r="13" spans="2:3" x14ac:dyDescent="0.25">
      <c r="B13" s="52">
        <v>12</v>
      </c>
      <c r="C13" s="54" t="s">
        <v>295</v>
      </c>
    </row>
    <row r="14" spans="2:3" x14ac:dyDescent="0.25">
      <c r="B14" s="52">
        <v>13</v>
      </c>
      <c r="C14" s="54" t="s">
        <v>296</v>
      </c>
    </row>
    <row r="15" spans="2:3" x14ac:dyDescent="0.25">
      <c r="B15" s="52">
        <v>14</v>
      </c>
      <c r="C15" s="54" t="s">
        <v>286</v>
      </c>
    </row>
    <row r="16" spans="2:3" x14ac:dyDescent="0.25">
      <c r="B16" s="52">
        <v>15</v>
      </c>
      <c r="C16" s="54" t="s">
        <v>298</v>
      </c>
    </row>
    <row r="17" spans="2:3" ht="31.5" customHeight="1" x14ac:dyDescent="0.25">
      <c r="B17" s="58">
        <v>16</v>
      </c>
      <c r="C17" s="60" t="s">
        <v>299</v>
      </c>
    </row>
    <row r="18" spans="2:3" x14ac:dyDescent="0.25">
      <c r="B18" s="59">
        <v>17</v>
      </c>
      <c r="C18" s="60" t="s">
        <v>300</v>
      </c>
    </row>
    <row r="19" spans="2:3" x14ac:dyDescent="0.25">
      <c r="B19" s="58">
        <v>18</v>
      </c>
      <c r="C19" s="52" t="s">
        <v>301</v>
      </c>
    </row>
    <row r="20" spans="2:3" x14ac:dyDescent="0.25">
      <c r="B20" s="59">
        <v>19</v>
      </c>
      <c r="C20" s="52"/>
    </row>
    <row r="21" spans="2:3" x14ac:dyDescent="0.25">
      <c r="B21" s="61">
        <v>20</v>
      </c>
      <c r="C21" s="52"/>
    </row>
    <row r="22" spans="2:3" x14ac:dyDescent="0.25">
      <c r="B22" s="52"/>
      <c r="C22" s="52"/>
    </row>
    <row r="23" spans="2:3" x14ac:dyDescent="0.25">
      <c r="B23" s="52"/>
      <c r="C23" s="52"/>
    </row>
    <row r="24" spans="2:3" x14ac:dyDescent="0.25">
      <c r="B24" s="52"/>
      <c r="C24" s="52"/>
    </row>
    <row r="25" spans="2:3" x14ac:dyDescent="0.25">
      <c r="B25" s="52"/>
      <c r="C25" s="52"/>
    </row>
    <row r="26" spans="2:3" x14ac:dyDescent="0.25">
      <c r="B26" s="52"/>
      <c r="C26" s="52"/>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PC-51</cp:lastModifiedBy>
  <cp:lastPrinted>2025-07-22T11:09:18Z</cp:lastPrinted>
  <dcterms:created xsi:type="dcterms:W3CDTF">2019-07-16T09:29:46Z</dcterms:created>
  <dcterms:modified xsi:type="dcterms:W3CDTF">2025-07-22T11:11:59Z</dcterms:modified>
</cp:coreProperties>
</file>