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C:\Users\SACHIN\Downloads\15261 - Imperial Splendora (Building No.9) Wing A to F\"/>
    </mc:Choice>
  </mc:AlternateContent>
  <xr:revisionPtr revIDLastSave="0" documentId="13_ncr:1_{DD8334C7-5E73-4452-BE95-816EEBFEF054}" xr6:coauthVersionLast="47" xr6:coauthVersionMax="47" xr10:uidLastSave="{00000000-0000-0000-0000-000000000000}"/>
  <bookViews>
    <workbookView xWindow="-120" yWindow="-120" windowWidth="20730" windowHeight="11160" tabRatio="725" xr2:uid="{00000000-000D-0000-FFFF-FFFF00000000}"/>
  </bookViews>
  <sheets>
    <sheet name="Report" sheetId="1" r:id="rId1"/>
    <sheet name="Flat detail" sheetId="3" r:id="rId2"/>
    <sheet name="valuation" sheetId="5" r:id="rId3"/>
    <sheet name="Note" sheetId="4" r:id="rId4"/>
  </sheets>
  <definedNames>
    <definedName name="_xlnm.Print_Area" localSheetId="0">Report!$A$1:$H$773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6" i="1" l="1"/>
  <c r="D475" i="1"/>
  <c r="D474" i="1"/>
  <c r="D473" i="1"/>
  <c r="D471" i="1"/>
  <c r="D468" i="1"/>
  <c r="J470" i="1"/>
  <c r="I470" i="1"/>
  <c r="D470" i="1"/>
  <c r="D469" i="1"/>
  <c r="D466" i="1"/>
  <c r="E466" i="1"/>
  <c r="E463" i="1"/>
  <c r="D463" i="1"/>
  <c r="J463" i="1"/>
  <c r="I463" i="1"/>
  <c r="D305" i="1"/>
  <c r="C83" i="1"/>
  <c r="I78" i="1"/>
  <c r="C215" i="1" l="1"/>
  <c r="E215" i="1"/>
  <c r="D560" i="1"/>
  <c r="I560" i="1"/>
  <c r="D559" i="1"/>
  <c r="I511" i="1"/>
  <c r="D68" i="1" l="1"/>
  <c r="C170" i="1"/>
  <c r="K181" i="1"/>
  <c r="K180" i="1"/>
  <c r="K179" i="1"/>
  <c r="K178" i="1"/>
  <c r="I170" i="1"/>
  <c r="C172" i="1" s="1"/>
  <c r="C156" i="1"/>
  <c r="K167" i="1"/>
  <c r="K166" i="1"/>
  <c r="K165" i="1"/>
  <c r="K164" i="1"/>
  <c r="D575" i="1"/>
  <c r="F575" i="1" s="1"/>
  <c r="D574" i="1"/>
  <c r="F574" i="1" s="1"/>
  <c r="D573" i="1"/>
  <c r="F573" i="1" s="1"/>
  <c r="D572" i="1"/>
  <c r="F572" i="1" s="1"/>
  <c r="D571" i="1"/>
  <c r="F571" i="1" s="1"/>
  <c r="D570" i="1"/>
  <c r="F570" i="1" s="1"/>
  <c r="D569" i="1"/>
  <c r="F569" i="1" s="1"/>
  <c r="D568" i="1"/>
  <c r="F568" i="1" s="1"/>
  <c r="D566" i="1"/>
  <c r="F566" i="1" s="1"/>
  <c r="D565" i="1"/>
  <c r="F565" i="1" s="1"/>
  <c r="D564" i="1"/>
  <c r="F564" i="1" s="1"/>
  <c r="D563" i="1"/>
  <c r="F563" i="1" s="1"/>
  <c r="D562" i="1"/>
  <c r="F562" i="1" s="1"/>
  <c r="D561" i="1"/>
  <c r="F561" i="1" s="1"/>
  <c r="F560" i="1"/>
  <c r="F559" i="1"/>
  <c r="D556" i="1"/>
  <c r="F556" i="1" s="1"/>
  <c r="D555" i="1"/>
  <c r="F555" i="1" s="1"/>
  <c r="D547" i="1"/>
  <c r="F547" i="1" s="1"/>
  <c r="D546" i="1"/>
  <c r="I546" i="1"/>
  <c r="G568" i="1"/>
  <c r="G559" i="1"/>
  <c r="G550" i="1"/>
  <c r="G541" i="1"/>
  <c r="D532" i="1"/>
  <c r="F532" i="1" s="1"/>
  <c r="D537" i="1"/>
  <c r="F537" i="1" s="1"/>
  <c r="D536" i="1"/>
  <c r="F536" i="1" s="1"/>
  <c r="D535" i="1"/>
  <c r="F535" i="1" s="1"/>
  <c r="D534" i="1"/>
  <c r="D533" i="1"/>
  <c r="F533" i="1" s="1"/>
  <c r="D531" i="1"/>
  <c r="F531" i="1" s="1"/>
  <c r="D529" i="1"/>
  <c r="F529" i="1" s="1"/>
  <c r="D528" i="1"/>
  <c r="F528" i="1" s="1"/>
  <c r="D527" i="1"/>
  <c r="F527" i="1" s="1"/>
  <c r="D526" i="1"/>
  <c r="F526" i="1" s="1"/>
  <c r="D525" i="1"/>
  <c r="F525" i="1" s="1"/>
  <c r="D524" i="1"/>
  <c r="D523" i="1"/>
  <c r="F523" i="1" s="1"/>
  <c r="D520" i="1"/>
  <c r="F520" i="1" s="1"/>
  <c r="D519" i="1"/>
  <c r="F519" i="1" s="1"/>
  <c r="D518" i="1"/>
  <c r="F518" i="1" s="1"/>
  <c r="D512" i="1"/>
  <c r="F512" i="1" s="1"/>
  <c r="D511" i="1"/>
  <c r="F511" i="1" s="1"/>
  <c r="D510" i="1"/>
  <c r="F534" i="1"/>
  <c r="F524" i="1"/>
  <c r="I510" i="1"/>
  <c r="G531" i="1"/>
  <c r="G523" i="1"/>
  <c r="G507" i="1"/>
  <c r="G515" i="1"/>
  <c r="E218" i="1" l="1"/>
  <c r="C218" i="1"/>
  <c r="F546" i="1"/>
  <c r="G218" i="1" s="1"/>
  <c r="E217" i="1"/>
  <c r="F510" i="1"/>
  <c r="G217" i="1"/>
  <c r="C217" i="1"/>
  <c r="G65" i="1"/>
  <c r="G61" i="1"/>
  <c r="I39" i="1"/>
  <c r="C13" i="1" l="1"/>
  <c r="D479" i="1" l="1"/>
  <c r="F479" i="1" s="1"/>
  <c r="C142" i="1"/>
  <c r="K153" i="1"/>
  <c r="K152" i="1"/>
  <c r="K151" i="1"/>
  <c r="K150" i="1"/>
  <c r="C114" i="1"/>
  <c r="D500" i="1"/>
  <c r="F500" i="1" s="1"/>
  <c r="D503" i="1"/>
  <c r="F503" i="1" s="1"/>
  <c r="D502" i="1"/>
  <c r="F502" i="1" s="1"/>
  <c r="D501" i="1"/>
  <c r="F501" i="1" s="1"/>
  <c r="D499" i="1"/>
  <c r="F499" i="1" s="1"/>
  <c r="G498" i="1"/>
  <c r="D498" i="1"/>
  <c r="F498" i="1" s="1"/>
  <c r="D494" i="1"/>
  <c r="F494" i="1" s="1"/>
  <c r="D492" i="1"/>
  <c r="F492" i="1" s="1"/>
  <c r="D491" i="1"/>
  <c r="F491" i="1" s="1"/>
  <c r="D493" i="1"/>
  <c r="F493" i="1" s="1"/>
  <c r="D496" i="1"/>
  <c r="F496" i="1" s="1"/>
  <c r="D495" i="1"/>
  <c r="F495" i="1" s="1"/>
  <c r="G491" i="1"/>
  <c r="D489" i="1"/>
  <c r="F489" i="1" s="1"/>
  <c r="D488" i="1"/>
  <c r="F488" i="1" s="1"/>
  <c r="D487" i="1"/>
  <c r="F487" i="1" s="1"/>
  <c r="E486" i="1"/>
  <c r="E485" i="1"/>
  <c r="D486" i="1"/>
  <c r="D485" i="1"/>
  <c r="E484" i="1"/>
  <c r="D484" i="1"/>
  <c r="G484" i="1"/>
  <c r="D482" i="1"/>
  <c r="F482" i="1" s="1"/>
  <c r="E481" i="1"/>
  <c r="D481" i="1"/>
  <c r="G481" i="1"/>
  <c r="I479" i="1"/>
  <c r="G479" i="1"/>
  <c r="D332" i="1"/>
  <c r="F332" i="1" s="1"/>
  <c r="D331" i="1"/>
  <c r="F331" i="1" s="1"/>
  <c r="D330" i="1"/>
  <c r="F330" i="1" s="1"/>
  <c r="D329" i="1"/>
  <c r="F329" i="1" s="1"/>
  <c r="D328" i="1"/>
  <c r="F328" i="1" s="1"/>
  <c r="D327" i="1"/>
  <c r="F327" i="1" s="1"/>
  <c r="D325" i="1"/>
  <c r="F325" i="1" s="1"/>
  <c r="D324" i="1"/>
  <c r="F324" i="1" s="1"/>
  <c r="D323" i="1"/>
  <c r="F323" i="1" s="1"/>
  <c r="D322" i="1"/>
  <c r="F322" i="1" s="1"/>
  <c r="D321" i="1"/>
  <c r="F321" i="1" s="1"/>
  <c r="D320" i="1"/>
  <c r="F320" i="1" s="1"/>
  <c r="D319" i="1"/>
  <c r="F319" i="1" s="1"/>
  <c r="D318" i="1"/>
  <c r="F318" i="1" s="1"/>
  <c r="I332" i="1"/>
  <c r="I329" i="1"/>
  <c r="I328" i="1"/>
  <c r="A328" i="1"/>
  <c r="A329" i="1" s="1"/>
  <c r="A330" i="1" s="1"/>
  <c r="A331" i="1" s="1"/>
  <c r="A332" i="1" s="1"/>
  <c r="I327" i="1"/>
  <c r="G327" i="1"/>
  <c r="I323" i="1"/>
  <c r="I320" i="1"/>
  <c r="I319" i="1"/>
  <c r="I318" i="1"/>
  <c r="A319" i="1"/>
  <c r="A320" i="1" s="1"/>
  <c r="A321" i="1" s="1"/>
  <c r="A322" i="1" s="1"/>
  <c r="A323" i="1" s="1"/>
  <c r="A324" i="1" s="1"/>
  <c r="A325" i="1" s="1"/>
  <c r="G318" i="1"/>
  <c r="H143" i="1"/>
  <c r="F486" i="1" l="1"/>
  <c r="F485" i="1"/>
  <c r="G207" i="1"/>
  <c r="C216" i="1"/>
  <c r="C207" i="1"/>
  <c r="F481" i="1"/>
  <c r="E216" i="1"/>
  <c r="E207" i="1"/>
  <c r="K147" i="1"/>
  <c r="C146" i="1" s="1"/>
  <c r="D155" i="1"/>
  <c r="D151" i="1"/>
  <c r="D147" i="1"/>
  <c r="K146" i="1"/>
  <c r="D154" i="1"/>
  <c r="D150" i="1"/>
  <c r="D153" i="1"/>
  <c r="D149" i="1"/>
  <c r="K148" i="1"/>
  <c r="K149" i="1" s="1"/>
  <c r="K154" i="1" s="1"/>
  <c r="K155" i="1" s="1"/>
  <c r="D152" i="1"/>
  <c r="D148" i="1"/>
  <c r="K145" i="1"/>
  <c r="F484" i="1"/>
  <c r="E3" i="1"/>
  <c r="G216" i="1" l="1"/>
  <c r="G146" i="1"/>
  <c r="D146" i="1"/>
  <c r="I142" i="1" s="1"/>
  <c r="C144" i="1" s="1"/>
  <c r="E146" i="1" s="1"/>
  <c r="K139" i="1"/>
  <c r="K138" i="1"/>
  <c r="K137" i="1"/>
  <c r="K136" i="1"/>
  <c r="H82" i="1"/>
  <c r="H157" i="1"/>
  <c r="H171" i="1"/>
  <c r="K176" i="1" l="1"/>
  <c r="K177" i="1" s="1"/>
  <c r="K182" i="1" s="1"/>
  <c r="K183" i="1" s="1"/>
  <c r="K173" i="1"/>
  <c r="D180" i="1"/>
  <c r="D176" i="1"/>
  <c r="K175" i="1"/>
  <c r="D183" i="1"/>
  <c r="D179" i="1"/>
  <c r="D175" i="1"/>
  <c r="K174" i="1"/>
  <c r="D182" i="1"/>
  <c r="D178" i="1"/>
  <c r="G174" i="1"/>
  <c r="D181" i="1"/>
  <c r="D177" i="1"/>
  <c r="D174" i="1"/>
  <c r="E174" i="1"/>
  <c r="K161" i="1"/>
  <c r="D165" i="1"/>
  <c r="D164" i="1"/>
  <c r="D167" i="1"/>
  <c r="D163" i="1"/>
  <c r="D162" i="1"/>
  <c r="D169" i="1"/>
  <c r="K160" i="1"/>
  <c r="D168" i="1"/>
  <c r="K162" i="1"/>
  <c r="K163" i="1" s="1"/>
  <c r="K168" i="1" s="1"/>
  <c r="K169" i="1" s="1"/>
  <c r="C161" i="1" s="1"/>
  <c r="D161" i="1" s="1"/>
  <c r="D166" i="1"/>
  <c r="K159" i="1"/>
  <c r="I81" i="1"/>
  <c r="K125" i="1"/>
  <c r="K124" i="1"/>
  <c r="K123" i="1"/>
  <c r="K122" i="1"/>
  <c r="F476" i="1"/>
  <c r="F475" i="1"/>
  <c r="F474" i="1"/>
  <c r="F473" i="1"/>
  <c r="F471" i="1"/>
  <c r="F470" i="1"/>
  <c r="F468" i="1"/>
  <c r="F469" i="1"/>
  <c r="D459" i="1"/>
  <c r="F459" i="1" s="1"/>
  <c r="D460" i="1"/>
  <c r="F460" i="1" s="1"/>
  <c r="O474" i="1"/>
  <c r="G473" i="1"/>
  <c r="O469" i="1"/>
  <c r="G468" i="1"/>
  <c r="G463" i="1"/>
  <c r="A463" i="1"/>
  <c r="A464" i="1" s="1"/>
  <c r="A465" i="1" s="1"/>
  <c r="A466" i="1" s="1"/>
  <c r="D315" i="1"/>
  <c r="F315" i="1" s="1"/>
  <c r="D314" i="1"/>
  <c r="F314" i="1" s="1"/>
  <c r="D313" i="1"/>
  <c r="F313" i="1" s="1"/>
  <c r="D312" i="1"/>
  <c r="F312" i="1" s="1"/>
  <c r="D311" i="1"/>
  <c r="F311" i="1" s="1"/>
  <c r="D309" i="1"/>
  <c r="F309" i="1" s="1"/>
  <c r="D308" i="1"/>
  <c r="F308" i="1" s="1"/>
  <c r="D307" i="1"/>
  <c r="F307" i="1" s="1"/>
  <c r="D306" i="1"/>
  <c r="F306" i="1" s="1"/>
  <c r="F305" i="1"/>
  <c r="A312" i="1"/>
  <c r="A313" i="1" s="1"/>
  <c r="A314" i="1" s="1"/>
  <c r="A315" i="1" s="1"/>
  <c r="G311" i="1"/>
  <c r="A306" i="1"/>
  <c r="A307" i="1" s="1"/>
  <c r="A308" i="1" s="1"/>
  <c r="A309" i="1" s="1"/>
  <c r="G305" i="1"/>
  <c r="D419" i="1"/>
  <c r="F419" i="1" s="1"/>
  <c r="D418" i="1"/>
  <c r="F418" i="1" s="1"/>
  <c r="O417" i="1"/>
  <c r="D417" i="1"/>
  <c r="F417" i="1" s="1"/>
  <c r="G416" i="1"/>
  <c r="D416" i="1"/>
  <c r="F416" i="1" s="1"/>
  <c r="D424" i="1"/>
  <c r="F424" i="1" s="1"/>
  <c r="D423" i="1"/>
  <c r="F423" i="1" s="1"/>
  <c r="D422" i="1"/>
  <c r="F422" i="1" s="1"/>
  <c r="D421" i="1"/>
  <c r="F421" i="1" s="1"/>
  <c r="D414" i="1"/>
  <c r="F414" i="1" s="1"/>
  <c r="D413" i="1"/>
  <c r="F413" i="1" s="1"/>
  <c r="D412" i="1"/>
  <c r="F412" i="1" s="1"/>
  <c r="D411" i="1"/>
  <c r="F411" i="1" s="1"/>
  <c r="D409" i="1"/>
  <c r="F409" i="1" s="1"/>
  <c r="J409" i="1" s="1"/>
  <c r="D407" i="1"/>
  <c r="F407" i="1" s="1"/>
  <c r="D408" i="1"/>
  <c r="F408" i="1" s="1"/>
  <c r="D406" i="1"/>
  <c r="F406" i="1" s="1"/>
  <c r="I406" i="1"/>
  <c r="G421" i="1"/>
  <c r="O412" i="1"/>
  <c r="O413" i="1" s="1"/>
  <c r="G411" i="1"/>
  <c r="O407" i="1"/>
  <c r="O408" i="1" s="1"/>
  <c r="O409" i="1" s="1"/>
  <c r="G406" i="1"/>
  <c r="P468" i="1"/>
  <c r="O421" i="1"/>
  <c r="P473" i="1"/>
  <c r="P416" i="1"/>
  <c r="P421" i="1"/>
  <c r="P411" i="1"/>
  <c r="P406" i="1"/>
  <c r="C160" i="1" l="1"/>
  <c r="D160" i="1" s="1"/>
  <c r="I156" i="1" s="1"/>
  <c r="C158" i="1" s="1"/>
  <c r="E160" i="1" s="1"/>
  <c r="F463" i="1"/>
  <c r="E206" i="1"/>
  <c r="G206" i="1"/>
  <c r="C206" i="1"/>
  <c r="E224" i="1"/>
  <c r="C224" i="1"/>
  <c r="G224" i="1"/>
  <c r="G213" i="1"/>
  <c r="E213" i="1"/>
  <c r="C213" i="1"/>
  <c r="F466" i="1"/>
  <c r="P469" i="1"/>
  <c r="P470" i="1" s="1"/>
  <c r="P471" i="1" s="1"/>
  <c r="N468" i="1"/>
  <c r="A468" i="1" s="1"/>
  <c r="P474" i="1"/>
  <c r="P475" i="1" s="1"/>
  <c r="P476" i="1" s="1"/>
  <c r="N473" i="1"/>
  <c r="A473" i="1" s="1"/>
  <c r="O475" i="1"/>
  <c r="O470" i="1"/>
  <c r="P417" i="1"/>
  <c r="P418" i="1" s="1"/>
  <c r="P419" i="1" s="1"/>
  <c r="N416" i="1"/>
  <c r="O418" i="1"/>
  <c r="N406" i="1"/>
  <c r="A406" i="1" s="1"/>
  <c r="P407" i="1"/>
  <c r="N411" i="1"/>
  <c r="A411" i="1" s="1"/>
  <c r="P412" i="1"/>
  <c r="N421" i="1"/>
  <c r="A421" i="1" s="1"/>
  <c r="O422" i="1"/>
  <c r="P422" i="1"/>
  <c r="P423" i="1" s="1"/>
  <c r="P424" i="1" s="1"/>
  <c r="O414" i="1"/>
  <c r="G215" i="1" l="1"/>
  <c r="G160" i="1"/>
  <c r="N417" i="1"/>
  <c r="N474" i="1"/>
  <c r="A474" i="1" s="1"/>
  <c r="N469" i="1"/>
  <c r="A469" i="1" s="1"/>
  <c r="N475" i="1"/>
  <c r="A475" i="1" s="1"/>
  <c r="O476" i="1"/>
  <c r="N470" i="1"/>
  <c r="A470" i="1" s="1"/>
  <c r="O471" i="1"/>
  <c r="N418" i="1"/>
  <c r="O419" i="1"/>
  <c r="N419" i="1" s="1"/>
  <c r="N422" i="1"/>
  <c r="A422" i="1" s="1"/>
  <c r="O423" i="1"/>
  <c r="P413" i="1"/>
  <c r="N412" i="1"/>
  <c r="A412" i="1" s="1"/>
  <c r="P408" i="1"/>
  <c r="N407" i="1"/>
  <c r="A407" i="1" s="1"/>
  <c r="D401" i="1"/>
  <c r="D400" i="1"/>
  <c r="D399" i="1"/>
  <c r="D398" i="1"/>
  <c r="D397" i="1"/>
  <c r="D396" i="1"/>
  <c r="D395" i="1"/>
  <c r="D393" i="1"/>
  <c r="D392" i="1"/>
  <c r="D391" i="1"/>
  <c r="D390" i="1"/>
  <c r="D389" i="1"/>
  <c r="D388" i="1"/>
  <c r="D387" i="1"/>
  <c r="D385" i="1"/>
  <c r="D384" i="1"/>
  <c r="D383" i="1"/>
  <c r="D382" i="1"/>
  <c r="D380" i="1"/>
  <c r="D379" i="1"/>
  <c r="D377" i="1"/>
  <c r="D376" i="1"/>
  <c r="D375" i="1"/>
  <c r="D374" i="1"/>
  <c r="D371" i="1"/>
  <c r="I371" i="1"/>
  <c r="D372" i="1"/>
  <c r="N471" i="1" l="1"/>
  <c r="A471" i="1" s="1"/>
  <c r="N476" i="1"/>
  <c r="A476" i="1" s="1"/>
  <c r="N423" i="1"/>
  <c r="A423" i="1" s="1"/>
  <c r="O424" i="1"/>
  <c r="P409" i="1"/>
  <c r="N408" i="1"/>
  <c r="A408" i="1" s="1"/>
  <c r="P414" i="1"/>
  <c r="N413" i="1"/>
  <c r="A413" i="1" s="1"/>
  <c r="D381" i="1"/>
  <c r="I384" i="1"/>
  <c r="E374" i="1"/>
  <c r="E373" i="1"/>
  <c r="D373" i="1"/>
  <c r="E372" i="1"/>
  <c r="N424" i="1" l="1"/>
  <c r="A424" i="1" s="1"/>
  <c r="N414" i="1"/>
  <c r="A414" i="1" s="1"/>
  <c r="N409" i="1"/>
  <c r="A409" i="1" s="1"/>
  <c r="I347" i="1" l="1"/>
  <c r="D458" i="1"/>
  <c r="F458" i="1" s="1"/>
  <c r="D457" i="1"/>
  <c r="F457" i="1" s="1"/>
  <c r="D456" i="1"/>
  <c r="F456" i="1" s="1"/>
  <c r="D455" i="1"/>
  <c r="F455" i="1" s="1"/>
  <c r="G455" i="1"/>
  <c r="D453" i="1"/>
  <c r="F453" i="1" s="1"/>
  <c r="D452" i="1"/>
  <c r="F452" i="1" s="1"/>
  <c r="D451" i="1"/>
  <c r="F451" i="1" s="1"/>
  <c r="D450" i="1"/>
  <c r="F450" i="1" s="1"/>
  <c r="D449" i="1"/>
  <c r="F449" i="1" s="1"/>
  <c r="D448" i="1"/>
  <c r="G448" i="1"/>
  <c r="A448" i="1"/>
  <c r="A449" i="1" s="1"/>
  <c r="A450" i="1" s="1"/>
  <c r="A451" i="1" s="1"/>
  <c r="A452" i="1" s="1"/>
  <c r="A453" i="1" s="1"/>
  <c r="D444" i="1"/>
  <c r="F444" i="1" s="1"/>
  <c r="D446" i="1"/>
  <c r="F446" i="1" s="1"/>
  <c r="D445" i="1"/>
  <c r="F445" i="1" s="1"/>
  <c r="D443" i="1"/>
  <c r="F443" i="1" s="1"/>
  <c r="D442" i="1"/>
  <c r="F442" i="1" s="1"/>
  <c r="D441" i="1"/>
  <c r="F441" i="1" s="1"/>
  <c r="O442" i="1"/>
  <c r="O443" i="1" s="1"/>
  <c r="O444" i="1" s="1"/>
  <c r="G441" i="1"/>
  <c r="D439" i="1"/>
  <c r="F439" i="1" s="1"/>
  <c r="D438" i="1"/>
  <c r="F438" i="1" s="1"/>
  <c r="D437" i="1"/>
  <c r="F437" i="1" s="1"/>
  <c r="D436" i="1"/>
  <c r="F436" i="1" s="1"/>
  <c r="D435" i="1"/>
  <c r="F435" i="1" s="1"/>
  <c r="D434" i="1"/>
  <c r="F434" i="1" s="1"/>
  <c r="O435" i="1"/>
  <c r="O436" i="1" s="1"/>
  <c r="O437" i="1" s="1"/>
  <c r="O438" i="1" s="1"/>
  <c r="O439" i="1" s="1"/>
  <c r="G434" i="1"/>
  <c r="D432" i="1"/>
  <c r="F432" i="1" s="1"/>
  <c r="D431" i="1"/>
  <c r="E431" i="1"/>
  <c r="E430" i="1"/>
  <c r="D430" i="1"/>
  <c r="E429" i="1"/>
  <c r="D429" i="1"/>
  <c r="D428" i="1"/>
  <c r="F428" i="1" s="1"/>
  <c r="D427" i="1"/>
  <c r="D302" i="1"/>
  <c r="F302" i="1" s="1"/>
  <c r="D301" i="1"/>
  <c r="F301" i="1" s="1"/>
  <c r="D300" i="1"/>
  <c r="F300" i="1" s="1"/>
  <c r="D299" i="1"/>
  <c r="F299" i="1" s="1"/>
  <c r="D298" i="1"/>
  <c r="F298" i="1" s="1"/>
  <c r="D297" i="1"/>
  <c r="F297" i="1" s="1"/>
  <c r="D296" i="1"/>
  <c r="F296" i="1" s="1"/>
  <c r="D295" i="1"/>
  <c r="F295" i="1" s="1"/>
  <c r="D294" i="1"/>
  <c r="F294" i="1" s="1"/>
  <c r="D293" i="1"/>
  <c r="F293" i="1" s="1"/>
  <c r="D292" i="1"/>
  <c r="F292" i="1" s="1"/>
  <c r="D290" i="1"/>
  <c r="F290" i="1" s="1"/>
  <c r="D289" i="1"/>
  <c r="F289" i="1" s="1"/>
  <c r="D288" i="1"/>
  <c r="F288" i="1" s="1"/>
  <c r="D287" i="1"/>
  <c r="F287" i="1" s="1"/>
  <c r="D286" i="1"/>
  <c r="F286" i="1" s="1"/>
  <c r="D285" i="1"/>
  <c r="F285" i="1" s="1"/>
  <c r="D284" i="1"/>
  <c r="F284" i="1" s="1"/>
  <c r="D283" i="1"/>
  <c r="F283" i="1" s="1"/>
  <c r="D282" i="1"/>
  <c r="F282" i="1" s="1"/>
  <c r="D281" i="1"/>
  <c r="F281" i="1" s="1"/>
  <c r="D280" i="1"/>
  <c r="A293" i="1"/>
  <c r="A294" i="1" s="1"/>
  <c r="A295" i="1" s="1"/>
  <c r="A296" i="1" s="1"/>
  <c r="A297" i="1" s="1"/>
  <c r="A298" i="1" s="1"/>
  <c r="A299" i="1" s="1"/>
  <c r="A300" i="1" s="1"/>
  <c r="A301" i="1" s="1"/>
  <c r="A302" i="1" s="1"/>
  <c r="G292" i="1"/>
  <c r="A281" i="1"/>
  <c r="A282" i="1" s="1"/>
  <c r="A283" i="1" s="1"/>
  <c r="A284" i="1" s="1"/>
  <c r="A285" i="1" s="1"/>
  <c r="A286" i="1" s="1"/>
  <c r="A287" i="1" s="1"/>
  <c r="A288" i="1" s="1"/>
  <c r="A289" i="1" s="1"/>
  <c r="A290" i="1" s="1"/>
  <c r="G280" i="1"/>
  <c r="G427" i="1"/>
  <c r="A427" i="1"/>
  <c r="A428" i="1" s="1"/>
  <c r="A429" i="1" s="1"/>
  <c r="A430" i="1" s="1"/>
  <c r="A431" i="1" s="1"/>
  <c r="A432" i="1" s="1"/>
  <c r="F401" i="1"/>
  <c r="F400" i="1"/>
  <c r="F399" i="1"/>
  <c r="F398" i="1"/>
  <c r="F397" i="1"/>
  <c r="F390" i="1"/>
  <c r="F393" i="1"/>
  <c r="F392" i="1"/>
  <c r="F391" i="1"/>
  <c r="F389" i="1"/>
  <c r="F388" i="1"/>
  <c r="F387" i="1"/>
  <c r="F382" i="1"/>
  <c r="J382" i="1" s="1"/>
  <c r="F384" i="1"/>
  <c r="E343" i="1"/>
  <c r="F396" i="1"/>
  <c r="G395" i="1"/>
  <c r="O388" i="1"/>
  <c r="O389" i="1" s="1"/>
  <c r="O390" i="1" s="1"/>
  <c r="O391" i="1" s="1"/>
  <c r="G387" i="1"/>
  <c r="F385" i="1"/>
  <c r="F383" i="1"/>
  <c r="F381" i="1"/>
  <c r="O380" i="1"/>
  <c r="O381" i="1" s="1"/>
  <c r="O382" i="1" s="1"/>
  <c r="O383" i="1" s="1"/>
  <c r="F380" i="1"/>
  <c r="G379" i="1"/>
  <c r="F379" i="1"/>
  <c r="F377" i="1"/>
  <c r="J377" i="1" s="1"/>
  <c r="F375" i="1"/>
  <c r="F373" i="1"/>
  <c r="J373" i="1" s="1"/>
  <c r="F372" i="1"/>
  <c r="J372" i="1" s="1"/>
  <c r="G371" i="1"/>
  <c r="A371" i="1"/>
  <c r="A372" i="1" s="1"/>
  <c r="A373" i="1" s="1"/>
  <c r="A374" i="1" s="1"/>
  <c r="A375" i="1" s="1"/>
  <c r="A376" i="1" s="1"/>
  <c r="A377" i="1" s="1"/>
  <c r="D274" i="1"/>
  <c r="F274" i="1" s="1"/>
  <c r="D273" i="1"/>
  <c r="F273" i="1" s="1"/>
  <c r="D272" i="1"/>
  <c r="F272" i="1" s="1"/>
  <c r="D271" i="1"/>
  <c r="F271" i="1" s="1"/>
  <c r="D264" i="1"/>
  <c r="F264" i="1" s="1"/>
  <c r="D263" i="1"/>
  <c r="F263" i="1" s="1"/>
  <c r="D262" i="1"/>
  <c r="F262" i="1" s="1"/>
  <c r="D261" i="1"/>
  <c r="F261" i="1" s="1"/>
  <c r="D260" i="1"/>
  <c r="F260" i="1" s="1"/>
  <c r="D257" i="1"/>
  <c r="F257" i="1" s="1"/>
  <c r="D258" i="1"/>
  <c r="F258" i="1" s="1"/>
  <c r="D259" i="1"/>
  <c r="F259" i="1" s="1"/>
  <c r="D265" i="1"/>
  <c r="F265" i="1" s="1"/>
  <c r="D266" i="1"/>
  <c r="F266" i="1" s="1"/>
  <c r="D268" i="1"/>
  <c r="F268" i="1" s="1"/>
  <c r="D269" i="1"/>
  <c r="F269" i="1" s="1"/>
  <c r="D270" i="1"/>
  <c r="F270" i="1" s="1"/>
  <c r="D275" i="1"/>
  <c r="F275" i="1" s="1"/>
  <c r="D276" i="1"/>
  <c r="F276" i="1" s="1"/>
  <c r="D277" i="1"/>
  <c r="F277" i="1" s="1"/>
  <c r="A269" i="1"/>
  <c r="A270" i="1" s="1"/>
  <c r="A271" i="1" s="1"/>
  <c r="A272" i="1" s="1"/>
  <c r="A273" i="1" s="1"/>
  <c r="A274" i="1" s="1"/>
  <c r="A275" i="1" s="1"/>
  <c r="A276" i="1" s="1"/>
  <c r="A277" i="1" s="1"/>
  <c r="G268" i="1"/>
  <c r="G257" i="1"/>
  <c r="D367" i="1"/>
  <c r="D343" i="1"/>
  <c r="D351" i="1"/>
  <c r="D359" i="1"/>
  <c r="F359" i="1" s="1"/>
  <c r="D360" i="1"/>
  <c r="F360" i="1" s="1"/>
  <c r="D358" i="1"/>
  <c r="F358" i="1" s="1"/>
  <c r="D357" i="1"/>
  <c r="F357" i="1" s="1"/>
  <c r="D356" i="1"/>
  <c r="F356" i="1" s="1"/>
  <c r="O355" i="1"/>
  <c r="O356" i="1" s="1"/>
  <c r="D355" i="1"/>
  <c r="F355" i="1" s="1"/>
  <c r="G354" i="1"/>
  <c r="D354" i="1"/>
  <c r="F354" i="1" s="1"/>
  <c r="D368" i="1"/>
  <c r="F368" i="1" s="1"/>
  <c r="D366" i="1"/>
  <c r="D365" i="1"/>
  <c r="D364" i="1"/>
  <c r="D363" i="1"/>
  <c r="D362" i="1"/>
  <c r="D350" i="1"/>
  <c r="D349" i="1"/>
  <c r="D341" i="1"/>
  <c r="D352" i="1"/>
  <c r="F352" i="1" s="1"/>
  <c r="D348" i="1"/>
  <c r="D347" i="1"/>
  <c r="D346" i="1"/>
  <c r="D344" i="1"/>
  <c r="F344" i="1" s="1"/>
  <c r="E342" i="1"/>
  <c r="D342" i="1"/>
  <c r="E341" i="1"/>
  <c r="D340" i="1"/>
  <c r="D339" i="1"/>
  <c r="D338" i="1"/>
  <c r="D243" i="1"/>
  <c r="F243" i="1" s="1"/>
  <c r="D242" i="1"/>
  <c r="F242" i="1" s="1"/>
  <c r="D254" i="1"/>
  <c r="F254" i="1" s="1"/>
  <c r="D253" i="1"/>
  <c r="F253" i="1" s="1"/>
  <c r="D252" i="1"/>
  <c r="F252" i="1" s="1"/>
  <c r="D251" i="1"/>
  <c r="F251" i="1" s="1"/>
  <c r="D250" i="1"/>
  <c r="F250" i="1" s="1"/>
  <c r="D239" i="1"/>
  <c r="D249" i="1"/>
  <c r="F249" i="1" s="1"/>
  <c r="D248" i="1"/>
  <c r="F248" i="1" s="1"/>
  <c r="D247" i="1"/>
  <c r="F247" i="1" s="1"/>
  <c r="D246" i="1"/>
  <c r="F246" i="1" s="1"/>
  <c r="D245" i="1"/>
  <c r="F245" i="1" s="1"/>
  <c r="A246" i="1"/>
  <c r="A247" i="1" s="1"/>
  <c r="A248" i="1" s="1"/>
  <c r="A249" i="1" s="1"/>
  <c r="A250" i="1" s="1"/>
  <c r="A251" i="1" s="1"/>
  <c r="A252" i="1" s="1"/>
  <c r="A253" i="1" s="1"/>
  <c r="A254" i="1" s="1"/>
  <c r="G245" i="1"/>
  <c r="D238" i="1"/>
  <c r="D237" i="1"/>
  <c r="D236" i="1"/>
  <c r="D235" i="1"/>
  <c r="D234" i="1"/>
  <c r="D241" i="1"/>
  <c r="F241" i="1" s="1"/>
  <c r="D240" i="1"/>
  <c r="P354" i="1"/>
  <c r="O395" i="1"/>
  <c r="P441" i="1"/>
  <c r="P455" i="1"/>
  <c r="P387" i="1"/>
  <c r="P379" i="1"/>
  <c r="P434" i="1"/>
  <c r="O455" i="1"/>
  <c r="P395" i="1"/>
  <c r="C222" i="1" l="1"/>
  <c r="C226" i="1" s="1"/>
  <c r="F343" i="1"/>
  <c r="E214" i="1"/>
  <c r="F448" i="1"/>
  <c r="G225" i="1" s="1"/>
  <c r="E225" i="1"/>
  <c r="C205" i="1"/>
  <c r="F430" i="1"/>
  <c r="F374" i="1"/>
  <c r="F280" i="1"/>
  <c r="G205" i="1" s="1"/>
  <c r="E203" i="1"/>
  <c r="F342" i="1"/>
  <c r="F429" i="1"/>
  <c r="F341" i="1"/>
  <c r="E205" i="1"/>
  <c r="C203" i="1"/>
  <c r="G204" i="1"/>
  <c r="F431" i="1"/>
  <c r="C204" i="1"/>
  <c r="F395" i="1"/>
  <c r="G223" i="1" s="1"/>
  <c r="C223" i="1"/>
  <c r="E223" i="1"/>
  <c r="E222" i="1"/>
  <c r="E226" i="1" s="1"/>
  <c r="F427" i="1"/>
  <c r="C214" i="1"/>
  <c r="C211" i="1"/>
  <c r="C219" i="1" s="1"/>
  <c r="E211" i="1"/>
  <c r="F376" i="1"/>
  <c r="C225" i="1"/>
  <c r="E204" i="1"/>
  <c r="F371" i="1"/>
  <c r="C212" i="1"/>
  <c r="E212" i="1"/>
  <c r="P456" i="1"/>
  <c r="P457" i="1" s="1"/>
  <c r="P458" i="1" s="1"/>
  <c r="P459" i="1" s="1"/>
  <c r="P460" i="1" s="1"/>
  <c r="O456" i="1"/>
  <c r="N455" i="1"/>
  <c r="A455" i="1" s="1"/>
  <c r="P442" i="1"/>
  <c r="N441" i="1"/>
  <c r="A441" i="1" s="1"/>
  <c r="O445" i="1"/>
  <c r="P435" i="1"/>
  <c r="N434" i="1"/>
  <c r="A434" i="1" s="1"/>
  <c r="O396" i="1"/>
  <c r="N395" i="1"/>
  <c r="A395" i="1" s="1"/>
  <c r="P396" i="1"/>
  <c r="P397" i="1" s="1"/>
  <c r="P398" i="1" s="1"/>
  <c r="P399" i="1" s="1"/>
  <c r="P400" i="1" s="1"/>
  <c r="P401" i="1" s="1"/>
  <c r="P380" i="1"/>
  <c r="N379" i="1"/>
  <c r="A379" i="1" s="1"/>
  <c r="P388" i="1"/>
  <c r="N387" i="1"/>
  <c r="A387" i="1" s="1"/>
  <c r="O392" i="1"/>
  <c r="O384" i="1"/>
  <c r="P355" i="1"/>
  <c r="P356" i="1" s="1"/>
  <c r="P357" i="1" s="1"/>
  <c r="P358" i="1" s="1"/>
  <c r="P359" i="1" s="1"/>
  <c r="P360" i="1" s="1"/>
  <c r="N354" i="1"/>
  <c r="A354" i="1" s="1"/>
  <c r="O357" i="1"/>
  <c r="A578" i="1"/>
  <c r="A579" i="1" s="1"/>
  <c r="A580" i="1" s="1"/>
  <c r="A581" i="1" s="1"/>
  <c r="E219" i="1" l="1"/>
  <c r="E208" i="1"/>
  <c r="C208" i="1"/>
  <c r="A585" i="1"/>
  <c r="A586" i="1" s="1"/>
  <c r="A587" i="1" s="1"/>
  <c r="A588" i="1" s="1"/>
  <c r="A589" i="1" s="1"/>
  <c r="A582" i="1"/>
  <c r="G214" i="1"/>
  <c r="J371" i="1"/>
  <c r="G212" i="1"/>
  <c r="O457" i="1"/>
  <c r="N456" i="1"/>
  <c r="A456" i="1" s="1"/>
  <c r="P443" i="1"/>
  <c r="N442" i="1"/>
  <c r="A442" i="1" s="1"/>
  <c r="O446" i="1"/>
  <c r="P436" i="1"/>
  <c r="N435" i="1"/>
  <c r="A435" i="1" s="1"/>
  <c r="O385" i="1"/>
  <c r="P389" i="1"/>
  <c r="N388" i="1"/>
  <c r="A388" i="1" s="1"/>
  <c r="O397" i="1"/>
  <c r="N396" i="1"/>
  <c r="A396" i="1" s="1"/>
  <c r="O393" i="1"/>
  <c r="P381" i="1"/>
  <c r="N380" i="1"/>
  <c r="A380" i="1" s="1"/>
  <c r="N355" i="1"/>
  <c r="A355" i="1" s="1"/>
  <c r="N356" i="1"/>
  <c r="A356" i="1" s="1"/>
  <c r="O358" i="1"/>
  <c r="N357" i="1"/>
  <c r="A357" i="1" s="1"/>
  <c r="A338" i="1"/>
  <c r="A339" i="1" s="1"/>
  <c r="A340" i="1" s="1"/>
  <c r="A341" i="1" s="1"/>
  <c r="A342" i="1" s="1"/>
  <c r="A343" i="1" s="1"/>
  <c r="A344" i="1" s="1"/>
  <c r="P362" i="1"/>
  <c r="O362" i="1"/>
  <c r="P346" i="1"/>
  <c r="O458" i="1" l="1"/>
  <c r="O459" i="1" s="1"/>
  <c r="N457" i="1"/>
  <c r="A457" i="1" s="1"/>
  <c r="P444" i="1"/>
  <c r="N443" i="1"/>
  <c r="A443" i="1" s="1"/>
  <c r="P437" i="1"/>
  <c r="N436" i="1"/>
  <c r="A436" i="1" s="1"/>
  <c r="N389" i="1"/>
  <c r="A389" i="1" s="1"/>
  <c r="P390" i="1"/>
  <c r="N381" i="1"/>
  <c r="A381" i="1" s="1"/>
  <c r="P382" i="1"/>
  <c r="O398" i="1"/>
  <c r="N397" i="1"/>
  <c r="A397" i="1" s="1"/>
  <c r="N358" i="1"/>
  <c r="A358" i="1" s="1"/>
  <c r="O359" i="1"/>
  <c r="N346" i="1"/>
  <c r="N362" i="1"/>
  <c r="H101" i="1"/>
  <c r="H87" i="1"/>
  <c r="O460" i="1" l="1"/>
  <c r="N460" i="1" s="1"/>
  <c r="A460" i="1" s="1"/>
  <c r="N459" i="1"/>
  <c r="A459" i="1" s="1"/>
  <c r="N458" i="1"/>
  <c r="A458" i="1" s="1"/>
  <c r="P445" i="1"/>
  <c r="N444" i="1"/>
  <c r="A444" i="1" s="1"/>
  <c r="P438" i="1"/>
  <c r="N437" i="1"/>
  <c r="A437" i="1" s="1"/>
  <c r="P391" i="1"/>
  <c r="N390" i="1"/>
  <c r="A390" i="1" s="1"/>
  <c r="O399" i="1"/>
  <c r="N398" i="1"/>
  <c r="A398" i="1" s="1"/>
  <c r="P383" i="1"/>
  <c r="N382" i="1"/>
  <c r="A382" i="1" s="1"/>
  <c r="O360" i="1"/>
  <c r="N360" i="1" s="1"/>
  <c r="A360" i="1" s="1"/>
  <c r="N359" i="1"/>
  <c r="A359" i="1" s="1"/>
  <c r="D112" i="1"/>
  <c r="D111" i="1"/>
  <c r="D110" i="1"/>
  <c r="D109" i="1"/>
  <c r="D106" i="1"/>
  <c r="D108" i="1"/>
  <c r="D107" i="1"/>
  <c r="D113" i="1"/>
  <c r="D92" i="1"/>
  <c r="K105" i="1"/>
  <c r="C104" i="1" s="1"/>
  <c r="K104" i="1"/>
  <c r="K106" i="1"/>
  <c r="K103" i="1"/>
  <c r="D99" i="1"/>
  <c r="D95" i="1"/>
  <c r="K91" i="1"/>
  <c r="C90" i="1" s="1"/>
  <c r="D98" i="1"/>
  <c r="D94" i="1"/>
  <c r="K90" i="1"/>
  <c r="D97" i="1"/>
  <c r="D93" i="1"/>
  <c r="K89" i="1"/>
  <c r="K92" i="1"/>
  <c r="K93" i="1" s="1"/>
  <c r="D96" i="1"/>
  <c r="H129" i="1"/>
  <c r="H115" i="1"/>
  <c r="K134" i="1" l="1"/>
  <c r="K135" i="1" s="1"/>
  <c r="K140" i="1" s="1"/>
  <c r="K141" i="1" s="1"/>
  <c r="K133" i="1"/>
  <c r="C132" i="1" s="1"/>
  <c r="D132" i="1" s="1"/>
  <c r="K132" i="1"/>
  <c r="D141" i="1"/>
  <c r="D140" i="1"/>
  <c r="D139" i="1"/>
  <c r="D138" i="1"/>
  <c r="D137" i="1"/>
  <c r="D136" i="1"/>
  <c r="D135" i="1"/>
  <c r="D134" i="1"/>
  <c r="D133" i="1"/>
  <c r="K131" i="1"/>
  <c r="K107" i="1"/>
  <c r="K108" i="1" s="1"/>
  <c r="K109" i="1" s="1"/>
  <c r="K110" i="1" s="1"/>
  <c r="K111" i="1" s="1"/>
  <c r="D104" i="1"/>
  <c r="K120" i="1"/>
  <c r="K121" i="1" s="1"/>
  <c r="K126" i="1" s="1"/>
  <c r="K127" i="1" s="1"/>
  <c r="C119" i="1" s="1"/>
  <c r="D119" i="1" s="1"/>
  <c r="K119" i="1"/>
  <c r="C118" i="1" s="1"/>
  <c r="D118" i="1" s="1"/>
  <c r="K117" i="1"/>
  <c r="D127" i="1"/>
  <c r="D126" i="1"/>
  <c r="D125" i="1"/>
  <c r="D124" i="1"/>
  <c r="D123" i="1"/>
  <c r="D122" i="1"/>
  <c r="D121" i="1"/>
  <c r="D120" i="1"/>
  <c r="K118" i="1"/>
  <c r="P446" i="1"/>
  <c r="N445" i="1"/>
  <c r="A445" i="1" s="1"/>
  <c r="P439" i="1"/>
  <c r="N438" i="1"/>
  <c r="A438" i="1" s="1"/>
  <c r="O400" i="1"/>
  <c r="N399" i="1"/>
  <c r="A399" i="1" s="1"/>
  <c r="P384" i="1"/>
  <c r="N383" i="1"/>
  <c r="A383" i="1" s="1"/>
  <c r="P392" i="1"/>
  <c r="N391" i="1"/>
  <c r="A391" i="1" s="1"/>
  <c r="D90" i="1"/>
  <c r="K94" i="1"/>
  <c r="K95" i="1" s="1"/>
  <c r="K96" i="1" s="1"/>
  <c r="K97" i="1" s="1"/>
  <c r="I128" i="1" l="1"/>
  <c r="C130" i="1" s="1"/>
  <c r="E132" i="1" s="1"/>
  <c r="G132" i="1"/>
  <c r="K112" i="1"/>
  <c r="K113" i="1" s="1"/>
  <c r="D105" i="1" s="1"/>
  <c r="G118" i="1"/>
  <c r="I114" i="1"/>
  <c r="C116" i="1" s="1"/>
  <c r="E118" i="1" s="1"/>
  <c r="N446" i="1"/>
  <c r="A446" i="1" s="1"/>
  <c r="N439" i="1"/>
  <c r="A439" i="1" s="1"/>
  <c r="P385" i="1"/>
  <c r="N385" i="1" s="1"/>
  <c r="A385" i="1" s="1"/>
  <c r="N384" i="1"/>
  <c r="A384" i="1" s="1"/>
  <c r="P393" i="1"/>
  <c r="N393" i="1" s="1"/>
  <c r="A393" i="1" s="1"/>
  <c r="N392" i="1"/>
  <c r="A392" i="1" s="1"/>
  <c r="O401" i="1"/>
  <c r="N401" i="1" s="1"/>
  <c r="A401" i="1" s="1"/>
  <c r="N400" i="1"/>
  <c r="A400" i="1" s="1"/>
  <c r="G104" i="1"/>
  <c r="K98" i="1"/>
  <c r="I100" i="1" l="1"/>
  <c r="C102" i="1" s="1"/>
  <c r="E104" i="1" s="1"/>
  <c r="K99" i="1"/>
  <c r="C91" i="1" l="1"/>
  <c r="G90" i="1" s="1"/>
  <c r="D80" i="1" l="1"/>
  <c r="F184" i="1"/>
  <c r="D91" i="1"/>
  <c r="I86" i="1"/>
  <c r="C88" i="1" s="1"/>
  <c r="E90" i="1" s="1"/>
  <c r="E40" i="1" l="1"/>
  <c r="E41" i="1" s="1"/>
  <c r="F367" i="1" l="1"/>
  <c r="F366" i="1"/>
  <c r="F365" i="1"/>
  <c r="F364" i="1"/>
  <c r="F363" i="1"/>
  <c r="G362" i="1"/>
  <c r="F362" i="1"/>
  <c r="F351" i="1"/>
  <c r="F350" i="1"/>
  <c r="F349" i="1"/>
  <c r="F348" i="1"/>
  <c r="F347" i="1"/>
  <c r="F346" i="1"/>
  <c r="F339" i="1"/>
  <c r="F340" i="1"/>
  <c r="F338" i="1"/>
  <c r="F234" i="1"/>
  <c r="G234" i="1"/>
  <c r="A235" i="1"/>
  <c r="A236" i="1" s="1"/>
  <c r="A237" i="1" s="1"/>
  <c r="A238" i="1" s="1"/>
  <c r="A239" i="1" s="1"/>
  <c r="A240" i="1" s="1"/>
  <c r="A241" i="1" s="1"/>
  <c r="A242" i="1" s="1"/>
  <c r="A243" i="1" s="1"/>
  <c r="F235" i="1"/>
  <c r="F236" i="1"/>
  <c r="F237" i="1"/>
  <c r="F238" i="1"/>
  <c r="F239" i="1"/>
  <c r="F240" i="1"/>
  <c r="G222" i="1" l="1"/>
  <c r="G226" i="1" s="1"/>
  <c r="G211" i="1"/>
  <c r="G219" i="1" s="1"/>
  <c r="G203" i="1"/>
  <c r="G208" i="1" s="1"/>
  <c r="O363" i="1"/>
  <c r="O347" i="1"/>
  <c r="A362" i="1" l="1"/>
  <c r="A346" i="1"/>
  <c r="P347" i="1"/>
  <c r="P348" i="1" s="1"/>
  <c r="P349" i="1" s="1"/>
  <c r="P350" i="1" s="1"/>
  <c r="P351" i="1" s="1"/>
  <c r="P352" i="1" s="1"/>
  <c r="P363" i="1"/>
  <c r="P364" i="1" s="1"/>
  <c r="P365" i="1" s="1"/>
  <c r="P366" i="1" s="1"/>
  <c r="P367" i="1" s="1"/>
  <c r="P368" i="1" s="1"/>
  <c r="O364" i="1"/>
  <c r="O348" i="1"/>
  <c r="G346" i="1"/>
  <c r="G338" i="1"/>
  <c r="E24" i="1"/>
  <c r="E22" i="1"/>
  <c r="N364" i="1" l="1"/>
  <c r="A364" i="1" s="1"/>
  <c r="N363" i="1"/>
  <c r="A363" i="1" s="1"/>
  <c r="N347" i="1"/>
  <c r="A347" i="1" s="1"/>
  <c r="N348" i="1"/>
  <c r="A348" i="1" s="1"/>
  <c r="O365" i="1"/>
  <c r="N365" i="1" s="1"/>
  <c r="O349" i="1"/>
  <c r="N349" i="1" s="1"/>
  <c r="F6" i="5"/>
  <c r="G6" i="5" s="1"/>
  <c r="F5" i="5"/>
  <c r="G5" i="5" s="1"/>
  <c r="A349" i="1" l="1"/>
  <c r="O366" i="1"/>
  <c r="N366" i="1" s="1"/>
  <c r="A365" i="1"/>
  <c r="O350" i="1"/>
  <c r="N350" i="1" s="1"/>
  <c r="G7" i="5"/>
  <c r="O367" i="1" l="1"/>
  <c r="A366" i="1"/>
  <c r="A350" i="1"/>
  <c r="O351" i="1"/>
  <c r="N367" i="1" l="1"/>
  <c r="A367" i="1" s="1"/>
  <c r="O368" i="1"/>
  <c r="N368" i="1" s="1"/>
  <c r="A368" i="1" s="1"/>
  <c r="N351" i="1"/>
  <c r="A351" i="1" s="1"/>
  <c r="O352" i="1"/>
  <c r="N352" i="1" s="1"/>
  <c r="A352" i="1" s="1"/>
  <c r="E7" i="1" l="1"/>
  <c r="D607" i="1" l="1"/>
  <c r="F200" i="1"/>
  <c r="C47" i="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<sst xmlns="http://schemas.openxmlformats.org/spreadsheetml/2006/main" count="949" uniqueCount="325">
  <si>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</si>
  <si>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</si>
  <si>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</si>
  <si>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</si>
  <si>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</si>
  <si>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</si>
  <si>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</si>
  <si>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</si>
  <si>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</si>
  <si>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</si>
  <si>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</si>
  <si>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</si>
  <si>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</si>
  <si>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</si>
  <si>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</si>
  <si>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</si>
  <si>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</si>
  <si>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</si>
  <si>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</si>
  <si>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</si>
  <si>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</si>
  <si>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</si>
  <si>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</si>
  <si>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</si>
  <si>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</si>
  <si>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</si>
  <si>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</si>
  <si>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</si>
  <si>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</si>
  <si>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</si>
  <si>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</si>
  <si>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</si>
  <si>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</si>
  <si>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</si>
  <si>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</si>
  <si>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</si>
  <si>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</si>
  <si>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</si>
  <si>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</si>
  <si>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</si>
  <si>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</si>
  <si>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Dated</t>
  </si>
  <si>
    <t xml:space="preserve">Approved Floor plan No.  </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</si>
  <si>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</si>
  <si>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</si>
  <si>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</si>
  <si>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</si>
  <si>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</si>
  <si>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</si>
  <si>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</si>
  <si>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</si>
  <si>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</si>
  <si>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</si>
  <si>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</si>
  <si>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</si>
  <si>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</si>
  <si>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</si>
  <si>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</si>
  <si>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</si>
  <si>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</si>
  <si>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</si>
  <si>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</si>
  <si>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</si>
  <si>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</si>
  <si>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</si>
  <si>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</si>
  <si>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</si>
  <si>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</si>
  <si>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</si>
  <si>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</si>
  <si>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</si>
  <si>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</si>
  <si>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</si>
  <si>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</si>
  <si>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</si>
  <si>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</si>
  <si>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</si>
  <si>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</si>
  <si>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</si>
  <si>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</si>
  <si>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</si>
  <si>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</si>
  <si>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</si>
  <si>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</si>
  <si>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</si>
  <si>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</si>
  <si>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</si>
  <si>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</si>
  <si>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</si>
  <si>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</si>
  <si>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</si>
  <si>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</si>
  <si>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</si>
  <si>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</si>
  <si>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</si>
  <si>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</si>
  <si>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Podium</t>
  </si>
  <si>
    <t>Ground</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</si>
  <si>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</si>
  <si>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</si>
  <si>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</si>
  <si>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</si>
  <si>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Commercial Area Details :</t>
  </si>
  <si>
    <t>Accessibility to the Project from the City: (Proximity to civic amenities like school, hospital, market, etc.)</t>
  </si>
  <si>
    <t>Inspected By :</t>
  </si>
  <si>
    <t>No. of Units</t>
  </si>
  <si>
    <t>Authorized Signatory
Name &amp; Seal of the agency</t>
  </si>
  <si>
    <t>Residential + Commercial</t>
  </si>
  <si>
    <t>Recommended rate of the shop Per Sq. Ft. ( on Saleable area)</t>
  </si>
  <si>
    <t>Recommended rate of the Office Per Sq. Ft. ( on Saleable area)</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</si>
  <si>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</si>
  <si>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</si>
  <si>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</si>
  <si>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</si>
  <si>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</si>
  <si>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</si>
  <si>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</si>
  <si>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</si>
  <si>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</si>
  <si>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</si>
  <si>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</si>
  <si>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</si>
  <si>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</si>
  <si>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</si>
  <si>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</si>
  <si>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</si>
  <si>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Development Charges</t>
  </si>
  <si>
    <t>Club Charges</t>
  </si>
  <si>
    <t>Legal Services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</si>
  <si>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</si>
  <si>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</si>
  <si>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</si>
  <si>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</si>
  <si>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</si>
  <si>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</si>
  <si>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</si>
  <si>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</si>
  <si>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in process</t>
  </si>
  <si>
    <t>Plinth completed</t>
  </si>
  <si>
    <t>All work Completed. OC Received.</t>
  </si>
  <si>
    <t>Report By :</t>
  </si>
  <si>
    <t>Market Research Data</t>
  </si>
  <si>
    <t>Source</t>
  </si>
  <si>
    <t>Distance from proposed property</t>
  </si>
  <si>
    <t>Net Carpet</t>
  </si>
  <si>
    <t>Market Value</t>
  </si>
  <si>
    <t>Average</t>
  </si>
  <si>
    <t xml:space="preserve">Valuation Adopted </t>
  </si>
  <si>
    <t>Saleable Area</t>
  </si>
  <si>
    <t>Rate on Saleable</t>
  </si>
  <si>
    <t>All work Completed. Provide OC.</t>
  </si>
  <si>
    <t xml:space="preserve">Wheather the construction is as per approved Building plan : </t>
  </si>
  <si>
    <t>Saleable area
Loading :</t>
  </si>
  <si>
    <t>2nd Floor</t>
  </si>
  <si>
    <t>Shop No.
(Sale Plan)</t>
  </si>
  <si>
    <r>
      <t xml:space="preserve">Shop No.
</t>
    </r>
    <r>
      <rPr>
        <b/>
        <sz val="11"/>
        <color rgb="FF000000"/>
        <rFont val="Times New Roman"/>
        <family val="1"/>
      </rPr>
      <t>(Approved Plan)</t>
    </r>
  </si>
  <si>
    <r>
      <t xml:space="preserve">Flat No.
</t>
    </r>
    <r>
      <rPr>
        <b/>
        <sz val="11"/>
        <color rgb="FF000000"/>
        <rFont val="Times New Roman"/>
        <family val="1"/>
      </rPr>
      <t>(Approved Plan)</t>
    </r>
  </si>
  <si>
    <t>Flat No.
(Sale Plan)</t>
  </si>
  <si>
    <t>Contact Details ( Name &amp; Contact No.)</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</si>
  <si>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</si>
  <si>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</si>
  <si>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</si>
  <si>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</si>
  <si>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</si>
  <si>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</si>
  <si>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</si>
  <si>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</si>
  <si>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</si>
  <si>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</si>
  <si>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</si>
  <si>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</si>
  <si>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</si>
  <si>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</si>
  <si>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</si>
  <si>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</si>
  <si>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</si>
  <si>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</si>
  <si>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</si>
  <si>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</si>
  <si>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1</t>
  </si>
  <si>
    <t>Basement 2</t>
  </si>
  <si>
    <t>Basement 3</t>
  </si>
  <si>
    <t>Basement 4</t>
  </si>
  <si>
    <t>Axis Goregaon</t>
  </si>
  <si>
    <t>M/s.Imperial Lifestyle Private Limited</t>
  </si>
  <si>
    <t xml:space="preserve">Imperial Splendora </t>
  </si>
  <si>
    <t>Wing A</t>
  </si>
  <si>
    <t>Ground Floor Commercial &amp; Parking</t>
  </si>
  <si>
    <t>Shop</t>
  </si>
  <si>
    <t>1st Floor Commercial &amp; Parking</t>
  </si>
  <si>
    <t>1BHK</t>
  </si>
  <si>
    <t>2BHK</t>
  </si>
  <si>
    <t>8th, 12th, 16th &amp; 20th Floor (Part Refuge Area)</t>
  </si>
  <si>
    <t>Wing B</t>
  </si>
  <si>
    <t>A Wing</t>
  </si>
  <si>
    <t>B Wing</t>
  </si>
  <si>
    <t>3rd to 7th, 9th to 11th, 13th to 15th, 17th to 19th Floor</t>
  </si>
  <si>
    <t>D Wing</t>
  </si>
  <si>
    <t>8th, 12th &amp; 16th Floor (Part Refuge Area)</t>
  </si>
  <si>
    <t>Wing D</t>
  </si>
  <si>
    <t>Open Plot</t>
  </si>
  <si>
    <t>Internal Road</t>
  </si>
  <si>
    <t>Gohkiware</t>
  </si>
  <si>
    <t>Village</t>
  </si>
  <si>
    <t>Palghar</t>
  </si>
  <si>
    <t>Vasai</t>
  </si>
  <si>
    <t>275  &amp; H No.1</t>
  </si>
  <si>
    <t>S No</t>
  </si>
  <si>
    <t>4.4Km from Vasai Railway Station</t>
  </si>
  <si>
    <t>Ornate Heights Annex</t>
  </si>
  <si>
    <t xml:space="preserve">RCC </t>
  </si>
  <si>
    <t>We considered  Saleable area  as per our calculation.</t>
  </si>
  <si>
    <t>We considered Gross carpet area = Net carpet + Enclose balcony + C.B Area +A.F Area.</t>
  </si>
  <si>
    <t>Approved Plans, CC, Cost Sheet</t>
  </si>
  <si>
    <t>housing</t>
  </si>
  <si>
    <t>Imperial Splendora</t>
  </si>
  <si>
    <t>=</t>
  </si>
  <si>
    <t>Sector I - Building No.9</t>
  </si>
  <si>
    <t>21st &amp; 22nd Floor for MHADA</t>
  </si>
  <si>
    <t>20th Floor for MHADA</t>
  </si>
  <si>
    <t>1,75,000/-</t>
  </si>
  <si>
    <t xml:space="preserve"> </t>
  </si>
  <si>
    <t xml:space="preserve">Building No.9 - D Wing = Gr/St + 1st to 22nd Floor
</t>
  </si>
  <si>
    <t>VVCMC/TP/CC/VP-0329, 0815 &amp; 0509/147/2021-22</t>
  </si>
  <si>
    <t>C Wing</t>
  </si>
  <si>
    <t>Ground Floor For Parking</t>
  </si>
  <si>
    <t>1st Floor For Parking</t>
  </si>
  <si>
    <t>2nd to 7th, 9th to 11th, 13th to 15th, 17th to 19th Floor</t>
  </si>
  <si>
    <t>20th Floor for MHADA (Part Refuge Area)</t>
  </si>
  <si>
    <t>Wing E</t>
  </si>
  <si>
    <t>E Wing</t>
  </si>
  <si>
    <t xml:space="preserve">Recommended rate should be considered as all inclusive rate if other charges are not mentioned. (Excluding GST &amp; other government Taxes).
</t>
  </si>
  <si>
    <t>Building No.9 - A &amp; B Wing = Gr/St + 1st to 22nd Floor</t>
  </si>
  <si>
    <t xml:space="preserve">Building No.9 - C &amp; E Wing = Gr/St + 1st to 22nd Floor
</t>
  </si>
  <si>
    <t>On Site, we meet Mr. Prasad - 8698440022.</t>
  </si>
  <si>
    <t>Building No.9 - B Wing = Gr/St + 1st to 22nd Floor</t>
  </si>
  <si>
    <t>Building No.9 - C Wing = Gr/St + 1st to 22nd Floor</t>
  </si>
  <si>
    <t>Building No.9 - E Wing = Gr/St + 1st to 22nd Floor</t>
  </si>
  <si>
    <t xml:space="preserve">Building No.9 - F Wing = Gr/St + 1st to 22nd Floor
</t>
  </si>
  <si>
    <t>Wing F</t>
  </si>
  <si>
    <t>Ground Floor For Entrance Lobby, Meter Room, Driver Room, Commercial &amp; Parking</t>
  </si>
  <si>
    <t>1st Floor Entrance Lobby, Commercial &amp; Parking</t>
  </si>
  <si>
    <t>F Wing</t>
  </si>
  <si>
    <t>3BHK</t>
  </si>
  <si>
    <t>2nd Floor For Entrance Lobby, Residential &amp; Parking</t>
  </si>
  <si>
    <t xml:space="preserve">3rd Floor For Residential </t>
  </si>
  <si>
    <t>4th to 7th, 9th to 11th, 13th to 15th, 17th to 19th, 21st &amp; 22nd Floor</t>
  </si>
  <si>
    <t>1st Floor For Entrance Lobby, Society Office, Residential &amp; Parking</t>
  </si>
  <si>
    <t>VVCMC/TP/AMEND/VP/0329, 0815 &amp; 0509/147/2022-23</t>
  </si>
  <si>
    <t>Office No. 1031, Wing J, Akshar Business Park, Plot No. 03 Sector 25, Near APMC Market, Vashi, 
Navi Mumbai, Maharashtra 400703 TEL: 022-46090378/79/80                                                                       
E mail : vsjcapf@gmail.com. Web site : www.vsjadon.com</t>
  </si>
  <si>
    <t>Location Link</t>
  </si>
  <si>
    <t>6000 to 6200</t>
  </si>
  <si>
    <t>nikhil</t>
  </si>
  <si>
    <t>cost sheet</t>
  </si>
  <si>
    <t>10500 to 16000</t>
  </si>
  <si>
    <t>sanjay</t>
  </si>
  <si>
    <t xml:space="preserve">Recommended Rates of the Property have been revised on 20/11/2023.
</t>
  </si>
  <si>
    <t>Latitude,Longitude</t>
  </si>
  <si>
    <t>Commencement Certificate No.
Valid Up to:</t>
  </si>
  <si>
    <t>Wing F = Gr + 1st to 22nd Floor</t>
  </si>
  <si>
    <t>VVCMC/TP/RDP/VP-0329, 0815 &amp; 0509/679/2022-23</t>
  </si>
  <si>
    <t>We have updated approved floor plan for Wing F (29/04/2023).</t>
  </si>
  <si>
    <t>Navnath Bhatkar</t>
  </si>
  <si>
    <t>Mr. Khan 8698440022</t>
  </si>
  <si>
    <t>Remark No.12 :</t>
  </si>
  <si>
    <t>https://maps.app.goo.gl/dk3WU9hgEJSV3s6Q6</t>
  </si>
  <si>
    <t>19.392952,72.847767</t>
  </si>
  <si>
    <t>Pooja</t>
  </si>
  <si>
    <t>Sector I - Building No.9 - Wing A to H</t>
  </si>
  <si>
    <t>A, B and D Wing = P99000027833
C and E Wing = P99000032506
F Wing = P99000032507
G &amp; H Wing = P99000049245</t>
  </si>
  <si>
    <t>Wing G</t>
  </si>
  <si>
    <t xml:space="preserve">Layout Approval No.
Wing A to H     </t>
  </si>
  <si>
    <t>VVCMC/TP/AMEND/VP/0329, 0815 &amp; 0509/241/2022-23</t>
  </si>
  <si>
    <t>VVCMC/TP/AMEND/VP/0329, 0815 &amp; 0509/259/2022-23</t>
  </si>
  <si>
    <t>VVCMC/TP/RDP/VP-0329, 0815 &amp; 0509/259/2022-23</t>
  </si>
  <si>
    <t>Sector I (Bldg No.9) = Wing G = Gr/St + 1st to 22nd floor
146 Flats</t>
  </si>
  <si>
    <t>Wing H</t>
  </si>
  <si>
    <t>VVCMC/TP/AMEND/VP/0329, 0815 &amp; 0509/681/2022-23</t>
  </si>
  <si>
    <t>VVCMC/TP/RDP/VP-0329, 0815 &amp; 0509/680/2022-23</t>
  </si>
  <si>
    <t xml:space="preserve">Sector I (Bldg No.9) = Wing H = Gr/St + 1st to 22nd floor (P1 + P2)
164 Flats
</t>
  </si>
  <si>
    <t>G Wing</t>
  </si>
  <si>
    <t>1st Floor for Residential &amp; Parking</t>
  </si>
  <si>
    <t>3rd to 7th, 9th to 11th, 13th to 15th, 17th to 19th, 21st &amp; 22nd Floor</t>
  </si>
  <si>
    <t>Parking Area</t>
  </si>
  <si>
    <t>1.5BHK</t>
  </si>
  <si>
    <t>H Wing</t>
  </si>
  <si>
    <t>1st Floor for Residential, Society Office &amp; Parking</t>
  </si>
  <si>
    <t>Society Office</t>
  </si>
  <si>
    <t>Indoor Games</t>
  </si>
  <si>
    <t>Sector I Building No.9 = Wing A, B, C, D, E &amp; F = Gr/St + 1st to 22nd Floor
Sector I Building No.9 = Wing G &amp; H = Gr/St + 1st to 22nd Floor</t>
  </si>
  <si>
    <t xml:space="preserve">Building No.9 - H Wing = Gr/St + 1st to 22nd Floor
</t>
  </si>
  <si>
    <t>As per Layout</t>
  </si>
  <si>
    <t>18.00 M Internal Road</t>
  </si>
  <si>
    <t>Building No.10</t>
  </si>
  <si>
    <t>30.00 M. Wide D.P. Road</t>
  </si>
  <si>
    <t>6.00 M.Internal Wide Road</t>
  </si>
  <si>
    <t>As per RERA -  A, B &amp; D Wing = 31/06/2027
                          C, E &amp; F Wing = 31/12/2027
                          G &amp; H Wing = 31/12/2028</t>
  </si>
  <si>
    <t xml:space="preserve">Building No.9 - G &amp; H Wing = Gr/St + 1st to 22nd Floor
</t>
  </si>
  <si>
    <t>We have updated latest approved floor plans &amp; CC for wing G &amp; for wing H we refer latest CC &amp; approved floor plans from rera (On 26/05/2025).</t>
  </si>
  <si>
    <t>Layout :</t>
  </si>
  <si>
    <t>2nd Floor For Residential, Amenities &amp; Parking</t>
  </si>
  <si>
    <t>3rd to 7th, 9th to 11th, 13th to 15th, 17th to 19th, 21st  &amp; 22nd Floor</t>
  </si>
  <si>
    <t>We have updated approved CC for Wing F from RERA (on 18/04/2024).</t>
  </si>
  <si>
    <t>High-tension lines are passing parallel to the Wing A, B, &amp; D at a distance of 17.5 m from the center line.</t>
  </si>
  <si>
    <t>8 Wings</t>
  </si>
  <si>
    <t>Rate 6500 &amp; park 350000 by trupti on 28/06/2025</t>
  </si>
  <si>
    <t>3,50,000/-</t>
  </si>
  <si>
    <t>Recommended Rates / Other charges of the Property have been revised on 28/06/2025.</t>
  </si>
  <si>
    <t>On site we met Supervisor : 8698844002.</t>
  </si>
  <si>
    <t>VVCMC/TP/OC/VP-0329, 0815 &amp; 0509/28/7004/2025/0026
Approved upto : Building No.9 (Wing A, B &amp; D) = Gr/St + 1st to 22nd Floor</t>
  </si>
  <si>
    <t>60 Years After Completion</t>
  </si>
  <si>
    <t>We have updated OC for Building No.9 (Wing A, B &amp; D) (On 05/08/2025).</t>
  </si>
  <si>
    <t>Building No.9  A, B &amp; D Wing = Gr/St + 1st to 22nd Floor</t>
  </si>
  <si>
    <t>Wing A, B &amp; D = All work Completed. OC Received.
Wing C, E, F, G &amp; H = Construction work is in process at the time of Visit.</t>
  </si>
  <si>
    <t>Wing E = Gr + 1st to 22nd Floor</t>
  </si>
  <si>
    <t>Wing A, B, D = Stilt + Gr + P + 1st/pt. to 22nd Floor
Wing C = St + 1st to 22nd Floor</t>
  </si>
  <si>
    <t>Wing A, B, C, D</t>
  </si>
  <si>
    <t>VVCMC/TP/AMEND/VP/0329, 0815 &amp; 0509/257/2022-23</t>
  </si>
  <si>
    <t>2nd Floor for Parking and Residential</t>
  </si>
  <si>
    <t>Residential Area Details : Mhada</t>
  </si>
  <si>
    <t>Residential Area Details : Sale</t>
  </si>
  <si>
    <t>Wing C</t>
  </si>
  <si>
    <t>Sale Flats - 961, Sale Shops - 86, Mhada Flats - 58</t>
  </si>
  <si>
    <t>We have updated approved floor plan &amp; C.C for Wing E (on 26/08/2025).</t>
  </si>
  <si>
    <t>We have updated approved floor plan &amp; C.C for Wing C (on 14/02/2022).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</si>
</sst>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_(* #,##0_);_(* \(#,##0\);_(* &quot;-&quot;??_);_(@_)"/>
    <numFmt numFmtId="167" formatCode="dd\/mm\/yyyy"/>
    <numFmt numFmtId="168" formatCode="0.000"/>
  </numFmts>
  <fonts count="25"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u/>
      <sz val="11"/>
      <color theme="10"/>
      <name val="Calibri"/>
      <family val="2"/>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3"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10">
    <xf numFmtId="0" fontId="0" fillId="0" borderId="0"/>
    <xf numFmtId="0" fontId="4" fillId="0" borderId="0"/>
    <xf numFmtId="0" fontId="6" fillId="0" borderId="0"/>
    <xf numFmtId="0" fontId="3" fillId="0" borderId="0"/>
    <xf numFmtId="0" fontId="6" fillId="0" borderId="0"/>
    <xf numFmtId="0" fontId="2" fillId="0" borderId="0"/>
    <xf numFmtId="164" fontId="6" fillId="0" borderId="0" applyFont="0" applyFill="0" applyBorder="0" applyAlignment="0" applyProtection="0"/>
    <xf numFmtId="0" fontId="21" fillId="0" borderId="0"/>
    <xf numFmtId="9" fontId="22" fillId="0" borderId="0" applyFont="0" applyFill="0" applyBorder="0" applyAlignment="0" applyProtection="0"/>
    <xf numFmtId="0" fontId="24" fillId="0" borderId="0" applyNumberFormat="0" applyFill="0" applyBorder="0" applyAlignment="0" applyProtection="0"/>
  </cellStyleXfs>
  <cellXfs count="228">
    <xf numFmtId="0" fontId="0" fillId="0" borderId="0" xfId="0"/>
    <xf numFmtId="0" fontId="8" fillId="0" borderId="0" xfId="0" applyFont="1" applyAlignment="1">
      <alignment horizontal="center" vertical="center"/>
    </xf>
    <xf numFmtId="0" fontId="8" fillId="0" borderId="0" xfId="1" applyFont="1" applyAlignment="1">
      <alignment horizontal="center" vertical="center"/>
    </xf>
    <xf numFmtId="0" fontId="0" fillId="3" borderId="1" xfId="0" applyFill="1" applyBorder="1"/>
    <xf numFmtId="0" fontId="0" fillId="0" borderId="2" xfId="0" applyBorder="1"/>
    <xf numFmtId="0" fontId="10" fillId="0" borderId="1" xfId="0" applyFont="1" applyBorder="1"/>
    <xf numFmtId="0" fontId="10" fillId="0" borderId="1" xfId="0" applyFont="1" applyBorder="1" applyAlignment="1">
      <alignment horizontal="center"/>
    </xf>
    <xf numFmtId="0" fontId="0" fillId="0" borderId="1" xfId="0" applyBorder="1"/>
    <xf numFmtId="0" fontId="8" fillId="0" borderId="0" xfId="1" applyFont="1"/>
    <xf numFmtId="0" fontId="7" fillId="0" borderId="0" xfId="2" applyFont="1"/>
    <xf numFmtId="0" fontId="13" fillId="0" borderId="0" xfId="1" applyFont="1"/>
    <xf numFmtId="0" fontId="16" fillId="0" borderId="0" xfId="1" applyFont="1"/>
    <xf numFmtId="0" fontId="17" fillId="0" borderId="0" xfId="1" applyFont="1"/>
    <xf numFmtId="0" fontId="13" fillId="2" borderId="1" xfId="1" applyFont="1" applyFill="1" applyBorder="1" applyAlignment="1" applyProtection="1">
      <alignment vertical="top"/>
      <protection locked="0"/>
    </xf>
    <xf numFmtId="0" fontId="9" fillId="0" borderId="0" xfId="1" applyFont="1" applyAlignment="1" applyProtection="1">
      <alignment vertical="top"/>
      <protection locked="0"/>
    </xf>
    <xf numFmtId="0" fontId="9" fillId="0" borderId="0" xfId="1" applyFont="1" applyAlignment="1" applyProtection="1">
      <alignment vertical="top" wrapText="1"/>
      <protection locked="0"/>
    </xf>
    <xf numFmtId="0" fontId="8" fillId="0" borderId="0" xfId="1" applyFont="1" applyProtection="1">
      <protection locked="0"/>
    </xf>
    <xf numFmtId="0" fontId="11" fillId="0" borderId="0" xfId="1" applyFont="1" applyProtection="1">
      <protection locked="0"/>
    </xf>
    <xf numFmtId="0" fontId="8" fillId="0" borderId="0" xfId="1" applyFont="1" applyProtection="1">
      <protection hidden="1"/>
    </xf>
    <xf numFmtId="1" fontId="7" fillId="0" borderId="1" xfId="1" applyNumberFormat="1" applyFont="1" applyBorder="1" applyAlignment="1" applyProtection="1">
      <alignment horizontal="center" vertical="center" wrapText="1"/>
      <protection locked="0"/>
    </xf>
    <xf numFmtId="0" fontId="8" fillId="0" borderId="11" xfId="1" applyFont="1" applyBorder="1" applyProtection="1">
      <protection hidden="1"/>
    </xf>
    <xf numFmtId="0" fontId="8" fillId="0" borderId="12" xfId="1" applyFont="1" applyBorder="1" applyProtection="1">
      <protection hidden="1"/>
    </xf>
    <xf numFmtId="0" fontId="8" fillId="0" borderId="13" xfId="1" applyFont="1" applyBorder="1" applyProtection="1">
      <protection hidden="1"/>
    </xf>
    <xf numFmtId="0" fontId="8" fillId="0" borderId="13" xfId="1" applyFont="1" applyBorder="1"/>
    <xf numFmtId="9" fontId="18" fillId="0" borderId="0" xfId="0" applyNumberFormat="1" applyFont="1" applyProtection="1">
      <protection hidden="1"/>
    </xf>
    <xf numFmtId="0" fontId="6" fillId="0" borderId="0" xfId="4"/>
    <xf numFmtId="0" fontId="2" fillId="0" borderId="0" xfId="5"/>
    <xf numFmtId="0" fontId="10" fillId="0" borderId="1" xfId="5" applyFont="1" applyBorder="1" applyAlignment="1">
      <alignment horizontal="center" vertical="top" wrapText="1"/>
    </xf>
    <xf numFmtId="0" fontId="20" fillId="0" borderId="0" xfId="4" applyFont="1"/>
    <xf numFmtId="0" fontId="2" fillId="0" borderId="1" xfId="5" applyBorder="1" applyAlignment="1">
      <alignment horizontal="center" vertical="center"/>
    </xf>
    <xf numFmtId="1" fontId="2" fillId="0" borderId="1" xfId="5" applyNumberFormat="1" applyBorder="1" applyAlignment="1">
      <alignment horizontal="center" vertical="center"/>
    </xf>
    <xf numFmtId="166" fontId="2" fillId="0" borderId="1" xfId="6" applyNumberFormat="1" applyFont="1" applyBorder="1" applyAlignment="1">
      <alignment horizontal="right" vertical="center"/>
    </xf>
    <xf numFmtId="0" fontId="10" fillId="0" borderId="1" xfId="5" applyFont="1" applyBorder="1" applyAlignment="1">
      <alignment horizontal="center" vertical="center"/>
    </xf>
    <xf numFmtId="1" fontId="19" fillId="0" borderId="1" xfId="5" applyNumberFormat="1" applyFont="1" applyBorder="1" applyAlignment="1">
      <alignment horizontal="center" vertical="center"/>
    </xf>
    <xf numFmtId="0" fontId="6" fillId="0" borderId="1" xfId="4" applyBorder="1" applyAlignment="1">
      <alignment horizontal="center" vertical="center"/>
    </xf>
    <xf numFmtId="9" fontId="9" fillId="0" borderId="19" xfId="8" applyFont="1" applyFill="1" applyBorder="1" applyAlignment="1" applyProtection="1">
      <alignment horizontal="center" vertical="top" wrapText="1"/>
      <protection locked="0"/>
    </xf>
    <xf numFmtId="1" fontId="8" fillId="0" borderId="0" xfId="1" applyNumberFormat="1" applyFont="1" applyAlignment="1">
      <alignment horizontal="center" vertical="center"/>
    </xf>
    <xf numFmtId="1" fontId="9" fillId="0" borderId="3" xfId="1" applyNumberFormat="1" applyFont="1" applyBorder="1" applyAlignment="1" applyProtection="1">
      <alignment horizontal="center" vertical="top" wrapText="1"/>
      <protection locked="0"/>
    </xf>
    <xf numFmtId="0" fontId="18" fillId="0" borderId="0" xfId="0" applyFont="1" applyProtection="1">
      <protection hidden="1"/>
    </xf>
    <xf numFmtId="14" fontId="8" fillId="0" borderId="0" xfId="1" applyNumberFormat="1" applyFont="1"/>
    <xf numFmtId="1" fontId="8" fillId="0" borderId="0" xfId="1" applyNumberFormat="1" applyFont="1"/>
    <xf numFmtId="0" fontId="18" fillId="0" borderId="13" xfId="0" applyFont="1" applyBorder="1" applyProtection="1">
      <protection hidden="1"/>
    </xf>
    <xf numFmtId="0" fontId="18" fillId="0" borderId="14" xfId="0" applyFont="1" applyBorder="1" applyProtection="1">
      <protection hidden="1"/>
    </xf>
    <xf numFmtId="9" fontId="18" fillId="0" borderId="14" xfId="0" applyNumberFormat="1" applyFont="1" applyBorder="1" applyProtection="1">
      <protection hidden="1"/>
    </xf>
    <xf numFmtId="165" fontId="0" fillId="0" borderId="0" xfId="0" applyNumberFormat="1"/>
    <xf numFmtId="1" fontId="0" fillId="0" borderId="13" xfId="0" applyNumberFormat="1" applyBorder="1"/>
    <xf numFmtId="1" fontId="0" fillId="0" borderId="13" xfId="0" applyNumberFormat="1" applyBorder="1" applyAlignment="1">
      <alignment horizontal="right"/>
    </xf>
    <xf numFmtId="1" fontId="0" fillId="0" borderId="15" xfId="0" applyNumberFormat="1" applyBorder="1"/>
    <xf numFmtId="0" fontId="13" fillId="0" borderId="4" xfId="1" applyFont="1" applyBorder="1" applyAlignment="1" applyProtection="1">
      <alignment horizontal="center" vertical="top"/>
      <protection locked="0"/>
    </xf>
    <xf numFmtId="0" fontId="0" fillId="0" borderId="13" xfId="0" applyBorder="1"/>
    <xf numFmtId="1" fontId="0" fillId="0" borderId="0" xfId="0" applyNumberFormat="1"/>
    <xf numFmtId="0" fontId="13" fillId="0" borderId="1" xfId="1" applyFont="1" applyBorder="1" applyAlignment="1" applyProtection="1">
      <alignment horizontal="center" vertical="top"/>
      <protection locked="0"/>
    </xf>
    <xf numFmtId="0" fontId="13" fillId="0" borderId="5" xfId="1" applyFont="1" applyBorder="1" applyAlignment="1" applyProtection="1">
      <alignment horizontal="center" vertical="top"/>
      <protection locked="0"/>
    </xf>
    <xf numFmtId="0" fontId="13"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wrapText="1"/>
      <protection locked="0"/>
    </xf>
    <xf numFmtId="1" fontId="13" fillId="0" borderId="1" xfId="1" applyNumberFormat="1" applyFont="1" applyBorder="1" applyAlignment="1" applyProtection="1">
      <alignment horizontal="center" wrapText="1"/>
      <protection locked="0"/>
    </xf>
    <xf numFmtId="0" fontId="13" fillId="0" borderId="7" xfId="1" applyFont="1" applyBorder="1" applyAlignment="1" applyProtection="1">
      <alignment horizontal="center" wrapText="1"/>
      <protection locked="0"/>
    </xf>
    <xf numFmtId="0" fontId="1" fillId="0" borderId="1" xfId="5" applyFont="1" applyBorder="1" applyAlignment="1">
      <alignment horizontal="center" vertical="center"/>
    </xf>
    <xf numFmtId="0" fontId="1" fillId="0" borderId="1" xfId="5" applyFont="1" applyBorder="1" applyAlignment="1">
      <alignment horizontal="left" vertical="center"/>
    </xf>
    <xf numFmtId="0" fontId="13" fillId="2" borderId="1" xfId="1" applyFont="1" applyFill="1" applyBorder="1" applyAlignment="1" applyProtection="1">
      <alignment horizontal="left" vertical="top"/>
      <protection locked="0"/>
    </xf>
    <xf numFmtId="9" fontId="13" fillId="2" borderId="1" xfId="1" applyNumberFormat="1" applyFont="1" applyFill="1" applyBorder="1" applyAlignment="1" applyProtection="1">
      <alignment horizontal="center" vertical="center" wrapText="1"/>
      <protection hidden="1"/>
    </xf>
    <xf numFmtId="9" fontId="13" fillId="2" borderId="7" xfId="1" applyNumberFormat="1" applyFont="1" applyFill="1" applyBorder="1" applyAlignment="1" applyProtection="1">
      <alignment horizontal="center" vertical="center" wrapText="1"/>
      <protection hidden="1"/>
    </xf>
    <xf numFmtId="1" fontId="9" fillId="0" borderId="1" xfId="0" applyNumberFormat="1" applyFont="1" applyBorder="1" applyAlignment="1" applyProtection="1">
      <alignment horizontal="center" vertical="center" wrapText="1"/>
      <protection locked="0"/>
    </xf>
    <xf numFmtId="168" fontId="8" fillId="0" borderId="0" xfId="1" applyNumberFormat="1" applyFont="1" applyAlignment="1">
      <alignment horizontal="center" vertical="center"/>
    </xf>
    <xf numFmtId="1" fontId="8" fillId="0" borderId="1" xfId="1" applyNumberFormat="1" applyFont="1" applyBorder="1" applyAlignment="1">
      <alignment horizontal="center" vertical="center"/>
    </xf>
    <xf numFmtId="0" fontId="8" fillId="3" borderId="0" xfId="1" applyFont="1" applyFill="1"/>
    <xf numFmtId="14" fontId="8" fillId="3" borderId="0" xfId="1" applyNumberFormat="1" applyFont="1" applyFill="1"/>
    <xf numFmtId="165" fontId="8" fillId="0" borderId="0" xfId="1" applyNumberFormat="1" applyFont="1"/>
    <xf numFmtId="0" fontId="8" fillId="0" borderId="0" xfId="1" applyFont="1" applyAlignment="1">
      <alignment vertical="center"/>
    </xf>
    <xf numFmtId="0" fontId="14" fillId="2" borderId="1" xfId="1" applyFont="1" applyFill="1" applyBorder="1" applyAlignment="1" applyProtection="1">
      <alignment horizontal="left" vertical="top"/>
      <protection locked="0"/>
    </xf>
    <xf numFmtId="1" fontId="9" fillId="0" borderId="1" xfId="1" applyNumberFormat="1" applyFont="1" applyBorder="1" applyAlignment="1" applyProtection="1">
      <alignment horizontal="center" vertical="top" wrapText="1"/>
      <protection locked="0"/>
    </xf>
    <xf numFmtId="9" fontId="9" fillId="0" borderId="1" xfId="8" applyFont="1" applyFill="1" applyBorder="1" applyAlignment="1" applyProtection="1">
      <alignment horizontal="center" vertical="top" wrapText="1"/>
      <protection locked="0"/>
    </xf>
    <xf numFmtId="1" fontId="7" fillId="0" borderId="1" xfId="1" applyNumberFormat="1" applyFont="1" applyBorder="1" applyAlignment="1" applyProtection="1">
      <alignment horizontal="left" vertical="top" wrapText="1"/>
      <protection locked="0"/>
    </xf>
    <xf numFmtId="1" fontId="14" fillId="0" borderId="9" xfId="0" applyNumberFormat="1" applyFont="1" applyBorder="1" applyAlignment="1" applyProtection="1">
      <alignment vertical="top" wrapText="1"/>
      <protection locked="0"/>
    </xf>
    <xf numFmtId="1" fontId="14" fillId="0" borderId="24" xfId="0" applyNumberFormat="1" applyFont="1" applyBorder="1" applyAlignment="1" applyProtection="1">
      <alignment vertical="top" wrapText="1"/>
      <protection locked="0"/>
    </xf>
    <xf numFmtId="1" fontId="14" fillId="0" borderId="10" xfId="0" applyNumberFormat="1" applyFont="1" applyBorder="1" applyAlignment="1" applyProtection="1">
      <alignment vertical="top" wrapText="1"/>
      <protection locked="0"/>
    </xf>
    <xf numFmtId="0" fontId="7" fillId="0" borderId="1" xfId="1" applyFont="1" applyBorder="1" applyAlignment="1" applyProtection="1">
      <alignment horizontal="left" vertical="top"/>
      <protection locked="0"/>
    </xf>
    <xf numFmtId="0" fontId="24" fillId="0" borderId="1" xfId="9" applyBorder="1" applyAlignment="1" applyProtection="1">
      <alignment horizontal="left"/>
      <protection locked="0"/>
    </xf>
    <xf numFmtId="0" fontId="8" fillId="0" borderId="1" xfId="1" applyFont="1" applyBorder="1" applyAlignment="1" applyProtection="1">
      <alignment horizontal="left"/>
      <protection locked="0"/>
    </xf>
    <xf numFmtId="0" fontId="13" fillId="2" borderId="1" xfId="1" applyFont="1" applyFill="1" applyBorder="1" applyAlignment="1" applyProtection="1">
      <alignment horizontal="left" vertical="top" wrapText="1"/>
      <protection locked="0"/>
    </xf>
    <xf numFmtId="167" fontId="13" fillId="0" borderId="1" xfId="1" applyNumberFormat="1" applyFont="1" applyBorder="1" applyAlignment="1" applyProtection="1">
      <alignment horizontal="left" vertical="top" wrapText="1"/>
      <protection locked="0"/>
    </xf>
    <xf numFmtId="0" fontId="9" fillId="0" borderId="1" xfId="1" applyFont="1" applyBorder="1" applyAlignment="1" applyProtection="1">
      <alignment horizontal="left" vertical="top"/>
      <protection locked="0"/>
    </xf>
    <xf numFmtId="1" fontId="14" fillId="0" borderId="1" xfId="0" applyNumberFormat="1" applyFont="1" applyBorder="1" applyAlignment="1" applyProtection="1">
      <alignment vertical="top" wrapText="1"/>
      <protection locked="0"/>
    </xf>
    <xf numFmtId="0" fontId="13"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protection locked="0"/>
    </xf>
    <xf numFmtId="0" fontId="14" fillId="0" borderId="1" xfId="1" applyFont="1" applyBorder="1" applyAlignment="1" applyProtection="1">
      <alignment horizontal="center" vertical="top" wrapText="1"/>
      <protection locked="0"/>
    </xf>
    <xf numFmtId="0" fontId="14" fillId="0" borderId="1" xfId="1" applyFont="1" applyBorder="1" applyAlignment="1" applyProtection="1">
      <alignment horizontal="left" vertical="top" wrapText="1"/>
      <protection locked="0"/>
    </xf>
    <xf numFmtId="1" fontId="7" fillId="0" borderId="1" xfId="1" applyNumberFormat="1" applyFont="1" applyBorder="1" applyAlignment="1" applyProtection="1">
      <alignment horizontal="center" vertical="center" wrapText="1"/>
      <protection locked="0"/>
    </xf>
    <xf numFmtId="1" fontId="7" fillId="0" borderId="20"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28" xfId="1" applyNumberFormat="1" applyFont="1" applyBorder="1" applyAlignment="1" applyProtection="1">
      <alignment horizontal="center" vertical="center" wrapText="1"/>
      <protection locked="0"/>
    </xf>
    <xf numFmtId="1" fontId="7" fillId="0" borderId="29" xfId="1" applyNumberFormat="1" applyFont="1" applyBorder="1" applyAlignment="1" applyProtection="1">
      <alignment horizontal="center" vertical="center" wrapText="1"/>
      <protection locked="0"/>
    </xf>
    <xf numFmtId="1" fontId="9" fillId="0" borderId="9" xfId="1" applyNumberFormat="1" applyFont="1" applyBorder="1" applyAlignment="1" applyProtection="1">
      <alignment horizontal="center" vertical="center" wrapText="1"/>
      <protection locked="0"/>
    </xf>
    <xf numFmtId="1" fontId="9" fillId="0" borderId="24" xfId="1" applyNumberFormat="1" applyFont="1" applyBorder="1" applyAlignment="1" applyProtection="1">
      <alignment horizontal="center" vertical="center" wrapText="1"/>
      <protection locked="0"/>
    </xf>
    <xf numFmtId="1" fontId="9" fillId="0" borderId="10" xfId="1" applyNumberFormat="1" applyFont="1" applyBorder="1" applyAlignment="1" applyProtection="1">
      <alignment horizontal="center" vertical="center" wrapText="1"/>
      <protection locked="0"/>
    </xf>
    <xf numFmtId="1" fontId="7" fillId="0" borderId="22" xfId="1" applyNumberFormat="1" applyFont="1" applyBorder="1" applyAlignment="1" applyProtection="1">
      <alignment horizontal="center" vertical="center" wrapText="1"/>
      <protection locked="0"/>
    </xf>
    <xf numFmtId="1" fontId="7" fillId="0" borderId="23"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7" fillId="0" borderId="10" xfId="1" applyNumberFormat="1" applyFont="1" applyBorder="1" applyAlignment="1" applyProtection="1">
      <alignment horizontal="center" vertical="center" wrapText="1"/>
      <protection locked="0"/>
    </xf>
    <xf numFmtId="1" fontId="9" fillId="4" borderId="1" xfId="1" applyNumberFormat="1" applyFont="1" applyFill="1" applyBorder="1" applyAlignment="1" applyProtection="1">
      <alignment horizontal="center" vertical="center" wrapText="1"/>
      <protection locked="0"/>
    </xf>
    <xf numFmtId="1" fontId="9" fillId="0" borderId="1" xfId="1" applyNumberFormat="1" applyFont="1" applyBorder="1" applyAlignment="1" applyProtection="1">
      <alignment horizontal="center" vertical="center" wrapText="1"/>
      <protection locked="0"/>
    </xf>
    <xf numFmtId="0" fontId="8" fillId="0" borderId="0" xfId="1" applyFont="1" applyAlignment="1">
      <alignment horizontal="center" vertical="center"/>
    </xf>
    <xf numFmtId="1" fontId="9" fillId="0" borderId="20" xfId="1" applyNumberFormat="1" applyFont="1" applyBorder="1" applyAlignment="1" applyProtection="1">
      <alignment horizontal="center" vertical="top" wrapText="1"/>
      <protection locked="0"/>
    </xf>
    <xf numFmtId="1" fontId="9" fillId="0" borderId="22"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1" fontId="8" fillId="0" borderId="1" xfId="0" applyNumberFormat="1" applyFont="1" applyBorder="1" applyAlignment="1" applyProtection="1">
      <alignment horizontal="center" vertical="top" wrapText="1"/>
      <protection locked="0"/>
    </xf>
    <xf numFmtId="0" fontId="8"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1" fontId="11" fillId="0" borderId="1" xfId="0" applyNumberFormat="1" applyFont="1" applyBorder="1" applyAlignment="1" applyProtection="1">
      <alignment horizontal="center" vertical="top" wrapText="1"/>
      <protection locked="0"/>
    </xf>
    <xf numFmtId="0" fontId="11" fillId="0" borderId="1" xfId="0"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top" wrapText="1"/>
      <protection locked="0"/>
    </xf>
    <xf numFmtId="1" fontId="9" fillId="0" borderId="1" xfId="1" applyNumberFormat="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4" fillId="2" borderId="1" xfId="1" applyFont="1" applyFill="1" applyBorder="1" applyAlignment="1" applyProtection="1">
      <alignment horizontal="left" vertical="top"/>
      <protection locked="0"/>
    </xf>
    <xf numFmtId="0" fontId="14" fillId="0" borderId="1" xfId="1" applyFont="1" applyBorder="1" applyAlignment="1" applyProtection="1">
      <alignment horizontal="left" vertical="top"/>
      <protection locked="0"/>
    </xf>
    <xf numFmtId="0" fontId="13" fillId="0" borderId="4" xfId="1" applyFont="1" applyBorder="1" applyAlignment="1" applyProtection="1">
      <alignment horizontal="center" vertical="top" wrapText="1"/>
      <protection locked="0"/>
    </xf>
    <xf numFmtId="0" fontId="13" fillId="2" borderId="1" xfId="1" applyFont="1" applyFill="1" applyBorder="1" applyAlignment="1" applyProtection="1">
      <alignment horizontal="left" vertical="top"/>
      <protection locked="0"/>
    </xf>
    <xf numFmtId="0" fontId="13" fillId="0" borderId="6" xfId="1" applyFont="1" applyBorder="1" applyAlignment="1" applyProtection="1">
      <alignment horizontal="center" vertical="top" wrapText="1"/>
      <protection locked="0"/>
    </xf>
    <xf numFmtId="0" fontId="13" fillId="0" borderId="7" xfId="1" applyFont="1" applyBorder="1" applyAlignment="1" applyProtection="1">
      <alignment horizontal="center" vertical="top" wrapText="1"/>
      <protection locked="0"/>
    </xf>
    <xf numFmtId="0" fontId="14" fillId="0" borderId="16" xfId="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26" xfId="1" applyFont="1" applyBorder="1" applyAlignment="1" applyProtection="1">
      <alignment horizontal="left" vertical="top" wrapText="1"/>
      <protection locked="0"/>
    </xf>
    <xf numFmtId="0" fontId="13" fillId="0" borderId="5" xfId="1" applyFont="1" applyBorder="1" applyAlignment="1" applyProtection="1">
      <alignment horizontal="center" vertical="top" wrapText="1"/>
      <protection locked="0"/>
    </xf>
    <xf numFmtId="9" fontId="13" fillId="2" borderId="1" xfId="1" applyNumberFormat="1" applyFont="1" applyFill="1" applyBorder="1" applyAlignment="1" applyProtection="1">
      <alignment horizontal="center" vertical="center" wrapText="1"/>
      <protection hidden="1"/>
    </xf>
    <xf numFmtId="9" fontId="13" fillId="2" borderId="7" xfId="1" applyNumberFormat="1" applyFont="1" applyFill="1" applyBorder="1" applyAlignment="1" applyProtection="1">
      <alignment horizontal="center" vertical="center" wrapText="1"/>
      <protection hidden="1"/>
    </xf>
    <xf numFmtId="9" fontId="13" fillId="2" borderId="5" xfId="1" applyNumberFormat="1" applyFont="1" applyFill="1" applyBorder="1" applyAlignment="1" applyProtection="1">
      <alignment horizontal="center" vertical="center" wrapText="1"/>
      <protection hidden="1"/>
    </xf>
    <xf numFmtId="9" fontId="13" fillId="2" borderId="8" xfId="1" applyNumberFormat="1" applyFont="1" applyFill="1" applyBorder="1" applyAlignment="1" applyProtection="1">
      <alignment horizontal="center" vertical="center" wrapText="1"/>
      <protection hidden="1"/>
    </xf>
    <xf numFmtId="0" fontId="14" fillId="0" borderId="25" xfId="1" applyFont="1" applyBorder="1" applyAlignment="1" applyProtection="1">
      <alignment horizontal="center" vertical="top" wrapText="1"/>
      <protection locked="0"/>
    </xf>
    <xf numFmtId="0" fontId="14" fillId="0" borderId="18" xfId="1" applyFont="1" applyBorder="1" applyAlignment="1" applyProtection="1">
      <alignment horizontal="center" vertical="top" wrapText="1"/>
      <protection locked="0"/>
    </xf>
    <xf numFmtId="1" fontId="7" fillId="0" borderId="24" xfId="1" applyNumberFormat="1" applyFont="1" applyBorder="1" applyAlignment="1" applyProtection="1">
      <alignment horizontal="center" vertical="center" wrapText="1"/>
      <protection locked="0"/>
    </xf>
    <xf numFmtId="0" fontId="9" fillId="0" borderId="1" xfId="1" applyFont="1" applyBorder="1" applyAlignment="1" applyProtection="1">
      <alignment horizontal="center" vertical="top"/>
      <protection locked="0"/>
    </xf>
    <xf numFmtId="2" fontId="13" fillId="0" borderId="1" xfId="1" applyNumberFormat="1" applyFont="1" applyBorder="1" applyAlignment="1" applyProtection="1">
      <alignment horizontal="left" vertical="top"/>
      <protection locked="0"/>
    </xf>
    <xf numFmtId="2" fontId="7" fillId="0" borderId="1" xfId="1" applyNumberFormat="1" applyFont="1" applyBorder="1" applyAlignment="1" applyProtection="1">
      <alignment horizontal="left" vertical="top" wrapText="1"/>
      <protection locked="0"/>
    </xf>
    <xf numFmtId="0" fontId="13" fillId="0" borderId="1" xfId="1" applyFont="1" applyBorder="1" applyAlignment="1" applyProtection="1">
      <alignment horizontal="center" vertical="top"/>
      <protection locked="0"/>
    </xf>
    <xf numFmtId="0" fontId="14"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4" fillId="0" borderId="1" xfId="1" applyFont="1" applyBorder="1" applyAlignment="1" applyProtection="1">
      <alignment horizontal="center"/>
      <protection locked="0"/>
    </xf>
    <xf numFmtId="0" fontId="11" fillId="0" borderId="1" xfId="1" applyFont="1" applyBorder="1" applyAlignment="1" applyProtection="1">
      <alignment horizontal="left"/>
      <protection locked="0"/>
    </xf>
    <xf numFmtId="165" fontId="13"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center" wrapText="1"/>
      <protection locked="0"/>
    </xf>
    <xf numFmtId="0" fontId="13" fillId="0" borderId="9" xfId="1" applyFont="1" applyBorder="1" applyAlignment="1" applyProtection="1">
      <alignment horizontal="left" vertical="top"/>
      <protection locked="0"/>
    </xf>
    <xf numFmtId="0" fontId="13" fillId="0" borderId="10" xfId="1" applyFont="1" applyBorder="1" applyAlignment="1" applyProtection="1">
      <alignment horizontal="left" vertical="top"/>
      <protection locked="0"/>
    </xf>
    <xf numFmtId="0" fontId="13" fillId="0" borderId="1" xfId="1" applyFont="1" applyBorder="1" applyAlignment="1" applyProtection="1">
      <alignment horizontal="left"/>
      <protection locked="0"/>
    </xf>
    <xf numFmtId="0" fontId="7" fillId="2" borderId="1" xfId="1" applyFont="1" applyFill="1" applyBorder="1" applyAlignment="1" applyProtection="1">
      <alignment horizontal="left" vertical="top" wrapText="1"/>
      <protection locked="0"/>
    </xf>
    <xf numFmtId="167" fontId="7"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14" fillId="0" borderId="4" xfId="1" applyFont="1" applyBorder="1" applyAlignment="1" applyProtection="1">
      <alignment horizontal="left" vertical="top"/>
      <protection locked="0"/>
    </xf>
    <xf numFmtId="0" fontId="14" fillId="0" borderId="5" xfId="1"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1" fontId="9" fillId="0" borderId="3" xfId="1" applyNumberFormat="1" applyFont="1" applyBorder="1" applyAlignment="1" applyProtection="1">
      <alignment horizontal="center" vertical="top" wrapText="1"/>
      <protection locked="0"/>
    </xf>
    <xf numFmtId="1" fontId="9" fillId="0" borderId="19" xfId="1" applyNumberFormat="1" applyFont="1" applyBorder="1" applyAlignment="1" applyProtection="1">
      <alignment horizontal="center" vertical="top" wrapText="1"/>
      <protection locked="0"/>
    </xf>
    <xf numFmtId="1" fontId="5" fillId="0" borderId="3" xfId="1" applyNumberFormat="1" applyFont="1" applyBorder="1" applyAlignment="1" applyProtection="1">
      <alignment horizontal="center" vertical="top" wrapText="1"/>
      <protection locked="0"/>
    </xf>
    <xf numFmtId="1" fontId="5" fillId="0" borderId="19" xfId="1" applyNumberFormat="1" applyFont="1" applyBorder="1" applyAlignment="1" applyProtection="1">
      <alignment horizontal="center" vertical="top" wrapText="1"/>
      <protection locked="0"/>
    </xf>
    <xf numFmtId="1" fontId="9" fillId="0" borderId="21" xfId="1" applyNumberFormat="1" applyFont="1" applyBorder="1" applyAlignment="1" applyProtection="1">
      <alignment horizontal="center" vertical="top" wrapText="1"/>
      <protection locked="0"/>
    </xf>
    <xf numFmtId="1" fontId="9" fillId="0" borderId="23" xfId="1" applyNumberFormat="1" applyFont="1" applyBorder="1" applyAlignment="1" applyProtection="1">
      <alignment horizontal="center" vertical="top" wrapText="1"/>
      <protection locked="0"/>
    </xf>
    <xf numFmtId="1" fontId="9" fillId="0" borderId="1" xfId="0" applyNumberFormat="1" applyFont="1" applyBorder="1" applyAlignment="1" applyProtection="1">
      <alignment horizontal="left" vertical="top" wrapText="1"/>
      <protection locked="0"/>
    </xf>
    <xf numFmtId="0" fontId="9" fillId="0" borderId="1" xfId="1" applyFont="1" applyBorder="1" applyAlignment="1" applyProtection="1">
      <alignment vertical="top"/>
      <protection locked="0"/>
    </xf>
    <xf numFmtId="0" fontId="15" fillId="0" borderId="1" xfId="1" applyFont="1" applyBorder="1" applyAlignment="1" applyProtection="1">
      <alignment horizontal="center" vertical="top" wrapText="1"/>
      <protection locked="0"/>
    </xf>
    <xf numFmtId="0" fontId="13" fillId="0" borderId="16" xfId="1" applyFont="1" applyBorder="1" applyAlignment="1" applyProtection="1">
      <alignment horizontal="left" vertical="top"/>
      <protection locked="0"/>
    </xf>
    <xf numFmtId="0" fontId="13" fillId="0" borderId="17" xfId="1" applyFont="1" applyBorder="1" applyAlignment="1" applyProtection="1">
      <alignment horizontal="left" vertical="top"/>
      <protection locked="0"/>
    </xf>
    <xf numFmtId="0" fontId="13" fillId="0" borderId="18" xfId="1" applyFont="1" applyBorder="1" applyAlignment="1" applyProtection="1">
      <alignment horizontal="left" vertical="top"/>
      <protection locked="0"/>
    </xf>
    <xf numFmtId="0" fontId="13" fillId="2" borderId="9" xfId="1" applyFont="1" applyFill="1" applyBorder="1" applyAlignment="1" applyProtection="1">
      <alignment horizontal="left" vertical="top" wrapText="1"/>
      <protection locked="0"/>
    </xf>
    <xf numFmtId="0" fontId="13" fillId="2" borderId="24" xfId="1" applyFont="1" applyFill="1" applyBorder="1" applyAlignment="1" applyProtection="1">
      <alignment horizontal="left" vertical="top" wrapText="1"/>
      <protection locked="0"/>
    </xf>
    <xf numFmtId="0" fontId="13" fillId="2" borderId="10" xfId="1" applyFont="1" applyFill="1" applyBorder="1" applyAlignment="1" applyProtection="1">
      <alignment horizontal="left" vertical="top" wrapText="1"/>
      <protection locked="0"/>
    </xf>
    <xf numFmtId="167" fontId="14" fillId="0" borderId="1" xfId="1" applyNumberFormat="1" applyFont="1" applyBorder="1" applyAlignment="1" applyProtection="1">
      <alignment horizontal="left" vertical="top" wrapText="1"/>
      <protection locked="0"/>
    </xf>
    <xf numFmtId="0" fontId="14" fillId="2" borderId="1" xfId="1" applyFont="1" applyFill="1" applyBorder="1" applyAlignment="1" applyProtection="1">
      <alignment horizontal="left" vertical="top" wrapText="1"/>
      <protection locked="0"/>
    </xf>
    <xf numFmtId="0" fontId="8" fillId="0" borderId="1" xfId="1"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top" wrapText="1"/>
      <protection locked="0"/>
    </xf>
    <xf numFmtId="1" fontId="11" fillId="4" borderId="1" xfId="1" applyNumberFormat="1" applyFont="1" applyFill="1" applyBorder="1" applyAlignment="1" applyProtection="1">
      <alignment horizontal="center" vertical="center" wrapText="1"/>
      <protection locked="0"/>
    </xf>
    <xf numFmtId="1" fontId="8" fillId="0" borderId="9" xfId="0" applyNumberFormat="1" applyFont="1" applyBorder="1" applyAlignment="1" applyProtection="1">
      <alignment horizontal="center" vertical="center"/>
      <protection locked="0"/>
    </xf>
    <xf numFmtId="1" fontId="8" fillId="0" borderId="10" xfId="0" applyNumberFormat="1" applyFont="1" applyBorder="1" applyAlignment="1" applyProtection="1">
      <alignment horizontal="center" vertical="center"/>
      <protection locked="0"/>
    </xf>
    <xf numFmtId="1" fontId="7" fillId="0" borderId="27" xfId="1" applyNumberFormat="1" applyFont="1" applyBorder="1" applyAlignment="1" applyProtection="1">
      <alignment horizontal="center" vertical="center" wrapText="1"/>
      <protection locked="0"/>
    </xf>
    <xf numFmtId="1" fontId="7" fillId="0" borderId="0" xfId="1" applyNumberFormat="1" applyFont="1" applyAlignment="1" applyProtection="1">
      <alignment horizontal="center" vertical="center" wrapText="1"/>
      <protection locked="0"/>
    </xf>
    <xf numFmtId="1" fontId="7" fillId="0" borderId="2" xfId="1" applyNumberFormat="1" applyFont="1" applyBorder="1" applyAlignment="1" applyProtection="1">
      <alignment horizontal="center" vertical="center" wrapText="1"/>
      <protection locked="0"/>
    </xf>
    <xf numFmtId="1" fontId="8" fillId="0" borderId="20" xfId="1" applyNumberFormat="1" applyFont="1" applyBorder="1" applyAlignment="1">
      <alignment horizontal="center" vertical="center"/>
    </xf>
    <xf numFmtId="1" fontId="8" fillId="0" borderId="27" xfId="1" applyNumberFormat="1" applyFont="1" applyBorder="1" applyAlignment="1">
      <alignment horizontal="center" vertical="center"/>
    </xf>
    <xf numFmtId="1" fontId="8" fillId="0" borderId="21" xfId="1" applyNumberFormat="1" applyFont="1" applyBorder="1" applyAlignment="1">
      <alignment horizontal="center" vertical="center"/>
    </xf>
    <xf numFmtId="1" fontId="8" fillId="0" borderId="28" xfId="1" applyNumberFormat="1" applyFont="1" applyBorder="1" applyAlignment="1">
      <alignment horizontal="center" vertical="center"/>
    </xf>
    <xf numFmtId="1" fontId="8" fillId="0" borderId="0" xfId="1" applyNumberFormat="1" applyFont="1" applyAlignment="1">
      <alignment horizontal="center" vertical="center"/>
    </xf>
    <xf numFmtId="1" fontId="8" fillId="0" borderId="29" xfId="1" applyNumberFormat="1" applyFont="1" applyBorder="1" applyAlignment="1">
      <alignment horizontal="center" vertical="center"/>
    </xf>
    <xf numFmtId="1" fontId="8" fillId="0" borderId="22" xfId="1" applyNumberFormat="1" applyFont="1" applyBorder="1" applyAlignment="1">
      <alignment horizontal="center" vertical="center"/>
    </xf>
    <xf numFmtId="1" fontId="8" fillId="0" borderId="2" xfId="1" applyNumberFormat="1" applyFont="1" applyBorder="1" applyAlignment="1">
      <alignment horizontal="center" vertical="center"/>
    </xf>
    <xf numFmtId="1" fontId="8" fillId="0" borderId="23" xfId="1" applyNumberFormat="1" applyFont="1" applyBorder="1" applyAlignment="1">
      <alignment horizontal="center" vertical="center"/>
    </xf>
    <xf numFmtId="0" fontId="14" fillId="0" borderId="19" xfId="1" applyFont="1" applyBorder="1" applyAlignment="1" applyProtection="1">
      <alignment horizontal="center" vertical="top" wrapText="1"/>
      <protection locked="0"/>
    </xf>
    <xf numFmtId="0" fontId="14" fillId="0" borderId="19" xfId="1" applyFont="1" applyBorder="1" applyAlignment="1" applyProtection="1">
      <alignment horizontal="left" vertical="top" wrapText="1"/>
      <protection locked="0"/>
    </xf>
    <xf numFmtId="1" fontId="11" fillId="0" borderId="1" xfId="1" applyNumberFormat="1" applyFont="1" applyBorder="1" applyAlignment="1" applyProtection="1">
      <alignment horizontal="center" vertical="center" wrapText="1"/>
      <protection locked="0"/>
    </xf>
    <xf numFmtId="0" fontId="0" fillId="3" borderId="1" xfId="0" applyFill="1" applyBorder="1" applyAlignment="1">
      <alignment horizontal="center" wrapText="1"/>
    </xf>
    <xf numFmtId="0" fontId="10" fillId="0" borderId="1" xfId="0" applyFont="1" applyBorder="1" applyAlignment="1">
      <alignment horizontal="center"/>
    </xf>
    <xf numFmtId="0" fontId="10" fillId="0" borderId="1" xfId="5" applyFont="1" applyBorder="1" applyAlignment="1">
      <alignment horizontal="left"/>
    </xf>
    <xf numFmtId="0" fontId="9" fillId="5" borderId="1" xfId="1" applyFont="1" applyFill="1" applyBorder="1" applyAlignment="1" applyProtection="1">
      <alignment horizontal="center" vertical="top"/>
      <protection locked="0"/>
    </xf>
    <xf numFmtId="0" fontId="9" fillId="6" borderId="1" xfId="1" applyFont="1" applyFill="1" applyBorder="1" applyAlignment="1" applyProtection="1">
      <alignment horizontal="center" vertical="top"/>
      <protection locked="0"/>
    </xf>
    <xf numFmtId="0" fontId="9" fillId="7" borderId="1" xfId="1" applyFont="1" applyFill="1" applyBorder="1" applyAlignment="1" applyProtection="1">
      <alignment horizontal="center" vertical="top"/>
      <protection locked="0"/>
    </xf>
    <xf numFmtId="0" fontId="9" fillId="4" borderId="1" xfId="1" applyFont="1" applyFill="1" applyBorder="1" applyAlignment="1" applyProtection="1">
      <alignment horizontal="center" vertical="top"/>
      <protection locked="0"/>
    </xf>
    <xf numFmtId="0" fontId="7" fillId="0" borderId="1" xfId="1" applyFont="1" applyFill="1" applyBorder="1" applyAlignment="1" applyProtection="1">
      <alignment horizontal="left" vertical="top"/>
      <protection locked="0"/>
    </xf>
    <xf numFmtId="0" fontId="13" fillId="0" borderId="1" xfId="1" applyFont="1" applyFill="1" applyBorder="1" applyAlignment="1" applyProtection="1">
      <alignment horizontal="left" vertical="top" wrapText="1"/>
      <protection locked="0"/>
    </xf>
    <xf numFmtId="0" fontId="13" fillId="0" borderId="1" xfId="1" applyFont="1" applyFill="1" applyBorder="1" applyAlignment="1" applyProtection="1">
      <alignment horizontal="left" vertical="top"/>
      <protection locked="0"/>
    </xf>
    <xf numFmtId="167" fontId="13" fillId="0" borderId="1" xfId="1" applyNumberFormat="1" applyFont="1" applyFill="1" applyBorder="1" applyAlignment="1" applyProtection="1">
      <alignment horizontal="left" vertical="top" wrapText="1"/>
      <protection locked="0"/>
    </xf>
    <xf numFmtId="0" fontId="13" fillId="0" borderId="1" xfId="1" applyFont="1" applyFill="1" applyBorder="1" applyAlignment="1" applyProtection="1">
      <alignment vertical="top"/>
      <protection locked="0"/>
    </xf>
    <xf numFmtId="0" fontId="13" fillId="0" borderId="9" xfId="1" applyFont="1" applyFill="1" applyBorder="1" applyAlignment="1" applyProtection="1">
      <alignment horizontal="left" vertical="top" wrapText="1"/>
      <protection locked="0"/>
    </xf>
    <xf numFmtId="0" fontId="13" fillId="0" borderId="24" xfId="1" applyFont="1" applyFill="1" applyBorder="1" applyAlignment="1" applyProtection="1">
      <alignment horizontal="left" vertical="top" wrapText="1"/>
      <protection locked="0"/>
    </xf>
    <xf numFmtId="0" fontId="13" fillId="0" borderId="10" xfId="1" applyFont="1" applyFill="1" applyBorder="1" applyAlignment="1" applyProtection="1">
      <alignment horizontal="left" vertical="top" wrapText="1"/>
      <protection locked="0"/>
    </xf>
    <xf numFmtId="0" fontId="9" fillId="8" borderId="1" xfId="1" applyFont="1" applyFill="1" applyBorder="1" applyAlignment="1" applyProtection="1">
      <alignment horizontal="center" vertical="top"/>
      <protection locked="0"/>
    </xf>
    <xf numFmtId="0" fontId="14" fillId="0" borderId="21" xfId="1" applyFont="1" applyBorder="1" applyAlignment="1" applyProtection="1">
      <alignment horizontal="center" vertical="center"/>
      <protection locked="0"/>
    </xf>
    <xf numFmtId="9" fontId="14" fillId="0" borderId="20" xfId="1" applyNumberFormat="1" applyFont="1" applyBorder="1" applyAlignment="1" applyProtection="1">
      <alignment horizontal="center" vertical="center" wrapText="1"/>
      <protection locked="0"/>
    </xf>
    <xf numFmtId="0" fontId="14" fillId="0" borderId="21" xfId="1" applyFont="1" applyBorder="1" applyAlignment="1" applyProtection="1">
      <alignment horizontal="center" vertical="center" wrapText="1"/>
      <protection locked="0"/>
    </xf>
    <xf numFmtId="0" fontId="14" fillId="0" borderId="20" xfId="1" applyFont="1" applyBorder="1" applyAlignment="1" applyProtection="1">
      <alignment horizontal="center" vertical="center" wrapText="1"/>
      <protection locked="0"/>
    </xf>
    <xf numFmtId="0" fontId="8" fillId="0" borderId="0" xfId="1" applyFont="1" applyAlignment="1" applyProtection="1">
      <alignment horizontal="center" vertical="center"/>
      <protection hidden="1"/>
    </xf>
    <xf numFmtId="0" fontId="8" fillId="0" borderId="13" xfId="1" applyFont="1" applyBorder="1" applyAlignment="1" applyProtection="1">
      <alignment horizontal="center" vertical="center"/>
      <protection hidden="1"/>
    </xf>
    <xf numFmtId="0" fontId="13" fillId="0" borderId="3" xfId="1" applyFont="1" applyBorder="1" applyAlignment="1" applyProtection="1">
      <alignment horizontal="left" vertical="top"/>
      <protection locked="0"/>
    </xf>
    <xf numFmtId="0" fontId="13" fillId="0" borderId="3" xfId="1" applyFont="1" applyBorder="1" applyAlignment="1" applyProtection="1">
      <alignment horizontal="left" vertical="top" wrapText="1"/>
      <protection locked="0"/>
    </xf>
    <xf numFmtId="0" fontId="14" fillId="0" borderId="30" xfId="1" applyFont="1" applyBorder="1" applyAlignment="1" applyProtection="1">
      <alignment horizontal="center" vertical="top" wrapText="1"/>
      <protection locked="0"/>
    </xf>
    <xf numFmtId="0" fontId="14" fillId="0" borderId="31" xfId="1" applyFont="1" applyBorder="1" applyAlignment="1" applyProtection="1">
      <alignment horizontal="center" vertical="top" wrapText="1"/>
      <protection locked="0"/>
    </xf>
    <xf numFmtId="0" fontId="14" fillId="0" borderId="31" xfId="1" applyFont="1" applyBorder="1" applyAlignment="1" applyProtection="1">
      <alignment horizontal="left" vertical="top" wrapText="1"/>
      <protection locked="0"/>
    </xf>
    <xf numFmtId="0" fontId="14" fillId="0" borderId="32" xfId="1" applyFont="1" applyBorder="1" applyAlignment="1" applyProtection="1">
      <alignment horizontal="left" vertical="top" wrapText="1"/>
      <protection locked="0"/>
    </xf>
    <xf numFmtId="0" fontId="14" fillId="0" borderId="33" xfId="1" applyFont="1" applyBorder="1" applyAlignment="1" applyProtection="1">
      <alignment horizontal="center" vertical="center"/>
      <protection locked="0"/>
    </xf>
    <xf numFmtId="0" fontId="14" fillId="0" borderId="34" xfId="1" applyFont="1" applyBorder="1" applyAlignment="1" applyProtection="1">
      <alignment horizontal="center" vertical="center" wrapText="1"/>
      <protection locked="0"/>
    </xf>
    <xf numFmtId="0" fontId="14" fillId="0" borderId="35" xfId="1" applyFont="1" applyBorder="1" applyAlignment="1" applyProtection="1">
      <alignment horizontal="center" vertical="center"/>
      <protection locked="0"/>
    </xf>
    <xf numFmtId="0" fontId="14" fillId="0" borderId="36" xfId="1" applyFont="1" applyBorder="1" applyAlignment="1" applyProtection="1">
      <alignment horizontal="center" vertical="center"/>
      <protection locked="0"/>
    </xf>
    <xf numFmtId="0" fontId="14" fillId="0" borderId="37" xfId="1" applyFont="1" applyBorder="1" applyAlignment="1" applyProtection="1">
      <alignment horizontal="center" vertical="center" wrapText="1"/>
      <protection locked="0"/>
    </xf>
    <xf numFmtId="0" fontId="14" fillId="0" borderId="36" xfId="1" applyFont="1" applyBorder="1" applyAlignment="1" applyProtection="1">
      <alignment horizontal="center" vertical="center" wrapText="1"/>
      <protection locked="0"/>
    </xf>
    <xf numFmtId="0" fontId="14" fillId="0" borderId="15" xfId="1" applyFont="1" applyBorder="1" applyAlignment="1" applyProtection="1">
      <alignment horizontal="center" vertical="center" wrapText="1"/>
      <protection locked="0"/>
    </xf>
    <xf numFmtId="1" fontId="13" fillId="0" borderId="1" xfId="0" applyNumberFormat="1" applyFont="1" applyBorder="1" applyAlignment="1" applyProtection="1">
      <alignment horizontal="center" vertical="center" wrapText="1"/>
      <protection locked="0"/>
    </xf>
  </cellXfs>
  <cellStyles count="10">
    <cellStyle name="Comma 2" xfId="6" xr:uid="{00000000-0005-0000-0000-000000000000}"/>
    <cellStyle name="Excel Built-in Normal" xfId="2" xr:uid="{00000000-0005-0000-0000-000001000000}"/>
    <cellStyle name="Excel Built-in Normal 2" xfId="4" xr:uid="{00000000-0005-0000-0000-000002000000}"/>
    <cellStyle name="Hyperlink" xfId="9" builtinId="8"/>
    <cellStyle name="Normal" xfId="0" builtinId="0"/>
    <cellStyle name="Normal 2" xfId="3" xr:uid="{00000000-0005-0000-0000-000005000000}"/>
    <cellStyle name="Normal 3" xfId="1" xr:uid="{00000000-0005-0000-0000-000006000000}"/>
    <cellStyle name="Normal 3 3" xfId="7" xr:uid="{00000000-0005-0000-0000-000007000000}"/>
    <cellStyle name="Normal 4" xfId="5" xr:uid="{00000000-0005-0000-0000-000008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jpe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6.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editAs="oneCell">
    <xdr:from>
      <xdr:col>1</xdr:col>
      <xdr:colOff>748143</xdr:colOff>
      <xdr:row>731</xdr:row>
      <xdr:rowOff>41345</xdr:rowOff>
    </xdr:from>
    <xdr:to>
      <xdr:col>6</xdr:col>
      <xdr:colOff>375144</xdr:colOff>
      <xdr:row>745</xdr:row>
      <xdr:rowOff>99661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510143" y="115417670"/>
          <a:ext cx="3779901" cy="2858666"/>
        </a:xfrm>
        <a:prstGeom prst="rect">
          <a:avLst/>
        </a:prstGeom>
        <a:ln>
          <a:solidFill>
            <a:schemeClr val="tx1"/>
          </a:solidFill>
        </a:ln>
      </xdr:spPr>
    </xdr:pic>
    <xdr:clientData/>
  </xdr:twoCellAnchor>
  <xdr:twoCellAnchor>
    <xdr:from>
      <xdr:col>17</xdr:col>
      <xdr:colOff>28955</xdr:colOff>
      <xdr:row>612</xdr:row>
      <xdr:rowOff>152923</xdr:rowOff>
    </xdr:from>
    <xdr:to>
      <xdr:col>17</xdr:col>
      <xdr:colOff>245831</xdr:colOff>
      <xdr:row>613</xdr:row>
      <xdr:rowOff>189558</xdr:rowOff>
    </xdr:to>
    <xdr:sp macro="" textlink="">
      <xdr:nvSpPr>
        <xdr:cNvPr id="38" name="TextBox 37">
          <a:extLst>
            <a:ext uri="{FF2B5EF4-FFF2-40B4-BE49-F238E27FC236}">
              <a16:creationId xmlns:a16="http://schemas.microsoft.com/office/drawing/2014/main" id="{00000000-0008-0000-0000-000026000000}"/>
            </a:ext>
          </a:extLst>
        </xdr:cNvPr>
        <xdr:cNvSpPr txBox="1"/>
      </xdr:nvSpPr>
      <xdr:spPr>
        <a:xfrm>
          <a:off x="11525630" y="107166298"/>
          <a:ext cx="216876" cy="236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E</a:t>
          </a:r>
        </a:p>
      </xdr:txBody>
    </xdr:sp>
    <xdr:clientData/>
  </xdr:twoCellAnchor>
  <xdr:twoCellAnchor>
    <xdr:from>
      <xdr:col>11</xdr:col>
      <xdr:colOff>330987</xdr:colOff>
      <xdr:row>613</xdr:row>
      <xdr:rowOff>24701</xdr:rowOff>
    </xdr:from>
    <xdr:to>
      <xdr:col>12</xdr:col>
      <xdr:colOff>247650</xdr:colOff>
      <xdr:row>614</xdr:row>
      <xdr:rowOff>114300</xdr:rowOff>
    </xdr:to>
    <xdr:sp macro="" textlink="">
      <xdr:nvSpPr>
        <xdr:cNvPr id="43" name="TextBox 42">
          <a:extLst>
            <a:ext uri="{FF2B5EF4-FFF2-40B4-BE49-F238E27FC236}">
              <a16:creationId xmlns:a16="http://schemas.microsoft.com/office/drawing/2014/main" id="{00000000-0008-0000-0000-00002B000000}"/>
            </a:ext>
          </a:extLst>
        </xdr:cNvPr>
        <xdr:cNvSpPr txBox="1"/>
      </xdr:nvSpPr>
      <xdr:spPr>
        <a:xfrm>
          <a:off x="10179837" y="125037151"/>
          <a:ext cx="653263" cy="286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solidFill>
                <a:srgbClr val="FFFF00"/>
              </a:solidFill>
            </a:rPr>
            <a:t>A Wing</a:t>
          </a:r>
        </a:p>
      </xdr:txBody>
    </xdr:sp>
    <xdr:clientData/>
  </xdr:twoCellAnchor>
  <xdr:twoCellAnchor>
    <xdr:from>
      <xdr:col>8</xdr:col>
      <xdr:colOff>1012580</xdr:colOff>
      <xdr:row>600</xdr:row>
      <xdr:rowOff>274760</xdr:rowOff>
    </xdr:from>
    <xdr:to>
      <xdr:col>9</xdr:col>
      <xdr:colOff>184637</xdr:colOff>
      <xdr:row>601</xdr:row>
      <xdr:rowOff>63745</xdr:rowOff>
    </xdr:to>
    <xdr:sp macro="" textlink="">
      <xdr:nvSpPr>
        <xdr:cNvPr id="45" name="TextBox 44">
          <a:extLst>
            <a:ext uri="{FF2B5EF4-FFF2-40B4-BE49-F238E27FC236}">
              <a16:creationId xmlns:a16="http://schemas.microsoft.com/office/drawing/2014/main" id="{00000000-0008-0000-0000-00002D000000}"/>
            </a:ext>
          </a:extLst>
        </xdr:cNvPr>
        <xdr:cNvSpPr txBox="1"/>
      </xdr:nvSpPr>
      <xdr:spPr>
        <a:xfrm>
          <a:off x="7889630" y="104649710"/>
          <a:ext cx="219807" cy="236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A</a:t>
          </a:r>
        </a:p>
      </xdr:txBody>
    </xdr:sp>
    <xdr:clientData/>
  </xdr:twoCellAnchor>
  <xdr:twoCellAnchor>
    <xdr:from>
      <xdr:col>11</xdr:col>
      <xdr:colOff>483088</xdr:colOff>
      <xdr:row>600</xdr:row>
      <xdr:rowOff>274760</xdr:rowOff>
    </xdr:from>
    <xdr:to>
      <xdr:col>11</xdr:col>
      <xdr:colOff>702895</xdr:colOff>
      <xdr:row>601</xdr:row>
      <xdr:rowOff>63745</xdr:rowOff>
    </xdr:to>
    <xdr:sp macro="" textlink="">
      <xdr:nvSpPr>
        <xdr:cNvPr id="46" name="TextBox 45">
          <a:extLst>
            <a:ext uri="{FF2B5EF4-FFF2-40B4-BE49-F238E27FC236}">
              <a16:creationId xmlns:a16="http://schemas.microsoft.com/office/drawing/2014/main" id="{00000000-0008-0000-0000-00002E000000}"/>
            </a:ext>
          </a:extLst>
        </xdr:cNvPr>
        <xdr:cNvSpPr txBox="1"/>
      </xdr:nvSpPr>
      <xdr:spPr>
        <a:xfrm>
          <a:off x="9874738" y="104649710"/>
          <a:ext cx="219807" cy="236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B</a:t>
          </a:r>
        </a:p>
      </xdr:txBody>
    </xdr:sp>
    <xdr:clientData/>
  </xdr:twoCellAnchor>
  <xdr:twoCellAnchor>
    <xdr:from>
      <xdr:col>17</xdr:col>
      <xdr:colOff>338919</xdr:colOff>
      <xdr:row>600</xdr:row>
      <xdr:rowOff>302579</xdr:rowOff>
    </xdr:from>
    <xdr:to>
      <xdr:col>17</xdr:col>
      <xdr:colOff>558726</xdr:colOff>
      <xdr:row>601</xdr:row>
      <xdr:rowOff>91564</xdr:rowOff>
    </xdr:to>
    <xdr:sp macro="" textlink="">
      <xdr:nvSpPr>
        <xdr:cNvPr id="47" name="TextBox 46">
          <a:extLst>
            <a:ext uri="{FF2B5EF4-FFF2-40B4-BE49-F238E27FC236}">
              <a16:creationId xmlns:a16="http://schemas.microsoft.com/office/drawing/2014/main" id="{00000000-0008-0000-0000-00002F000000}"/>
            </a:ext>
          </a:extLst>
        </xdr:cNvPr>
        <xdr:cNvSpPr txBox="1"/>
      </xdr:nvSpPr>
      <xdr:spPr>
        <a:xfrm>
          <a:off x="11835594" y="104677529"/>
          <a:ext cx="219807" cy="236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C</a:t>
          </a:r>
        </a:p>
      </xdr:txBody>
    </xdr:sp>
    <xdr:clientData/>
  </xdr:twoCellAnchor>
  <xdr:twoCellAnchor>
    <xdr:from>
      <xdr:col>8</xdr:col>
      <xdr:colOff>749265</xdr:colOff>
      <xdr:row>608</xdr:row>
      <xdr:rowOff>82550</xdr:rowOff>
    </xdr:from>
    <xdr:to>
      <xdr:col>9</xdr:col>
      <xdr:colOff>136592</xdr:colOff>
      <xdr:row>612</xdr:row>
      <xdr:rowOff>180867</xdr:rowOff>
    </xdr:to>
    <xdr:cxnSp macro="">
      <xdr:nvCxnSpPr>
        <xdr:cNvPr id="17" name="Straight Connector 16">
          <a:extLst>
            <a:ext uri="{FF2B5EF4-FFF2-40B4-BE49-F238E27FC236}">
              <a16:creationId xmlns:a16="http://schemas.microsoft.com/office/drawing/2014/main" id="{88540CE3-2DCA-43A7-9B47-7AE2E40C11F5}"/>
            </a:ext>
          </a:extLst>
        </xdr:cNvPr>
        <xdr:cNvCxnSpPr>
          <a:cxnSpLocks/>
        </xdr:cNvCxnSpPr>
      </xdr:nvCxnSpPr>
      <xdr:spPr>
        <a:xfrm flipH="1">
          <a:off x="7962865" y="105162350"/>
          <a:ext cx="485877" cy="87936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749264</xdr:colOff>
      <xdr:row>608</xdr:row>
      <xdr:rowOff>110179</xdr:rowOff>
    </xdr:from>
    <xdr:to>
      <xdr:col>9</xdr:col>
      <xdr:colOff>333920</xdr:colOff>
      <xdr:row>613</xdr:row>
      <xdr:rowOff>106243</xdr:rowOff>
    </xdr:to>
    <xdr:cxnSp macro="">
      <xdr:nvCxnSpPr>
        <xdr:cNvPr id="18" name="Straight Connector 17">
          <a:extLst>
            <a:ext uri="{FF2B5EF4-FFF2-40B4-BE49-F238E27FC236}">
              <a16:creationId xmlns:a16="http://schemas.microsoft.com/office/drawing/2014/main" id="{61F5C885-FB91-4D03-8BF7-61EACCC36416}"/>
            </a:ext>
          </a:extLst>
        </xdr:cNvPr>
        <xdr:cNvCxnSpPr>
          <a:cxnSpLocks/>
        </xdr:cNvCxnSpPr>
      </xdr:nvCxnSpPr>
      <xdr:spPr>
        <a:xfrm flipH="1">
          <a:off x="7962864" y="105189979"/>
          <a:ext cx="683206" cy="973964"/>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727855</xdr:colOff>
      <xdr:row>608</xdr:row>
      <xdr:rowOff>82550</xdr:rowOff>
    </xdr:from>
    <xdr:to>
      <xdr:col>9</xdr:col>
      <xdr:colOff>66558</xdr:colOff>
      <xdr:row>612</xdr:row>
      <xdr:rowOff>127653</xdr:rowOff>
    </xdr:to>
    <xdr:cxnSp macro="">
      <xdr:nvCxnSpPr>
        <xdr:cNvPr id="19" name="Straight Connector 18">
          <a:extLst>
            <a:ext uri="{FF2B5EF4-FFF2-40B4-BE49-F238E27FC236}">
              <a16:creationId xmlns:a16="http://schemas.microsoft.com/office/drawing/2014/main" id="{A08CCA5A-DCE6-40B5-871A-B4D102512BF3}"/>
            </a:ext>
          </a:extLst>
        </xdr:cNvPr>
        <xdr:cNvCxnSpPr>
          <a:cxnSpLocks/>
        </xdr:cNvCxnSpPr>
      </xdr:nvCxnSpPr>
      <xdr:spPr>
        <a:xfrm flipH="1">
          <a:off x="7941455" y="105162350"/>
          <a:ext cx="437253" cy="82615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667582</xdr:colOff>
      <xdr:row>610</xdr:row>
      <xdr:rowOff>110156</xdr:rowOff>
    </xdr:from>
    <xdr:to>
      <xdr:col>10</xdr:col>
      <xdr:colOff>22429</xdr:colOff>
      <xdr:row>611</xdr:row>
      <xdr:rowOff>171741</xdr:rowOff>
    </xdr:to>
    <xdr:sp macro="" textlink="">
      <xdr:nvSpPr>
        <xdr:cNvPr id="20" name="TextBox 197">
          <a:extLst>
            <a:ext uri="{FF2B5EF4-FFF2-40B4-BE49-F238E27FC236}">
              <a16:creationId xmlns:a16="http://schemas.microsoft.com/office/drawing/2014/main" id="{62903399-26BF-46B2-8B03-F6EEC4592469}"/>
            </a:ext>
          </a:extLst>
        </xdr:cNvPr>
        <xdr:cNvSpPr txBox="1"/>
      </xdr:nvSpPr>
      <xdr:spPr>
        <a:xfrm rot="19012891">
          <a:off x="7881182" y="105577306"/>
          <a:ext cx="1253497" cy="25843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solidFill>
                <a:srgbClr val="FF0000"/>
              </a:solidFill>
            </a:rPr>
            <a:t>High Tension Line</a:t>
          </a:r>
          <a:endParaRPr lang="en-IN" sz="1100" b="1">
            <a:solidFill>
              <a:srgbClr val="FF0000"/>
            </a:solidFill>
          </a:endParaRPr>
        </a:p>
      </xdr:txBody>
    </xdr:sp>
    <xdr:clientData/>
  </xdr:twoCellAnchor>
  <xdr:twoCellAnchor>
    <xdr:from>
      <xdr:col>8</xdr:col>
      <xdr:colOff>817135</xdr:colOff>
      <xdr:row>613</xdr:row>
      <xdr:rowOff>43803</xdr:rowOff>
    </xdr:from>
    <xdr:to>
      <xdr:col>9</xdr:col>
      <xdr:colOff>33095</xdr:colOff>
      <xdr:row>615</xdr:row>
      <xdr:rowOff>13085</xdr:rowOff>
    </xdr:to>
    <xdr:sp macro="" textlink="">
      <xdr:nvSpPr>
        <xdr:cNvPr id="22" name="TextBox 199">
          <a:extLst>
            <a:ext uri="{FF2B5EF4-FFF2-40B4-BE49-F238E27FC236}">
              <a16:creationId xmlns:a16="http://schemas.microsoft.com/office/drawing/2014/main" id="{FD42D692-8BCA-44B1-9CC0-862F767FB3A5}"/>
            </a:ext>
          </a:extLst>
        </xdr:cNvPr>
        <xdr:cNvSpPr txBox="1"/>
      </xdr:nvSpPr>
      <xdr:spPr>
        <a:xfrm>
          <a:off x="8030735" y="106101503"/>
          <a:ext cx="314510" cy="36298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a:t>
          </a:r>
          <a:endParaRPr lang="en-IN" b="1">
            <a:solidFill>
              <a:srgbClr val="FF0000"/>
            </a:solidFill>
          </a:endParaRPr>
        </a:p>
      </xdr:txBody>
    </xdr:sp>
    <xdr:clientData/>
  </xdr:twoCellAnchor>
  <xdr:twoCellAnchor editAs="oneCell">
    <xdr:from>
      <xdr:col>1</xdr:col>
      <xdr:colOff>76200</xdr:colOff>
      <xdr:row>746</xdr:row>
      <xdr:rowOff>78322</xdr:rowOff>
    </xdr:from>
    <xdr:to>
      <xdr:col>7</xdr:col>
      <xdr:colOff>404492</xdr:colOff>
      <xdr:row>762</xdr:row>
      <xdr:rowOff>76200</xdr:rowOff>
    </xdr:to>
    <xdr:pic>
      <xdr:nvPicPr>
        <xdr:cNvPr id="28" name="Picture 27">
          <a:extLst>
            <a:ext uri="{FF2B5EF4-FFF2-40B4-BE49-F238E27FC236}">
              <a16:creationId xmlns:a16="http://schemas.microsoft.com/office/drawing/2014/main" id="{A8FD3DD7-A86D-424A-BC3D-91874963DDE3}"/>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838200" y="118455022"/>
          <a:ext cx="5262242" cy="3198278"/>
        </a:xfrm>
        <a:prstGeom prst="rect">
          <a:avLst/>
        </a:prstGeom>
        <a:ln>
          <a:solidFill>
            <a:schemeClr val="tx1"/>
          </a:solidFill>
        </a:ln>
      </xdr:spPr>
    </xdr:pic>
    <xdr:clientData/>
  </xdr:twoCellAnchor>
  <xdr:twoCellAnchor>
    <xdr:from>
      <xdr:col>4</xdr:col>
      <xdr:colOff>87819</xdr:colOff>
      <xdr:row>750</xdr:row>
      <xdr:rowOff>130001</xdr:rowOff>
    </xdr:from>
    <xdr:to>
      <xdr:col>6</xdr:col>
      <xdr:colOff>287181</xdr:colOff>
      <xdr:row>759</xdr:row>
      <xdr:rowOff>41293</xdr:rowOff>
    </xdr:to>
    <xdr:sp macro="" textlink="">
      <xdr:nvSpPr>
        <xdr:cNvPr id="29" name="Rectangle 28">
          <a:extLst>
            <a:ext uri="{FF2B5EF4-FFF2-40B4-BE49-F238E27FC236}">
              <a16:creationId xmlns:a16="http://schemas.microsoft.com/office/drawing/2014/main" id="{071EB53B-4BAA-47EA-BB12-BD06DF13132D}"/>
            </a:ext>
          </a:extLst>
        </xdr:cNvPr>
        <xdr:cNvSpPr/>
      </xdr:nvSpPr>
      <xdr:spPr>
        <a:xfrm rot="2091415">
          <a:off x="3440619" y="119306801"/>
          <a:ext cx="1761462" cy="1711517"/>
        </a:xfrm>
        <a:prstGeom prst="rect">
          <a:avLst/>
        </a:prstGeom>
        <a:no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2</xdr:col>
      <xdr:colOff>835384</xdr:colOff>
      <xdr:row>756</xdr:row>
      <xdr:rowOff>109983</xdr:rowOff>
    </xdr:from>
    <xdr:to>
      <xdr:col>3</xdr:col>
      <xdr:colOff>271596</xdr:colOff>
      <xdr:row>758</xdr:row>
      <xdr:rowOff>17708</xdr:rowOff>
    </xdr:to>
    <xdr:sp macro="" textlink="">
      <xdr:nvSpPr>
        <xdr:cNvPr id="30" name="Rectangle 29">
          <a:extLst>
            <a:ext uri="{FF2B5EF4-FFF2-40B4-BE49-F238E27FC236}">
              <a16:creationId xmlns:a16="http://schemas.microsoft.com/office/drawing/2014/main" id="{DEDAB436-B531-4BF4-BB1D-6FE997E3B068}"/>
            </a:ext>
          </a:extLst>
        </xdr:cNvPr>
        <xdr:cNvSpPr/>
      </xdr:nvSpPr>
      <xdr:spPr>
        <a:xfrm rot="2091415">
          <a:off x="2397484" y="120486933"/>
          <a:ext cx="283937" cy="3077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1</xdr:col>
      <xdr:colOff>733193</xdr:colOff>
      <xdr:row>746</xdr:row>
      <xdr:rowOff>97025</xdr:rowOff>
    </xdr:from>
    <xdr:to>
      <xdr:col>4</xdr:col>
      <xdr:colOff>776672</xdr:colOff>
      <xdr:row>762</xdr:row>
      <xdr:rowOff>102758</xdr:rowOff>
    </xdr:to>
    <xdr:cxnSp macro="">
      <xdr:nvCxnSpPr>
        <xdr:cNvPr id="31" name="Straight Connector 30">
          <a:extLst>
            <a:ext uri="{FF2B5EF4-FFF2-40B4-BE49-F238E27FC236}">
              <a16:creationId xmlns:a16="http://schemas.microsoft.com/office/drawing/2014/main" id="{D8729C3F-9333-4564-8FCA-DEB7BC2AE529}"/>
            </a:ext>
          </a:extLst>
        </xdr:cNvPr>
        <xdr:cNvCxnSpPr>
          <a:cxnSpLocks/>
        </xdr:cNvCxnSpPr>
      </xdr:nvCxnSpPr>
      <xdr:spPr>
        <a:xfrm flipV="1">
          <a:off x="1495193" y="118473725"/>
          <a:ext cx="2634279" cy="320613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345147</xdr:colOff>
      <xdr:row>746</xdr:row>
      <xdr:rowOff>76200</xdr:rowOff>
    </xdr:from>
    <xdr:to>
      <xdr:col>5</xdr:col>
      <xdr:colOff>310193</xdr:colOff>
      <xdr:row>762</xdr:row>
      <xdr:rowOff>76200</xdr:rowOff>
    </xdr:to>
    <xdr:cxnSp macro="">
      <xdr:nvCxnSpPr>
        <xdr:cNvPr id="32" name="Straight Connector 31">
          <a:extLst>
            <a:ext uri="{FF2B5EF4-FFF2-40B4-BE49-F238E27FC236}">
              <a16:creationId xmlns:a16="http://schemas.microsoft.com/office/drawing/2014/main" id="{736CCF70-41B5-41DA-ADF8-EB4D19585A3A}"/>
            </a:ext>
          </a:extLst>
        </xdr:cNvPr>
        <xdr:cNvCxnSpPr>
          <a:cxnSpLocks/>
        </xdr:cNvCxnSpPr>
      </xdr:nvCxnSpPr>
      <xdr:spPr>
        <a:xfrm flipV="1">
          <a:off x="1907247" y="118452900"/>
          <a:ext cx="2536796" cy="32004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3745</xdr:colOff>
      <xdr:row>752</xdr:row>
      <xdr:rowOff>12378</xdr:rowOff>
    </xdr:from>
    <xdr:to>
      <xdr:col>3</xdr:col>
      <xdr:colOff>694646</xdr:colOff>
      <xdr:row>753</xdr:row>
      <xdr:rowOff>120130</xdr:rowOff>
    </xdr:to>
    <xdr:sp macro="" textlink="">
      <xdr:nvSpPr>
        <xdr:cNvPr id="33" name="TextBox 217">
          <a:extLst>
            <a:ext uri="{FF2B5EF4-FFF2-40B4-BE49-F238E27FC236}">
              <a16:creationId xmlns:a16="http://schemas.microsoft.com/office/drawing/2014/main" id="{19FD994C-75C9-4AC3-BA2F-137CF0D9C5DA}"/>
            </a:ext>
          </a:extLst>
        </xdr:cNvPr>
        <xdr:cNvSpPr txBox="1"/>
      </xdr:nvSpPr>
      <xdr:spPr>
        <a:xfrm>
          <a:off x="1565845" y="119589228"/>
          <a:ext cx="1538626"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High tension Lines</a:t>
          </a:r>
          <a:endParaRPr lang="en-IN" sz="1400" b="1">
            <a:solidFill>
              <a:srgbClr val="FF0000"/>
            </a:solidFill>
          </a:endParaRPr>
        </a:p>
      </xdr:txBody>
    </xdr:sp>
    <xdr:clientData/>
  </xdr:twoCellAnchor>
  <xdr:twoCellAnchor>
    <xdr:from>
      <xdr:col>4</xdr:col>
      <xdr:colOff>260308</xdr:colOff>
      <xdr:row>753</xdr:row>
      <xdr:rowOff>172708</xdr:rowOff>
    </xdr:from>
    <xdr:to>
      <xdr:col>4</xdr:col>
      <xdr:colOff>584436</xdr:colOff>
      <xdr:row>755</xdr:row>
      <xdr:rowOff>141990</xdr:rowOff>
    </xdr:to>
    <xdr:sp macro="" textlink="">
      <xdr:nvSpPr>
        <xdr:cNvPr id="34" name="TextBox 218">
          <a:extLst>
            <a:ext uri="{FF2B5EF4-FFF2-40B4-BE49-F238E27FC236}">
              <a16:creationId xmlns:a16="http://schemas.microsoft.com/office/drawing/2014/main" id="{A327043E-DDBC-494B-89D9-8758EF3A3545}"/>
            </a:ext>
          </a:extLst>
        </xdr:cNvPr>
        <xdr:cNvSpPr txBox="1"/>
      </xdr:nvSpPr>
      <xdr:spPr>
        <a:xfrm>
          <a:off x="3613108" y="119949583"/>
          <a:ext cx="32412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A</a:t>
          </a:r>
          <a:endParaRPr lang="en-IN" b="1">
            <a:solidFill>
              <a:srgbClr val="FFFF00"/>
            </a:solidFill>
          </a:endParaRPr>
        </a:p>
      </xdr:txBody>
    </xdr:sp>
    <xdr:clientData/>
  </xdr:twoCellAnchor>
  <xdr:twoCellAnchor>
    <xdr:from>
      <xdr:col>4</xdr:col>
      <xdr:colOff>430753</xdr:colOff>
      <xdr:row>752</xdr:row>
      <xdr:rowOff>158042</xdr:rowOff>
    </xdr:from>
    <xdr:to>
      <xdr:col>4</xdr:col>
      <xdr:colOff>745263</xdr:colOff>
      <xdr:row>754</xdr:row>
      <xdr:rowOff>127324</xdr:rowOff>
    </xdr:to>
    <xdr:sp macro="" textlink="">
      <xdr:nvSpPr>
        <xdr:cNvPr id="35" name="TextBox 219">
          <a:extLst>
            <a:ext uri="{FF2B5EF4-FFF2-40B4-BE49-F238E27FC236}">
              <a16:creationId xmlns:a16="http://schemas.microsoft.com/office/drawing/2014/main" id="{A67DF005-F1FD-4558-B018-4417D4D4C269}"/>
            </a:ext>
          </a:extLst>
        </xdr:cNvPr>
        <xdr:cNvSpPr txBox="1"/>
      </xdr:nvSpPr>
      <xdr:spPr>
        <a:xfrm>
          <a:off x="3783553" y="119734892"/>
          <a:ext cx="314510"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B</a:t>
          </a:r>
          <a:endParaRPr lang="en-IN" b="1">
            <a:solidFill>
              <a:srgbClr val="FFFF00"/>
            </a:solidFill>
          </a:endParaRPr>
        </a:p>
      </xdr:txBody>
    </xdr:sp>
    <xdr:clientData/>
  </xdr:twoCellAnchor>
  <xdr:twoCellAnchor>
    <xdr:from>
      <xdr:col>4</xdr:col>
      <xdr:colOff>756759</xdr:colOff>
      <xdr:row>752</xdr:row>
      <xdr:rowOff>188067</xdr:rowOff>
    </xdr:from>
    <xdr:to>
      <xdr:col>5</xdr:col>
      <xdr:colOff>282203</xdr:colOff>
      <xdr:row>754</xdr:row>
      <xdr:rowOff>157349</xdr:rowOff>
    </xdr:to>
    <xdr:sp macro="" textlink="">
      <xdr:nvSpPr>
        <xdr:cNvPr id="36" name="TextBox 220">
          <a:extLst>
            <a:ext uri="{FF2B5EF4-FFF2-40B4-BE49-F238E27FC236}">
              <a16:creationId xmlns:a16="http://schemas.microsoft.com/office/drawing/2014/main" id="{30D71C99-9626-4AC2-BB2A-A0E5F1B7A9D2}"/>
            </a:ext>
          </a:extLst>
        </xdr:cNvPr>
        <xdr:cNvSpPr txBox="1"/>
      </xdr:nvSpPr>
      <xdr:spPr>
        <a:xfrm>
          <a:off x="4109559" y="119764917"/>
          <a:ext cx="306494"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C</a:t>
          </a:r>
          <a:endParaRPr lang="en-IN" b="1">
            <a:solidFill>
              <a:srgbClr val="FFFF00"/>
            </a:solidFill>
          </a:endParaRPr>
        </a:p>
      </xdr:txBody>
    </xdr:sp>
    <xdr:clientData/>
  </xdr:twoCellAnchor>
  <xdr:twoCellAnchor>
    <xdr:from>
      <xdr:col>4</xdr:col>
      <xdr:colOff>700501</xdr:colOff>
      <xdr:row>750</xdr:row>
      <xdr:rowOff>131800</xdr:rowOff>
    </xdr:from>
    <xdr:to>
      <xdr:col>5</xdr:col>
      <xdr:colOff>249991</xdr:colOff>
      <xdr:row>752</xdr:row>
      <xdr:rowOff>101082</xdr:rowOff>
    </xdr:to>
    <xdr:sp macro="" textlink="">
      <xdr:nvSpPr>
        <xdr:cNvPr id="37" name="TextBox 221">
          <a:extLst>
            <a:ext uri="{FF2B5EF4-FFF2-40B4-BE49-F238E27FC236}">
              <a16:creationId xmlns:a16="http://schemas.microsoft.com/office/drawing/2014/main" id="{2275A185-F585-4303-A13E-A4A52C347440}"/>
            </a:ext>
          </a:extLst>
        </xdr:cNvPr>
        <xdr:cNvSpPr txBox="1"/>
      </xdr:nvSpPr>
      <xdr:spPr>
        <a:xfrm>
          <a:off x="4053301" y="119308600"/>
          <a:ext cx="330540"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D</a:t>
          </a:r>
          <a:endParaRPr lang="en-IN" b="1">
            <a:solidFill>
              <a:srgbClr val="FFFF00"/>
            </a:solidFill>
          </a:endParaRPr>
        </a:p>
      </xdr:txBody>
    </xdr:sp>
    <xdr:clientData/>
  </xdr:twoCellAnchor>
  <xdr:twoCellAnchor>
    <xdr:from>
      <xdr:col>5</xdr:col>
      <xdr:colOff>108502</xdr:colOff>
      <xdr:row>751</xdr:row>
      <xdr:rowOff>114059</xdr:rowOff>
    </xdr:from>
    <xdr:to>
      <xdr:col>5</xdr:col>
      <xdr:colOff>405378</xdr:colOff>
      <xdr:row>753</xdr:row>
      <xdr:rowOff>83341</xdr:rowOff>
    </xdr:to>
    <xdr:sp macro="" textlink="">
      <xdr:nvSpPr>
        <xdr:cNvPr id="39" name="TextBox 222">
          <a:extLst>
            <a:ext uri="{FF2B5EF4-FFF2-40B4-BE49-F238E27FC236}">
              <a16:creationId xmlns:a16="http://schemas.microsoft.com/office/drawing/2014/main" id="{587248FB-EF38-4226-A677-40DAEA8FF6EE}"/>
            </a:ext>
          </a:extLst>
        </xdr:cNvPr>
        <xdr:cNvSpPr txBox="1"/>
      </xdr:nvSpPr>
      <xdr:spPr>
        <a:xfrm>
          <a:off x="4242352" y="119490884"/>
          <a:ext cx="29687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E</a:t>
          </a:r>
          <a:endParaRPr lang="en-IN" b="1">
            <a:solidFill>
              <a:srgbClr val="FFFF00"/>
            </a:solidFill>
          </a:endParaRPr>
        </a:p>
      </xdr:txBody>
    </xdr:sp>
    <xdr:clientData/>
  </xdr:twoCellAnchor>
  <xdr:twoCellAnchor>
    <xdr:from>
      <xdr:col>5</xdr:col>
      <xdr:colOff>558146</xdr:colOff>
      <xdr:row>752</xdr:row>
      <xdr:rowOff>166266</xdr:rowOff>
    </xdr:from>
    <xdr:to>
      <xdr:col>6</xdr:col>
      <xdr:colOff>67560</xdr:colOff>
      <xdr:row>754</xdr:row>
      <xdr:rowOff>135548</xdr:rowOff>
    </xdr:to>
    <xdr:sp macro="" textlink="">
      <xdr:nvSpPr>
        <xdr:cNvPr id="40" name="TextBox 223">
          <a:extLst>
            <a:ext uri="{FF2B5EF4-FFF2-40B4-BE49-F238E27FC236}">
              <a16:creationId xmlns:a16="http://schemas.microsoft.com/office/drawing/2014/main" id="{B371CEC0-E1A5-44A7-8294-09EFF48C4830}"/>
            </a:ext>
          </a:extLst>
        </xdr:cNvPr>
        <xdr:cNvSpPr txBox="1"/>
      </xdr:nvSpPr>
      <xdr:spPr>
        <a:xfrm>
          <a:off x="4691996" y="119743116"/>
          <a:ext cx="290464"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F</a:t>
          </a:r>
          <a:endParaRPr lang="en-IN" b="1">
            <a:solidFill>
              <a:srgbClr val="FFFF00"/>
            </a:solidFill>
          </a:endParaRPr>
        </a:p>
      </xdr:txBody>
    </xdr:sp>
    <xdr:clientData/>
  </xdr:twoCellAnchor>
  <xdr:twoCellAnchor>
    <xdr:from>
      <xdr:col>0</xdr:col>
      <xdr:colOff>723900</xdr:colOff>
      <xdr:row>652</xdr:row>
      <xdr:rowOff>152400</xdr:rowOff>
    </xdr:from>
    <xdr:to>
      <xdr:col>7</xdr:col>
      <xdr:colOff>427950</xdr:colOff>
      <xdr:row>679</xdr:row>
      <xdr:rowOff>151725</xdr:rowOff>
    </xdr:to>
    <xdr:grpSp>
      <xdr:nvGrpSpPr>
        <xdr:cNvPr id="52" name="Group 51">
          <a:extLst>
            <a:ext uri="{FF2B5EF4-FFF2-40B4-BE49-F238E27FC236}">
              <a16:creationId xmlns:a16="http://schemas.microsoft.com/office/drawing/2014/main" id="{7782B42C-4742-401D-9337-FEC248B3FD6C}"/>
            </a:ext>
          </a:extLst>
        </xdr:cNvPr>
        <xdr:cNvGrpSpPr/>
      </xdr:nvGrpSpPr>
      <xdr:grpSpPr>
        <a:xfrm>
          <a:off x="723900" y="129930525"/>
          <a:ext cx="5400000" cy="5400000"/>
          <a:chOff x="554584" y="917548"/>
          <a:chExt cx="6887940" cy="8085384"/>
        </a:xfrm>
      </xdr:grpSpPr>
      <xdr:pic>
        <xdr:nvPicPr>
          <xdr:cNvPr id="53" name="Picture 52">
            <a:extLst>
              <a:ext uri="{FF2B5EF4-FFF2-40B4-BE49-F238E27FC236}">
                <a16:creationId xmlns:a16="http://schemas.microsoft.com/office/drawing/2014/main" id="{ED0EFF6F-DA18-4DF8-A7AE-C578FD259599}"/>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r="-541"/>
          <a:stretch/>
        </xdr:blipFill>
        <xdr:spPr>
          <a:xfrm>
            <a:off x="554584" y="948624"/>
            <a:ext cx="6887940" cy="8054308"/>
          </a:xfrm>
          <a:prstGeom prst="rect">
            <a:avLst/>
          </a:prstGeom>
          <a:ln>
            <a:solidFill>
              <a:schemeClr val="tx1"/>
            </a:solidFill>
          </a:ln>
        </xdr:spPr>
      </xdr:pic>
      <xdr:cxnSp macro="">
        <xdr:nvCxnSpPr>
          <xdr:cNvPr id="54" name="Straight Connector 53">
            <a:extLst>
              <a:ext uri="{FF2B5EF4-FFF2-40B4-BE49-F238E27FC236}">
                <a16:creationId xmlns:a16="http://schemas.microsoft.com/office/drawing/2014/main" id="{C61FFF70-EF84-4AF5-A2A7-73B1B17B7AD7}"/>
              </a:ext>
            </a:extLst>
          </xdr:cNvPr>
          <xdr:cNvCxnSpPr>
            <a:cxnSpLocks/>
          </xdr:cNvCxnSpPr>
        </xdr:nvCxnSpPr>
        <xdr:spPr>
          <a:xfrm>
            <a:off x="1760840" y="917548"/>
            <a:ext cx="829961" cy="383097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55" name="Straight Connector 54">
            <a:extLst>
              <a:ext uri="{FF2B5EF4-FFF2-40B4-BE49-F238E27FC236}">
                <a16:creationId xmlns:a16="http://schemas.microsoft.com/office/drawing/2014/main" id="{E1E5F480-EE17-4FA4-99FB-88C1B63A5FF9}"/>
              </a:ext>
            </a:extLst>
          </xdr:cNvPr>
          <xdr:cNvCxnSpPr>
            <a:cxnSpLocks/>
          </xdr:cNvCxnSpPr>
        </xdr:nvCxnSpPr>
        <xdr:spPr>
          <a:xfrm>
            <a:off x="629450" y="948624"/>
            <a:ext cx="1677840" cy="402715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56" name="Straight Connector 55">
            <a:extLst>
              <a:ext uri="{FF2B5EF4-FFF2-40B4-BE49-F238E27FC236}">
                <a16:creationId xmlns:a16="http://schemas.microsoft.com/office/drawing/2014/main" id="{48E3B844-A5EE-435E-99A3-2E0F0160B421}"/>
              </a:ext>
            </a:extLst>
          </xdr:cNvPr>
          <xdr:cNvCxnSpPr>
            <a:cxnSpLocks/>
          </xdr:cNvCxnSpPr>
        </xdr:nvCxnSpPr>
        <xdr:spPr>
          <a:xfrm>
            <a:off x="2213748" y="948624"/>
            <a:ext cx="608798" cy="402715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57" name="TextBox 235">
            <a:extLst>
              <a:ext uri="{FF2B5EF4-FFF2-40B4-BE49-F238E27FC236}">
                <a16:creationId xmlns:a16="http://schemas.microsoft.com/office/drawing/2014/main" id="{CD6AFF59-87B9-48A4-9B8A-36CD983C4DBC}"/>
              </a:ext>
            </a:extLst>
          </xdr:cNvPr>
          <xdr:cNvSpPr txBox="1"/>
        </xdr:nvSpPr>
        <xdr:spPr>
          <a:xfrm>
            <a:off x="2638695" y="2590773"/>
            <a:ext cx="2654218" cy="5601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High Tension Lines</a:t>
            </a:r>
            <a:endParaRPr lang="en-IN" b="1">
              <a:solidFill>
                <a:srgbClr val="FF0000"/>
              </a:solidFill>
            </a:endParaRPr>
          </a:p>
        </xdr:txBody>
      </xdr:sp>
      <xdr:sp macro="" textlink="">
        <xdr:nvSpPr>
          <xdr:cNvPr id="58" name="TextBox 237">
            <a:extLst>
              <a:ext uri="{FF2B5EF4-FFF2-40B4-BE49-F238E27FC236}">
                <a16:creationId xmlns:a16="http://schemas.microsoft.com/office/drawing/2014/main" id="{7E6B15F1-8E29-48B6-84FA-28BECCDF4E4E}"/>
              </a:ext>
            </a:extLst>
          </xdr:cNvPr>
          <xdr:cNvSpPr txBox="1"/>
        </xdr:nvSpPr>
        <xdr:spPr>
          <a:xfrm>
            <a:off x="1152020" y="5107419"/>
            <a:ext cx="1577336" cy="982148"/>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Imperial </a:t>
            </a:r>
          </a:p>
          <a:p>
            <a:r>
              <a:rPr lang="en-US" b="1">
                <a:solidFill>
                  <a:srgbClr val="FFFF00"/>
                </a:solidFill>
              </a:rPr>
              <a:t>Splendora</a:t>
            </a:r>
            <a:endParaRPr lang="en-IN" b="1">
              <a:solidFill>
                <a:srgbClr val="FFFF00"/>
              </a:solidFill>
            </a:endParaRPr>
          </a:p>
        </xdr:txBody>
      </xdr:sp>
      <xdr:cxnSp macro="">
        <xdr:nvCxnSpPr>
          <xdr:cNvPr id="59" name="Straight Arrow Connector 58">
            <a:extLst>
              <a:ext uri="{FF2B5EF4-FFF2-40B4-BE49-F238E27FC236}">
                <a16:creationId xmlns:a16="http://schemas.microsoft.com/office/drawing/2014/main" id="{BC6F01EA-5C09-4741-9553-8E54A01A1E0D}"/>
              </a:ext>
            </a:extLst>
          </xdr:cNvPr>
          <xdr:cNvCxnSpPr/>
        </xdr:nvCxnSpPr>
        <xdr:spPr>
          <a:xfrm flipH="1">
            <a:off x="832168" y="5612521"/>
            <a:ext cx="441349" cy="0"/>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158750</xdr:colOff>
      <xdr:row>618</xdr:row>
      <xdr:rowOff>114300</xdr:rowOff>
    </xdr:from>
    <xdr:to>
      <xdr:col>11</xdr:col>
      <xdr:colOff>72781</xdr:colOff>
      <xdr:row>619</xdr:row>
      <xdr:rowOff>187081</xdr:rowOff>
    </xdr:to>
    <xdr:sp macro="" textlink="">
      <xdr:nvSpPr>
        <xdr:cNvPr id="86" name="TextBox 85">
          <a:extLst>
            <a:ext uri="{FF2B5EF4-FFF2-40B4-BE49-F238E27FC236}">
              <a16:creationId xmlns:a16="http://schemas.microsoft.com/office/drawing/2014/main" id="{00000000-0008-0000-0000-000004000000}"/>
            </a:ext>
          </a:extLst>
        </xdr:cNvPr>
        <xdr:cNvSpPr txBox="1"/>
      </xdr:nvSpPr>
      <xdr:spPr>
        <a:xfrm>
          <a:off x="9271000" y="126111000"/>
          <a:ext cx="650631" cy="2696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0" cap="none" spc="0">
              <a:ln w="0"/>
              <a:solidFill>
                <a:sysClr val="windowText" lastClr="000000"/>
              </a:solidFill>
              <a:effectLst>
                <a:outerShdw blurRad="38100" dist="25400" dir="5400000" algn="ctr" rotWithShape="0">
                  <a:srgbClr val="6E747A">
                    <a:alpha val="43000"/>
                  </a:srgbClr>
                </a:outerShdw>
              </a:effectLst>
            </a:rPr>
            <a:t>D Wing</a:t>
          </a:r>
        </a:p>
      </xdr:txBody>
    </xdr:sp>
    <xdr:clientData/>
  </xdr:twoCellAnchor>
  <xdr:twoCellAnchor>
    <xdr:from>
      <xdr:col>21</xdr:col>
      <xdr:colOff>412750</xdr:colOff>
      <xdr:row>618</xdr:row>
      <xdr:rowOff>114300</xdr:rowOff>
    </xdr:from>
    <xdr:to>
      <xdr:col>22</xdr:col>
      <xdr:colOff>422031</xdr:colOff>
      <xdr:row>619</xdr:row>
      <xdr:rowOff>187081</xdr:rowOff>
    </xdr:to>
    <xdr:sp macro="" textlink="">
      <xdr:nvSpPr>
        <xdr:cNvPr id="87" name="TextBox 86">
          <a:extLst>
            <a:ext uri="{FF2B5EF4-FFF2-40B4-BE49-F238E27FC236}">
              <a16:creationId xmlns:a16="http://schemas.microsoft.com/office/drawing/2014/main" id="{00000000-0008-0000-0000-000004000000}"/>
            </a:ext>
          </a:extLst>
        </xdr:cNvPr>
        <xdr:cNvSpPr txBox="1"/>
      </xdr:nvSpPr>
      <xdr:spPr>
        <a:xfrm>
          <a:off x="15030450" y="126111000"/>
          <a:ext cx="650631" cy="2696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0" cap="none" spc="0">
              <a:ln w="0"/>
              <a:solidFill>
                <a:sysClr val="windowText" lastClr="000000"/>
              </a:solidFill>
              <a:effectLst>
                <a:outerShdw blurRad="38100" dist="25400" dir="5400000" algn="ctr" rotWithShape="0">
                  <a:srgbClr val="6E747A">
                    <a:alpha val="43000"/>
                  </a:srgbClr>
                </a:outerShdw>
              </a:effectLst>
            </a:rPr>
            <a:t>F Wing</a:t>
          </a:r>
        </a:p>
      </xdr:txBody>
    </xdr:sp>
    <xdr:clientData/>
  </xdr:twoCellAnchor>
  <xdr:twoCellAnchor editAs="oneCell">
    <xdr:from>
      <xdr:col>8</xdr:col>
      <xdr:colOff>165100</xdr:colOff>
      <xdr:row>57</xdr:row>
      <xdr:rowOff>171450</xdr:rowOff>
    </xdr:from>
    <xdr:to>
      <xdr:col>10</xdr:col>
      <xdr:colOff>514320</xdr:colOff>
      <xdr:row>61</xdr:row>
      <xdr:rowOff>360500</xdr:rowOff>
    </xdr:to>
    <xdr:pic>
      <xdr:nvPicPr>
        <xdr:cNvPr id="50" name="Picture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4"/>
        <a:stretch>
          <a:fillRect/>
        </a:stretch>
      </xdr:blipFill>
      <xdr:spPr>
        <a:xfrm>
          <a:off x="7378700" y="13208000"/>
          <a:ext cx="2247870" cy="1440000"/>
        </a:xfrm>
        <a:prstGeom prst="rect">
          <a:avLst/>
        </a:prstGeom>
        <a:ln>
          <a:solidFill>
            <a:schemeClr val="tx1"/>
          </a:solidFill>
        </a:ln>
      </xdr:spPr>
    </xdr:pic>
    <xdr:clientData/>
  </xdr:twoCellAnchor>
  <xdr:twoCellAnchor editAs="oneCell">
    <xdr:from>
      <xdr:col>8</xdr:col>
      <xdr:colOff>133350</xdr:colOff>
      <xdr:row>62</xdr:row>
      <xdr:rowOff>0</xdr:rowOff>
    </xdr:from>
    <xdr:to>
      <xdr:col>10</xdr:col>
      <xdr:colOff>553619</xdr:colOff>
      <xdr:row>67</xdr:row>
      <xdr:rowOff>158525</xdr:rowOff>
    </xdr:to>
    <xdr:pic>
      <xdr:nvPicPr>
        <xdr:cNvPr id="60" name="Picture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5"/>
        <a:stretch>
          <a:fillRect/>
        </a:stretch>
      </xdr:blipFill>
      <xdr:spPr>
        <a:xfrm>
          <a:off x="7346950" y="14706600"/>
          <a:ext cx="2318919" cy="1800000"/>
        </a:xfrm>
        <a:prstGeom prst="rect">
          <a:avLst/>
        </a:prstGeom>
        <a:ln>
          <a:solidFill>
            <a:schemeClr val="tx1"/>
          </a:solidFill>
        </a:ln>
      </xdr:spPr>
    </xdr:pic>
    <xdr:clientData/>
  </xdr:twoCellAnchor>
  <xdr:twoCellAnchor editAs="oneCell">
    <xdr:from>
      <xdr:col>8</xdr:col>
      <xdr:colOff>660400</xdr:colOff>
      <xdr:row>518</xdr:row>
      <xdr:rowOff>133351</xdr:rowOff>
    </xdr:from>
    <xdr:to>
      <xdr:col>17</xdr:col>
      <xdr:colOff>94075</xdr:colOff>
      <xdr:row>530</xdr:row>
      <xdr:rowOff>64484</xdr:rowOff>
    </xdr:to>
    <xdr:pic>
      <xdr:nvPicPr>
        <xdr:cNvPr id="61" name="Picture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6"/>
        <a:stretch>
          <a:fillRect/>
        </a:stretch>
      </xdr:blipFill>
      <xdr:spPr>
        <a:xfrm>
          <a:off x="7874000" y="102736651"/>
          <a:ext cx="4320000" cy="2293333"/>
        </a:xfrm>
        <a:prstGeom prst="rect">
          <a:avLst/>
        </a:prstGeom>
        <a:ln>
          <a:solidFill>
            <a:schemeClr val="tx1"/>
          </a:solidFill>
        </a:ln>
      </xdr:spPr>
    </xdr:pic>
    <xdr:clientData/>
  </xdr:twoCellAnchor>
  <xdr:twoCellAnchor editAs="oneCell">
    <xdr:from>
      <xdr:col>0</xdr:col>
      <xdr:colOff>717550</xdr:colOff>
      <xdr:row>685</xdr:row>
      <xdr:rowOff>190500</xdr:rowOff>
    </xdr:from>
    <xdr:to>
      <xdr:col>7</xdr:col>
      <xdr:colOff>142200</xdr:colOff>
      <xdr:row>713</xdr:row>
      <xdr:rowOff>78700</xdr:rowOff>
    </xdr:to>
    <xdr:pic>
      <xdr:nvPicPr>
        <xdr:cNvPr id="92" name="Picture 91">
          <a:extLst>
            <a:ext uri="{FF2B5EF4-FFF2-40B4-BE49-F238E27FC236}">
              <a16:creationId xmlns:a16="http://schemas.microsoft.com/office/drawing/2014/main" id="{00000000-0008-0000-0000-00005C000000}"/>
            </a:ext>
          </a:extLst>
        </xdr:cNvPr>
        <xdr:cNvPicPr>
          <a:picLocks noChangeAspect="1"/>
        </xdr:cNvPicPr>
      </xdr:nvPicPr>
      <xdr:blipFill>
        <a:blip xmlns:r="http://schemas.openxmlformats.org/officeDocument/2006/relationships" r:embed="rId7"/>
        <a:stretch>
          <a:fillRect/>
        </a:stretch>
      </xdr:blipFill>
      <xdr:spPr>
        <a:xfrm>
          <a:off x="717550" y="139376150"/>
          <a:ext cx="5400000" cy="5400000"/>
        </a:xfrm>
        <a:prstGeom prst="rect">
          <a:avLst/>
        </a:prstGeom>
        <a:ln>
          <a:solidFill>
            <a:schemeClr val="tx1"/>
          </a:solidFill>
        </a:ln>
      </xdr:spPr>
    </xdr:pic>
    <xdr:clientData/>
  </xdr:twoCellAnchor>
  <xdr:twoCellAnchor>
    <xdr:from>
      <xdr:col>3</xdr:col>
      <xdr:colOff>33033</xdr:colOff>
      <xdr:row>693</xdr:row>
      <xdr:rowOff>97485</xdr:rowOff>
    </xdr:from>
    <xdr:to>
      <xdr:col>4</xdr:col>
      <xdr:colOff>444252</xdr:colOff>
      <xdr:row>702</xdr:row>
      <xdr:rowOff>22160</xdr:rowOff>
    </xdr:to>
    <xdr:sp macro="" textlink="">
      <xdr:nvSpPr>
        <xdr:cNvPr id="93" name="Rectangle 92">
          <a:extLst>
            <a:ext uri="{FF2B5EF4-FFF2-40B4-BE49-F238E27FC236}">
              <a16:creationId xmlns:a16="http://schemas.microsoft.com/office/drawing/2014/main" id="{00000000-0008-0000-0000-00005D000000}"/>
            </a:ext>
          </a:extLst>
        </xdr:cNvPr>
        <xdr:cNvSpPr/>
      </xdr:nvSpPr>
      <xdr:spPr>
        <a:xfrm rot="18382208">
          <a:off x="2413080" y="141005188"/>
          <a:ext cx="1696325" cy="1401819"/>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oneCellAnchor>
    <xdr:from>
      <xdr:col>8</xdr:col>
      <xdr:colOff>990600</xdr:colOff>
      <xdr:row>696</xdr:row>
      <xdr:rowOff>76200</xdr:rowOff>
    </xdr:from>
    <xdr:ext cx="273729" cy="280205"/>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8204200" y="141427200"/>
          <a:ext cx="273729"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0" cap="none" spc="0">
              <a:ln w="0"/>
              <a:solidFill>
                <a:sysClr val="windowText" lastClr="000000"/>
              </a:solidFill>
              <a:effectLst>
                <a:outerShdw blurRad="38100" dist="25400" dir="5400000" algn="ctr" rotWithShape="0">
                  <a:srgbClr val="6E747A">
                    <a:alpha val="43000"/>
                  </a:srgbClr>
                </a:outerShdw>
              </a:effectLst>
            </a:rPr>
            <a:t>A</a:t>
          </a:r>
        </a:p>
      </xdr:txBody>
    </xdr:sp>
    <xdr:clientData/>
  </xdr:oneCellAnchor>
  <xdr:oneCellAnchor>
    <xdr:from>
      <xdr:col>2</xdr:col>
      <xdr:colOff>861645</xdr:colOff>
      <xdr:row>697</xdr:row>
      <xdr:rowOff>164223</xdr:rowOff>
    </xdr:from>
    <xdr:ext cx="280205" cy="273729"/>
    <xdr:sp macro="" textlink="">
      <xdr:nvSpPr>
        <xdr:cNvPr id="94" name="TextBox 93">
          <a:extLst>
            <a:ext uri="{FF2B5EF4-FFF2-40B4-BE49-F238E27FC236}">
              <a16:creationId xmlns:a16="http://schemas.microsoft.com/office/drawing/2014/main" id="{00000000-0008-0000-0000-00005E000000}"/>
            </a:ext>
          </a:extLst>
        </xdr:cNvPr>
        <xdr:cNvSpPr txBox="1"/>
      </xdr:nvSpPr>
      <xdr:spPr>
        <a:xfrm rot="18491873">
          <a:off x="2503183" y="141708835"/>
          <a:ext cx="273729"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0" cap="none" spc="0">
              <a:ln w="0"/>
              <a:solidFill>
                <a:sysClr val="windowText" lastClr="000000"/>
              </a:solidFill>
              <a:effectLst>
                <a:outerShdw blurRad="38100" dist="25400" dir="5400000" algn="ctr" rotWithShape="0">
                  <a:srgbClr val="6E747A">
                    <a:alpha val="43000"/>
                  </a:srgbClr>
                </a:outerShdw>
              </a:effectLst>
            </a:rPr>
            <a:t>A</a:t>
          </a:r>
        </a:p>
      </xdr:txBody>
    </xdr:sp>
    <xdr:clientData/>
  </xdr:oneCellAnchor>
  <xdr:oneCellAnchor>
    <xdr:from>
      <xdr:col>3</xdr:col>
      <xdr:colOff>283950</xdr:colOff>
      <xdr:row>695</xdr:row>
      <xdr:rowOff>118417</xdr:rowOff>
    </xdr:from>
    <xdr:ext cx="309314" cy="257097"/>
    <xdr:sp macro="" textlink="">
      <xdr:nvSpPr>
        <xdr:cNvPr id="95" name="TextBox 94">
          <a:extLst>
            <a:ext uri="{FF2B5EF4-FFF2-40B4-BE49-F238E27FC236}">
              <a16:creationId xmlns:a16="http://schemas.microsoft.com/office/drawing/2014/main" id="{00000000-0008-0000-0000-00005F000000}"/>
            </a:ext>
          </a:extLst>
        </xdr:cNvPr>
        <xdr:cNvSpPr txBox="1"/>
      </xdr:nvSpPr>
      <xdr:spPr>
        <a:xfrm rot="2172348">
          <a:off x="2811250" y="141272567"/>
          <a:ext cx="309314" cy="2570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IN" sz="1200" b="0" cap="none" spc="0">
              <a:ln w="0"/>
              <a:solidFill>
                <a:sysClr val="windowText" lastClr="000000"/>
              </a:solidFill>
              <a:effectLst>
                <a:outerShdw blurRad="38100" dist="25400" dir="5400000" algn="ctr" rotWithShape="0">
                  <a:srgbClr val="6E747A">
                    <a:alpha val="43000"/>
                  </a:srgbClr>
                </a:outerShdw>
              </a:effectLst>
            </a:rPr>
            <a:t>B</a:t>
          </a:r>
        </a:p>
      </xdr:txBody>
    </xdr:sp>
    <xdr:clientData/>
  </xdr:oneCellAnchor>
  <xdr:oneCellAnchor>
    <xdr:from>
      <xdr:col>3</xdr:col>
      <xdr:colOff>569699</xdr:colOff>
      <xdr:row>696</xdr:row>
      <xdr:rowOff>137466</xdr:rowOff>
    </xdr:from>
    <xdr:ext cx="309314" cy="257097"/>
    <xdr:sp macro="" textlink="">
      <xdr:nvSpPr>
        <xdr:cNvPr id="97" name="TextBox 96">
          <a:extLst>
            <a:ext uri="{FF2B5EF4-FFF2-40B4-BE49-F238E27FC236}">
              <a16:creationId xmlns:a16="http://schemas.microsoft.com/office/drawing/2014/main" id="{00000000-0008-0000-0000-000061000000}"/>
            </a:ext>
          </a:extLst>
        </xdr:cNvPr>
        <xdr:cNvSpPr txBox="1"/>
      </xdr:nvSpPr>
      <xdr:spPr>
        <a:xfrm rot="2172348">
          <a:off x="3096999" y="141488466"/>
          <a:ext cx="309314" cy="2570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IN" sz="1200" b="0" cap="none" spc="0">
              <a:ln w="0"/>
              <a:solidFill>
                <a:sysClr val="windowText" lastClr="000000"/>
              </a:solidFill>
              <a:effectLst>
                <a:outerShdw blurRad="38100" dist="25400" dir="5400000" algn="ctr" rotWithShape="0">
                  <a:srgbClr val="6E747A">
                    <a:alpha val="43000"/>
                  </a:srgbClr>
                </a:outerShdw>
              </a:effectLst>
            </a:rPr>
            <a:t>C</a:t>
          </a:r>
        </a:p>
      </xdr:txBody>
    </xdr:sp>
    <xdr:clientData/>
  </xdr:oneCellAnchor>
  <xdr:oneCellAnchor>
    <xdr:from>
      <xdr:col>3</xdr:col>
      <xdr:colOff>525096</xdr:colOff>
      <xdr:row>693</xdr:row>
      <xdr:rowOff>116952</xdr:rowOff>
    </xdr:from>
    <xdr:ext cx="280205" cy="279372"/>
    <xdr:sp macro="" textlink="">
      <xdr:nvSpPr>
        <xdr:cNvPr id="98" name="TextBox 97">
          <a:extLst>
            <a:ext uri="{FF2B5EF4-FFF2-40B4-BE49-F238E27FC236}">
              <a16:creationId xmlns:a16="http://schemas.microsoft.com/office/drawing/2014/main" id="{00000000-0008-0000-0000-000062000000}"/>
            </a:ext>
          </a:extLst>
        </xdr:cNvPr>
        <xdr:cNvSpPr txBox="1"/>
      </xdr:nvSpPr>
      <xdr:spPr>
        <a:xfrm rot="18491873">
          <a:off x="3052813" y="140876985"/>
          <a:ext cx="279372"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0" cap="none" spc="0">
              <a:ln w="0"/>
              <a:solidFill>
                <a:sysClr val="windowText" lastClr="000000"/>
              </a:solidFill>
              <a:effectLst>
                <a:outerShdw blurRad="38100" dist="25400" dir="5400000" algn="ctr" rotWithShape="0">
                  <a:srgbClr val="6E747A">
                    <a:alpha val="43000"/>
                  </a:srgbClr>
                </a:outerShdw>
              </a:effectLst>
            </a:rPr>
            <a:t>D</a:t>
          </a:r>
        </a:p>
      </xdr:txBody>
    </xdr:sp>
    <xdr:clientData/>
  </xdr:oneCellAnchor>
  <xdr:oneCellAnchor>
    <xdr:from>
      <xdr:col>3</xdr:col>
      <xdr:colOff>868149</xdr:colOff>
      <xdr:row>694</xdr:row>
      <xdr:rowOff>169215</xdr:rowOff>
    </xdr:from>
    <xdr:ext cx="309314" cy="257097"/>
    <xdr:sp macro="" textlink="">
      <xdr:nvSpPr>
        <xdr:cNvPr id="99" name="TextBox 98">
          <a:extLst>
            <a:ext uri="{FF2B5EF4-FFF2-40B4-BE49-F238E27FC236}">
              <a16:creationId xmlns:a16="http://schemas.microsoft.com/office/drawing/2014/main" id="{00000000-0008-0000-0000-000063000000}"/>
            </a:ext>
          </a:extLst>
        </xdr:cNvPr>
        <xdr:cNvSpPr txBox="1"/>
      </xdr:nvSpPr>
      <xdr:spPr>
        <a:xfrm rot="2172348">
          <a:off x="3395449" y="141126515"/>
          <a:ext cx="309314" cy="2570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IN" sz="1200" b="0" cap="none" spc="0">
              <a:ln w="0"/>
              <a:solidFill>
                <a:sysClr val="windowText" lastClr="000000"/>
              </a:solidFill>
              <a:effectLst>
                <a:outerShdw blurRad="38100" dist="25400" dir="5400000" algn="ctr" rotWithShape="0">
                  <a:srgbClr val="6E747A">
                    <a:alpha val="43000"/>
                  </a:srgbClr>
                </a:outerShdw>
              </a:effectLst>
            </a:rPr>
            <a:t>E</a:t>
          </a:r>
        </a:p>
      </xdr:txBody>
    </xdr:sp>
    <xdr:clientData/>
  </xdr:oneCellAnchor>
  <xdr:oneCellAnchor>
    <xdr:from>
      <xdr:col>4</xdr:col>
      <xdr:colOff>252199</xdr:colOff>
      <xdr:row>696</xdr:row>
      <xdr:rowOff>23165</xdr:rowOff>
    </xdr:from>
    <xdr:ext cx="309314" cy="257097"/>
    <xdr:sp macro="" textlink="">
      <xdr:nvSpPr>
        <xdr:cNvPr id="100" name="TextBox 99">
          <a:extLst>
            <a:ext uri="{FF2B5EF4-FFF2-40B4-BE49-F238E27FC236}">
              <a16:creationId xmlns:a16="http://schemas.microsoft.com/office/drawing/2014/main" id="{00000000-0008-0000-0000-000064000000}"/>
            </a:ext>
          </a:extLst>
        </xdr:cNvPr>
        <xdr:cNvSpPr txBox="1"/>
      </xdr:nvSpPr>
      <xdr:spPr>
        <a:xfrm rot="2172348">
          <a:off x="3770099" y="141374165"/>
          <a:ext cx="309314" cy="2570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IN" sz="1200" b="0" cap="none" spc="0">
              <a:ln w="0"/>
              <a:solidFill>
                <a:sysClr val="windowText" lastClr="000000"/>
              </a:solidFill>
              <a:effectLst>
                <a:outerShdw blurRad="38100" dist="25400" dir="5400000" algn="ctr" rotWithShape="0">
                  <a:srgbClr val="6E747A">
                    <a:alpha val="43000"/>
                  </a:srgbClr>
                </a:outerShdw>
              </a:effectLst>
            </a:rPr>
            <a:t>F</a:t>
          </a:r>
        </a:p>
      </xdr:txBody>
    </xdr:sp>
    <xdr:clientData/>
  </xdr:oneCellAnchor>
  <xdr:oneCellAnchor>
    <xdr:from>
      <xdr:col>3</xdr:col>
      <xdr:colOff>908050</xdr:colOff>
      <xdr:row>697</xdr:row>
      <xdr:rowOff>171451</xdr:rowOff>
    </xdr:from>
    <xdr:ext cx="309314" cy="257097"/>
    <xdr:sp macro="" textlink="">
      <xdr:nvSpPr>
        <xdr:cNvPr id="101" name="TextBox 100">
          <a:extLst>
            <a:ext uri="{FF2B5EF4-FFF2-40B4-BE49-F238E27FC236}">
              <a16:creationId xmlns:a16="http://schemas.microsoft.com/office/drawing/2014/main" id="{00000000-0008-0000-0000-000065000000}"/>
            </a:ext>
          </a:extLst>
        </xdr:cNvPr>
        <xdr:cNvSpPr txBox="1"/>
      </xdr:nvSpPr>
      <xdr:spPr>
        <a:xfrm rot="2172348">
          <a:off x="3435350" y="141719301"/>
          <a:ext cx="309314" cy="2570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IN" sz="1200" b="0" cap="none" spc="0">
              <a:ln w="0"/>
              <a:solidFill>
                <a:sysClr val="windowText" lastClr="000000"/>
              </a:solidFill>
              <a:effectLst>
                <a:outerShdw blurRad="38100" dist="25400" dir="5400000" algn="ctr" rotWithShape="0">
                  <a:srgbClr val="6E747A">
                    <a:alpha val="43000"/>
                  </a:srgbClr>
                </a:outerShdw>
              </a:effectLst>
            </a:rPr>
            <a:t>G</a:t>
          </a:r>
        </a:p>
      </xdr:txBody>
    </xdr:sp>
    <xdr:clientData/>
  </xdr:oneCellAnchor>
  <xdr:oneCellAnchor>
    <xdr:from>
      <xdr:col>3</xdr:col>
      <xdr:colOff>514350</xdr:colOff>
      <xdr:row>699</xdr:row>
      <xdr:rowOff>184151</xdr:rowOff>
    </xdr:from>
    <xdr:ext cx="309314" cy="257097"/>
    <xdr:sp macro="" textlink="">
      <xdr:nvSpPr>
        <xdr:cNvPr id="102" name="TextBox 101">
          <a:extLst>
            <a:ext uri="{FF2B5EF4-FFF2-40B4-BE49-F238E27FC236}">
              <a16:creationId xmlns:a16="http://schemas.microsoft.com/office/drawing/2014/main" id="{00000000-0008-0000-0000-000066000000}"/>
            </a:ext>
          </a:extLst>
        </xdr:cNvPr>
        <xdr:cNvSpPr txBox="1"/>
      </xdr:nvSpPr>
      <xdr:spPr>
        <a:xfrm rot="2172348">
          <a:off x="3041650" y="142125701"/>
          <a:ext cx="309314" cy="2570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IN" sz="1200" b="0" cap="none" spc="0">
              <a:ln w="0"/>
              <a:solidFill>
                <a:sysClr val="windowText" lastClr="000000"/>
              </a:solidFill>
              <a:effectLst>
                <a:outerShdw blurRad="38100" dist="25400" dir="5400000" algn="ctr" rotWithShape="0">
                  <a:srgbClr val="6E747A">
                    <a:alpha val="43000"/>
                  </a:srgbClr>
                </a:outerShdw>
              </a:effectLst>
            </a:rPr>
            <a:t>H</a:t>
          </a:r>
        </a:p>
      </xdr:txBody>
    </xdr:sp>
    <xdr:clientData/>
  </xdr:oneCellAnchor>
  <xdr:twoCellAnchor>
    <xdr:from>
      <xdr:col>0</xdr:col>
      <xdr:colOff>323850</xdr:colOff>
      <xdr:row>607</xdr:row>
      <xdr:rowOff>127000</xdr:rowOff>
    </xdr:from>
    <xdr:to>
      <xdr:col>7</xdr:col>
      <xdr:colOff>873071</xdr:colOff>
      <xdr:row>650</xdr:row>
      <xdr:rowOff>25400</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323850" y="120913525"/>
          <a:ext cx="6245171" cy="8489950"/>
          <a:chOff x="323850" y="124720350"/>
          <a:chExt cx="6524571" cy="8356600"/>
        </a:xfrm>
      </xdr:grpSpPr>
      <xdr:pic>
        <xdr:nvPicPr>
          <xdr:cNvPr id="73" name="Picture 72">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4542324" y="131228264"/>
            <a:ext cx="1537397" cy="1848686"/>
          </a:xfrm>
          <a:prstGeom prst="rect">
            <a:avLst/>
          </a:prstGeom>
          <a:ln>
            <a:solidFill>
              <a:schemeClr val="tx1"/>
            </a:solidFill>
          </a:ln>
        </xdr:spPr>
      </xdr:pic>
      <xdr:pic>
        <xdr:nvPicPr>
          <xdr:cNvPr id="74" name="Picture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323851" y="124732876"/>
            <a:ext cx="1537397" cy="2052000"/>
          </a:xfrm>
          <a:prstGeom prst="rect">
            <a:avLst/>
          </a:prstGeom>
          <a:ln>
            <a:solidFill>
              <a:schemeClr val="tx1"/>
            </a:solidFill>
          </a:ln>
        </xdr:spPr>
      </xdr:pic>
      <xdr:pic>
        <xdr:nvPicPr>
          <xdr:cNvPr id="75" name="Picture 74">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1986242" y="124732876"/>
            <a:ext cx="1537397" cy="2052000"/>
          </a:xfrm>
          <a:prstGeom prst="rect">
            <a:avLst/>
          </a:prstGeom>
          <a:ln>
            <a:solidFill>
              <a:schemeClr val="tx1"/>
            </a:solidFill>
          </a:ln>
        </xdr:spPr>
      </xdr:pic>
      <xdr:pic>
        <xdr:nvPicPr>
          <xdr:cNvPr id="76" name="Picture 75">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3648633" y="124732876"/>
            <a:ext cx="1537397" cy="2052000"/>
          </a:xfrm>
          <a:prstGeom prst="rect">
            <a:avLst/>
          </a:prstGeom>
          <a:ln>
            <a:solidFill>
              <a:schemeClr val="tx1"/>
            </a:solidFill>
          </a:ln>
        </xdr:spPr>
      </xdr:pic>
      <xdr:pic>
        <xdr:nvPicPr>
          <xdr:cNvPr id="77" name="Picture 76">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5311024" y="124720350"/>
            <a:ext cx="1537397" cy="2052000"/>
          </a:xfrm>
          <a:prstGeom prst="rect">
            <a:avLst/>
          </a:prstGeom>
          <a:ln>
            <a:solidFill>
              <a:schemeClr val="tx1"/>
            </a:solidFill>
          </a:ln>
        </xdr:spPr>
      </xdr:pic>
      <xdr:pic>
        <xdr:nvPicPr>
          <xdr:cNvPr id="78" name="Picture 77">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323850" y="126893830"/>
            <a:ext cx="1537397" cy="2052000"/>
          </a:xfrm>
          <a:prstGeom prst="rect">
            <a:avLst/>
          </a:prstGeom>
          <a:ln>
            <a:solidFill>
              <a:schemeClr val="tx1"/>
            </a:solidFill>
          </a:ln>
        </xdr:spPr>
      </xdr:pic>
      <xdr:pic>
        <xdr:nvPicPr>
          <xdr:cNvPr id="79" name="Picture 78">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1988402" y="126893830"/>
            <a:ext cx="1537397" cy="2052000"/>
          </a:xfrm>
          <a:prstGeom prst="rect">
            <a:avLst/>
          </a:prstGeom>
          <a:ln>
            <a:solidFill>
              <a:schemeClr val="tx1"/>
            </a:solidFill>
          </a:ln>
        </xdr:spPr>
      </xdr:pic>
      <xdr:pic>
        <xdr:nvPicPr>
          <xdr:cNvPr id="80" name="Picture 79">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3648633" y="126893830"/>
            <a:ext cx="1537397" cy="2052000"/>
          </a:xfrm>
          <a:prstGeom prst="rect">
            <a:avLst/>
          </a:prstGeom>
          <a:ln>
            <a:solidFill>
              <a:schemeClr val="tx1"/>
            </a:solidFill>
          </a:ln>
        </xdr:spPr>
      </xdr:pic>
      <xdr:pic>
        <xdr:nvPicPr>
          <xdr:cNvPr id="81" name="Picture 80">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1217541" y="131228264"/>
            <a:ext cx="1537397" cy="1848686"/>
          </a:xfrm>
          <a:prstGeom prst="rect">
            <a:avLst/>
          </a:prstGeom>
          <a:ln>
            <a:solidFill>
              <a:schemeClr val="tx1"/>
            </a:solidFill>
          </a:ln>
        </xdr:spPr>
      </xdr:pic>
      <xdr:pic>
        <xdr:nvPicPr>
          <xdr:cNvPr id="82" name="Picture 81">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1986242" y="129054784"/>
            <a:ext cx="1537397" cy="2052000"/>
          </a:xfrm>
          <a:prstGeom prst="rect">
            <a:avLst/>
          </a:prstGeom>
          <a:ln>
            <a:solidFill>
              <a:schemeClr val="tx1"/>
            </a:solidFill>
          </a:ln>
        </xdr:spPr>
      </xdr:pic>
      <xdr:pic>
        <xdr:nvPicPr>
          <xdr:cNvPr id="83" name="Picture 82">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2879934" y="131228264"/>
            <a:ext cx="1537397" cy="1848686"/>
          </a:xfrm>
          <a:prstGeom prst="rect">
            <a:avLst/>
          </a:prstGeom>
          <a:ln>
            <a:solidFill>
              <a:schemeClr val="tx1"/>
            </a:solidFill>
          </a:ln>
        </xdr:spPr>
      </xdr:pic>
      <xdr:pic>
        <xdr:nvPicPr>
          <xdr:cNvPr id="84" name="Picture 83">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5311023" y="129054784"/>
            <a:ext cx="1537397" cy="2052000"/>
          </a:xfrm>
          <a:prstGeom prst="rect">
            <a:avLst/>
          </a:prstGeom>
          <a:ln>
            <a:solidFill>
              <a:schemeClr val="tx1"/>
            </a:solidFill>
          </a:ln>
        </xdr:spPr>
      </xdr:pic>
      <xdr:pic>
        <xdr:nvPicPr>
          <xdr:cNvPr id="85" name="Picture 84">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5311024" y="126893830"/>
            <a:ext cx="1537397" cy="2052000"/>
          </a:xfrm>
          <a:prstGeom prst="rect">
            <a:avLst/>
          </a:prstGeom>
          <a:ln>
            <a:solidFill>
              <a:schemeClr val="tx1"/>
            </a:solidFill>
          </a:ln>
        </xdr:spPr>
      </xdr:pic>
      <xdr:pic>
        <xdr:nvPicPr>
          <xdr:cNvPr id="88" name="Picture 87">
            <a:extLst>
              <a:ext uri="{FF2B5EF4-FFF2-40B4-BE49-F238E27FC236}">
                <a16:creationId xmlns:a16="http://schemas.microsoft.com/office/drawing/2014/main" id="{00000000-0008-0000-0000-000058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323850" y="129054784"/>
            <a:ext cx="1537397" cy="2052000"/>
          </a:xfrm>
          <a:prstGeom prst="rect">
            <a:avLst/>
          </a:prstGeom>
          <a:ln>
            <a:solidFill>
              <a:schemeClr val="tx1"/>
            </a:solidFill>
          </a:ln>
        </xdr:spPr>
      </xdr:pic>
      <xdr:pic>
        <xdr:nvPicPr>
          <xdr:cNvPr id="89" name="Picture 88">
            <a:extLst>
              <a:ext uri="{FF2B5EF4-FFF2-40B4-BE49-F238E27FC236}">
                <a16:creationId xmlns:a16="http://schemas.microsoft.com/office/drawing/2014/main" id="{00000000-0008-0000-0000-000059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3648633" y="129054784"/>
            <a:ext cx="1537397" cy="2052000"/>
          </a:xfrm>
          <a:prstGeom prst="rect">
            <a:avLst/>
          </a:prstGeom>
          <a:ln>
            <a:solidFill>
              <a:schemeClr val="tx1"/>
            </a:solidFill>
          </a:ln>
        </xdr:spPr>
      </xdr:pic>
      <xdr:sp macro="" textlink="">
        <xdr:nvSpPr>
          <xdr:cNvPr id="90" name="TextBox 89">
            <a:extLst>
              <a:ext uri="{FF2B5EF4-FFF2-40B4-BE49-F238E27FC236}">
                <a16:creationId xmlns:a16="http://schemas.microsoft.com/office/drawing/2014/main" id="{00000000-0008-0000-0000-00002B000000}"/>
              </a:ext>
            </a:extLst>
          </xdr:cNvPr>
          <xdr:cNvSpPr txBox="1"/>
        </xdr:nvSpPr>
        <xdr:spPr>
          <a:xfrm>
            <a:off x="781051" y="125412326"/>
            <a:ext cx="653263" cy="286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solidFill>
                  <a:srgbClr val="FFFF00"/>
                </a:solidFill>
              </a:rPr>
              <a:t>A Wing</a:t>
            </a:r>
          </a:p>
        </xdr:txBody>
      </xdr:sp>
      <xdr:sp macro="" textlink="">
        <xdr:nvSpPr>
          <xdr:cNvPr id="91" name="TextBox 90">
            <a:extLst>
              <a:ext uri="{FF2B5EF4-FFF2-40B4-BE49-F238E27FC236}">
                <a16:creationId xmlns:a16="http://schemas.microsoft.com/office/drawing/2014/main" id="{00000000-0008-0000-0000-00002B000000}"/>
              </a:ext>
            </a:extLst>
          </xdr:cNvPr>
          <xdr:cNvSpPr txBox="1"/>
        </xdr:nvSpPr>
        <xdr:spPr>
          <a:xfrm>
            <a:off x="2525992" y="125520276"/>
            <a:ext cx="653263" cy="286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solidFill>
                  <a:srgbClr val="FFFF00"/>
                </a:solidFill>
              </a:rPr>
              <a:t>B Wing</a:t>
            </a:r>
          </a:p>
        </xdr:txBody>
      </xdr:sp>
      <xdr:sp macro="" textlink="">
        <xdr:nvSpPr>
          <xdr:cNvPr id="96" name="TextBox 95">
            <a:extLst>
              <a:ext uri="{FF2B5EF4-FFF2-40B4-BE49-F238E27FC236}">
                <a16:creationId xmlns:a16="http://schemas.microsoft.com/office/drawing/2014/main" id="{00000000-0008-0000-0000-00002B000000}"/>
              </a:ext>
            </a:extLst>
          </xdr:cNvPr>
          <xdr:cNvSpPr txBox="1"/>
        </xdr:nvSpPr>
        <xdr:spPr>
          <a:xfrm>
            <a:off x="3940733" y="125983826"/>
            <a:ext cx="653263" cy="286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solidFill>
                  <a:srgbClr val="FFFF00"/>
                </a:solidFill>
              </a:rPr>
              <a:t>C Wing</a:t>
            </a:r>
          </a:p>
        </xdr:txBody>
      </xdr:sp>
      <xdr:sp macro="" textlink="">
        <xdr:nvSpPr>
          <xdr:cNvPr id="103" name="TextBox 102">
            <a:extLst>
              <a:ext uri="{FF2B5EF4-FFF2-40B4-BE49-F238E27FC236}">
                <a16:creationId xmlns:a16="http://schemas.microsoft.com/office/drawing/2014/main" id="{00000000-0008-0000-0000-00002B000000}"/>
              </a:ext>
            </a:extLst>
          </xdr:cNvPr>
          <xdr:cNvSpPr txBox="1"/>
        </xdr:nvSpPr>
        <xdr:spPr>
          <a:xfrm>
            <a:off x="5571374" y="125755400"/>
            <a:ext cx="653263" cy="286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solidFill>
                  <a:srgbClr val="FFFF00"/>
                </a:solidFill>
              </a:rPr>
              <a:t>D Wing</a:t>
            </a:r>
          </a:p>
        </xdr:txBody>
      </xdr:sp>
      <xdr:sp macro="" textlink="">
        <xdr:nvSpPr>
          <xdr:cNvPr id="104" name="TextBox 103">
            <a:extLst>
              <a:ext uri="{FF2B5EF4-FFF2-40B4-BE49-F238E27FC236}">
                <a16:creationId xmlns:a16="http://schemas.microsoft.com/office/drawing/2014/main" id="{00000000-0008-0000-0000-00002B000000}"/>
              </a:ext>
            </a:extLst>
          </xdr:cNvPr>
          <xdr:cNvSpPr txBox="1"/>
        </xdr:nvSpPr>
        <xdr:spPr>
          <a:xfrm>
            <a:off x="876300" y="128506730"/>
            <a:ext cx="653263" cy="286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solidFill>
                  <a:srgbClr val="FFFF00"/>
                </a:solidFill>
              </a:rPr>
              <a:t>E Wing</a:t>
            </a:r>
          </a:p>
        </xdr:txBody>
      </xdr:sp>
      <xdr:sp macro="" textlink="">
        <xdr:nvSpPr>
          <xdr:cNvPr id="105" name="TextBox 104">
            <a:extLst>
              <a:ext uri="{FF2B5EF4-FFF2-40B4-BE49-F238E27FC236}">
                <a16:creationId xmlns:a16="http://schemas.microsoft.com/office/drawing/2014/main" id="{00000000-0008-0000-0000-00002B000000}"/>
              </a:ext>
            </a:extLst>
          </xdr:cNvPr>
          <xdr:cNvSpPr txBox="1"/>
        </xdr:nvSpPr>
        <xdr:spPr>
          <a:xfrm>
            <a:off x="2280502" y="128443230"/>
            <a:ext cx="653263" cy="286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solidFill>
                  <a:srgbClr val="FFFF00"/>
                </a:solidFill>
              </a:rPr>
              <a:t>F Wing</a:t>
            </a:r>
          </a:p>
        </xdr:txBody>
      </xdr:sp>
      <xdr:sp macro="" textlink="">
        <xdr:nvSpPr>
          <xdr:cNvPr id="106" name="TextBox 105">
            <a:extLst>
              <a:ext uri="{FF2B5EF4-FFF2-40B4-BE49-F238E27FC236}">
                <a16:creationId xmlns:a16="http://schemas.microsoft.com/office/drawing/2014/main" id="{00000000-0008-0000-0000-00002B000000}"/>
              </a:ext>
            </a:extLst>
          </xdr:cNvPr>
          <xdr:cNvSpPr txBox="1"/>
        </xdr:nvSpPr>
        <xdr:spPr>
          <a:xfrm>
            <a:off x="4175683" y="127255780"/>
            <a:ext cx="885267" cy="286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0">
                <a:solidFill>
                  <a:sysClr val="windowText" lastClr="000000"/>
                </a:solidFill>
              </a:rPr>
              <a:t>G &amp; H Wing</a:t>
            </a:r>
          </a:p>
        </xdr:txBody>
      </xdr:sp>
      <xdr:sp macro="" textlink="">
        <xdr:nvSpPr>
          <xdr:cNvPr id="107" name="TextBox 106">
            <a:extLst>
              <a:ext uri="{FF2B5EF4-FFF2-40B4-BE49-F238E27FC236}">
                <a16:creationId xmlns:a16="http://schemas.microsoft.com/office/drawing/2014/main" id="{00000000-0008-0000-0000-00002B000000}"/>
              </a:ext>
            </a:extLst>
          </xdr:cNvPr>
          <xdr:cNvSpPr txBox="1"/>
        </xdr:nvSpPr>
        <xdr:spPr>
          <a:xfrm>
            <a:off x="5787274" y="128335280"/>
            <a:ext cx="653263" cy="286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solidFill>
                  <a:srgbClr val="FFFF00"/>
                </a:solidFill>
              </a:rPr>
              <a:t>G Wing</a:t>
            </a:r>
          </a:p>
        </xdr:txBody>
      </xdr:sp>
    </xdr:grpSp>
    <xdr:clientData/>
  </xdr:twoCellAnchor>
  <xdr:twoCellAnchor>
    <xdr:from>
      <xdr:col>9</xdr:col>
      <xdr:colOff>114300</xdr:colOff>
      <xdr:row>625</xdr:row>
      <xdr:rowOff>190500</xdr:rowOff>
    </xdr:from>
    <xdr:to>
      <xdr:col>12</xdr:col>
      <xdr:colOff>1000</xdr:colOff>
      <xdr:row>640</xdr:row>
      <xdr:rowOff>117750</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8039100" y="124567950"/>
          <a:ext cx="2106025" cy="2927625"/>
          <a:chOff x="8426450" y="124758450"/>
          <a:chExt cx="2160000" cy="2880000"/>
        </a:xfrm>
      </xdr:grpSpPr>
      <xdr:pic>
        <xdr:nvPicPr>
          <xdr:cNvPr id="110" name="Picture 109">
            <a:extLst>
              <a:ext uri="{FF2B5EF4-FFF2-40B4-BE49-F238E27FC236}">
                <a16:creationId xmlns:a16="http://schemas.microsoft.com/office/drawing/2014/main" id="{00000000-0008-0000-0000-00006E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8426450" y="124758450"/>
            <a:ext cx="2160000" cy="2880000"/>
          </a:xfrm>
          <a:prstGeom prst="rect">
            <a:avLst/>
          </a:prstGeom>
          <a:ln>
            <a:solidFill>
              <a:schemeClr val="tx1"/>
            </a:solidFill>
          </a:ln>
        </xdr:spPr>
      </xdr:pic>
      <xdr:sp macro="" textlink="">
        <xdr:nvSpPr>
          <xdr:cNvPr id="111" name="TextBox 110">
            <a:extLst>
              <a:ext uri="{FF2B5EF4-FFF2-40B4-BE49-F238E27FC236}">
                <a16:creationId xmlns:a16="http://schemas.microsoft.com/office/drawing/2014/main" id="{00000000-0008-0000-0000-000004000000}"/>
              </a:ext>
            </a:extLst>
          </xdr:cNvPr>
          <xdr:cNvSpPr txBox="1"/>
        </xdr:nvSpPr>
        <xdr:spPr>
          <a:xfrm>
            <a:off x="9017000" y="124898150"/>
            <a:ext cx="650631" cy="2696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0" cap="none" spc="0">
                <a:ln w="0"/>
                <a:solidFill>
                  <a:sysClr val="windowText" lastClr="000000"/>
                </a:solidFill>
                <a:effectLst>
                  <a:outerShdw blurRad="38100" dist="25400" dir="5400000" algn="ctr" rotWithShape="0">
                    <a:srgbClr val="6E747A">
                      <a:alpha val="43000"/>
                    </a:srgbClr>
                  </a:outerShdw>
                </a:effectLst>
              </a:rPr>
              <a:t>D Wing</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6</xdr:col>
      <xdr:colOff>669</xdr:colOff>
      <xdr:row>27</xdr:row>
      <xdr:rowOff>171000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579783" y="2675283"/>
          <a:ext cx="6403125" cy="3600000"/>
        </a:xfrm>
        <a:prstGeom prst="rect">
          <a:avLst/>
        </a:prstGeom>
        <a:ln>
          <a:solidFill>
            <a:schemeClr val="tx1"/>
          </a:solidFill>
        </a:ln>
      </xdr:spPr>
    </xdr:pic>
    <xdr:clientData/>
  </xdr:twoCellAnchor>
  <xdr:twoCellAnchor editAs="oneCell">
    <xdr:from>
      <xdr:col>1</xdr:col>
      <xdr:colOff>17888</xdr:colOff>
      <xdr:row>28</xdr:row>
      <xdr:rowOff>118999</xdr:rowOff>
    </xdr:from>
    <xdr:to>
      <xdr:col>6</xdr:col>
      <xdr:colOff>18557</xdr:colOff>
      <xdr:row>47</xdr:row>
      <xdr:rowOff>99499</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597671" y="6413782"/>
          <a:ext cx="6403125"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dk3WU9hgEJSV3s6Q6"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774"/>
  <sheetViews>
    <sheetView tabSelected="1" view="pageBreakPreview" topLeftCell="A588" zoomScaleNormal="100" zoomScaleSheetLayoutView="100" zoomScalePageLayoutView="70" workbookViewId="0">
      <selection activeCell="E8" sqref="E8:H8"/>
    </sheetView>
  </sheetViews>
  <sheetFormatPr defaultColWidth="9.140625" defaultRowHeight="15.75" x14ac:dyDescent="0.25"/>
  <cols>
    <col min="1" max="1" width="11.42578125" style="16" customWidth="1"/>
    <col min="2" max="2" width="12" style="16" customWidth="1"/>
    <col min="3" max="3" width="12.7109375" style="16" customWidth="1"/>
    <col min="4" max="4" width="14.140625" style="16" customWidth="1"/>
    <col min="5" max="7" width="11.7109375" style="16" customWidth="1"/>
    <col min="8" max="8" width="17.7109375" style="16" customWidth="1"/>
    <col min="9" max="9" width="15.7109375" style="8" customWidth="1"/>
    <col min="10" max="10" width="11.42578125" style="8" customWidth="1"/>
    <col min="11" max="11" width="10.5703125" style="8" bestFit="1" customWidth="1"/>
    <col min="12" max="12" width="11.28515625" style="8" bestFit="1" customWidth="1"/>
    <col min="13" max="13" width="11.85546875" style="8" customWidth="1"/>
    <col min="14" max="14" width="12.5703125" style="8" hidden="1" customWidth="1"/>
    <col min="15" max="15" width="9.85546875" style="8" hidden="1" customWidth="1"/>
    <col min="16" max="16" width="10.42578125" style="8" hidden="1" customWidth="1"/>
    <col min="17" max="247" width="9.140625" style="8"/>
    <col min="248" max="248" width="8.7109375" style="8" customWidth="1"/>
    <col min="249" max="249" width="9.85546875" style="8" customWidth="1"/>
    <col min="250" max="250" width="14.42578125" style="8" customWidth="1"/>
    <col min="251" max="251" width="7.28515625" style="8" customWidth="1"/>
    <col min="252" max="252" width="5.5703125" style="8" customWidth="1"/>
    <col min="253" max="253" width="9" style="8" customWidth="1"/>
    <col min="254" max="255" width="9.85546875" style="8" customWidth="1"/>
    <col min="256" max="256" width="11.140625" style="8" customWidth="1"/>
    <col min="257" max="257" width="2.85546875" style="8" customWidth="1"/>
    <col min="258" max="258" width="3.5703125" style="8" customWidth="1"/>
    <col min="259" max="503" width="9.140625" style="8"/>
    <col min="504" max="504" width="8.7109375" style="8" customWidth="1"/>
    <col min="505" max="505" width="9.85546875" style="8" customWidth="1"/>
    <col min="506" max="506" width="14.42578125" style="8" customWidth="1"/>
    <col min="507" max="507" width="7.28515625" style="8" customWidth="1"/>
    <col min="508" max="508" width="5.5703125" style="8" customWidth="1"/>
    <col min="509" max="509" width="9" style="8" customWidth="1"/>
    <col min="510" max="511" width="9.85546875" style="8" customWidth="1"/>
    <col min="512" max="512" width="11.140625" style="8" customWidth="1"/>
    <col min="513" max="513" width="2.85546875" style="8" customWidth="1"/>
    <col min="514" max="514" width="3.5703125" style="8" customWidth="1"/>
    <col min="515" max="759" width="9.140625" style="8"/>
    <col min="760" max="760" width="8.7109375" style="8" customWidth="1"/>
    <col min="761" max="761" width="9.85546875" style="8" customWidth="1"/>
    <col min="762" max="762" width="14.42578125" style="8" customWidth="1"/>
    <col min="763" max="763" width="7.28515625" style="8" customWidth="1"/>
    <col min="764" max="764" width="5.5703125" style="8" customWidth="1"/>
    <col min="765" max="765" width="9" style="8" customWidth="1"/>
    <col min="766" max="767" width="9.85546875" style="8" customWidth="1"/>
    <col min="768" max="768" width="11.140625" style="8" customWidth="1"/>
    <col min="769" max="769" width="2.85546875" style="8" customWidth="1"/>
    <col min="770" max="770" width="3.5703125" style="8" customWidth="1"/>
    <col min="771" max="1015" width="9.140625" style="8"/>
    <col min="1016" max="1016" width="8.7109375" style="8" customWidth="1"/>
    <col min="1017" max="1017" width="9.85546875" style="8" customWidth="1"/>
    <col min="1018" max="1018" width="14.42578125" style="8" customWidth="1"/>
    <col min="1019" max="1019" width="7.28515625" style="8" customWidth="1"/>
    <col min="1020" max="1020" width="5.5703125" style="8" customWidth="1"/>
    <col min="1021" max="1021" width="9" style="8" customWidth="1"/>
    <col min="1022" max="1023" width="9.85546875" style="8" customWidth="1"/>
    <col min="1024" max="1024" width="11.140625" style="8" customWidth="1"/>
    <col min="1025" max="1025" width="2.85546875" style="8" customWidth="1"/>
    <col min="1026" max="1026" width="3.5703125" style="8" customWidth="1"/>
    <col min="1027" max="1271" width="9.140625" style="8"/>
    <col min="1272" max="1272" width="8.7109375" style="8" customWidth="1"/>
    <col min="1273" max="1273" width="9.85546875" style="8" customWidth="1"/>
    <col min="1274" max="1274" width="14.42578125" style="8" customWidth="1"/>
    <col min="1275" max="1275" width="7.28515625" style="8" customWidth="1"/>
    <col min="1276" max="1276" width="5.5703125" style="8" customWidth="1"/>
    <col min="1277" max="1277" width="9" style="8" customWidth="1"/>
    <col min="1278" max="1279" width="9.85546875" style="8" customWidth="1"/>
    <col min="1280" max="1280" width="11.140625" style="8" customWidth="1"/>
    <col min="1281" max="1281" width="2.85546875" style="8" customWidth="1"/>
    <col min="1282" max="1282" width="3.5703125" style="8" customWidth="1"/>
    <col min="1283" max="1527" width="9.140625" style="8"/>
    <col min="1528" max="1528" width="8.7109375" style="8" customWidth="1"/>
    <col min="1529" max="1529" width="9.85546875" style="8" customWidth="1"/>
    <col min="1530" max="1530" width="14.42578125" style="8" customWidth="1"/>
    <col min="1531" max="1531" width="7.28515625" style="8" customWidth="1"/>
    <col min="1532" max="1532" width="5.5703125" style="8" customWidth="1"/>
    <col min="1533" max="1533" width="9" style="8" customWidth="1"/>
    <col min="1534" max="1535" width="9.85546875" style="8" customWidth="1"/>
    <col min="1536" max="1536" width="11.140625" style="8" customWidth="1"/>
    <col min="1537" max="1537" width="2.85546875" style="8" customWidth="1"/>
    <col min="1538" max="1538" width="3.5703125" style="8" customWidth="1"/>
    <col min="1539" max="1783" width="9.140625" style="8"/>
    <col min="1784" max="1784" width="8.7109375" style="8" customWidth="1"/>
    <col min="1785" max="1785" width="9.85546875" style="8" customWidth="1"/>
    <col min="1786" max="1786" width="14.42578125" style="8" customWidth="1"/>
    <col min="1787" max="1787" width="7.28515625" style="8" customWidth="1"/>
    <col min="1788" max="1788" width="5.5703125" style="8" customWidth="1"/>
    <col min="1789" max="1789" width="9" style="8" customWidth="1"/>
    <col min="1790" max="1791" width="9.85546875" style="8" customWidth="1"/>
    <col min="1792" max="1792" width="11.140625" style="8" customWidth="1"/>
    <col min="1793" max="1793" width="2.85546875" style="8" customWidth="1"/>
    <col min="1794" max="1794" width="3.5703125" style="8" customWidth="1"/>
    <col min="1795" max="2039" width="9.140625" style="8"/>
    <col min="2040" max="2040" width="8.7109375" style="8" customWidth="1"/>
    <col min="2041" max="2041" width="9.85546875" style="8" customWidth="1"/>
    <col min="2042" max="2042" width="14.42578125" style="8" customWidth="1"/>
    <col min="2043" max="2043" width="7.28515625" style="8" customWidth="1"/>
    <col min="2044" max="2044" width="5.5703125" style="8" customWidth="1"/>
    <col min="2045" max="2045" width="9" style="8" customWidth="1"/>
    <col min="2046" max="2047" width="9.85546875" style="8" customWidth="1"/>
    <col min="2048" max="2048" width="11.140625" style="8" customWidth="1"/>
    <col min="2049" max="2049" width="2.85546875" style="8" customWidth="1"/>
    <col min="2050" max="2050" width="3.5703125" style="8" customWidth="1"/>
    <col min="2051" max="2295" width="9.140625" style="8"/>
    <col min="2296" max="2296" width="8.7109375" style="8" customWidth="1"/>
    <col min="2297" max="2297" width="9.85546875" style="8" customWidth="1"/>
    <col min="2298" max="2298" width="14.42578125" style="8" customWidth="1"/>
    <col min="2299" max="2299" width="7.28515625" style="8" customWidth="1"/>
    <col min="2300" max="2300" width="5.5703125" style="8" customWidth="1"/>
    <col min="2301" max="2301" width="9" style="8" customWidth="1"/>
    <col min="2302" max="2303" width="9.85546875" style="8" customWidth="1"/>
    <col min="2304" max="2304" width="11.140625" style="8" customWidth="1"/>
    <col min="2305" max="2305" width="2.85546875" style="8" customWidth="1"/>
    <col min="2306" max="2306" width="3.5703125" style="8" customWidth="1"/>
    <col min="2307" max="2551" width="9.140625" style="8"/>
    <col min="2552" max="2552" width="8.7109375" style="8" customWidth="1"/>
    <col min="2553" max="2553" width="9.85546875" style="8" customWidth="1"/>
    <col min="2554" max="2554" width="14.42578125" style="8" customWidth="1"/>
    <col min="2555" max="2555" width="7.28515625" style="8" customWidth="1"/>
    <col min="2556" max="2556" width="5.5703125" style="8" customWidth="1"/>
    <col min="2557" max="2557" width="9" style="8" customWidth="1"/>
    <col min="2558" max="2559" width="9.85546875" style="8" customWidth="1"/>
    <col min="2560" max="2560" width="11.140625" style="8" customWidth="1"/>
    <col min="2561" max="2561" width="2.85546875" style="8" customWidth="1"/>
    <col min="2562" max="2562" width="3.5703125" style="8" customWidth="1"/>
    <col min="2563" max="2807" width="9.140625" style="8"/>
    <col min="2808" max="2808" width="8.7109375" style="8" customWidth="1"/>
    <col min="2809" max="2809" width="9.85546875" style="8" customWidth="1"/>
    <col min="2810" max="2810" width="14.42578125" style="8" customWidth="1"/>
    <col min="2811" max="2811" width="7.28515625" style="8" customWidth="1"/>
    <col min="2812" max="2812" width="5.5703125" style="8" customWidth="1"/>
    <col min="2813" max="2813" width="9" style="8" customWidth="1"/>
    <col min="2814" max="2815" width="9.85546875" style="8" customWidth="1"/>
    <col min="2816" max="2816" width="11.140625" style="8" customWidth="1"/>
    <col min="2817" max="2817" width="2.85546875" style="8" customWidth="1"/>
    <col min="2818" max="2818" width="3.5703125" style="8" customWidth="1"/>
    <col min="2819" max="3063" width="9.140625" style="8"/>
    <col min="3064" max="3064" width="8.7109375" style="8" customWidth="1"/>
    <col min="3065" max="3065" width="9.85546875" style="8" customWidth="1"/>
    <col min="3066" max="3066" width="14.42578125" style="8" customWidth="1"/>
    <col min="3067" max="3067" width="7.28515625" style="8" customWidth="1"/>
    <col min="3068" max="3068" width="5.5703125" style="8" customWidth="1"/>
    <col min="3069" max="3069" width="9" style="8" customWidth="1"/>
    <col min="3070" max="3071" width="9.85546875" style="8" customWidth="1"/>
    <col min="3072" max="3072" width="11.140625" style="8" customWidth="1"/>
    <col min="3073" max="3073" width="2.85546875" style="8" customWidth="1"/>
    <col min="3074" max="3074" width="3.5703125" style="8" customWidth="1"/>
    <col min="3075" max="3319" width="9.140625" style="8"/>
    <col min="3320" max="3320" width="8.7109375" style="8" customWidth="1"/>
    <col min="3321" max="3321" width="9.85546875" style="8" customWidth="1"/>
    <col min="3322" max="3322" width="14.42578125" style="8" customWidth="1"/>
    <col min="3323" max="3323" width="7.28515625" style="8" customWidth="1"/>
    <col min="3324" max="3324" width="5.5703125" style="8" customWidth="1"/>
    <col min="3325" max="3325" width="9" style="8" customWidth="1"/>
    <col min="3326" max="3327" width="9.85546875" style="8" customWidth="1"/>
    <col min="3328" max="3328" width="11.140625" style="8" customWidth="1"/>
    <col min="3329" max="3329" width="2.85546875" style="8" customWidth="1"/>
    <col min="3330" max="3330" width="3.5703125" style="8" customWidth="1"/>
    <col min="3331" max="3575" width="9.140625" style="8"/>
    <col min="3576" max="3576" width="8.7109375" style="8" customWidth="1"/>
    <col min="3577" max="3577" width="9.85546875" style="8" customWidth="1"/>
    <col min="3578" max="3578" width="14.42578125" style="8" customWidth="1"/>
    <col min="3579" max="3579" width="7.28515625" style="8" customWidth="1"/>
    <col min="3580" max="3580" width="5.5703125" style="8" customWidth="1"/>
    <col min="3581" max="3581" width="9" style="8" customWidth="1"/>
    <col min="3582" max="3583" width="9.85546875" style="8" customWidth="1"/>
    <col min="3584" max="3584" width="11.140625" style="8" customWidth="1"/>
    <col min="3585" max="3585" width="2.85546875" style="8" customWidth="1"/>
    <col min="3586" max="3586" width="3.5703125" style="8" customWidth="1"/>
    <col min="3587" max="3831" width="9.140625" style="8"/>
    <col min="3832" max="3832" width="8.7109375" style="8" customWidth="1"/>
    <col min="3833" max="3833" width="9.85546875" style="8" customWidth="1"/>
    <col min="3834" max="3834" width="14.42578125" style="8" customWidth="1"/>
    <col min="3835" max="3835" width="7.28515625" style="8" customWidth="1"/>
    <col min="3836" max="3836" width="5.5703125" style="8" customWidth="1"/>
    <col min="3837" max="3837" width="9" style="8" customWidth="1"/>
    <col min="3838" max="3839" width="9.85546875" style="8" customWidth="1"/>
    <col min="3840" max="3840" width="11.140625" style="8" customWidth="1"/>
    <col min="3841" max="3841" width="2.85546875" style="8" customWidth="1"/>
    <col min="3842" max="3842" width="3.5703125" style="8" customWidth="1"/>
    <col min="3843" max="4087" width="9.140625" style="8"/>
    <col min="4088" max="4088" width="8.7109375" style="8" customWidth="1"/>
    <col min="4089" max="4089" width="9.85546875" style="8" customWidth="1"/>
    <col min="4090" max="4090" width="14.42578125" style="8" customWidth="1"/>
    <col min="4091" max="4091" width="7.28515625" style="8" customWidth="1"/>
    <col min="4092" max="4092" width="5.5703125" style="8" customWidth="1"/>
    <col min="4093" max="4093" width="9" style="8" customWidth="1"/>
    <col min="4094" max="4095" width="9.85546875" style="8" customWidth="1"/>
    <col min="4096" max="4096" width="11.140625" style="8" customWidth="1"/>
    <col min="4097" max="4097" width="2.85546875" style="8" customWidth="1"/>
    <col min="4098" max="4098" width="3.5703125" style="8" customWidth="1"/>
    <col min="4099" max="4343" width="9.140625" style="8"/>
    <col min="4344" max="4344" width="8.7109375" style="8" customWidth="1"/>
    <col min="4345" max="4345" width="9.85546875" style="8" customWidth="1"/>
    <col min="4346" max="4346" width="14.42578125" style="8" customWidth="1"/>
    <col min="4347" max="4347" width="7.28515625" style="8" customWidth="1"/>
    <col min="4348" max="4348" width="5.5703125" style="8" customWidth="1"/>
    <col min="4349" max="4349" width="9" style="8" customWidth="1"/>
    <col min="4350" max="4351" width="9.85546875" style="8" customWidth="1"/>
    <col min="4352" max="4352" width="11.140625" style="8" customWidth="1"/>
    <col min="4353" max="4353" width="2.85546875" style="8" customWidth="1"/>
    <col min="4354" max="4354" width="3.5703125" style="8" customWidth="1"/>
    <col min="4355" max="4599" width="9.140625" style="8"/>
    <col min="4600" max="4600" width="8.7109375" style="8" customWidth="1"/>
    <col min="4601" max="4601" width="9.85546875" style="8" customWidth="1"/>
    <col min="4602" max="4602" width="14.42578125" style="8" customWidth="1"/>
    <col min="4603" max="4603" width="7.28515625" style="8" customWidth="1"/>
    <col min="4604" max="4604" width="5.5703125" style="8" customWidth="1"/>
    <col min="4605" max="4605" width="9" style="8" customWidth="1"/>
    <col min="4606" max="4607" width="9.85546875" style="8" customWidth="1"/>
    <col min="4608" max="4608" width="11.140625" style="8" customWidth="1"/>
    <col min="4609" max="4609" width="2.85546875" style="8" customWidth="1"/>
    <col min="4610" max="4610" width="3.5703125" style="8" customWidth="1"/>
    <col min="4611" max="4855" width="9.140625" style="8"/>
    <col min="4856" max="4856" width="8.7109375" style="8" customWidth="1"/>
    <col min="4857" max="4857" width="9.85546875" style="8" customWidth="1"/>
    <col min="4858" max="4858" width="14.42578125" style="8" customWidth="1"/>
    <col min="4859" max="4859" width="7.28515625" style="8" customWidth="1"/>
    <col min="4860" max="4860" width="5.5703125" style="8" customWidth="1"/>
    <col min="4861" max="4861" width="9" style="8" customWidth="1"/>
    <col min="4862" max="4863" width="9.85546875" style="8" customWidth="1"/>
    <col min="4864" max="4864" width="11.140625" style="8" customWidth="1"/>
    <col min="4865" max="4865" width="2.85546875" style="8" customWidth="1"/>
    <col min="4866" max="4866" width="3.5703125" style="8" customWidth="1"/>
    <col min="4867" max="5111" width="9.140625" style="8"/>
    <col min="5112" max="5112" width="8.7109375" style="8" customWidth="1"/>
    <col min="5113" max="5113" width="9.85546875" style="8" customWidth="1"/>
    <col min="5114" max="5114" width="14.42578125" style="8" customWidth="1"/>
    <col min="5115" max="5115" width="7.28515625" style="8" customWidth="1"/>
    <col min="5116" max="5116" width="5.5703125" style="8" customWidth="1"/>
    <col min="5117" max="5117" width="9" style="8" customWidth="1"/>
    <col min="5118" max="5119" width="9.85546875" style="8" customWidth="1"/>
    <col min="5120" max="5120" width="11.140625" style="8" customWidth="1"/>
    <col min="5121" max="5121" width="2.85546875" style="8" customWidth="1"/>
    <col min="5122" max="5122" width="3.5703125" style="8" customWidth="1"/>
    <col min="5123" max="5367" width="9.140625" style="8"/>
    <col min="5368" max="5368" width="8.7109375" style="8" customWidth="1"/>
    <col min="5369" max="5369" width="9.85546875" style="8" customWidth="1"/>
    <col min="5370" max="5370" width="14.42578125" style="8" customWidth="1"/>
    <col min="5371" max="5371" width="7.28515625" style="8" customWidth="1"/>
    <col min="5372" max="5372" width="5.5703125" style="8" customWidth="1"/>
    <col min="5373" max="5373" width="9" style="8" customWidth="1"/>
    <col min="5374" max="5375" width="9.85546875" style="8" customWidth="1"/>
    <col min="5376" max="5376" width="11.140625" style="8" customWidth="1"/>
    <col min="5377" max="5377" width="2.85546875" style="8" customWidth="1"/>
    <col min="5378" max="5378" width="3.5703125" style="8" customWidth="1"/>
    <col min="5379" max="5623" width="9.140625" style="8"/>
    <col min="5624" max="5624" width="8.7109375" style="8" customWidth="1"/>
    <col min="5625" max="5625" width="9.85546875" style="8" customWidth="1"/>
    <col min="5626" max="5626" width="14.42578125" style="8" customWidth="1"/>
    <col min="5627" max="5627" width="7.28515625" style="8" customWidth="1"/>
    <col min="5628" max="5628" width="5.5703125" style="8" customWidth="1"/>
    <col min="5629" max="5629" width="9" style="8" customWidth="1"/>
    <col min="5630" max="5631" width="9.85546875" style="8" customWidth="1"/>
    <col min="5632" max="5632" width="11.140625" style="8" customWidth="1"/>
    <col min="5633" max="5633" width="2.85546875" style="8" customWidth="1"/>
    <col min="5634" max="5634" width="3.5703125" style="8" customWidth="1"/>
    <col min="5635" max="5879" width="9.140625" style="8"/>
    <col min="5880" max="5880" width="8.7109375" style="8" customWidth="1"/>
    <col min="5881" max="5881" width="9.85546875" style="8" customWidth="1"/>
    <col min="5882" max="5882" width="14.42578125" style="8" customWidth="1"/>
    <col min="5883" max="5883" width="7.28515625" style="8" customWidth="1"/>
    <col min="5884" max="5884" width="5.5703125" style="8" customWidth="1"/>
    <col min="5885" max="5885" width="9" style="8" customWidth="1"/>
    <col min="5886" max="5887" width="9.85546875" style="8" customWidth="1"/>
    <col min="5888" max="5888" width="11.140625" style="8" customWidth="1"/>
    <col min="5889" max="5889" width="2.85546875" style="8" customWidth="1"/>
    <col min="5890" max="5890" width="3.5703125" style="8" customWidth="1"/>
    <col min="5891" max="6135" width="9.140625" style="8"/>
    <col min="6136" max="6136" width="8.7109375" style="8" customWidth="1"/>
    <col min="6137" max="6137" width="9.85546875" style="8" customWidth="1"/>
    <col min="6138" max="6138" width="14.42578125" style="8" customWidth="1"/>
    <col min="6139" max="6139" width="7.28515625" style="8" customWidth="1"/>
    <col min="6140" max="6140" width="5.5703125" style="8" customWidth="1"/>
    <col min="6141" max="6141" width="9" style="8" customWidth="1"/>
    <col min="6142" max="6143" width="9.85546875" style="8" customWidth="1"/>
    <col min="6144" max="6144" width="11.140625" style="8" customWidth="1"/>
    <col min="6145" max="6145" width="2.85546875" style="8" customWidth="1"/>
    <col min="6146" max="6146" width="3.5703125" style="8" customWidth="1"/>
    <col min="6147" max="6391" width="9.140625" style="8"/>
    <col min="6392" max="6392" width="8.7109375" style="8" customWidth="1"/>
    <col min="6393" max="6393" width="9.85546875" style="8" customWidth="1"/>
    <col min="6394" max="6394" width="14.42578125" style="8" customWidth="1"/>
    <col min="6395" max="6395" width="7.28515625" style="8" customWidth="1"/>
    <col min="6396" max="6396" width="5.5703125" style="8" customWidth="1"/>
    <col min="6397" max="6397" width="9" style="8" customWidth="1"/>
    <col min="6398" max="6399" width="9.85546875" style="8" customWidth="1"/>
    <col min="6400" max="6400" width="11.140625" style="8" customWidth="1"/>
    <col min="6401" max="6401" width="2.85546875" style="8" customWidth="1"/>
    <col min="6402" max="6402" width="3.5703125" style="8" customWidth="1"/>
    <col min="6403" max="6647" width="9.140625" style="8"/>
    <col min="6648" max="6648" width="8.7109375" style="8" customWidth="1"/>
    <col min="6649" max="6649" width="9.85546875" style="8" customWidth="1"/>
    <col min="6650" max="6650" width="14.42578125" style="8" customWidth="1"/>
    <col min="6651" max="6651" width="7.28515625" style="8" customWidth="1"/>
    <col min="6652" max="6652" width="5.5703125" style="8" customWidth="1"/>
    <col min="6653" max="6653" width="9" style="8" customWidth="1"/>
    <col min="6654" max="6655" width="9.85546875" style="8" customWidth="1"/>
    <col min="6656" max="6656" width="11.140625" style="8" customWidth="1"/>
    <col min="6657" max="6657" width="2.85546875" style="8" customWidth="1"/>
    <col min="6658" max="6658" width="3.5703125" style="8" customWidth="1"/>
    <col min="6659" max="6903" width="9.140625" style="8"/>
    <col min="6904" max="6904" width="8.7109375" style="8" customWidth="1"/>
    <col min="6905" max="6905" width="9.85546875" style="8" customWidth="1"/>
    <col min="6906" max="6906" width="14.42578125" style="8" customWidth="1"/>
    <col min="6907" max="6907" width="7.28515625" style="8" customWidth="1"/>
    <col min="6908" max="6908" width="5.5703125" style="8" customWidth="1"/>
    <col min="6909" max="6909" width="9" style="8" customWidth="1"/>
    <col min="6910" max="6911" width="9.85546875" style="8" customWidth="1"/>
    <col min="6912" max="6912" width="11.140625" style="8" customWidth="1"/>
    <col min="6913" max="6913" width="2.85546875" style="8" customWidth="1"/>
    <col min="6914" max="6914" width="3.5703125" style="8" customWidth="1"/>
    <col min="6915" max="7159" width="9.140625" style="8"/>
    <col min="7160" max="7160" width="8.7109375" style="8" customWidth="1"/>
    <col min="7161" max="7161" width="9.85546875" style="8" customWidth="1"/>
    <col min="7162" max="7162" width="14.42578125" style="8" customWidth="1"/>
    <col min="7163" max="7163" width="7.28515625" style="8" customWidth="1"/>
    <col min="7164" max="7164" width="5.5703125" style="8" customWidth="1"/>
    <col min="7165" max="7165" width="9" style="8" customWidth="1"/>
    <col min="7166" max="7167" width="9.85546875" style="8" customWidth="1"/>
    <col min="7168" max="7168" width="11.140625" style="8" customWidth="1"/>
    <col min="7169" max="7169" width="2.85546875" style="8" customWidth="1"/>
    <col min="7170" max="7170" width="3.5703125" style="8" customWidth="1"/>
    <col min="7171" max="7415" width="9.140625" style="8"/>
    <col min="7416" max="7416" width="8.7109375" style="8" customWidth="1"/>
    <col min="7417" max="7417" width="9.85546875" style="8" customWidth="1"/>
    <col min="7418" max="7418" width="14.42578125" style="8" customWidth="1"/>
    <col min="7419" max="7419" width="7.28515625" style="8" customWidth="1"/>
    <col min="7420" max="7420" width="5.5703125" style="8" customWidth="1"/>
    <col min="7421" max="7421" width="9" style="8" customWidth="1"/>
    <col min="7422" max="7423" width="9.85546875" style="8" customWidth="1"/>
    <col min="7424" max="7424" width="11.140625" style="8" customWidth="1"/>
    <col min="7425" max="7425" width="2.85546875" style="8" customWidth="1"/>
    <col min="7426" max="7426" width="3.5703125" style="8" customWidth="1"/>
    <col min="7427" max="7671" width="9.140625" style="8"/>
    <col min="7672" max="7672" width="8.7109375" style="8" customWidth="1"/>
    <col min="7673" max="7673" width="9.85546875" style="8" customWidth="1"/>
    <col min="7674" max="7674" width="14.42578125" style="8" customWidth="1"/>
    <col min="7675" max="7675" width="7.28515625" style="8" customWidth="1"/>
    <col min="7676" max="7676" width="5.5703125" style="8" customWidth="1"/>
    <col min="7677" max="7677" width="9" style="8" customWidth="1"/>
    <col min="7678" max="7679" width="9.85546875" style="8" customWidth="1"/>
    <col min="7680" max="7680" width="11.140625" style="8" customWidth="1"/>
    <col min="7681" max="7681" width="2.85546875" style="8" customWidth="1"/>
    <col min="7682" max="7682" width="3.5703125" style="8" customWidth="1"/>
    <col min="7683" max="7927" width="9.140625" style="8"/>
    <col min="7928" max="7928" width="8.7109375" style="8" customWidth="1"/>
    <col min="7929" max="7929" width="9.85546875" style="8" customWidth="1"/>
    <col min="7930" max="7930" width="14.42578125" style="8" customWidth="1"/>
    <col min="7931" max="7931" width="7.28515625" style="8" customWidth="1"/>
    <col min="7932" max="7932" width="5.5703125" style="8" customWidth="1"/>
    <col min="7933" max="7933" width="9" style="8" customWidth="1"/>
    <col min="7934" max="7935" width="9.85546875" style="8" customWidth="1"/>
    <col min="7936" max="7936" width="11.140625" style="8" customWidth="1"/>
    <col min="7937" max="7937" width="2.85546875" style="8" customWidth="1"/>
    <col min="7938" max="7938" width="3.5703125" style="8" customWidth="1"/>
    <col min="7939" max="8183" width="9.140625" style="8"/>
    <col min="8184" max="8184" width="8.7109375" style="8" customWidth="1"/>
    <col min="8185" max="8185" width="9.85546875" style="8" customWidth="1"/>
    <col min="8186" max="8186" width="14.42578125" style="8" customWidth="1"/>
    <col min="8187" max="8187" width="7.28515625" style="8" customWidth="1"/>
    <col min="8188" max="8188" width="5.5703125" style="8" customWidth="1"/>
    <col min="8189" max="8189" width="9" style="8" customWidth="1"/>
    <col min="8190" max="8191" width="9.85546875" style="8" customWidth="1"/>
    <col min="8192" max="8192" width="11.140625" style="8" customWidth="1"/>
    <col min="8193" max="8193" width="2.85546875" style="8" customWidth="1"/>
    <col min="8194" max="8194" width="3.5703125" style="8" customWidth="1"/>
    <col min="8195" max="8439" width="9.140625" style="8"/>
    <col min="8440" max="8440" width="8.7109375" style="8" customWidth="1"/>
    <col min="8441" max="8441" width="9.85546875" style="8" customWidth="1"/>
    <col min="8442" max="8442" width="14.42578125" style="8" customWidth="1"/>
    <col min="8443" max="8443" width="7.28515625" style="8" customWidth="1"/>
    <col min="8444" max="8444" width="5.5703125" style="8" customWidth="1"/>
    <col min="8445" max="8445" width="9" style="8" customWidth="1"/>
    <col min="8446" max="8447" width="9.85546875" style="8" customWidth="1"/>
    <col min="8448" max="8448" width="11.140625" style="8" customWidth="1"/>
    <col min="8449" max="8449" width="2.85546875" style="8" customWidth="1"/>
    <col min="8450" max="8450" width="3.5703125" style="8" customWidth="1"/>
    <col min="8451" max="8695" width="9.140625" style="8"/>
    <col min="8696" max="8696" width="8.7109375" style="8" customWidth="1"/>
    <col min="8697" max="8697" width="9.85546875" style="8" customWidth="1"/>
    <col min="8698" max="8698" width="14.42578125" style="8" customWidth="1"/>
    <col min="8699" max="8699" width="7.28515625" style="8" customWidth="1"/>
    <col min="8700" max="8700" width="5.5703125" style="8" customWidth="1"/>
    <col min="8701" max="8701" width="9" style="8" customWidth="1"/>
    <col min="8702" max="8703" width="9.85546875" style="8" customWidth="1"/>
    <col min="8704" max="8704" width="11.140625" style="8" customWidth="1"/>
    <col min="8705" max="8705" width="2.85546875" style="8" customWidth="1"/>
    <col min="8706" max="8706" width="3.5703125" style="8" customWidth="1"/>
    <col min="8707" max="8951" width="9.140625" style="8"/>
    <col min="8952" max="8952" width="8.7109375" style="8" customWidth="1"/>
    <col min="8953" max="8953" width="9.85546875" style="8" customWidth="1"/>
    <col min="8954" max="8954" width="14.42578125" style="8" customWidth="1"/>
    <col min="8955" max="8955" width="7.28515625" style="8" customWidth="1"/>
    <col min="8956" max="8956" width="5.5703125" style="8" customWidth="1"/>
    <col min="8957" max="8957" width="9" style="8" customWidth="1"/>
    <col min="8958" max="8959" width="9.85546875" style="8" customWidth="1"/>
    <col min="8960" max="8960" width="11.140625" style="8" customWidth="1"/>
    <col min="8961" max="8961" width="2.85546875" style="8" customWidth="1"/>
    <col min="8962" max="8962" width="3.5703125" style="8" customWidth="1"/>
    <col min="8963" max="9207" width="9.140625" style="8"/>
    <col min="9208" max="9208" width="8.7109375" style="8" customWidth="1"/>
    <col min="9209" max="9209" width="9.85546875" style="8" customWidth="1"/>
    <col min="9210" max="9210" width="14.42578125" style="8" customWidth="1"/>
    <col min="9211" max="9211" width="7.28515625" style="8" customWidth="1"/>
    <col min="9212" max="9212" width="5.5703125" style="8" customWidth="1"/>
    <col min="9213" max="9213" width="9" style="8" customWidth="1"/>
    <col min="9214" max="9215" width="9.85546875" style="8" customWidth="1"/>
    <col min="9216" max="9216" width="11.140625" style="8" customWidth="1"/>
    <col min="9217" max="9217" width="2.85546875" style="8" customWidth="1"/>
    <col min="9218" max="9218" width="3.5703125" style="8" customWidth="1"/>
    <col min="9219" max="9463" width="9.140625" style="8"/>
    <col min="9464" max="9464" width="8.7109375" style="8" customWidth="1"/>
    <col min="9465" max="9465" width="9.85546875" style="8" customWidth="1"/>
    <col min="9466" max="9466" width="14.42578125" style="8" customWidth="1"/>
    <col min="9467" max="9467" width="7.28515625" style="8" customWidth="1"/>
    <col min="9468" max="9468" width="5.5703125" style="8" customWidth="1"/>
    <col min="9469" max="9469" width="9" style="8" customWidth="1"/>
    <col min="9470" max="9471" width="9.85546875" style="8" customWidth="1"/>
    <col min="9472" max="9472" width="11.140625" style="8" customWidth="1"/>
    <col min="9473" max="9473" width="2.85546875" style="8" customWidth="1"/>
    <col min="9474" max="9474" width="3.5703125" style="8" customWidth="1"/>
    <col min="9475" max="9719" width="9.140625" style="8"/>
    <col min="9720" max="9720" width="8.7109375" style="8" customWidth="1"/>
    <col min="9721" max="9721" width="9.85546875" style="8" customWidth="1"/>
    <col min="9722" max="9722" width="14.42578125" style="8" customWidth="1"/>
    <col min="9723" max="9723" width="7.28515625" style="8" customWidth="1"/>
    <col min="9724" max="9724" width="5.5703125" style="8" customWidth="1"/>
    <col min="9725" max="9725" width="9" style="8" customWidth="1"/>
    <col min="9726" max="9727" width="9.85546875" style="8" customWidth="1"/>
    <col min="9728" max="9728" width="11.140625" style="8" customWidth="1"/>
    <col min="9729" max="9729" width="2.85546875" style="8" customWidth="1"/>
    <col min="9730" max="9730" width="3.5703125" style="8" customWidth="1"/>
    <col min="9731" max="9975" width="9.140625" style="8"/>
    <col min="9976" max="9976" width="8.7109375" style="8" customWidth="1"/>
    <col min="9977" max="9977" width="9.85546875" style="8" customWidth="1"/>
    <col min="9978" max="9978" width="14.42578125" style="8" customWidth="1"/>
    <col min="9979" max="9979" width="7.28515625" style="8" customWidth="1"/>
    <col min="9980" max="9980" width="5.5703125" style="8" customWidth="1"/>
    <col min="9981" max="9981" width="9" style="8" customWidth="1"/>
    <col min="9982" max="9983" width="9.85546875" style="8" customWidth="1"/>
    <col min="9984" max="9984" width="11.140625" style="8" customWidth="1"/>
    <col min="9985" max="9985" width="2.85546875" style="8" customWidth="1"/>
    <col min="9986" max="9986" width="3.5703125" style="8" customWidth="1"/>
    <col min="9987" max="10231" width="9.140625" style="8"/>
    <col min="10232" max="10232" width="8.7109375" style="8" customWidth="1"/>
    <col min="10233" max="10233" width="9.85546875" style="8" customWidth="1"/>
    <col min="10234" max="10234" width="14.42578125" style="8" customWidth="1"/>
    <col min="10235" max="10235" width="7.28515625" style="8" customWidth="1"/>
    <col min="10236" max="10236" width="5.5703125" style="8" customWidth="1"/>
    <col min="10237" max="10237" width="9" style="8" customWidth="1"/>
    <col min="10238" max="10239" width="9.85546875" style="8" customWidth="1"/>
    <col min="10240" max="10240" width="11.140625" style="8" customWidth="1"/>
    <col min="10241" max="10241" width="2.85546875" style="8" customWidth="1"/>
    <col min="10242" max="10242" width="3.5703125" style="8" customWidth="1"/>
    <col min="10243" max="10487" width="9.140625" style="8"/>
    <col min="10488" max="10488" width="8.7109375" style="8" customWidth="1"/>
    <col min="10489" max="10489" width="9.85546875" style="8" customWidth="1"/>
    <col min="10490" max="10490" width="14.42578125" style="8" customWidth="1"/>
    <col min="10491" max="10491" width="7.28515625" style="8" customWidth="1"/>
    <col min="10492" max="10492" width="5.5703125" style="8" customWidth="1"/>
    <col min="10493" max="10493" width="9" style="8" customWidth="1"/>
    <col min="10494" max="10495" width="9.85546875" style="8" customWidth="1"/>
    <col min="10496" max="10496" width="11.140625" style="8" customWidth="1"/>
    <col min="10497" max="10497" width="2.85546875" style="8" customWidth="1"/>
    <col min="10498" max="10498" width="3.5703125" style="8" customWidth="1"/>
    <col min="10499" max="10743" width="9.140625" style="8"/>
    <col min="10744" max="10744" width="8.7109375" style="8" customWidth="1"/>
    <col min="10745" max="10745" width="9.85546875" style="8" customWidth="1"/>
    <col min="10746" max="10746" width="14.42578125" style="8" customWidth="1"/>
    <col min="10747" max="10747" width="7.28515625" style="8" customWidth="1"/>
    <col min="10748" max="10748" width="5.5703125" style="8" customWidth="1"/>
    <col min="10749" max="10749" width="9" style="8" customWidth="1"/>
    <col min="10750" max="10751" width="9.85546875" style="8" customWidth="1"/>
    <col min="10752" max="10752" width="11.140625" style="8" customWidth="1"/>
    <col min="10753" max="10753" width="2.85546875" style="8" customWidth="1"/>
    <col min="10754" max="10754" width="3.5703125" style="8" customWidth="1"/>
    <col min="10755" max="10999" width="9.140625" style="8"/>
    <col min="11000" max="11000" width="8.7109375" style="8" customWidth="1"/>
    <col min="11001" max="11001" width="9.85546875" style="8" customWidth="1"/>
    <col min="11002" max="11002" width="14.42578125" style="8" customWidth="1"/>
    <col min="11003" max="11003" width="7.28515625" style="8" customWidth="1"/>
    <col min="11004" max="11004" width="5.5703125" style="8" customWidth="1"/>
    <col min="11005" max="11005" width="9" style="8" customWidth="1"/>
    <col min="11006" max="11007" width="9.85546875" style="8" customWidth="1"/>
    <col min="11008" max="11008" width="11.140625" style="8" customWidth="1"/>
    <col min="11009" max="11009" width="2.85546875" style="8" customWidth="1"/>
    <col min="11010" max="11010" width="3.5703125" style="8" customWidth="1"/>
    <col min="11011" max="11255" width="9.140625" style="8"/>
    <col min="11256" max="11256" width="8.7109375" style="8" customWidth="1"/>
    <col min="11257" max="11257" width="9.85546875" style="8" customWidth="1"/>
    <col min="11258" max="11258" width="14.42578125" style="8" customWidth="1"/>
    <col min="11259" max="11259" width="7.28515625" style="8" customWidth="1"/>
    <col min="11260" max="11260" width="5.5703125" style="8" customWidth="1"/>
    <col min="11261" max="11261" width="9" style="8" customWidth="1"/>
    <col min="11262" max="11263" width="9.85546875" style="8" customWidth="1"/>
    <col min="11264" max="11264" width="11.140625" style="8" customWidth="1"/>
    <col min="11265" max="11265" width="2.85546875" style="8" customWidth="1"/>
    <col min="11266" max="11266" width="3.5703125" style="8" customWidth="1"/>
    <col min="11267" max="11511" width="9.140625" style="8"/>
    <col min="11512" max="11512" width="8.7109375" style="8" customWidth="1"/>
    <col min="11513" max="11513" width="9.85546875" style="8" customWidth="1"/>
    <col min="11514" max="11514" width="14.42578125" style="8" customWidth="1"/>
    <col min="11515" max="11515" width="7.28515625" style="8" customWidth="1"/>
    <col min="11516" max="11516" width="5.5703125" style="8" customWidth="1"/>
    <col min="11517" max="11517" width="9" style="8" customWidth="1"/>
    <col min="11518" max="11519" width="9.85546875" style="8" customWidth="1"/>
    <col min="11520" max="11520" width="11.140625" style="8" customWidth="1"/>
    <col min="11521" max="11521" width="2.85546875" style="8" customWidth="1"/>
    <col min="11522" max="11522" width="3.5703125" style="8" customWidth="1"/>
    <col min="11523" max="11767" width="9.140625" style="8"/>
    <col min="11768" max="11768" width="8.7109375" style="8" customWidth="1"/>
    <col min="11769" max="11769" width="9.85546875" style="8" customWidth="1"/>
    <col min="11770" max="11770" width="14.42578125" style="8" customWidth="1"/>
    <col min="11771" max="11771" width="7.28515625" style="8" customWidth="1"/>
    <col min="11772" max="11772" width="5.5703125" style="8" customWidth="1"/>
    <col min="11773" max="11773" width="9" style="8" customWidth="1"/>
    <col min="11774" max="11775" width="9.85546875" style="8" customWidth="1"/>
    <col min="11776" max="11776" width="11.140625" style="8" customWidth="1"/>
    <col min="11777" max="11777" width="2.85546875" style="8" customWidth="1"/>
    <col min="11778" max="11778" width="3.5703125" style="8" customWidth="1"/>
    <col min="11779" max="12023" width="9.140625" style="8"/>
    <col min="12024" max="12024" width="8.7109375" style="8" customWidth="1"/>
    <col min="12025" max="12025" width="9.85546875" style="8" customWidth="1"/>
    <col min="12026" max="12026" width="14.42578125" style="8" customWidth="1"/>
    <col min="12027" max="12027" width="7.28515625" style="8" customWidth="1"/>
    <col min="12028" max="12028" width="5.5703125" style="8" customWidth="1"/>
    <col min="12029" max="12029" width="9" style="8" customWidth="1"/>
    <col min="12030" max="12031" width="9.85546875" style="8" customWidth="1"/>
    <col min="12032" max="12032" width="11.140625" style="8" customWidth="1"/>
    <col min="12033" max="12033" width="2.85546875" style="8" customWidth="1"/>
    <col min="12034" max="12034" width="3.5703125" style="8" customWidth="1"/>
    <col min="12035" max="12279" width="9.140625" style="8"/>
    <col min="12280" max="12280" width="8.7109375" style="8" customWidth="1"/>
    <col min="12281" max="12281" width="9.85546875" style="8" customWidth="1"/>
    <col min="12282" max="12282" width="14.42578125" style="8" customWidth="1"/>
    <col min="12283" max="12283" width="7.28515625" style="8" customWidth="1"/>
    <col min="12284" max="12284" width="5.5703125" style="8" customWidth="1"/>
    <col min="12285" max="12285" width="9" style="8" customWidth="1"/>
    <col min="12286" max="12287" width="9.85546875" style="8" customWidth="1"/>
    <col min="12288" max="12288" width="11.140625" style="8" customWidth="1"/>
    <col min="12289" max="12289" width="2.85546875" style="8" customWidth="1"/>
    <col min="12290" max="12290" width="3.5703125" style="8" customWidth="1"/>
    <col min="12291" max="12535" width="9.140625" style="8"/>
    <col min="12536" max="12536" width="8.7109375" style="8" customWidth="1"/>
    <col min="12537" max="12537" width="9.85546875" style="8" customWidth="1"/>
    <col min="12538" max="12538" width="14.42578125" style="8" customWidth="1"/>
    <col min="12539" max="12539" width="7.28515625" style="8" customWidth="1"/>
    <col min="12540" max="12540" width="5.5703125" style="8" customWidth="1"/>
    <col min="12541" max="12541" width="9" style="8" customWidth="1"/>
    <col min="12542" max="12543" width="9.85546875" style="8" customWidth="1"/>
    <col min="12544" max="12544" width="11.140625" style="8" customWidth="1"/>
    <col min="12545" max="12545" width="2.85546875" style="8" customWidth="1"/>
    <col min="12546" max="12546" width="3.5703125" style="8" customWidth="1"/>
    <col min="12547" max="12791" width="9.140625" style="8"/>
    <col min="12792" max="12792" width="8.7109375" style="8" customWidth="1"/>
    <col min="12793" max="12793" width="9.85546875" style="8" customWidth="1"/>
    <col min="12794" max="12794" width="14.42578125" style="8" customWidth="1"/>
    <col min="12795" max="12795" width="7.28515625" style="8" customWidth="1"/>
    <col min="12796" max="12796" width="5.5703125" style="8" customWidth="1"/>
    <col min="12797" max="12797" width="9" style="8" customWidth="1"/>
    <col min="12798" max="12799" width="9.85546875" style="8" customWidth="1"/>
    <col min="12800" max="12800" width="11.140625" style="8" customWidth="1"/>
    <col min="12801" max="12801" width="2.85546875" style="8" customWidth="1"/>
    <col min="12802" max="12802" width="3.5703125" style="8" customWidth="1"/>
    <col min="12803" max="13047" width="9.140625" style="8"/>
    <col min="13048" max="13048" width="8.7109375" style="8" customWidth="1"/>
    <col min="13049" max="13049" width="9.85546875" style="8" customWidth="1"/>
    <col min="13050" max="13050" width="14.42578125" style="8" customWidth="1"/>
    <col min="13051" max="13051" width="7.28515625" style="8" customWidth="1"/>
    <col min="13052" max="13052" width="5.5703125" style="8" customWidth="1"/>
    <col min="13053" max="13053" width="9" style="8" customWidth="1"/>
    <col min="13054" max="13055" width="9.85546875" style="8" customWidth="1"/>
    <col min="13056" max="13056" width="11.140625" style="8" customWidth="1"/>
    <col min="13057" max="13057" width="2.85546875" style="8" customWidth="1"/>
    <col min="13058" max="13058" width="3.5703125" style="8" customWidth="1"/>
    <col min="13059" max="13303" width="9.140625" style="8"/>
    <col min="13304" max="13304" width="8.7109375" style="8" customWidth="1"/>
    <col min="13305" max="13305" width="9.85546875" style="8" customWidth="1"/>
    <col min="13306" max="13306" width="14.42578125" style="8" customWidth="1"/>
    <col min="13307" max="13307" width="7.28515625" style="8" customWidth="1"/>
    <col min="13308" max="13308" width="5.5703125" style="8" customWidth="1"/>
    <col min="13309" max="13309" width="9" style="8" customWidth="1"/>
    <col min="13310" max="13311" width="9.85546875" style="8" customWidth="1"/>
    <col min="13312" max="13312" width="11.140625" style="8" customWidth="1"/>
    <col min="13313" max="13313" width="2.85546875" style="8" customWidth="1"/>
    <col min="13314" max="13314" width="3.5703125" style="8" customWidth="1"/>
    <col min="13315" max="13559" width="9.140625" style="8"/>
    <col min="13560" max="13560" width="8.7109375" style="8" customWidth="1"/>
    <col min="13561" max="13561" width="9.85546875" style="8" customWidth="1"/>
    <col min="13562" max="13562" width="14.42578125" style="8" customWidth="1"/>
    <col min="13563" max="13563" width="7.28515625" style="8" customWidth="1"/>
    <col min="13564" max="13564" width="5.5703125" style="8" customWidth="1"/>
    <col min="13565" max="13565" width="9" style="8" customWidth="1"/>
    <col min="13566" max="13567" width="9.85546875" style="8" customWidth="1"/>
    <col min="13568" max="13568" width="11.140625" style="8" customWidth="1"/>
    <col min="13569" max="13569" width="2.85546875" style="8" customWidth="1"/>
    <col min="13570" max="13570" width="3.5703125" style="8" customWidth="1"/>
    <col min="13571" max="13815" width="9.140625" style="8"/>
    <col min="13816" max="13816" width="8.7109375" style="8" customWidth="1"/>
    <col min="13817" max="13817" width="9.85546875" style="8" customWidth="1"/>
    <col min="13818" max="13818" width="14.42578125" style="8" customWidth="1"/>
    <col min="13819" max="13819" width="7.28515625" style="8" customWidth="1"/>
    <col min="13820" max="13820" width="5.5703125" style="8" customWidth="1"/>
    <col min="13821" max="13821" width="9" style="8" customWidth="1"/>
    <col min="13822" max="13823" width="9.85546875" style="8" customWidth="1"/>
    <col min="13824" max="13824" width="11.140625" style="8" customWidth="1"/>
    <col min="13825" max="13825" width="2.85546875" style="8" customWidth="1"/>
    <col min="13826" max="13826" width="3.5703125" style="8" customWidth="1"/>
    <col min="13827" max="14071" width="9.140625" style="8"/>
    <col min="14072" max="14072" width="8.7109375" style="8" customWidth="1"/>
    <col min="14073" max="14073" width="9.85546875" style="8" customWidth="1"/>
    <col min="14074" max="14074" width="14.42578125" style="8" customWidth="1"/>
    <col min="14075" max="14075" width="7.28515625" style="8" customWidth="1"/>
    <col min="14076" max="14076" width="5.5703125" style="8" customWidth="1"/>
    <col min="14077" max="14077" width="9" style="8" customWidth="1"/>
    <col min="14078" max="14079" width="9.85546875" style="8" customWidth="1"/>
    <col min="14080" max="14080" width="11.140625" style="8" customWidth="1"/>
    <col min="14081" max="14081" width="2.85546875" style="8" customWidth="1"/>
    <col min="14082" max="14082" width="3.5703125" style="8" customWidth="1"/>
    <col min="14083" max="14327" width="9.140625" style="8"/>
    <col min="14328" max="14328" width="8.7109375" style="8" customWidth="1"/>
    <col min="14329" max="14329" width="9.85546875" style="8" customWidth="1"/>
    <col min="14330" max="14330" width="14.42578125" style="8" customWidth="1"/>
    <col min="14331" max="14331" width="7.28515625" style="8" customWidth="1"/>
    <col min="14332" max="14332" width="5.5703125" style="8" customWidth="1"/>
    <col min="14333" max="14333" width="9" style="8" customWidth="1"/>
    <col min="14334" max="14335" width="9.85546875" style="8" customWidth="1"/>
    <col min="14336" max="14336" width="11.140625" style="8" customWidth="1"/>
    <col min="14337" max="14337" width="2.85546875" style="8" customWidth="1"/>
    <col min="14338" max="14338" width="3.5703125" style="8" customWidth="1"/>
    <col min="14339" max="14583" width="9.140625" style="8"/>
    <col min="14584" max="14584" width="8.7109375" style="8" customWidth="1"/>
    <col min="14585" max="14585" width="9.85546875" style="8" customWidth="1"/>
    <col min="14586" max="14586" width="14.42578125" style="8" customWidth="1"/>
    <col min="14587" max="14587" width="7.28515625" style="8" customWidth="1"/>
    <col min="14588" max="14588" width="5.5703125" style="8" customWidth="1"/>
    <col min="14589" max="14589" width="9" style="8" customWidth="1"/>
    <col min="14590" max="14591" width="9.85546875" style="8" customWidth="1"/>
    <col min="14592" max="14592" width="11.140625" style="8" customWidth="1"/>
    <col min="14593" max="14593" width="2.85546875" style="8" customWidth="1"/>
    <col min="14594" max="14594" width="3.5703125" style="8" customWidth="1"/>
    <col min="14595" max="14839" width="9.140625" style="8"/>
    <col min="14840" max="14840" width="8.7109375" style="8" customWidth="1"/>
    <col min="14841" max="14841" width="9.85546875" style="8" customWidth="1"/>
    <col min="14842" max="14842" width="14.42578125" style="8" customWidth="1"/>
    <col min="14843" max="14843" width="7.28515625" style="8" customWidth="1"/>
    <col min="14844" max="14844" width="5.5703125" style="8" customWidth="1"/>
    <col min="14845" max="14845" width="9" style="8" customWidth="1"/>
    <col min="14846" max="14847" width="9.85546875" style="8" customWidth="1"/>
    <col min="14848" max="14848" width="11.140625" style="8" customWidth="1"/>
    <col min="14849" max="14849" width="2.85546875" style="8" customWidth="1"/>
    <col min="14850" max="14850" width="3.5703125" style="8" customWidth="1"/>
    <col min="14851" max="15095" width="9.140625" style="8"/>
    <col min="15096" max="15096" width="8.7109375" style="8" customWidth="1"/>
    <col min="15097" max="15097" width="9.85546875" style="8" customWidth="1"/>
    <col min="15098" max="15098" width="14.42578125" style="8" customWidth="1"/>
    <col min="15099" max="15099" width="7.28515625" style="8" customWidth="1"/>
    <col min="15100" max="15100" width="5.5703125" style="8" customWidth="1"/>
    <col min="15101" max="15101" width="9" style="8" customWidth="1"/>
    <col min="15102" max="15103" width="9.85546875" style="8" customWidth="1"/>
    <col min="15104" max="15104" width="11.140625" style="8" customWidth="1"/>
    <col min="15105" max="15105" width="2.85546875" style="8" customWidth="1"/>
    <col min="15106" max="15106" width="3.5703125" style="8" customWidth="1"/>
    <col min="15107" max="15351" width="9.140625" style="8"/>
    <col min="15352" max="15352" width="8.7109375" style="8" customWidth="1"/>
    <col min="15353" max="15353" width="9.85546875" style="8" customWidth="1"/>
    <col min="15354" max="15354" width="14.42578125" style="8" customWidth="1"/>
    <col min="15355" max="15355" width="7.28515625" style="8" customWidth="1"/>
    <col min="15356" max="15356" width="5.5703125" style="8" customWidth="1"/>
    <col min="15357" max="15357" width="9" style="8" customWidth="1"/>
    <col min="15358" max="15359" width="9.85546875" style="8" customWidth="1"/>
    <col min="15360" max="15360" width="11.140625" style="8" customWidth="1"/>
    <col min="15361" max="15361" width="2.85546875" style="8" customWidth="1"/>
    <col min="15362" max="15362" width="3.5703125" style="8" customWidth="1"/>
    <col min="15363" max="15607" width="9.140625" style="8"/>
    <col min="15608" max="15608" width="8.7109375" style="8" customWidth="1"/>
    <col min="15609" max="15609" width="9.85546875" style="8" customWidth="1"/>
    <col min="15610" max="15610" width="14.42578125" style="8" customWidth="1"/>
    <col min="15611" max="15611" width="7.28515625" style="8" customWidth="1"/>
    <col min="15612" max="15612" width="5.5703125" style="8" customWidth="1"/>
    <col min="15613" max="15613" width="9" style="8" customWidth="1"/>
    <col min="15614" max="15615" width="9.85546875" style="8" customWidth="1"/>
    <col min="15616" max="15616" width="11.140625" style="8" customWidth="1"/>
    <col min="15617" max="15617" width="2.85546875" style="8" customWidth="1"/>
    <col min="15618" max="15618" width="3.5703125" style="8" customWidth="1"/>
    <col min="15619" max="15863" width="9.140625" style="8"/>
    <col min="15864" max="15864" width="8.7109375" style="8" customWidth="1"/>
    <col min="15865" max="15865" width="9.85546875" style="8" customWidth="1"/>
    <col min="15866" max="15866" width="14.42578125" style="8" customWidth="1"/>
    <col min="15867" max="15867" width="7.28515625" style="8" customWidth="1"/>
    <col min="15868" max="15868" width="5.5703125" style="8" customWidth="1"/>
    <col min="15869" max="15869" width="9" style="8" customWidth="1"/>
    <col min="15870" max="15871" width="9.85546875" style="8" customWidth="1"/>
    <col min="15872" max="15872" width="11.140625" style="8" customWidth="1"/>
    <col min="15873" max="15873" width="2.85546875" style="8" customWidth="1"/>
    <col min="15874" max="15874" width="3.5703125" style="8" customWidth="1"/>
    <col min="15875" max="16119" width="9.140625" style="8"/>
    <col min="16120" max="16120" width="8.7109375" style="8" customWidth="1"/>
    <col min="16121" max="16121" width="9.85546875" style="8" customWidth="1"/>
    <col min="16122" max="16122" width="14.42578125" style="8" customWidth="1"/>
    <col min="16123" max="16123" width="7.28515625" style="8" customWidth="1"/>
    <col min="16124" max="16124" width="5.5703125" style="8" customWidth="1"/>
    <col min="16125" max="16125" width="9" style="8" customWidth="1"/>
    <col min="16126" max="16127" width="9.85546875" style="8" customWidth="1"/>
    <col min="16128" max="16128" width="11.140625" style="8" customWidth="1"/>
    <col min="16129" max="16129" width="2.85546875" style="8" customWidth="1"/>
    <col min="16130" max="16130" width="3.5703125" style="8" customWidth="1"/>
    <col min="16131" max="16384" width="9.140625" style="8"/>
  </cols>
  <sheetData>
    <row r="1" spans="1:8" ht="46.5" customHeight="1" x14ac:dyDescent="0.25">
      <c r="A1" s="151" t="s">
        <v>249</v>
      </c>
      <c r="B1" s="151"/>
      <c r="C1" s="151"/>
      <c r="D1" s="151"/>
      <c r="E1" s="151"/>
      <c r="F1" s="151"/>
      <c r="G1" s="151"/>
      <c r="H1" s="151"/>
    </row>
    <row r="2" spans="1:8" ht="16.5" customHeight="1" x14ac:dyDescent="0.25">
      <c r="A2" s="135" t="s">
        <v>0</v>
      </c>
      <c r="B2" s="135"/>
      <c r="C2" s="135"/>
      <c r="D2" s="135"/>
      <c r="E2" s="135"/>
      <c r="F2" s="135"/>
      <c r="G2" s="135"/>
      <c r="H2" s="135"/>
    </row>
    <row r="3" spans="1:8" x14ac:dyDescent="0.25">
      <c r="A3" s="76" t="s">
        <v>1</v>
      </c>
      <c r="B3" s="76"/>
      <c r="C3" s="76"/>
      <c r="D3" s="76"/>
      <c r="E3" s="150" t="str">
        <f ca="1">TEXT(TODAY(),"DD/MM/YYYY")</f>
        <v>26/08/2025</v>
      </c>
      <c r="F3" s="150"/>
      <c r="G3" s="150"/>
      <c r="H3" s="150"/>
    </row>
    <row r="4" spans="1:8" ht="15" customHeight="1" x14ac:dyDescent="0.25">
      <c r="A4" s="76" t="s">
        <v>2</v>
      </c>
      <c r="B4" s="76"/>
      <c r="C4" s="76"/>
      <c r="D4" s="76"/>
      <c r="E4" s="145" t="s">
        <v>183</v>
      </c>
      <c r="F4" s="145"/>
      <c r="G4" s="145"/>
      <c r="H4" s="145"/>
    </row>
    <row r="5" spans="1:8" x14ac:dyDescent="0.25">
      <c r="A5" s="76" t="s">
        <v>3</v>
      </c>
      <c r="B5" s="76"/>
      <c r="C5" s="76"/>
      <c r="D5" s="76"/>
      <c r="E5" s="150">
        <v>45861</v>
      </c>
      <c r="F5" s="150"/>
      <c r="G5" s="150"/>
      <c r="H5" s="150"/>
    </row>
    <row r="6" spans="1:8" ht="16.5" customHeight="1" x14ac:dyDescent="0.25">
      <c r="A6" s="76" t="s">
        <v>4</v>
      </c>
      <c r="B6" s="76"/>
      <c r="C6" s="76"/>
      <c r="D6" s="76"/>
      <c r="E6" s="144" t="s">
        <v>184</v>
      </c>
      <c r="F6" s="144"/>
      <c r="G6" s="144"/>
      <c r="H6" s="144"/>
    </row>
    <row r="7" spans="1:8" ht="15" customHeight="1" x14ac:dyDescent="0.25">
      <c r="A7" s="76" t="s">
        <v>5</v>
      </c>
      <c r="B7" s="76"/>
      <c r="C7" s="76"/>
      <c r="D7" s="76"/>
      <c r="E7" s="144" t="str">
        <f>E6</f>
        <v>M/s.Imperial Lifestyle Private Limited</v>
      </c>
      <c r="F7" s="144"/>
      <c r="G7" s="144"/>
      <c r="H7" s="144"/>
    </row>
    <row r="8" spans="1:8" x14ac:dyDescent="0.25">
      <c r="A8" s="76" t="s">
        <v>6</v>
      </c>
      <c r="B8" s="76"/>
      <c r="C8" s="76"/>
      <c r="D8" s="76"/>
      <c r="E8" s="81" t="s">
        <v>215</v>
      </c>
      <c r="F8" s="81"/>
      <c r="G8" s="81"/>
      <c r="H8" s="81"/>
    </row>
    <row r="9" spans="1:8" x14ac:dyDescent="0.25">
      <c r="A9" s="76" t="s">
        <v>158</v>
      </c>
      <c r="B9" s="76"/>
      <c r="C9" s="76"/>
      <c r="D9" s="76"/>
      <c r="E9" s="76" t="s">
        <v>263</v>
      </c>
      <c r="F9" s="76"/>
      <c r="G9" s="76"/>
      <c r="H9" s="76"/>
    </row>
    <row r="10" spans="1:8" x14ac:dyDescent="0.25">
      <c r="A10" s="84" t="s">
        <v>7</v>
      </c>
      <c r="B10" s="84"/>
      <c r="C10" s="84"/>
      <c r="D10" s="84"/>
      <c r="E10" s="84" t="s">
        <v>268</v>
      </c>
      <c r="F10" s="84"/>
      <c r="G10" s="84"/>
      <c r="H10" s="84"/>
    </row>
    <row r="11" spans="1:8" x14ac:dyDescent="0.25">
      <c r="A11" s="76" t="s">
        <v>8</v>
      </c>
      <c r="B11" s="76"/>
      <c r="C11" s="76"/>
      <c r="D11" s="76"/>
      <c r="E11" s="83" t="s">
        <v>213</v>
      </c>
      <c r="F11" s="83"/>
      <c r="G11" s="83"/>
      <c r="H11" s="83"/>
    </row>
    <row r="12" spans="1:8" ht="66.95" customHeight="1" x14ac:dyDescent="0.25">
      <c r="A12" s="76" t="s">
        <v>9</v>
      </c>
      <c r="B12" s="76"/>
      <c r="C12" s="76"/>
      <c r="D12" s="76"/>
      <c r="E12" s="83" t="s">
        <v>269</v>
      </c>
      <c r="F12" s="84"/>
      <c r="G12" s="84"/>
      <c r="H12" s="84"/>
    </row>
    <row r="13" spans="1:8" ht="33.75" customHeight="1" x14ac:dyDescent="0.25">
      <c r="A13" s="144" t="s">
        <v>10</v>
      </c>
      <c r="B13" s="144"/>
      <c r="C13" s="144" t="str">
        <f>CONCATENATE((IF(OR(E8="",E8="NA"),"",E8)),", ",(IF(OR(A14="",A14="NA"),"",A14)),".",(IF(OR(C14="",C14="NA"),"",C14)),", near ",(IF(OR(C18="",C18="NA"),"",C18)),", ",(IF(OR(C15="",C15="NA"),"",C15)),", ",(IF(OR(G15="",G15="NA"),"",G15)),", ",(IF(OR(C16="",C16="NA"),"",C16)),", ",(IF(OR(C17="",C17="NA"),"",C17)),", ",(IF(OR(G16="",G16="NA"),"",G16))," - ",(IF(OR(G17="",G17="NA"),"",G17)),".")</f>
        <v>Imperial Splendora, S No.275  &amp; H No.1, near Ornate Heights Annex, Internal Road, Gohkiware, Vasai, Vasai, Palghar - 401208.</v>
      </c>
      <c r="D13" s="144"/>
      <c r="E13" s="144"/>
      <c r="F13" s="144"/>
      <c r="G13" s="144"/>
      <c r="H13" s="144"/>
    </row>
    <row r="14" spans="1:8" x14ac:dyDescent="0.25">
      <c r="A14" s="83" t="s">
        <v>207</v>
      </c>
      <c r="B14" s="83"/>
      <c r="C14" s="83" t="s">
        <v>206</v>
      </c>
      <c r="D14" s="83"/>
      <c r="E14" s="83"/>
      <c r="F14" s="83"/>
      <c r="G14" s="83"/>
      <c r="H14" s="83"/>
    </row>
    <row r="15" spans="1:8" ht="15.75" customHeight="1" x14ac:dyDescent="0.25">
      <c r="A15" s="144" t="s">
        <v>11</v>
      </c>
      <c r="B15" s="144"/>
      <c r="C15" s="146" t="s">
        <v>201</v>
      </c>
      <c r="D15" s="147"/>
      <c r="E15" s="144" t="s">
        <v>203</v>
      </c>
      <c r="F15" s="144"/>
      <c r="G15" s="83" t="s">
        <v>202</v>
      </c>
      <c r="H15" s="83"/>
    </row>
    <row r="16" spans="1:8" x14ac:dyDescent="0.25">
      <c r="A16" s="76" t="s">
        <v>13</v>
      </c>
      <c r="B16" s="76"/>
      <c r="C16" s="83" t="s">
        <v>205</v>
      </c>
      <c r="D16" s="83"/>
      <c r="E16" s="144" t="s">
        <v>12</v>
      </c>
      <c r="F16" s="144"/>
      <c r="G16" s="148" t="s">
        <v>204</v>
      </c>
      <c r="H16" s="148"/>
    </row>
    <row r="17" spans="1:8" x14ac:dyDescent="0.25">
      <c r="A17" s="76" t="s">
        <v>98</v>
      </c>
      <c r="B17" s="76"/>
      <c r="C17" s="83" t="s">
        <v>205</v>
      </c>
      <c r="D17" s="83"/>
      <c r="E17" s="144" t="s">
        <v>14</v>
      </c>
      <c r="F17" s="144"/>
      <c r="G17" s="83">
        <v>401208</v>
      </c>
      <c r="H17" s="83"/>
    </row>
    <row r="18" spans="1:8" ht="32.25" customHeight="1" x14ac:dyDescent="0.25">
      <c r="A18" s="76" t="s">
        <v>159</v>
      </c>
      <c r="B18" s="76"/>
      <c r="C18" s="149" t="s">
        <v>209</v>
      </c>
      <c r="D18" s="149"/>
      <c r="E18" s="144" t="s">
        <v>15</v>
      </c>
      <c r="F18" s="144"/>
      <c r="G18" s="83" t="s">
        <v>208</v>
      </c>
      <c r="H18" s="83"/>
    </row>
    <row r="19" spans="1:8" ht="15" customHeight="1" x14ac:dyDescent="0.25">
      <c r="A19" s="144" t="s">
        <v>103</v>
      </c>
      <c r="B19" s="144"/>
      <c r="C19" s="144"/>
      <c r="D19" s="144"/>
      <c r="E19" s="84" t="s">
        <v>16</v>
      </c>
      <c r="F19" s="84"/>
      <c r="G19" s="84"/>
      <c r="H19" s="84"/>
    </row>
    <row r="20" spans="1:8" ht="18.75" customHeight="1" x14ac:dyDescent="0.25">
      <c r="A20" s="144"/>
      <c r="B20" s="144"/>
      <c r="C20" s="144"/>
      <c r="D20" s="144"/>
      <c r="E20" s="84"/>
      <c r="F20" s="84"/>
      <c r="G20" s="84"/>
      <c r="H20" s="84"/>
    </row>
    <row r="21" spans="1:8" ht="15" customHeight="1" x14ac:dyDescent="0.25">
      <c r="A21" s="144" t="s">
        <v>17</v>
      </c>
      <c r="B21" s="144"/>
      <c r="C21" s="144"/>
      <c r="D21" s="144"/>
      <c r="E21" s="83" t="s">
        <v>18</v>
      </c>
      <c r="F21" s="83"/>
      <c r="G21" s="83"/>
      <c r="H21" s="83"/>
    </row>
    <row r="22" spans="1:8" ht="15" customHeight="1" x14ac:dyDescent="0.25">
      <c r="A22" s="76" t="s">
        <v>19</v>
      </c>
      <c r="B22" s="76"/>
      <c r="C22" s="76"/>
      <c r="D22" s="76"/>
      <c r="E22" s="83" t="str">
        <f>IF(AND(G16="Mumbai"),"Upper Class","Middle Class")</f>
        <v>Middle Class</v>
      </c>
      <c r="F22" s="83"/>
      <c r="G22" s="83"/>
      <c r="H22" s="83"/>
    </row>
    <row r="23" spans="1:8" x14ac:dyDescent="0.25">
      <c r="A23" s="76" t="s">
        <v>20</v>
      </c>
      <c r="B23" s="76"/>
      <c r="C23" s="76"/>
      <c r="D23" s="76"/>
      <c r="E23" s="83" t="s">
        <v>21</v>
      </c>
      <c r="F23" s="83"/>
      <c r="G23" s="83"/>
      <c r="H23" s="83"/>
    </row>
    <row r="24" spans="1:8" ht="15.75" customHeight="1" x14ac:dyDescent="0.25">
      <c r="A24" s="76" t="s">
        <v>22</v>
      </c>
      <c r="B24" s="76"/>
      <c r="C24" s="76"/>
      <c r="D24" s="76"/>
      <c r="E24" s="83" t="str">
        <f>IF(AND(G16="Mumbai"),"Developed","Developing")</f>
        <v>Developing</v>
      </c>
      <c r="F24" s="83"/>
      <c r="G24" s="83"/>
      <c r="H24" s="83"/>
    </row>
    <row r="25" spans="1:8" x14ac:dyDescent="0.25">
      <c r="A25" s="76" t="s">
        <v>23</v>
      </c>
      <c r="B25" s="76"/>
      <c r="C25" s="76"/>
      <c r="D25" s="76"/>
      <c r="E25" s="83" t="s">
        <v>24</v>
      </c>
      <c r="F25" s="83"/>
      <c r="G25" s="83"/>
      <c r="H25" s="83"/>
    </row>
    <row r="26" spans="1:8" x14ac:dyDescent="0.25">
      <c r="A26" s="76" t="s">
        <v>111</v>
      </c>
      <c r="B26" s="76"/>
      <c r="C26" s="76"/>
      <c r="D26" s="76"/>
      <c r="E26" s="83" t="s">
        <v>112</v>
      </c>
      <c r="F26" s="83"/>
      <c r="G26" s="83"/>
      <c r="H26" s="83"/>
    </row>
    <row r="27" spans="1:8" ht="15" customHeight="1" x14ac:dyDescent="0.25">
      <c r="A27" s="144" t="s">
        <v>32</v>
      </c>
      <c r="B27" s="144"/>
      <c r="C27" s="144"/>
      <c r="D27" s="144"/>
      <c r="E27" s="145" t="s">
        <v>107</v>
      </c>
      <c r="F27" s="145"/>
      <c r="G27" s="145"/>
      <c r="H27" s="145"/>
    </row>
    <row r="28" spans="1:8" x14ac:dyDescent="0.25">
      <c r="A28" s="144" t="s">
        <v>123</v>
      </c>
      <c r="B28" s="144"/>
      <c r="C28" s="144"/>
      <c r="D28" s="144"/>
      <c r="E28" s="144" t="s">
        <v>33</v>
      </c>
      <c r="F28" s="144"/>
      <c r="G28" s="144"/>
      <c r="H28" s="144"/>
    </row>
    <row r="29" spans="1:8" s="11" customFormat="1" x14ac:dyDescent="0.25">
      <c r="A29" s="141" t="s">
        <v>124</v>
      </c>
      <c r="B29" s="141"/>
      <c r="C29" s="139" t="s">
        <v>291</v>
      </c>
      <c r="D29" s="139"/>
      <c r="E29" s="139"/>
      <c r="F29" s="139" t="s">
        <v>30</v>
      </c>
      <c r="G29" s="139"/>
      <c r="H29" s="139"/>
    </row>
    <row r="30" spans="1:8" s="11" customFormat="1" x14ac:dyDescent="0.25">
      <c r="A30" s="140" t="s">
        <v>25</v>
      </c>
      <c r="B30" s="140" t="s">
        <v>29</v>
      </c>
      <c r="C30" s="138" t="s">
        <v>292</v>
      </c>
      <c r="D30" s="138"/>
      <c r="E30" s="138"/>
      <c r="F30" s="138" t="s">
        <v>11</v>
      </c>
      <c r="G30" s="138"/>
      <c r="H30" s="138"/>
    </row>
    <row r="31" spans="1:8" x14ac:dyDescent="0.25">
      <c r="A31" s="140" t="s">
        <v>26</v>
      </c>
      <c r="B31" s="140" t="s">
        <v>29</v>
      </c>
      <c r="C31" s="138" t="s">
        <v>293</v>
      </c>
      <c r="D31" s="138"/>
      <c r="E31" s="138"/>
      <c r="F31" s="138" t="s">
        <v>11</v>
      </c>
      <c r="G31" s="138"/>
      <c r="H31" s="138"/>
    </row>
    <row r="32" spans="1:8" s="11" customFormat="1" x14ac:dyDescent="0.25">
      <c r="A32" s="140" t="s">
        <v>28</v>
      </c>
      <c r="B32" s="140" t="s">
        <v>29</v>
      </c>
      <c r="C32" s="138" t="s">
        <v>294</v>
      </c>
      <c r="D32" s="138"/>
      <c r="E32" s="138"/>
      <c r="F32" s="138" t="s">
        <v>200</v>
      </c>
      <c r="G32" s="138"/>
      <c r="H32" s="138"/>
    </row>
    <row r="33" spans="1:9" x14ac:dyDescent="0.25">
      <c r="A33" s="140" t="s">
        <v>27</v>
      </c>
      <c r="B33" s="140" t="s">
        <v>29</v>
      </c>
      <c r="C33" s="138" t="s">
        <v>295</v>
      </c>
      <c r="D33" s="138"/>
      <c r="E33" s="138"/>
      <c r="F33" s="138" t="s">
        <v>11</v>
      </c>
      <c r="G33" s="138"/>
      <c r="H33" s="138"/>
    </row>
    <row r="34" spans="1:9" x14ac:dyDescent="0.25">
      <c r="A34" s="76" t="s">
        <v>31</v>
      </c>
      <c r="B34" s="76"/>
      <c r="C34" s="76"/>
      <c r="D34" s="76"/>
      <c r="E34" s="76"/>
      <c r="F34" s="76"/>
      <c r="G34" s="76"/>
      <c r="H34" s="76"/>
    </row>
    <row r="35" spans="1:9" ht="15.75" customHeight="1" x14ac:dyDescent="0.25">
      <c r="A35" s="76" t="s">
        <v>257</v>
      </c>
      <c r="B35" s="76"/>
      <c r="C35" s="142" t="s">
        <v>266</v>
      </c>
      <c r="D35" s="142"/>
      <c r="E35" s="142"/>
      <c r="F35" s="142"/>
      <c r="G35" s="142"/>
      <c r="H35" s="142"/>
    </row>
    <row r="36" spans="1:9" ht="15.75" customHeight="1" x14ac:dyDescent="0.25">
      <c r="A36" s="76" t="s">
        <v>250</v>
      </c>
      <c r="B36" s="76"/>
      <c r="C36" s="77" t="s">
        <v>265</v>
      </c>
      <c r="D36" s="78"/>
      <c r="E36" s="78"/>
      <c r="F36" s="78"/>
      <c r="G36" s="78"/>
      <c r="H36" s="78"/>
    </row>
    <row r="37" spans="1:9" x14ac:dyDescent="0.25">
      <c r="A37" s="81" t="s">
        <v>34</v>
      </c>
      <c r="B37" s="81"/>
      <c r="C37" s="81"/>
      <c r="D37" s="81"/>
      <c r="E37" s="81"/>
      <c r="F37" s="81"/>
      <c r="G37" s="81"/>
      <c r="H37" s="81"/>
    </row>
    <row r="38" spans="1:9" x14ac:dyDescent="0.25">
      <c r="A38" s="76" t="s">
        <v>35</v>
      </c>
      <c r="B38" s="76"/>
      <c r="C38" s="76"/>
      <c r="D38" s="76"/>
      <c r="E38" s="137">
        <v>280497.94</v>
      </c>
      <c r="F38" s="137"/>
      <c r="G38" s="137"/>
      <c r="H38" s="137"/>
    </row>
    <row r="39" spans="1:9" x14ac:dyDescent="0.25">
      <c r="A39" s="76" t="s">
        <v>36</v>
      </c>
      <c r="B39" s="76"/>
      <c r="C39" s="76"/>
      <c r="D39" s="76"/>
      <c r="E39" s="143">
        <v>1</v>
      </c>
      <c r="F39" s="143"/>
      <c r="G39" s="143"/>
      <c r="H39" s="143"/>
      <c r="I39" s="67">
        <f>278213.32/E38</f>
        <v>0.99185512734959835</v>
      </c>
    </row>
    <row r="40" spans="1:9" x14ac:dyDescent="0.25">
      <c r="A40" s="76" t="s">
        <v>37</v>
      </c>
      <c r="B40" s="76"/>
      <c r="C40" s="76"/>
      <c r="D40" s="76"/>
      <c r="E40" s="143">
        <f>E42/E38-E39</f>
        <v>2.640851765257171</v>
      </c>
      <c r="F40" s="143"/>
      <c r="G40" s="143"/>
      <c r="H40" s="143"/>
    </row>
    <row r="41" spans="1:9" x14ac:dyDescent="0.25">
      <c r="A41" s="76" t="s">
        <v>38</v>
      </c>
      <c r="B41" s="76"/>
      <c r="C41" s="76"/>
      <c r="D41" s="76"/>
      <c r="E41" s="143">
        <f>E39+E40</f>
        <v>3.640851765257171</v>
      </c>
      <c r="F41" s="143"/>
      <c r="G41" s="143"/>
      <c r="H41" s="143"/>
    </row>
    <row r="42" spans="1:9" x14ac:dyDescent="0.25">
      <c r="A42" s="76" t="s">
        <v>122</v>
      </c>
      <c r="B42" s="76"/>
      <c r="C42" s="76"/>
      <c r="D42" s="76"/>
      <c r="E42" s="136">
        <v>1021251.42</v>
      </c>
      <c r="F42" s="136"/>
      <c r="G42" s="136"/>
      <c r="H42" s="136"/>
    </row>
    <row r="43" spans="1:9" x14ac:dyDescent="0.25">
      <c r="A43" s="84" t="s">
        <v>39</v>
      </c>
      <c r="B43" s="84"/>
      <c r="C43" s="84"/>
      <c r="D43" s="84"/>
      <c r="E43" s="84" t="s">
        <v>304</v>
      </c>
      <c r="F43" s="84"/>
      <c r="G43" s="84"/>
      <c r="H43" s="84"/>
    </row>
    <row r="44" spans="1:9" x14ac:dyDescent="0.25">
      <c r="A44" s="81" t="s">
        <v>40</v>
      </c>
      <c r="B44" s="81"/>
      <c r="C44" s="81"/>
      <c r="D44" s="81"/>
      <c r="E44" s="81"/>
      <c r="F44" s="81"/>
      <c r="G44" s="81"/>
      <c r="H44" s="81"/>
    </row>
    <row r="45" spans="1:9" ht="31.5" customHeight="1" x14ac:dyDescent="0.25">
      <c r="A45" s="144" t="s">
        <v>271</v>
      </c>
      <c r="B45" s="144"/>
      <c r="C45" s="79" t="s">
        <v>272</v>
      </c>
      <c r="D45" s="79"/>
      <c r="E45" s="79"/>
      <c r="F45" s="59" t="s">
        <v>41</v>
      </c>
      <c r="G45" s="80">
        <v>44771</v>
      </c>
      <c r="H45" s="80"/>
    </row>
    <row r="46" spans="1:9" x14ac:dyDescent="0.25">
      <c r="A46" s="196" t="s">
        <v>316</v>
      </c>
      <c r="B46" s="196"/>
      <c r="C46" s="196"/>
      <c r="D46" s="196"/>
      <c r="E46" s="196"/>
      <c r="F46" s="196"/>
      <c r="G46" s="196"/>
      <c r="H46" s="196"/>
    </row>
    <row r="47" spans="1:9" ht="31.5" customHeight="1" x14ac:dyDescent="0.25">
      <c r="A47" s="76" t="s">
        <v>42</v>
      </c>
      <c r="B47" s="76"/>
      <c r="C47" s="79" t="str">
        <f>C45</f>
        <v>VVCMC/TP/AMEND/VP/0329, 0815 &amp; 0509/241/2022-23</v>
      </c>
      <c r="D47" s="79"/>
      <c r="E47" s="79"/>
      <c r="F47" s="59" t="s">
        <v>41</v>
      </c>
      <c r="G47" s="80">
        <v>44347</v>
      </c>
      <c r="H47" s="80"/>
    </row>
    <row r="48" spans="1:9" s="10" customFormat="1" ht="33.75" customHeight="1" x14ac:dyDescent="0.25">
      <c r="A48" s="83" t="s">
        <v>258</v>
      </c>
      <c r="B48" s="83"/>
      <c r="C48" s="79" t="s">
        <v>223</v>
      </c>
      <c r="D48" s="79"/>
      <c r="E48" s="79"/>
      <c r="F48" s="13" t="s">
        <v>41</v>
      </c>
      <c r="G48" s="80">
        <v>44347</v>
      </c>
      <c r="H48" s="80"/>
    </row>
    <row r="49" spans="1:8" s="10" customFormat="1" ht="33" customHeight="1" x14ac:dyDescent="0.25">
      <c r="A49" s="83"/>
      <c r="B49" s="83"/>
      <c r="C49" s="167" t="s">
        <v>315</v>
      </c>
      <c r="D49" s="168"/>
      <c r="E49" s="168"/>
      <c r="F49" s="168"/>
      <c r="G49" s="168"/>
      <c r="H49" s="169"/>
    </row>
    <row r="50" spans="1:8" ht="63.75" customHeight="1" x14ac:dyDescent="0.25">
      <c r="A50" s="86" t="s">
        <v>43</v>
      </c>
      <c r="B50" s="86"/>
      <c r="C50" s="171" t="s">
        <v>309</v>
      </c>
      <c r="D50" s="118"/>
      <c r="E50" s="118" t="s">
        <v>44</v>
      </c>
      <c r="F50" s="69" t="s">
        <v>41</v>
      </c>
      <c r="G50" s="170">
        <v>45859</v>
      </c>
      <c r="H50" s="170"/>
    </row>
    <row r="51" spans="1:8" x14ac:dyDescent="0.25">
      <c r="A51" s="195" t="s">
        <v>229</v>
      </c>
      <c r="B51" s="195"/>
      <c r="C51" s="195"/>
      <c r="D51" s="195"/>
      <c r="E51" s="195"/>
      <c r="F51" s="195"/>
      <c r="G51" s="195"/>
      <c r="H51" s="195"/>
    </row>
    <row r="52" spans="1:8" ht="31.5" customHeight="1" x14ac:dyDescent="0.25">
      <c r="A52" s="76" t="s">
        <v>42</v>
      </c>
      <c r="B52" s="76"/>
      <c r="C52" s="79" t="s">
        <v>317</v>
      </c>
      <c r="D52" s="79"/>
      <c r="E52" s="79"/>
      <c r="F52" s="59" t="s">
        <v>41</v>
      </c>
      <c r="G52" s="80">
        <v>44771</v>
      </c>
      <c r="H52" s="80"/>
    </row>
    <row r="53" spans="1:8" s="10" customFormat="1" ht="33.75" customHeight="1" x14ac:dyDescent="0.25">
      <c r="A53" s="83" t="s">
        <v>258</v>
      </c>
      <c r="B53" s="83"/>
      <c r="C53" s="79" t="s">
        <v>317</v>
      </c>
      <c r="D53" s="79"/>
      <c r="E53" s="79"/>
      <c r="F53" s="13" t="s">
        <v>41</v>
      </c>
      <c r="G53" s="80">
        <v>44771</v>
      </c>
      <c r="H53" s="80"/>
    </row>
    <row r="54" spans="1:8" s="10" customFormat="1" ht="18" customHeight="1" x14ac:dyDescent="0.25">
      <c r="A54" s="83"/>
      <c r="B54" s="83"/>
      <c r="C54" s="167" t="s">
        <v>314</v>
      </c>
      <c r="D54" s="168"/>
      <c r="E54" s="168"/>
      <c r="F54" s="168"/>
      <c r="G54" s="168"/>
      <c r="H54" s="169"/>
    </row>
    <row r="55" spans="1:8" x14ac:dyDescent="0.25">
      <c r="A55" s="197" t="s">
        <v>239</v>
      </c>
      <c r="B55" s="197"/>
      <c r="C55" s="197"/>
      <c r="D55" s="197"/>
      <c r="E55" s="197"/>
      <c r="F55" s="197"/>
      <c r="G55" s="197"/>
      <c r="H55" s="197"/>
    </row>
    <row r="56" spans="1:8" ht="31.5" customHeight="1" x14ac:dyDescent="0.25">
      <c r="A56" s="76" t="s">
        <v>42</v>
      </c>
      <c r="B56" s="76"/>
      <c r="C56" s="79" t="s">
        <v>248</v>
      </c>
      <c r="D56" s="79"/>
      <c r="E56" s="79"/>
      <c r="F56" s="59" t="s">
        <v>41</v>
      </c>
      <c r="G56" s="80">
        <v>44771</v>
      </c>
      <c r="H56" s="80"/>
    </row>
    <row r="57" spans="1:8" s="10" customFormat="1" ht="33.75" customHeight="1" x14ac:dyDescent="0.25">
      <c r="A57" s="83" t="s">
        <v>258</v>
      </c>
      <c r="B57" s="83"/>
      <c r="C57" s="79" t="s">
        <v>260</v>
      </c>
      <c r="D57" s="79"/>
      <c r="E57" s="79"/>
      <c r="F57" s="13" t="s">
        <v>41</v>
      </c>
      <c r="G57" s="80">
        <v>45016</v>
      </c>
      <c r="H57" s="80"/>
    </row>
    <row r="58" spans="1:8" s="10" customFormat="1" ht="18" customHeight="1" x14ac:dyDescent="0.25">
      <c r="A58" s="83"/>
      <c r="B58" s="83"/>
      <c r="C58" s="167" t="s">
        <v>259</v>
      </c>
      <c r="D58" s="168"/>
      <c r="E58" s="168"/>
      <c r="F58" s="168"/>
      <c r="G58" s="168"/>
      <c r="H58" s="169"/>
    </row>
    <row r="59" spans="1:8" x14ac:dyDescent="0.25">
      <c r="A59" s="198" t="s">
        <v>270</v>
      </c>
      <c r="B59" s="198"/>
      <c r="C59" s="198"/>
      <c r="D59" s="198"/>
      <c r="E59" s="198"/>
      <c r="F59" s="198"/>
      <c r="G59" s="198"/>
      <c r="H59" s="198"/>
    </row>
    <row r="60" spans="1:8" ht="31.5" customHeight="1" x14ac:dyDescent="0.25">
      <c r="A60" s="199" t="s">
        <v>42</v>
      </c>
      <c r="B60" s="199"/>
      <c r="C60" s="200" t="s">
        <v>273</v>
      </c>
      <c r="D60" s="200"/>
      <c r="E60" s="200"/>
      <c r="F60" s="201" t="s">
        <v>41</v>
      </c>
      <c r="G60" s="202">
        <v>44771</v>
      </c>
      <c r="H60" s="202"/>
    </row>
    <row r="61" spans="1:8" s="10" customFormat="1" ht="33.75" customHeight="1" x14ac:dyDescent="0.25">
      <c r="A61" s="200" t="s">
        <v>258</v>
      </c>
      <c r="B61" s="200"/>
      <c r="C61" s="200" t="s">
        <v>274</v>
      </c>
      <c r="D61" s="200"/>
      <c r="E61" s="200"/>
      <c r="F61" s="203" t="s">
        <v>41</v>
      </c>
      <c r="G61" s="202">
        <f>G60</f>
        <v>44771</v>
      </c>
      <c r="H61" s="202"/>
    </row>
    <row r="62" spans="1:8" s="10" customFormat="1" ht="33" customHeight="1" x14ac:dyDescent="0.25">
      <c r="A62" s="200"/>
      <c r="B62" s="200"/>
      <c r="C62" s="204" t="s">
        <v>275</v>
      </c>
      <c r="D62" s="205"/>
      <c r="E62" s="205"/>
      <c r="F62" s="205"/>
      <c r="G62" s="205"/>
      <c r="H62" s="206"/>
    </row>
    <row r="63" spans="1:8" x14ac:dyDescent="0.25">
      <c r="A63" s="207" t="s">
        <v>276</v>
      </c>
      <c r="B63" s="207"/>
      <c r="C63" s="207"/>
      <c r="D63" s="207"/>
      <c r="E63" s="207"/>
      <c r="F63" s="207"/>
      <c r="G63" s="207"/>
      <c r="H63" s="207"/>
    </row>
    <row r="64" spans="1:8" ht="31.5" customHeight="1" x14ac:dyDescent="0.25">
      <c r="A64" s="199" t="s">
        <v>42</v>
      </c>
      <c r="B64" s="199"/>
      <c r="C64" s="200" t="s">
        <v>277</v>
      </c>
      <c r="D64" s="200"/>
      <c r="E64" s="200"/>
      <c r="F64" s="201" t="s">
        <v>41</v>
      </c>
      <c r="G64" s="202">
        <v>45016</v>
      </c>
      <c r="H64" s="202"/>
    </row>
    <row r="65" spans="1:14" s="10" customFormat="1" ht="33.75" customHeight="1" x14ac:dyDescent="0.25">
      <c r="A65" s="200" t="s">
        <v>258</v>
      </c>
      <c r="B65" s="200"/>
      <c r="C65" s="200" t="s">
        <v>278</v>
      </c>
      <c r="D65" s="200"/>
      <c r="E65" s="200"/>
      <c r="F65" s="203" t="s">
        <v>41</v>
      </c>
      <c r="G65" s="202">
        <f>G64</f>
        <v>45016</v>
      </c>
      <c r="H65" s="202"/>
    </row>
    <row r="66" spans="1:14" s="10" customFormat="1" ht="33" customHeight="1" x14ac:dyDescent="0.25">
      <c r="A66" s="200"/>
      <c r="B66" s="200"/>
      <c r="C66" s="204" t="s">
        <v>279</v>
      </c>
      <c r="D66" s="205"/>
      <c r="E66" s="205"/>
      <c r="F66" s="205"/>
      <c r="G66" s="205"/>
      <c r="H66" s="206"/>
    </row>
    <row r="67" spans="1:14" x14ac:dyDescent="0.25">
      <c r="A67" s="162" t="s">
        <v>46</v>
      </c>
      <c r="B67" s="162"/>
      <c r="C67" s="162"/>
      <c r="D67" s="162"/>
      <c r="E67" s="162"/>
      <c r="F67" s="162"/>
      <c r="G67" s="162"/>
      <c r="H67" s="162"/>
    </row>
    <row r="68" spans="1:14" x14ac:dyDescent="0.25">
      <c r="A68" s="144" t="s">
        <v>121</v>
      </c>
      <c r="B68" s="144"/>
      <c r="C68" s="144"/>
      <c r="D68" s="76">
        <f>10750.77+10750.77+5554.59+9719.59+6653.57+8781.28+10611.71+17260.36</f>
        <v>80082.64</v>
      </c>
      <c r="E68" s="76"/>
      <c r="F68" s="76"/>
      <c r="G68" s="76"/>
      <c r="H68" s="76"/>
    </row>
    <row r="69" spans="1:14" x14ac:dyDescent="0.25">
      <c r="A69" s="83" t="s">
        <v>47</v>
      </c>
      <c r="B69" s="84"/>
      <c r="C69" s="84"/>
      <c r="D69" s="84" t="s">
        <v>322</v>
      </c>
      <c r="E69" s="84"/>
      <c r="F69" s="84"/>
      <c r="G69" s="84"/>
      <c r="H69" s="84"/>
      <c r="I69" s="40"/>
    </row>
    <row r="70" spans="1:14" ht="49.5" customHeight="1" x14ac:dyDescent="0.25">
      <c r="A70" s="83" t="s">
        <v>48</v>
      </c>
      <c r="B70" s="83"/>
      <c r="C70" s="83"/>
      <c r="D70" s="83" t="s">
        <v>289</v>
      </c>
      <c r="E70" s="83"/>
      <c r="F70" s="83"/>
      <c r="G70" s="83"/>
      <c r="H70" s="83"/>
    </row>
    <row r="71" spans="1:14" ht="15.6" customHeight="1" x14ac:dyDescent="0.25">
      <c r="A71" s="83" t="s">
        <v>119</v>
      </c>
      <c r="B71" s="83"/>
      <c r="C71" s="83"/>
      <c r="D71" s="83" t="s">
        <v>232</v>
      </c>
      <c r="E71" s="84"/>
      <c r="F71" s="84"/>
      <c r="G71" s="84"/>
      <c r="H71" s="84"/>
    </row>
    <row r="72" spans="1:14" x14ac:dyDescent="0.25">
      <c r="A72" s="83"/>
      <c r="B72" s="83"/>
      <c r="C72" s="83"/>
      <c r="D72" s="83" t="s">
        <v>233</v>
      </c>
      <c r="E72" s="84"/>
      <c r="F72" s="84"/>
      <c r="G72" s="84"/>
      <c r="H72" s="84"/>
    </row>
    <row r="73" spans="1:14" x14ac:dyDescent="0.25">
      <c r="A73" s="83"/>
      <c r="B73" s="83"/>
      <c r="C73" s="83"/>
      <c r="D73" s="83" t="s">
        <v>222</v>
      </c>
      <c r="E73" s="84"/>
      <c r="F73" s="84"/>
      <c r="G73" s="84"/>
      <c r="H73" s="84"/>
    </row>
    <row r="74" spans="1:14" x14ac:dyDescent="0.25">
      <c r="A74" s="83"/>
      <c r="B74" s="83"/>
      <c r="C74" s="83"/>
      <c r="D74" s="83" t="s">
        <v>238</v>
      </c>
      <c r="E74" s="84"/>
      <c r="F74" s="84"/>
      <c r="G74" s="84"/>
      <c r="H74" s="84"/>
    </row>
    <row r="75" spans="1:14" x14ac:dyDescent="0.25">
      <c r="A75" s="83"/>
      <c r="B75" s="83"/>
      <c r="C75" s="83"/>
      <c r="D75" s="83" t="s">
        <v>297</v>
      </c>
      <c r="E75" s="84"/>
      <c r="F75" s="84"/>
      <c r="G75" s="84"/>
      <c r="H75" s="84"/>
    </row>
    <row r="76" spans="1:14" hidden="1" x14ac:dyDescent="0.25">
      <c r="A76" s="83"/>
      <c r="B76" s="83"/>
      <c r="C76" s="83"/>
      <c r="D76" s="83" t="s">
        <v>290</v>
      </c>
      <c r="E76" s="84"/>
      <c r="F76" s="84"/>
      <c r="G76" s="84"/>
      <c r="H76" s="84"/>
    </row>
    <row r="77" spans="1:14" ht="47.45" customHeight="1" x14ac:dyDescent="0.25">
      <c r="A77" s="76" t="s">
        <v>45</v>
      </c>
      <c r="B77" s="76"/>
      <c r="C77" s="76"/>
      <c r="D77" s="144" t="s">
        <v>296</v>
      </c>
      <c r="E77" s="144"/>
      <c r="F77" s="144"/>
      <c r="G77" s="144"/>
      <c r="H77" s="144"/>
      <c r="J77" s="39"/>
      <c r="K77" s="40"/>
      <c r="N77" s="40"/>
    </row>
    <row r="78" spans="1:14" ht="15.75" customHeight="1" x14ac:dyDescent="0.25">
      <c r="A78" s="76" t="s">
        <v>117</v>
      </c>
      <c r="B78" s="76"/>
      <c r="C78" s="76"/>
      <c r="D78" s="72" t="s">
        <v>310</v>
      </c>
      <c r="E78" s="72"/>
      <c r="F78" s="72"/>
      <c r="G78" s="72"/>
      <c r="H78" s="72"/>
      <c r="I78" s="72" t="str">
        <f>(IF(L50="NA","60 Years After Completion",IF(L50&lt;&gt;"NA",""&amp;ROUNDDOWN((J3-L50)/360,0)&amp;" Years"," ")))</f>
        <v>0 Years</v>
      </c>
      <c r="J78" s="72"/>
      <c r="K78" s="72"/>
      <c r="L78" s="72"/>
      <c r="M78" s="72"/>
      <c r="N78" s="40"/>
    </row>
    <row r="79" spans="1:14" ht="15.75" customHeight="1" x14ac:dyDescent="0.25">
      <c r="A79" s="76" t="s">
        <v>118</v>
      </c>
      <c r="B79" s="76"/>
      <c r="C79" s="76"/>
      <c r="D79" s="144" t="s">
        <v>24</v>
      </c>
      <c r="E79" s="144"/>
      <c r="F79" s="144"/>
      <c r="G79" s="144"/>
      <c r="H79" s="144"/>
      <c r="J79" s="18"/>
      <c r="K79" s="18"/>
    </row>
    <row r="80" spans="1:14" ht="15.75" customHeight="1" thickBot="1" x14ac:dyDescent="0.3">
      <c r="A80" s="214" t="s">
        <v>116</v>
      </c>
      <c r="B80" s="214"/>
      <c r="C80" s="214"/>
      <c r="D80" s="215" t="str">
        <f ca="1">(IF(G90&gt;95%,"Nothing",IF(G90&gt;0%,"Cement, Aggregate, Steel, etc",IF(G90=0%,"Work not yet Started"))))</f>
        <v>Cement, Aggregate, Steel, etc</v>
      </c>
      <c r="E80" s="215"/>
      <c r="F80" s="215"/>
      <c r="G80" s="215"/>
      <c r="H80" s="215"/>
      <c r="J80" s="18"/>
      <c r="K80" s="18"/>
    </row>
    <row r="81" spans="1:11" x14ac:dyDescent="0.25">
      <c r="A81" s="216" t="s">
        <v>176</v>
      </c>
      <c r="B81" s="217"/>
      <c r="C81" s="218" t="s">
        <v>312</v>
      </c>
      <c r="D81" s="218"/>
      <c r="E81" s="218"/>
      <c r="F81" s="218"/>
      <c r="G81" s="218"/>
      <c r="H81" s="219"/>
      <c r="I81" s="20" t="e">
        <f>(IF(#REF!=0,"Work not yet Started.",IF(#REF!=25%,"Piling work in process",IF(#REF!=50%,"Excavation work in process",IF(#REF!=100%,"Excavation work completed, ","0")))&amp;(IF(#REF!=0%,"",IF(#REF!=#REF!,"Footing work is process",IF(#REF!=#REF!,"Footing work Completed",IF(#REF!=#REF!,"1st Basement Completed",IF(#REF!=#REF!,"1st &amp; 2nd Basement Completed",IF(#REF!=#REF!,"1st to 3rd Basement Completed",IF(#REF!=#REF!,"1st to 4th Basement Completed",IF(#REF!=#REF!,"Plinth work is process",IF(#REF!=#REF!,"Plinth work completed","0")))))))))))&amp;(IF(#REF!&gt;0,", RCC upto "&amp;#REF!&amp;" Slab completed",""))&amp;(IF(#REF!&gt;0,", Brickwork upto "&amp;#REF!&amp;" Floor completed"," "))&amp;(IF(#REF!&gt;0,", Internal Plaster upto "&amp;#REF!&amp;" Floor completed"," "))&amp;(IF(#REF!&gt;0,", External Plaster upto "&amp;#REF!&amp;" Floor completed"," "))&amp;(IF(#REF!&gt;0,", Flooring upto "&amp;#REF!&amp;" Floor completed"," "))&amp;(IF(#REF!&gt;0,", Painting upto "&amp;#REF!&amp;" Floor completed"," "))&amp;(IF(#REF!&gt;0,", Finishing upto "&amp;#REF!&amp;" Floor completed"," ")))</f>
        <v>#REF!</v>
      </c>
      <c r="J81" s="20"/>
      <c r="K81" s="21"/>
    </row>
    <row r="82" spans="1:11" x14ac:dyDescent="0.25">
      <c r="A82" s="48" t="s">
        <v>178</v>
      </c>
      <c r="B82" s="51">
        <v>0</v>
      </c>
      <c r="C82" s="51" t="s">
        <v>97</v>
      </c>
      <c r="D82" s="51">
        <v>1</v>
      </c>
      <c r="E82" s="51" t="s">
        <v>96</v>
      </c>
      <c r="F82" s="51">
        <v>0</v>
      </c>
      <c r="G82" s="51" t="s">
        <v>110</v>
      </c>
      <c r="H82" s="52">
        <f ca="1">--TRIM(RIGHT(SUBSTITUTE(LEFT(C81,_xlfn.AGGREGATE(16,6,FIND({0,1,2,3,4,5,6,7,8,9},C81,ROW(INDIRECT("1:"&amp;LEN(C81)))),1))," ",REPT(" ",LEN(C81))),LEN(C81)))</f>
        <v>22</v>
      </c>
      <c r="I82" s="18" t="s">
        <v>150</v>
      </c>
      <c r="J82" s="18"/>
      <c r="K82" s="22"/>
    </row>
    <row r="83" spans="1:11" x14ac:dyDescent="0.25">
      <c r="A83" s="152" t="s">
        <v>120</v>
      </c>
      <c r="B83" s="119"/>
      <c r="C83" s="86" t="str">
        <f>I83</f>
        <v>All work Completed. OC Received.</v>
      </c>
      <c r="D83" s="86"/>
      <c r="E83" s="86"/>
      <c r="F83" s="86"/>
      <c r="G83" s="86"/>
      <c r="H83" s="153"/>
      <c r="I83" s="18" t="s">
        <v>139</v>
      </c>
      <c r="J83" s="18"/>
      <c r="K83" s="22"/>
    </row>
    <row r="84" spans="1:11" s="2" customFormat="1" x14ac:dyDescent="0.25">
      <c r="A84" s="220" t="s">
        <v>115</v>
      </c>
      <c r="B84" s="208"/>
      <c r="C84" s="209">
        <v>1</v>
      </c>
      <c r="D84" s="210"/>
      <c r="E84" s="211" t="s">
        <v>114</v>
      </c>
      <c r="F84" s="210"/>
      <c r="G84" s="209">
        <v>1</v>
      </c>
      <c r="H84" s="221"/>
      <c r="I84" s="212"/>
      <c r="J84" s="212"/>
      <c r="K84" s="213"/>
    </row>
    <row r="85" spans="1:11" s="2" customFormat="1" ht="16.5" thickBot="1" x14ac:dyDescent="0.3">
      <c r="A85" s="222"/>
      <c r="B85" s="223"/>
      <c r="C85" s="224"/>
      <c r="D85" s="225"/>
      <c r="E85" s="224"/>
      <c r="F85" s="225"/>
      <c r="G85" s="224"/>
      <c r="H85" s="226"/>
      <c r="I85" s="212"/>
      <c r="J85" s="212"/>
      <c r="K85" s="213"/>
    </row>
    <row r="86" spans="1:11" hidden="1" x14ac:dyDescent="0.25">
      <c r="A86" s="132" t="s">
        <v>176</v>
      </c>
      <c r="B86" s="133"/>
      <c r="C86" s="124" t="s">
        <v>235</v>
      </c>
      <c r="D86" s="125"/>
      <c r="E86" s="125"/>
      <c r="F86" s="125"/>
      <c r="G86" s="125"/>
      <c r="H86" s="126"/>
      <c r="I86" s="20" t="str">
        <f ca="1">(IF(C90=0,"Work not yet Started.",IF(D90=25%,"Piling work in process",IF(D90=50%,"Excavation work in process",IF(D90=100%,"Excavation work completed, ","0")))&amp;(IF(C91=0%,"",IF(C91=K92,"Footing work is process",IF(C91=K93,"Footing work Completed",IF(C91=K94,"1st Basement Completed",IF(C91=K95,"1st &amp; 2nd Basement Completed",IF(C91=K96,"1st to 3rd Basement Completed",IF(C91=K97,"1st to 4th Basement Completed",IF(C91=K98,"Plinth work is process",IF(C91=K99,"Plinth work completed","0")))))))))))&amp;(IF(C92&gt;0,", RCC upto "&amp;C92&amp;" Slab completed",""))&amp;(IF(C93&gt;0,", Brickwork upto "&amp;C93&amp;" Floor completed"," "))&amp;(IF(C94&gt;0,", Internal Plaster upto "&amp;C94&amp;" Floor completed"," "))&amp;(IF(C95&gt;0,", External Plaster upto "&amp;C95&amp;" Floor completed"," "))&amp;(IF(C96&gt;0,", Flooring upto "&amp;C96&amp;" Floor completed"," "))&amp;(IF(C97&gt;0,", Painting upto "&amp;C97&amp;" Floor completed"," "))&amp;(IF(C98&gt;0,", Finishing upto "&amp;C98&amp;" Floor completed"," ")))</f>
        <v>Excavation work completed, Plinth work completed, RCC upto 23 Slab completed, Brickwork upto 22 Floor completed, Internal Plaster upto 22 Floor completed, External Plaster upto 22 Floor completed, Flooring upto 19 Floor completed, Painting upto 19 Floor completed, Finishing upto 7 Floor completed</v>
      </c>
      <c r="J86" s="20"/>
      <c r="K86" s="21"/>
    </row>
    <row r="87" spans="1:11" hidden="1" x14ac:dyDescent="0.25">
      <c r="A87" s="48" t="s">
        <v>178</v>
      </c>
      <c r="B87" s="51">
        <v>0</v>
      </c>
      <c r="C87" s="51" t="s">
        <v>97</v>
      </c>
      <c r="D87" s="51">
        <v>1</v>
      </c>
      <c r="E87" s="51" t="s">
        <v>96</v>
      </c>
      <c r="F87" s="51">
        <v>0</v>
      </c>
      <c r="G87" s="51" t="s">
        <v>110</v>
      </c>
      <c r="H87" s="52">
        <f ca="1">--TRIM(RIGHT(SUBSTITUTE(LEFT(C86,_xlfn.AGGREGATE(16,6,FIND({0,1,2,3,4,5,6,7,8,9},C86,ROW(INDIRECT("1:"&amp;LEN(C86)))),1))," ",REPT(" ",LEN(C86))),LEN(C86)))</f>
        <v>22</v>
      </c>
      <c r="I87" s="18" t="s">
        <v>150</v>
      </c>
      <c r="J87" s="18"/>
      <c r="K87" s="22"/>
    </row>
    <row r="88" spans="1:11" ht="63" hidden="1" customHeight="1" x14ac:dyDescent="0.25">
      <c r="A88" s="152" t="s">
        <v>120</v>
      </c>
      <c r="B88" s="119"/>
      <c r="C88" s="86" t="str">
        <f ca="1">I86</f>
        <v>Excavation work completed, Plinth work completed, RCC upto 23 Slab completed, Brickwork upto 22 Floor completed, Internal Plaster upto 22 Floor completed, External Plaster upto 22 Floor completed, Flooring upto 19 Floor completed, Painting upto 19 Floor completed, Finishing upto 7 Floor completed</v>
      </c>
      <c r="D88" s="86"/>
      <c r="E88" s="86"/>
      <c r="F88" s="86"/>
      <c r="G88" s="86"/>
      <c r="H88" s="153"/>
      <c r="I88" s="18" t="s">
        <v>139</v>
      </c>
      <c r="J88" s="18"/>
      <c r="K88" s="22"/>
    </row>
    <row r="89" spans="1:11" hidden="1" x14ac:dyDescent="0.25">
      <c r="A89" s="120" t="s">
        <v>49</v>
      </c>
      <c r="B89" s="117"/>
      <c r="C89" s="53" t="s">
        <v>175</v>
      </c>
      <c r="D89" s="53" t="s">
        <v>113</v>
      </c>
      <c r="E89" s="117" t="s">
        <v>115</v>
      </c>
      <c r="F89" s="117"/>
      <c r="G89" s="117" t="s">
        <v>114</v>
      </c>
      <c r="H89" s="127"/>
      <c r="I89" s="38" t="s">
        <v>177</v>
      </c>
      <c r="K89" s="23">
        <f ca="1">H87*25%</f>
        <v>5.5</v>
      </c>
    </row>
    <row r="90" spans="1:11" hidden="1" x14ac:dyDescent="0.25">
      <c r="A90" s="117" t="s">
        <v>165</v>
      </c>
      <c r="B90" s="117"/>
      <c r="C90" s="54">
        <f ca="1">K91</f>
        <v>22</v>
      </c>
      <c r="D90" s="60">
        <f ca="1">((100/H87)*C90)/100</f>
        <v>1.0000000000000002</v>
      </c>
      <c r="E90" s="128">
        <f ca="1">(IF(C88=I87,"100%",IF(C88=I88,"100%",(((C91/H87*10)+(40/(D87+F87+H87)*C92)+(7.5/(H87)*C93)+(7.5/(H87)*C94)+(10/H87*C95)+(10/H87*C96)+(5/H87*C97)+(5/H87*C98)+(5/H87*C99))/100))))</f>
        <v>0.8954545454545455</v>
      </c>
      <c r="F90" s="128"/>
      <c r="G90" s="128">
        <f ca="1">((((C90/H87)*20)+((C91/H87)*25)+(30/(H87+F87+D87)*C92)+(5/H87*C93)+(5/H87*C94)+(5/H87*C95)+(5/H87*C96)+(0/H87*C97)+(0/H87*C98)+(5/H87*C99))/100)</f>
        <v>0.94318181818181812</v>
      </c>
      <c r="H90" s="128"/>
      <c r="I90" s="38" t="s">
        <v>133</v>
      </c>
      <c r="J90" s="24"/>
      <c r="K90" s="41">
        <f ca="1">H87*50%</f>
        <v>11</v>
      </c>
    </row>
    <row r="91" spans="1:11" hidden="1" x14ac:dyDescent="0.25">
      <c r="A91" s="117" t="s">
        <v>50</v>
      </c>
      <c r="B91" s="117"/>
      <c r="C91" s="55">
        <f ca="1">K99</f>
        <v>22</v>
      </c>
      <c r="D91" s="60">
        <f ca="1">((100/H87)*C91)/100</f>
        <v>1.0000000000000002</v>
      </c>
      <c r="E91" s="128"/>
      <c r="F91" s="128"/>
      <c r="G91" s="128"/>
      <c r="H91" s="128"/>
      <c r="I91" s="38" t="s">
        <v>134</v>
      </c>
      <c r="J91" s="24"/>
      <c r="K91" s="41">
        <f ca="1">H87</f>
        <v>22</v>
      </c>
    </row>
    <row r="92" spans="1:11" ht="15.75" hidden="1" customHeight="1" x14ac:dyDescent="0.25">
      <c r="A92" s="172" t="s">
        <v>210</v>
      </c>
      <c r="B92" s="172"/>
      <c r="C92" s="55">
        <v>23</v>
      </c>
      <c r="D92" s="60">
        <f ca="1">((100/(D87+F87+H87))*C92)/100</f>
        <v>1</v>
      </c>
      <c r="E92" s="128"/>
      <c r="F92" s="128"/>
      <c r="G92" s="128"/>
      <c r="H92" s="128"/>
      <c r="I92" s="38" t="s">
        <v>135</v>
      </c>
      <c r="J92" s="24"/>
      <c r="K92" s="45">
        <f ca="1">(IF(B87=0,H87/4,(H87/(B87+4))))</f>
        <v>5.5</v>
      </c>
    </row>
    <row r="93" spans="1:11" ht="15.75" hidden="1" customHeight="1" x14ac:dyDescent="0.25">
      <c r="A93" s="117" t="s">
        <v>172</v>
      </c>
      <c r="B93" s="117" t="s">
        <v>166</v>
      </c>
      <c r="C93" s="54">
        <v>22</v>
      </c>
      <c r="D93" s="60">
        <f ca="1">((100/H87)*C93)/100</f>
        <v>1.0000000000000002</v>
      </c>
      <c r="E93" s="128"/>
      <c r="F93" s="128"/>
      <c r="G93" s="128"/>
      <c r="H93" s="128"/>
      <c r="I93" s="38" t="s">
        <v>136</v>
      </c>
      <c r="J93" s="24"/>
      <c r="K93" s="45">
        <f ca="1">(IF(B87=0,H87/4+K92,(H87/(B87+4)+K92)))</f>
        <v>11</v>
      </c>
    </row>
    <row r="94" spans="1:11" ht="15.75" hidden="1" customHeight="1" x14ac:dyDescent="0.25">
      <c r="A94" s="117" t="s">
        <v>173</v>
      </c>
      <c r="B94" s="117" t="s">
        <v>166</v>
      </c>
      <c r="C94" s="54">
        <v>22</v>
      </c>
      <c r="D94" s="60">
        <f ca="1">((100/H87)*C94)/100</f>
        <v>1.0000000000000002</v>
      </c>
      <c r="E94" s="128"/>
      <c r="F94" s="128"/>
      <c r="G94" s="128"/>
      <c r="H94" s="128"/>
      <c r="I94" s="38" t="s">
        <v>179</v>
      </c>
      <c r="J94" s="50"/>
      <c r="K94" s="45">
        <f>(IF(B87=0,0,(H87/(B87+4)+K93)))</f>
        <v>0</v>
      </c>
    </row>
    <row r="95" spans="1:11" ht="15" hidden="1" customHeight="1" x14ac:dyDescent="0.25">
      <c r="A95" s="117" t="s">
        <v>171</v>
      </c>
      <c r="B95" s="117" t="s">
        <v>168</v>
      </c>
      <c r="C95" s="54">
        <v>22</v>
      </c>
      <c r="D95" s="60">
        <f ca="1">((100/(H87))*C95)/100</f>
        <v>1.0000000000000002</v>
      </c>
      <c r="E95" s="128"/>
      <c r="F95" s="128"/>
      <c r="G95" s="128"/>
      <c r="H95" s="128"/>
      <c r="I95" s="38" t="s">
        <v>180</v>
      </c>
      <c r="J95" s="50"/>
      <c r="K95" s="45">
        <f>(IF(B87&gt;1,(H87/(B87+4)+K94),0))</f>
        <v>0</v>
      </c>
    </row>
    <row r="96" spans="1:11" ht="15.75" hidden="1" customHeight="1" x14ac:dyDescent="0.25">
      <c r="A96" s="117" t="s">
        <v>167</v>
      </c>
      <c r="B96" s="117" t="s">
        <v>167</v>
      </c>
      <c r="C96" s="54">
        <v>19</v>
      </c>
      <c r="D96" s="60">
        <f ca="1">((100/H87)*C96)/100</f>
        <v>0.86363636363636376</v>
      </c>
      <c r="E96" s="128"/>
      <c r="F96" s="128"/>
      <c r="G96" s="128"/>
      <c r="H96" s="128"/>
      <c r="I96" s="38" t="s">
        <v>181</v>
      </c>
      <c r="J96" s="44"/>
      <c r="K96" s="46">
        <f>(IF(B87&gt;2,(H87/(B87+4)+K95),0))</f>
        <v>0</v>
      </c>
    </row>
    <row r="97" spans="1:11" ht="15.75" hidden="1" customHeight="1" x14ac:dyDescent="0.25">
      <c r="A97" s="117" t="s">
        <v>174</v>
      </c>
      <c r="B97" s="117"/>
      <c r="C97" s="54">
        <v>19</v>
      </c>
      <c r="D97" s="60">
        <f ca="1">((100/H87)*C97)/100</f>
        <v>0.86363636363636376</v>
      </c>
      <c r="E97" s="128"/>
      <c r="F97" s="128"/>
      <c r="G97" s="128"/>
      <c r="H97" s="128"/>
      <c r="I97" s="38" t="s">
        <v>182</v>
      </c>
      <c r="J97"/>
      <c r="K97" s="49">
        <f>(IF(B87&gt;3,(H87/(B87+4)+K96),0))</f>
        <v>0</v>
      </c>
    </row>
    <row r="98" spans="1:11" ht="15.75" hidden="1" customHeight="1" x14ac:dyDescent="0.25">
      <c r="A98" s="117" t="s">
        <v>169</v>
      </c>
      <c r="B98" s="117" t="s">
        <v>169</v>
      </c>
      <c r="C98" s="54">
        <v>7</v>
      </c>
      <c r="D98" s="60">
        <f ca="1">((100/(H87))*C98)/100</f>
        <v>0.31818181818181818</v>
      </c>
      <c r="E98" s="128"/>
      <c r="F98" s="128"/>
      <c r="G98" s="128"/>
      <c r="H98" s="128"/>
      <c r="I98" s="38" t="s">
        <v>137</v>
      </c>
      <c r="J98" s="24"/>
      <c r="K98" s="45">
        <f ca="1">(IF(B87=0,H87/4+K93,(H87/(B87+4)+K93+MAX(0,K94-K93)+MAX(0,K95-K94)+MAX(0,K96-K95)+MAX(0,K97-K96))))</f>
        <v>16.5</v>
      </c>
    </row>
    <row r="99" spans="1:11" ht="16.5" hidden="1" thickBot="1" x14ac:dyDescent="0.3">
      <c r="A99" s="117" t="s">
        <v>170</v>
      </c>
      <c r="B99" s="117"/>
      <c r="C99" s="54">
        <v>0</v>
      </c>
      <c r="D99" s="60">
        <f ca="1">((100/(H87))*C99)/100</f>
        <v>0</v>
      </c>
      <c r="E99" s="128"/>
      <c r="F99" s="128"/>
      <c r="G99" s="128"/>
      <c r="H99" s="128"/>
      <c r="I99" s="42" t="s">
        <v>138</v>
      </c>
      <c r="J99" s="43"/>
      <c r="K99" s="47">
        <f ca="1">(IF(B87=0,H87/4+K98,(H87/(B87+4)+K98)))</f>
        <v>22</v>
      </c>
    </row>
    <row r="100" spans="1:11" x14ac:dyDescent="0.25">
      <c r="A100" s="85" t="s">
        <v>176</v>
      </c>
      <c r="B100" s="85"/>
      <c r="C100" s="86" t="s">
        <v>236</v>
      </c>
      <c r="D100" s="86"/>
      <c r="E100" s="86"/>
      <c r="F100" s="86"/>
      <c r="G100" s="86"/>
      <c r="H100" s="86"/>
      <c r="I100" s="20" t="str">
        <f ca="1">(IF(C104=0,"Work not yet Started.",IF(D104=25%,"Piling work in process",IF(D104=50%,"Excavation work in process",IF(D104=100%,"Excavation work completed, ","0")))&amp;(IF(C105=0%,"",IF(C105=K106,"Footing work is process",IF(C105=K107,"Footing work Completed",IF(C105=K108,"1st Basement Completed",IF(C105=K109,"1st &amp; 2nd Basement Completed",IF(C105=K110,"1st to 3rd Basement Completed",IF(C105=K111,"1st to 4th Basement Completed",IF(C105=K112,"Plinth work is process",IF(C105=K113,"Plinth work completed","0")))))))))))&amp;(IF(C106&gt;0,", RCC upto "&amp;C106&amp;" Slab completed",""))&amp;(IF(C107&gt;0,", Brickwork upto "&amp;C107&amp;" Floor completed"," "))&amp;(IF(C108&gt;0,", Internal Plaster upto "&amp;C108&amp;" Floor completed"," "))&amp;(IF(C109&gt;0,", External Plaster upto "&amp;C109&amp;" Floor completed"," "))&amp;(IF(C110&gt;0,", Flooring upto "&amp;C110&amp;" Floor completed"," "))&amp;(IF(C111&gt;0,", Painting upto "&amp;C111&amp;" Floor completed"," "))&amp;(IF(C112&gt;0,", Finishing upto "&amp;C112&amp;" Floor completed"," ")))</f>
        <v xml:space="preserve">Excavation work completed, Plinth work completed, RCC upto 23 Slab completed, Brickwork upto 22 Floor completed, Internal Plaster upto 22 Floor completed, External Plaster upto 22 Floor completed, Flooring upto 15 Floor completed, Painting upto 12 Floor completed </v>
      </c>
      <c r="J100" s="20"/>
      <c r="K100" s="21"/>
    </row>
    <row r="101" spans="1:11" x14ac:dyDescent="0.25">
      <c r="A101" s="51" t="s">
        <v>178</v>
      </c>
      <c r="B101" s="51">
        <v>0</v>
      </c>
      <c r="C101" s="51" t="s">
        <v>97</v>
      </c>
      <c r="D101" s="51">
        <v>1</v>
      </c>
      <c r="E101" s="51" t="s">
        <v>96</v>
      </c>
      <c r="F101" s="51">
        <v>0</v>
      </c>
      <c r="G101" s="51" t="s">
        <v>110</v>
      </c>
      <c r="H101" s="51">
        <f ca="1">--TRIM(RIGHT(SUBSTITUTE(LEFT(C100,_xlfn.AGGREGATE(16,6,FIND({0,1,2,3,4,5,6,7,8,9},C100,ROW(INDIRECT("1:"&amp;LEN(C100)))),1))," ",REPT(" ",LEN(C100))),LEN(C100)))</f>
        <v>22</v>
      </c>
      <c r="I101" s="18" t="s">
        <v>150</v>
      </c>
      <c r="J101" s="18"/>
      <c r="K101" s="22"/>
    </row>
    <row r="102" spans="1:11" ht="65.099999999999994" customHeight="1" x14ac:dyDescent="0.25">
      <c r="A102" s="119" t="s">
        <v>120</v>
      </c>
      <c r="B102" s="119"/>
      <c r="C102" s="86" t="str">
        <f ca="1">I100</f>
        <v xml:space="preserve">Excavation work completed, Plinth work completed, RCC upto 23 Slab completed, Brickwork upto 22 Floor completed, Internal Plaster upto 22 Floor completed, External Plaster upto 22 Floor completed, Flooring upto 15 Floor completed, Painting upto 12 Floor completed </v>
      </c>
      <c r="D102" s="86"/>
      <c r="E102" s="86"/>
      <c r="F102" s="86"/>
      <c r="G102" s="86"/>
      <c r="H102" s="86"/>
      <c r="I102" s="18" t="s">
        <v>139</v>
      </c>
      <c r="J102" s="18"/>
      <c r="K102" s="22"/>
    </row>
    <row r="103" spans="1:11" x14ac:dyDescent="0.25">
      <c r="A103" s="120" t="s">
        <v>49</v>
      </c>
      <c r="B103" s="117"/>
      <c r="C103" s="53" t="s">
        <v>175</v>
      </c>
      <c r="D103" s="53" t="s">
        <v>113</v>
      </c>
      <c r="E103" s="117" t="s">
        <v>115</v>
      </c>
      <c r="F103" s="117"/>
      <c r="G103" s="117" t="s">
        <v>114</v>
      </c>
      <c r="H103" s="127"/>
      <c r="I103" s="38" t="s">
        <v>177</v>
      </c>
      <c r="K103" s="23">
        <f ca="1">H101*25%</f>
        <v>5.5</v>
      </c>
    </row>
    <row r="104" spans="1:11" x14ac:dyDescent="0.25">
      <c r="A104" s="117" t="s">
        <v>165</v>
      </c>
      <c r="B104" s="117"/>
      <c r="C104" s="55">
        <f ca="1">K105</f>
        <v>22</v>
      </c>
      <c r="D104" s="60">
        <f ca="1">((100/H101)*C104)/100</f>
        <v>1.0000000000000002</v>
      </c>
      <c r="E104" s="128">
        <f ca="1">(IF(C102=I101,"100%",IF(C102=I102,"100%",(((C105/H101*10)+(40/(D101+F101+H101)*C106)+(7.5/(H101)*C107)+(7.5/(H101)*C108)+(10/H101*C109)+(10/H101*C110)+(5/H101*C111)+(5/H101*C112)+(5/H101*C113))/100))))</f>
        <v>0.84545454545454546</v>
      </c>
      <c r="F104" s="128"/>
      <c r="G104" s="128">
        <f ca="1">((((C104/H101)*20)+((C105/H101)*25)+(30/(H101+F101+D101)*C106)+(5/H101*C107)+(5/H101*C108)+(5/H101*C109)+(5/H101*C110)+(0/H101*C111)+(0/H101*C112)+(5/H101*C113))/100)</f>
        <v>0.93409090909090908</v>
      </c>
      <c r="H104" s="128"/>
      <c r="I104" s="38" t="s">
        <v>133</v>
      </c>
      <c r="J104" s="24"/>
      <c r="K104" s="41">
        <f ca="1">H101*50%</f>
        <v>11</v>
      </c>
    </row>
    <row r="105" spans="1:11" x14ac:dyDescent="0.25">
      <c r="A105" s="117" t="s">
        <v>50</v>
      </c>
      <c r="B105" s="117"/>
      <c r="C105" s="55">
        <v>22</v>
      </c>
      <c r="D105" s="60">
        <f ca="1">((100/H101)*C105)/100</f>
        <v>1.0000000000000002</v>
      </c>
      <c r="E105" s="128"/>
      <c r="F105" s="128"/>
      <c r="G105" s="128"/>
      <c r="H105" s="128"/>
      <c r="I105" s="38" t="s">
        <v>134</v>
      </c>
      <c r="J105" s="24"/>
      <c r="K105" s="41">
        <f ca="1">H101</f>
        <v>22</v>
      </c>
    </row>
    <row r="106" spans="1:11" ht="15.75" customHeight="1" x14ac:dyDescent="0.25">
      <c r="A106" s="117" t="s">
        <v>210</v>
      </c>
      <c r="B106" s="117"/>
      <c r="C106" s="55">
        <v>23</v>
      </c>
      <c r="D106" s="60">
        <f ca="1">((100/(D101+F101+H101))*C106)/100</f>
        <v>1</v>
      </c>
      <c r="E106" s="128"/>
      <c r="F106" s="128"/>
      <c r="G106" s="128"/>
      <c r="H106" s="128"/>
      <c r="I106" s="38" t="s">
        <v>135</v>
      </c>
      <c r="J106" s="24"/>
      <c r="K106" s="45">
        <f ca="1">(IF(B101=0,H101/4,(H101/(B101+4))))</f>
        <v>5.5</v>
      </c>
    </row>
    <row r="107" spans="1:11" ht="15.75" customHeight="1" x14ac:dyDescent="0.25">
      <c r="A107" s="117" t="s">
        <v>172</v>
      </c>
      <c r="B107" s="117" t="s">
        <v>166</v>
      </c>
      <c r="C107" s="54">
        <v>22</v>
      </c>
      <c r="D107" s="60">
        <f ca="1">((100/H101)*C107)/100</f>
        <v>1.0000000000000002</v>
      </c>
      <c r="E107" s="128"/>
      <c r="F107" s="128"/>
      <c r="G107" s="128"/>
      <c r="H107" s="128"/>
      <c r="I107" s="38" t="s">
        <v>136</v>
      </c>
      <c r="J107" s="24"/>
      <c r="K107" s="45">
        <f ca="1">(IF(B101=0,H101/4+K106,(H101/(B101+4)+K106)))</f>
        <v>11</v>
      </c>
    </row>
    <row r="108" spans="1:11" ht="15.75" customHeight="1" x14ac:dyDescent="0.25">
      <c r="A108" s="117" t="s">
        <v>173</v>
      </c>
      <c r="B108" s="117" t="s">
        <v>166</v>
      </c>
      <c r="C108" s="54">
        <v>22</v>
      </c>
      <c r="D108" s="60">
        <f ca="1">((100/H101)*C108)/100</f>
        <v>1.0000000000000002</v>
      </c>
      <c r="E108" s="128"/>
      <c r="F108" s="128"/>
      <c r="G108" s="128"/>
      <c r="H108" s="128"/>
      <c r="I108" s="38" t="s">
        <v>179</v>
      </c>
      <c r="J108" s="50"/>
      <c r="K108" s="45">
        <f>(IF(B101=0,0,(H101/(B101+4)+K107)))</f>
        <v>0</v>
      </c>
    </row>
    <row r="109" spans="1:11" ht="15" customHeight="1" x14ac:dyDescent="0.25">
      <c r="A109" s="117" t="s">
        <v>171</v>
      </c>
      <c r="B109" s="117" t="s">
        <v>168</v>
      </c>
      <c r="C109" s="54">
        <v>22</v>
      </c>
      <c r="D109" s="60">
        <f ca="1">((100/(H101))*C109)/100</f>
        <v>1.0000000000000002</v>
      </c>
      <c r="E109" s="128"/>
      <c r="F109" s="128"/>
      <c r="G109" s="128"/>
      <c r="H109" s="128"/>
      <c r="I109" s="38" t="s">
        <v>180</v>
      </c>
      <c r="J109" s="50"/>
      <c r="K109" s="45">
        <f>(IF(B101&gt;1,(H101/(B101+4)+K108),0))</f>
        <v>0</v>
      </c>
    </row>
    <row r="110" spans="1:11" ht="15.75" customHeight="1" x14ac:dyDescent="0.25">
      <c r="A110" s="117" t="s">
        <v>167</v>
      </c>
      <c r="B110" s="117" t="s">
        <v>167</v>
      </c>
      <c r="C110" s="54">
        <v>15</v>
      </c>
      <c r="D110" s="60">
        <f ca="1">((100/H101)*C110)/100</f>
        <v>0.68181818181818188</v>
      </c>
      <c r="E110" s="128"/>
      <c r="F110" s="128"/>
      <c r="G110" s="128"/>
      <c r="H110" s="128"/>
      <c r="I110" s="38" t="s">
        <v>181</v>
      </c>
      <c r="J110" s="44"/>
      <c r="K110" s="46">
        <f>(IF(B101&gt;2,(H101/(B101+4)+K109),0))</f>
        <v>0</v>
      </c>
    </row>
    <row r="111" spans="1:11" ht="15.75" customHeight="1" x14ac:dyDescent="0.25">
      <c r="A111" s="117" t="s">
        <v>174</v>
      </c>
      <c r="B111" s="117"/>
      <c r="C111" s="54">
        <v>12</v>
      </c>
      <c r="D111" s="60">
        <f ca="1">((100/H101)*C111)/100</f>
        <v>0.54545454545454541</v>
      </c>
      <c r="E111" s="128"/>
      <c r="F111" s="128"/>
      <c r="G111" s="128"/>
      <c r="H111" s="128"/>
      <c r="I111" s="38" t="s">
        <v>182</v>
      </c>
      <c r="J111"/>
      <c r="K111" s="49">
        <f>(IF(B101&gt;3,(H101/(B101+4)+K110),0))</f>
        <v>0</v>
      </c>
    </row>
    <row r="112" spans="1:11" ht="15.75" customHeight="1" x14ac:dyDescent="0.25">
      <c r="A112" s="117" t="s">
        <v>169</v>
      </c>
      <c r="B112" s="117" t="s">
        <v>169</v>
      </c>
      <c r="C112" s="54">
        <v>0</v>
      </c>
      <c r="D112" s="60">
        <f ca="1">((100/(H101))*C112)/100</f>
        <v>0</v>
      </c>
      <c r="E112" s="128"/>
      <c r="F112" s="128"/>
      <c r="G112" s="128"/>
      <c r="H112" s="128"/>
      <c r="I112" s="38" t="s">
        <v>137</v>
      </c>
      <c r="J112" s="24"/>
      <c r="K112" s="45">
        <f ca="1">(IF(B101=0,H101/4+K107,(H101/(B101+4)+K107+MAX(0,K108-K107)+MAX(0,K109-K108)+MAX(0,K110-K109)+MAX(0,K111-K110))))</f>
        <v>16.5</v>
      </c>
    </row>
    <row r="113" spans="1:11" ht="16.5" thickBot="1" x14ac:dyDescent="0.3">
      <c r="A113" s="117" t="s">
        <v>170</v>
      </c>
      <c r="B113" s="117"/>
      <c r="C113" s="54">
        <v>0</v>
      </c>
      <c r="D113" s="60">
        <f ca="1">((100/(H101))*C113)/100</f>
        <v>0</v>
      </c>
      <c r="E113" s="128"/>
      <c r="F113" s="128"/>
      <c r="G113" s="128"/>
      <c r="H113" s="128"/>
      <c r="I113" s="42" t="s">
        <v>138</v>
      </c>
      <c r="J113" s="43"/>
      <c r="K113" s="47">
        <f ca="1">(IF(B101=0,H101/4+K112,(H101/(B101+4)+K112)))</f>
        <v>22</v>
      </c>
    </row>
    <row r="114" spans="1:11" hidden="1" x14ac:dyDescent="0.25">
      <c r="A114" s="85" t="s">
        <v>176</v>
      </c>
      <c r="B114" s="85"/>
      <c r="C114" s="86" t="str">
        <f>D73</f>
        <v xml:space="preserve">Building No.9 - D Wing = Gr/St + 1st to 22nd Floor
</v>
      </c>
      <c r="D114" s="86"/>
      <c r="E114" s="86"/>
      <c r="F114" s="86"/>
      <c r="G114" s="86"/>
      <c r="H114" s="86"/>
      <c r="I114" s="20" t="str">
        <f ca="1">(IF(C118=0,"Work not yet Started.",IF(D118=25%,"Piling work in process",IF(D118=50%,"Excavation work in process",IF(D118=100%,"Excavation work completed, ","0")))&amp;(IF(C119=0%,"",IF(C119=K120,"Footing work is process",IF(C119=K121,"Footing work Completed",IF(C119=K122,"1st Basement Completed",IF(C119=K123,"1st &amp; 2nd Basement Completed",IF(C119=K124,"1st to 3rd Basement Completed",IF(C119=K125,"1st to 4th Basement Completed",IF(C119=K126,"Plinth work is process",IF(C119=K127,"Plinth work completed","0")))))))))))&amp;(IF(C120&gt;0,", RCC upto "&amp;C120&amp;" Slab completed",""))&amp;(IF(C121&gt;0,", Brickwork upto "&amp;C121&amp;" Floor completed"," "))&amp;(IF(C122&gt;0,", Internal Plaster upto "&amp;C122&amp;" Floor completed"," "))&amp;(IF(C123&gt;0,", External Plaster upto "&amp;C123&amp;" Floor completed"," "))&amp;(IF(C124&gt;0,", Flooring upto "&amp;C124&amp;" Floor completed"," "))&amp;(IF(C125&gt;0,", Painting upto "&amp;C125&amp;" Floor completed"," "))&amp;(IF(C126&gt;0,", Finishing upto "&amp;C126&amp;" Floor completed"," ")))</f>
        <v>Excavation work completed, Plinth work completed, RCC upto 23 Slab completed, Brickwork upto 22 Floor completed, Internal Plaster upto 22 Floor completed, External Plaster upto 22 Floor completed, Flooring upto 22 Floor completed, Painting upto 20 Floor completed, Finishing upto 12 Floor completed</v>
      </c>
      <c r="J114" s="20"/>
      <c r="K114" s="21"/>
    </row>
    <row r="115" spans="1:11" hidden="1" x14ac:dyDescent="0.25">
      <c r="A115" s="51" t="s">
        <v>178</v>
      </c>
      <c r="B115" s="51">
        <v>0</v>
      </c>
      <c r="C115" s="51" t="s">
        <v>97</v>
      </c>
      <c r="D115" s="51">
        <v>1</v>
      </c>
      <c r="E115" s="51" t="s">
        <v>96</v>
      </c>
      <c r="F115" s="51">
        <v>0</v>
      </c>
      <c r="G115" s="51" t="s">
        <v>110</v>
      </c>
      <c r="H115" s="51">
        <f ca="1">--TRIM(RIGHT(SUBSTITUTE(LEFT(C114,_xlfn.AGGREGATE(16,6,FIND({0,1,2,3,4,5,6,7,8,9},C114,ROW(INDIRECT("1:"&amp;LEN(C114)))),1))," ",REPT(" ",LEN(C114))),LEN(C114)))</f>
        <v>22</v>
      </c>
      <c r="I115" s="18" t="s">
        <v>150</v>
      </c>
      <c r="J115" s="18"/>
      <c r="K115" s="22"/>
    </row>
    <row r="116" spans="1:11" ht="64.5" hidden="1" customHeight="1" x14ac:dyDescent="0.25">
      <c r="A116" s="119" t="s">
        <v>120</v>
      </c>
      <c r="B116" s="119"/>
      <c r="C116" s="86" t="str">
        <f ca="1">I114</f>
        <v>Excavation work completed, Plinth work completed, RCC upto 23 Slab completed, Brickwork upto 22 Floor completed, Internal Plaster upto 22 Floor completed, External Plaster upto 22 Floor completed, Flooring upto 22 Floor completed, Painting upto 20 Floor completed, Finishing upto 12 Floor completed</v>
      </c>
      <c r="D116" s="86"/>
      <c r="E116" s="86"/>
      <c r="F116" s="86"/>
      <c r="G116" s="86"/>
      <c r="H116" s="86"/>
      <c r="I116" s="18" t="s">
        <v>139</v>
      </c>
      <c r="J116" s="18"/>
      <c r="K116" s="22"/>
    </row>
    <row r="117" spans="1:11" hidden="1" x14ac:dyDescent="0.25">
      <c r="A117" s="120" t="s">
        <v>49</v>
      </c>
      <c r="B117" s="117"/>
      <c r="C117" s="53" t="s">
        <v>175</v>
      </c>
      <c r="D117" s="53" t="s">
        <v>113</v>
      </c>
      <c r="E117" s="117" t="s">
        <v>115</v>
      </c>
      <c r="F117" s="117"/>
      <c r="G117" s="117" t="s">
        <v>114</v>
      </c>
      <c r="H117" s="127"/>
      <c r="I117" s="38" t="s">
        <v>177</v>
      </c>
      <c r="K117" s="23">
        <f ca="1">H115*25%</f>
        <v>5.5</v>
      </c>
    </row>
    <row r="118" spans="1:11" hidden="1" x14ac:dyDescent="0.25">
      <c r="A118" s="120" t="s">
        <v>165</v>
      </c>
      <c r="B118" s="117"/>
      <c r="C118" s="54">
        <f ca="1">K119</f>
        <v>22</v>
      </c>
      <c r="D118" s="60">
        <f ca="1">((100/H115)*C118)/100</f>
        <v>1.0000000000000002</v>
      </c>
      <c r="E118" s="128">
        <f ca="1">(IF(C116=I115,"100%",IF(C116=I116,"100%",(((C119/H115*10)+(40/(D115+F115+H115)*C120)+(7.5/(H115)*C121)+(7.5/(H115)*C122)+(10/H115*C123)+(10/H115*C124)+(5/H115*C125)+(5/H115*C126)+(5/H115*C127))/100))))</f>
        <v>0.92272727272727284</v>
      </c>
      <c r="F118" s="128"/>
      <c r="G118" s="128">
        <f ca="1">((((C118/H115)*20)+((C119/H115)*25)+(30/(H115+F115+D115)*C120)+(5/H115*C121)+(5/H115*C122)+(5/H115*C123)+(5/H115*C124)+(0/H115*C125)+(0/H115*C126)+(5/H115*C127))/100)</f>
        <v>0.95</v>
      </c>
      <c r="H118" s="130"/>
      <c r="I118" s="38" t="s">
        <v>133</v>
      </c>
      <c r="J118" s="24"/>
      <c r="K118" s="41">
        <f ca="1">H115*50%</f>
        <v>11</v>
      </c>
    </row>
    <row r="119" spans="1:11" hidden="1" x14ac:dyDescent="0.25">
      <c r="A119" s="120" t="s">
        <v>50</v>
      </c>
      <c r="B119" s="117"/>
      <c r="C119" s="55">
        <f ca="1">K127</f>
        <v>22</v>
      </c>
      <c r="D119" s="60">
        <f ca="1">((100/H115)*C119)/100</f>
        <v>1.0000000000000002</v>
      </c>
      <c r="E119" s="128"/>
      <c r="F119" s="128"/>
      <c r="G119" s="128"/>
      <c r="H119" s="130"/>
      <c r="I119" s="38" t="s">
        <v>134</v>
      </c>
      <c r="J119" s="24"/>
      <c r="K119" s="41">
        <f ca="1">H115</f>
        <v>22</v>
      </c>
    </row>
    <row r="120" spans="1:11" ht="15.75" hidden="1" customHeight="1" x14ac:dyDescent="0.25">
      <c r="A120" s="120" t="s">
        <v>210</v>
      </c>
      <c r="B120" s="117"/>
      <c r="C120" s="55">
        <v>23</v>
      </c>
      <c r="D120" s="60">
        <f ca="1">((100/(D115+F115+H115))*C120)/100</f>
        <v>1</v>
      </c>
      <c r="E120" s="128"/>
      <c r="F120" s="128"/>
      <c r="G120" s="128"/>
      <c r="H120" s="130"/>
      <c r="I120" s="38" t="s">
        <v>135</v>
      </c>
      <c r="J120" s="24"/>
      <c r="K120" s="45">
        <f ca="1">(IF(B115=0,H115/4,(H115/(B115+4))))</f>
        <v>5.5</v>
      </c>
    </row>
    <row r="121" spans="1:11" ht="15.75" hidden="1" customHeight="1" x14ac:dyDescent="0.25">
      <c r="A121" s="120" t="s">
        <v>172</v>
      </c>
      <c r="B121" s="117" t="s">
        <v>166</v>
      </c>
      <c r="C121" s="54">
        <v>22</v>
      </c>
      <c r="D121" s="60">
        <f ca="1">((100/H115)*C121)/100</f>
        <v>1.0000000000000002</v>
      </c>
      <c r="E121" s="128"/>
      <c r="F121" s="128"/>
      <c r="G121" s="128"/>
      <c r="H121" s="130"/>
      <c r="I121" s="38" t="s">
        <v>136</v>
      </c>
      <c r="J121" s="24"/>
      <c r="K121" s="45">
        <f ca="1">(IF(B115=0,H115/4+K120,(H115/(B115+4)+K120)))</f>
        <v>11</v>
      </c>
    </row>
    <row r="122" spans="1:11" ht="15.75" hidden="1" customHeight="1" x14ac:dyDescent="0.25">
      <c r="A122" s="120" t="s">
        <v>173</v>
      </c>
      <c r="B122" s="117" t="s">
        <v>166</v>
      </c>
      <c r="C122" s="54">
        <v>22</v>
      </c>
      <c r="D122" s="60">
        <f ca="1">((100/H115)*C122)/100</f>
        <v>1.0000000000000002</v>
      </c>
      <c r="E122" s="128"/>
      <c r="F122" s="128"/>
      <c r="G122" s="128"/>
      <c r="H122" s="130"/>
      <c r="I122" s="38" t="s">
        <v>179</v>
      </c>
      <c r="J122" s="50"/>
      <c r="K122" s="45">
        <f>(IF(B115=0,0,(H115/(B115+4)+K121)))</f>
        <v>0</v>
      </c>
    </row>
    <row r="123" spans="1:11" ht="15" hidden="1" customHeight="1" x14ac:dyDescent="0.25">
      <c r="A123" s="120" t="s">
        <v>171</v>
      </c>
      <c r="B123" s="117" t="s">
        <v>168</v>
      </c>
      <c r="C123" s="54">
        <v>22</v>
      </c>
      <c r="D123" s="60">
        <f ca="1">((100/(H115))*C123)/100</f>
        <v>1.0000000000000002</v>
      </c>
      <c r="E123" s="128"/>
      <c r="F123" s="128"/>
      <c r="G123" s="128"/>
      <c r="H123" s="130"/>
      <c r="I123" s="38" t="s">
        <v>180</v>
      </c>
      <c r="J123" s="50"/>
      <c r="K123" s="45">
        <f>(IF(B115&gt;1,(H115/(B115+4)+K122),0))</f>
        <v>0</v>
      </c>
    </row>
    <row r="124" spans="1:11" ht="15.75" hidden="1" customHeight="1" x14ac:dyDescent="0.25">
      <c r="A124" s="120" t="s">
        <v>167</v>
      </c>
      <c r="B124" s="117" t="s">
        <v>167</v>
      </c>
      <c r="C124" s="54">
        <v>22</v>
      </c>
      <c r="D124" s="60">
        <f ca="1">((100/H115)*C124)/100</f>
        <v>1.0000000000000002</v>
      </c>
      <c r="E124" s="128"/>
      <c r="F124" s="128"/>
      <c r="G124" s="128"/>
      <c r="H124" s="130"/>
      <c r="I124" s="38" t="s">
        <v>181</v>
      </c>
      <c r="J124" s="44"/>
      <c r="K124" s="46">
        <f>(IF(B115&gt;2,(H115/(B115+4)+K123),0))</f>
        <v>0</v>
      </c>
    </row>
    <row r="125" spans="1:11" ht="15.75" hidden="1" customHeight="1" x14ac:dyDescent="0.25">
      <c r="A125" s="120" t="s">
        <v>174</v>
      </c>
      <c r="B125" s="117"/>
      <c r="C125" s="54">
        <v>20</v>
      </c>
      <c r="D125" s="60">
        <f ca="1">((100/H115)*C125)/100</f>
        <v>0.90909090909090917</v>
      </c>
      <c r="E125" s="128"/>
      <c r="F125" s="128"/>
      <c r="G125" s="128"/>
      <c r="H125" s="130"/>
      <c r="I125" s="38" t="s">
        <v>182</v>
      </c>
      <c r="J125"/>
      <c r="K125" s="49">
        <f>(IF(B115&gt;3,(H115/(B115+4)+K124),0))</f>
        <v>0</v>
      </c>
    </row>
    <row r="126" spans="1:11" ht="15.75" hidden="1" customHeight="1" x14ac:dyDescent="0.25">
      <c r="A126" s="120" t="s">
        <v>169</v>
      </c>
      <c r="B126" s="117" t="s">
        <v>169</v>
      </c>
      <c r="C126" s="54">
        <v>12</v>
      </c>
      <c r="D126" s="60">
        <f ca="1">((100/(H115))*C126)/100</f>
        <v>0.54545454545454541</v>
      </c>
      <c r="E126" s="128"/>
      <c r="F126" s="128"/>
      <c r="G126" s="128"/>
      <c r="H126" s="130"/>
      <c r="I126" s="38" t="s">
        <v>137</v>
      </c>
      <c r="J126" s="24"/>
      <c r="K126" s="45">
        <f ca="1">(IF(B115=0,H115/4+K121,(H115/(B115+4)+K121+MAX(0,K122-K121)+MAX(0,K123-K122)+MAX(0,K124-K123)+MAX(0,K125-K124))))</f>
        <v>16.5</v>
      </c>
    </row>
    <row r="127" spans="1:11" ht="16.5" hidden="1" thickBot="1" x14ac:dyDescent="0.3">
      <c r="A127" s="122" t="s">
        <v>170</v>
      </c>
      <c r="B127" s="123"/>
      <c r="C127" s="56">
        <v>0</v>
      </c>
      <c r="D127" s="61">
        <f ca="1">((100/(H115))*C127)/100</f>
        <v>0</v>
      </c>
      <c r="E127" s="129"/>
      <c r="F127" s="129"/>
      <c r="G127" s="129"/>
      <c r="H127" s="131"/>
      <c r="I127" s="42" t="s">
        <v>138</v>
      </c>
      <c r="J127" s="43"/>
      <c r="K127" s="47">
        <f ca="1">(IF(B115=0,H115/4+K126,(H115/(B115+4)+K126)))</f>
        <v>22</v>
      </c>
    </row>
    <row r="128" spans="1:11" x14ac:dyDescent="0.25">
      <c r="A128" s="132" t="s">
        <v>176</v>
      </c>
      <c r="B128" s="133"/>
      <c r="C128" s="124" t="s">
        <v>237</v>
      </c>
      <c r="D128" s="125"/>
      <c r="E128" s="125"/>
      <c r="F128" s="125"/>
      <c r="G128" s="125"/>
      <c r="H128" s="126"/>
      <c r="I128" s="20" t="str">
        <f ca="1">(IF(C132=0,"Work not yet Started.",IF(D132=25%,"Piling work in process",IF(D132=50%,"Excavation work in process",IF(D132=100%,"Excavation work completed, ","0")))&amp;(IF(C133=0%,"",IF(C133=K134,"Footing work is process",IF(C133=K135,"Footing work Completed",IF(C133=K136,"1st Basement Completed",IF(C133=K137,"1st &amp; 2nd Basement Completed",IF(C133=K138,"1st to 3rd Basement Completed",IF(C133=K139,"1st to 4th Basement Completed",IF(C133=K140,"Plinth work is process",IF(C133=K141,"Plinth work completed","0")))))))))))&amp;(IF(C134&gt;0,", RCC upto "&amp;C134&amp;" Slab completed",""))&amp;(IF(C135&gt;0,", Brickwork upto "&amp;C135&amp;" Floor completed"," "))&amp;(IF(C136&gt;0,", Internal Plaster upto "&amp;C136&amp;" Floor completed"," "))&amp;(IF(C137&gt;0,", External Plaster upto "&amp;C137&amp;" Floor completed"," "))&amp;(IF(C138&gt;0,", Flooring upto "&amp;C138&amp;" Floor completed"," "))&amp;(IF(C139&gt;0,", Painting upto "&amp;C139&amp;" Floor completed"," "))&amp;(IF(C140&gt;0,", Finishing upto "&amp;C140&amp;" Floor completed"," ")))</f>
        <v xml:space="preserve">Excavation work completed, Plinth work completed, RCC upto 23 Slab completed, Brickwork upto 22 Floor completed, Internal Plaster upto 22 Floor completed, External Plaster upto 20 Floor completed, Flooring upto 10 Floor completed, Painting upto 8 Floor completed </v>
      </c>
      <c r="J128" s="20"/>
      <c r="K128" s="21"/>
    </row>
    <row r="129" spans="1:11" x14ac:dyDescent="0.25">
      <c r="A129" s="48" t="s">
        <v>178</v>
      </c>
      <c r="B129" s="51">
        <v>0</v>
      </c>
      <c r="C129" s="51" t="s">
        <v>97</v>
      </c>
      <c r="D129" s="51">
        <v>1</v>
      </c>
      <c r="E129" s="51" t="s">
        <v>96</v>
      </c>
      <c r="F129" s="51">
        <v>0</v>
      </c>
      <c r="G129" s="51" t="s">
        <v>110</v>
      </c>
      <c r="H129" s="52">
        <f ca="1">--TRIM(RIGHT(SUBSTITUTE(LEFT(C128,_xlfn.AGGREGATE(16,6,FIND({0,1,2,3,4,5,6,7,8,9},C128,ROW(INDIRECT("1:"&amp;LEN(C128)))),1))," ",REPT(" ",LEN(C128))),LEN(C128)))</f>
        <v>22</v>
      </c>
      <c r="I129" s="18" t="s">
        <v>150</v>
      </c>
      <c r="J129" s="18"/>
      <c r="K129" s="22"/>
    </row>
    <row r="130" spans="1:11" ht="62.45" customHeight="1" x14ac:dyDescent="0.25">
      <c r="A130" s="152" t="s">
        <v>120</v>
      </c>
      <c r="B130" s="119"/>
      <c r="C130" s="86" t="str">
        <f ca="1">I128</f>
        <v xml:space="preserve">Excavation work completed, Plinth work completed, RCC upto 23 Slab completed, Brickwork upto 22 Floor completed, Internal Plaster upto 22 Floor completed, External Plaster upto 20 Floor completed, Flooring upto 10 Floor completed, Painting upto 8 Floor completed </v>
      </c>
      <c r="D130" s="86"/>
      <c r="E130" s="86"/>
      <c r="F130" s="86"/>
      <c r="G130" s="86"/>
      <c r="H130" s="153"/>
      <c r="I130" s="18" t="s">
        <v>139</v>
      </c>
      <c r="J130" s="18"/>
      <c r="K130" s="22"/>
    </row>
    <row r="131" spans="1:11" x14ac:dyDescent="0.25">
      <c r="A131" s="120" t="s">
        <v>49</v>
      </c>
      <c r="B131" s="117"/>
      <c r="C131" s="53" t="s">
        <v>175</v>
      </c>
      <c r="D131" s="53" t="s">
        <v>113</v>
      </c>
      <c r="E131" s="117" t="s">
        <v>115</v>
      </c>
      <c r="F131" s="117"/>
      <c r="G131" s="117" t="s">
        <v>114</v>
      </c>
      <c r="H131" s="127"/>
      <c r="I131" s="38" t="s">
        <v>177</v>
      </c>
      <c r="K131" s="23">
        <f ca="1">H129*25%</f>
        <v>5.5</v>
      </c>
    </row>
    <row r="132" spans="1:11" x14ac:dyDescent="0.25">
      <c r="A132" s="120" t="s">
        <v>165</v>
      </c>
      <c r="B132" s="117"/>
      <c r="C132" s="55">
        <f ca="1">K133</f>
        <v>22</v>
      </c>
      <c r="D132" s="60">
        <f ca="1">((100/H129)*C132)/100</f>
        <v>1.0000000000000002</v>
      </c>
      <c r="E132" s="128">
        <f ca="1">(IF(C130=I129,"100%",IF(C130=I130,"100%",(((C133/H129*10)+(40/(D129+F129+H129)*C134)+(7.5/(H129)*C135)+(7.5/(H129)*C136)+(10/H129*C137)+(10/H129*C138)+(5/H129*C139)+(5/H129*C140)+(5/H129*C141))/100))))</f>
        <v>0.80454545454545456</v>
      </c>
      <c r="F132" s="128"/>
      <c r="G132" s="128">
        <f ca="1">((((C132/H129)*20)+((C133/H129)*25)+(30/(H129+F129+D129)*C134)+(5/H129*C135)+(5/H129*C136)+(5/H129*C137)+(5/H129*C138)+(0/H129*C139)+(0/H129*C140)+(5/H129*C141))/100)</f>
        <v>0.9181818181818181</v>
      </c>
      <c r="H132" s="130"/>
      <c r="I132" s="38" t="s">
        <v>133</v>
      </c>
      <c r="J132" s="24"/>
      <c r="K132" s="41">
        <f ca="1">H129*50%</f>
        <v>11</v>
      </c>
    </row>
    <row r="133" spans="1:11" x14ac:dyDescent="0.25">
      <c r="A133" s="120" t="s">
        <v>50</v>
      </c>
      <c r="B133" s="117"/>
      <c r="C133" s="55">
        <v>22</v>
      </c>
      <c r="D133" s="60">
        <f ca="1">((100/H129)*C133)/100</f>
        <v>1.0000000000000002</v>
      </c>
      <c r="E133" s="128"/>
      <c r="F133" s="128"/>
      <c r="G133" s="128"/>
      <c r="H133" s="130"/>
      <c r="I133" s="38" t="s">
        <v>134</v>
      </c>
      <c r="J133" s="24"/>
      <c r="K133" s="41">
        <f ca="1">H129</f>
        <v>22</v>
      </c>
    </row>
    <row r="134" spans="1:11" ht="15.75" customHeight="1" x14ac:dyDescent="0.25">
      <c r="A134" s="120" t="s">
        <v>210</v>
      </c>
      <c r="B134" s="117"/>
      <c r="C134" s="55">
        <v>23</v>
      </c>
      <c r="D134" s="60">
        <f ca="1">((100/(D129+F129+H129))*C134)/100</f>
        <v>1</v>
      </c>
      <c r="E134" s="128"/>
      <c r="F134" s="128"/>
      <c r="G134" s="128"/>
      <c r="H134" s="130"/>
      <c r="I134" s="38" t="s">
        <v>135</v>
      </c>
      <c r="J134" s="24"/>
      <c r="K134" s="45">
        <f ca="1">(IF(B129=0,H129/4,(H129/(B129+4))))</f>
        <v>5.5</v>
      </c>
    </row>
    <row r="135" spans="1:11" ht="15.75" customHeight="1" x14ac:dyDescent="0.25">
      <c r="A135" s="120" t="s">
        <v>172</v>
      </c>
      <c r="B135" s="117" t="s">
        <v>166</v>
      </c>
      <c r="C135" s="54">
        <v>22</v>
      </c>
      <c r="D135" s="60">
        <f ca="1">((100/H129)*C135)/100</f>
        <v>1.0000000000000002</v>
      </c>
      <c r="E135" s="128"/>
      <c r="F135" s="128"/>
      <c r="G135" s="128"/>
      <c r="H135" s="130"/>
      <c r="I135" s="38" t="s">
        <v>136</v>
      </c>
      <c r="J135" s="24"/>
      <c r="K135" s="45">
        <f ca="1">(IF(B129=0,H129/4+K134,(H129/(B129+4)+K134)))</f>
        <v>11</v>
      </c>
    </row>
    <row r="136" spans="1:11" ht="15.75" customHeight="1" x14ac:dyDescent="0.25">
      <c r="A136" s="120" t="s">
        <v>173</v>
      </c>
      <c r="B136" s="117" t="s">
        <v>166</v>
      </c>
      <c r="C136" s="54">
        <v>22</v>
      </c>
      <c r="D136" s="60">
        <f ca="1">((100/H129)*C136)/100</f>
        <v>1.0000000000000002</v>
      </c>
      <c r="E136" s="128"/>
      <c r="F136" s="128"/>
      <c r="G136" s="128"/>
      <c r="H136" s="130"/>
      <c r="I136" s="38" t="s">
        <v>179</v>
      </c>
      <c r="J136" s="50"/>
      <c r="K136" s="45">
        <f>(IF(B129=0,0,(H129/(B129+4)+K135)))</f>
        <v>0</v>
      </c>
    </row>
    <row r="137" spans="1:11" ht="15" customHeight="1" x14ac:dyDescent="0.25">
      <c r="A137" s="120" t="s">
        <v>171</v>
      </c>
      <c r="B137" s="117" t="s">
        <v>168</v>
      </c>
      <c r="C137" s="54">
        <v>20</v>
      </c>
      <c r="D137" s="60">
        <f ca="1">((100/(H129))*C137)/100</f>
        <v>0.90909090909090917</v>
      </c>
      <c r="E137" s="128"/>
      <c r="F137" s="128"/>
      <c r="G137" s="128"/>
      <c r="H137" s="130"/>
      <c r="I137" s="38" t="s">
        <v>180</v>
      </c>
      <c r="J137" s="50"/>
      <c r="K137" s="45">
        <f>(IF(B129&gt;1,(H129/(B129+4)+K136),0))</f>
        <v>0</v>
      </c>
    </row>
    <row r="138" spans="1:11" ht="15.75" customHeight="1" x14ac:dyDescent="0.25">
      <c r="A138" s="120" t="s">
        <v>167</v>
      </c>
      <c r="B138" s="117" t="s">
        <v>167</v>
      </c>
      <c r="C138" s="54">
        <v>10</v>
      </c>
      <c r="D138" s="60">
        <f ca="1">((100/H129)*C138)/100</f>
        <v>0.45454545454545459</v>
      </c>
      <c r="E138" s="128"/>
      <c r="F138" s="128"/>
      <c r="G138" s="128"/>
      <c r="H138" s="130"/>
      <c r="I138" s="38" t="s">
        <v>181</v>
      </c>
      <c r="J138" s="44"/>
      <c r="K138" s="46">
        <f>(IF(B129&gt;2,(H129/(B129+4)+K137),0))</f>
        <v>0</v>
      </c>
    </row>
    <row r="139" spans="1:11" ht="15.75" customHeight="1" x14ac:dyDescent="0.25">
      <c r="A139" s="120" t="s">
        <v>174</v>
      </c>
      <c r="B139" s="117"/>
      <c r="C139" s="54">
        <v>8</v>
      </c>
      <c r="D139" s="60">
        <f ca="1">((100/H129)*C139)/100</f>
        <v>0.36363636363636365</v>
      </c>
      <c r="E139" s="128"/>
      <c r="F139" s="128"/>
      <c r="G139" s="128"/>
      <c r="H139" s="130"/>
      <c r="I139" s="38" t="s">
        <v>182</v>
      </c>
      <c r="J139"/>
      <c r="K139" s="49">
        <f>(IF(B129&gt;3,(H129/(B129+4)+K138),0))</f>
        <v>0</v>
      </c>
    </row>
    <row r="140" spans="1:11" ht="15.75" customHeight="1" x14ac:dyDescent="0.25">
      <c r="A140" s="120" t="s">
        <v>169</v>
      </c>
      <c r="B140" s="117" t="s">
        <v>169</v>
      </c>
      <c r="C140" s="54">
        <v>0</v>
      </c>
      <c r="D140" s="60">
        <f ca="1">((100/(H129))*C140)/100</f>
        <v>0</v>
      </c>
      <c r="E140" s="128"/>
      <c r="F140" s="128"/>
      <c r="G140" s="128"/>
      <c r="H140" s="130"/>
      <c r="I140" s="38" t="s">
        <v>137</v>
      </c>
      <c r="J140" s="24"/>
      <c r="K140" s="45">
        <f ca="1">(IF(B129=0,H129/4+K135,(H129/(B129+4)+K135+MAX(0,K136-K135)+MAX(0,K137-K136)+MAX(0,K138-K137)+MAX(0,K139-K138))))</f>
        <v>16.5</v>
      </c>
    </row>
    <row r="141" spans="1:11" ht="16.5" thickBot="1" x14ac:dyDescent="0.3">
      <c r="A141" s="122" t="s">
        <v>170</v>
      </c>
      <c r="B141" s="123"/>
      <c r="C141" s="56">
        <v>0</v>
      </c>
      <c r="D141" s="61">
        <f ca="1">((100/(H129))*C141)/100</f>
        <v>0</v>
      </c>
      <c r="E141" s="129"/>
      <c r="F141" s="129"/>
      <c r="G141" s="129"/>
      <c r="H141" s="131"/>
      <c r="I141" s="42" t="s">
        <v>138</v>
      </c>
      <c r="J141" s="43"/>
      <c r="K141" s="47">
        <f ca="1">(IF(B129=0,H129/4+K140,(H129/(B129+4)+K140)))</f>
        <v>22</v>
      </c>
    </row>
    <row r="142" spans="1:11" x14ac:dyDescent="0.25">
      <c r="A142" s="216" t="s">
        <v>176</v>
      </c>
      <c r="B142" s="217"/>
      <c r="C142" s="218" t="str">
        <f>D74</f>
        <v xml:space="preserve">Building No.9 - F Wing = Gr/St + 1st to 22nd Floor
</v>
      </c>
      <c r="D142" s="218"/>
      <c r="E142" s="218"/>
      <c r="F142" s="218"/>
      <c r="G142" s="218"/>
      <c r="H142" s="219"/>
      <c r="I142" s="20" t="str">
        <f ca="1">(IF(C146=0,"Work not yet Started.",IF(D146=25%,"Piling work in process",IF(D146=50%,"Excavation work in process",IF(D146=100%,"Excavation work completed, ","0")))&amp;(IF(C147=0%,"",IF(C147=K148,"Footing work is process",IF(C147=K149,"Footing work Completed",IF(C147=K150,"1st Basement Completed",IF(C147=K151,"1st &amp; 2nd Basement Completed",IF(C147=K152,"1st to 3rd Basement Completed",IF(C147=K153,"1st to 4th Basement Completed",IF(C147=K154,"Plinth work is process",IF(C147=K155,"Plinth work completed","0")))))))))))&amp;(IF(C148&gt;0,", RCC upto "&amp;C148&amp;" Slab completed",""))&amp;(IF(C149&gt;0,", Brickwork upto "&amp;C149&amp;" Floor completed"," "))&amp;(IF(C150&gt;0,", Internal Plaster upto "&amp;C150&amp;" Floor completed"," "))&amp;(IF(C151&gt;0,", External Plaster upto "&amp;C151&amp;" Floor completed"," "))&amp;(IF(C152&gt;0,", Flooring upto "&amp;C152&amp;" Floor completed"," "))&amp;(IF(C153&gt;0,", Painting upto "&amp;C153&amp;" Floor completed"," "))&amp;(IF(C154&gt;0,", Finishing upto "&amp;C154&amp;" Floor completed"," ")))</f>
        <v xml:space="preserve">Excavation work completed, Plinth work completed, RCC upto 23 Slab completed, Brickwork upto 22 Floor completed, Internal Plaster upto 22 Floor completed, External Plaster upto 20 Floor completed, Flooring upto 10 Floor completed, Painting upto 8 Floor completed </v>
      </c>
      <c r="J142" s="20"/>
      <c r="K142" s="21"/>
    </row>
    <row r="143" spans="1:11" x14ac:dyDescent="0.25">
      <c r="A143" s="48" t="s">
        <v>178</v>
      </c>
      <c r="B143" s="51">
        <v>0</v>
      </c>
      <c r="C143" s="51" t="s">
        <v>97</v>
      </c>
      <c r="D143" s="51">
        <v>1</v>
      </c>
      <c r="E143" s="51" t="s">
        <v>96</v>
      </c>
      <c r="F143" s="51">
        <v>0</v>
      </c>
      <c r="G143" s="51" t="s">
        <v>110</v>
      </c>
      <c r="H143" s="52">
        <f ca="1">--TRIM(RIGHT(SUBSTITUTE(LEFT(C142,_xlfn.AGGREGATE(16,6,FIND({0,1,2,3,4,5,6,7,8,9},C142,ROW(INDIRECT("1:"&amp;LEN(C142)))),1))," ",REPT(" ",LEN(C142))),LEN(C142)))</f>
        <v>22</v>
      </c>
      <c r="I143" s="18" t="s">
        <v>150</v>
      </c>
      <c r="J143" s="18"/>
      <c r="K143" s="22"/>
    </row>
    <row r="144" spans="1:11" ht="66" customHeight="1" x14ac:dyDescent="0.25">
      <c r="A144" s="152" t="s">
        <v>120</v>
      </c>
      <c r="B144" s="119"/>
      <c r="C144" s="86" t="str">
        <f ca="1">I142</f>
        <v xml:space="preserve">Excavation work completed, Plinth work completed, RCC upto 23 Slab completed, Brickwork upto 22 Floor completed, Internal Plaster upto 22 Floor completed, External Plaster upto 20 Floor completed, Flooring upto 10 Floor completed, Painting upto 8 Floor completed </v>
      </c>
      <c r="D144" s="86"/>
      <c r="E144" s="86"/>
      <c r="F144" s="86"/>
      <c r="G144" s="86"/>
      <c r="H144" s="153"/>
      <c r="I144" s="18" t="s">
        <v>139</v>
      </c>
      <c r="J144" s="18"/>
      <c r="K144" s="22"/>
    </row>
    <row r="145" spans="1:11" x14ac:dyDescent="0.25">
      <c r="A145" s="120" t="s">
        <v>49</v>
      </c>
      <c r="B145" s="117"/>
      <c r="C145" s="53" t="s">
        <v>175</v>
      </c>
      <c r="D145" s="53" t="s">
        <v>113</v>
      </c>
      <c r="E145" s="117" t="s">
        <v>115</v>
      </c>
      <c r="F145" s="117"/>
      <c r="G145" s="117" t="s">
        <v>114</v>
      </c>
      <c r="H145" s="127"/>
      <c r="I145" s="38" t="s">
        <v>177</v>
      </c>
      <c r="K145" s="23">
        <f ca="1">H143*25%</f>
        <v>5.5</v>
      </c>
    </row>
    <row r="146" spans="1:11" x14ac:dyDescent="0.25">
      <c r="A146" s="120" t="s">
        <v>165</v>
      </c>
      <c r="B146" s="117"/>
      <c r="C146" s="55">
        <f ca="1">K147</f>
        <v>22</v>
      </c>
      <c r="D146" s="60">
        <f ca="1">((100/H143)*C146)/100</f>
        <v>1.0000000000000002</v>
      </c>
      <c r="E146" s="128">
        <f ca="1">(IF(C144=I143,"100%",IF(C144=I144,"100%",(((C147/H143*10)+(40/(D143+F143+H143)*C148)+(7.5/(H143)*C149)+(7.5/(H143)*C150)+(10/H143*C151)+(10/H143*C152)+(5/H143*C153)+(5/H143*C154)+(5/H143*C155))/100))))</f>
        <v>0.80454545454545456</v>
      </c>
      <c r="F146" s="128"/>
      <c r="G146" s="128">
        <f ca="1">((((C146/H143)*20)+((C147/H143)*25)+(30/(H143+F143+D143)*C148)+(5/H143*C149)+(5/H143*C150)+(5/H143*C151)+(5/H143*C152)+(0/H143*C153)+(0/H143*C154)+(5/H143*C155))/100)</f>
        <v>0.9181818181818181</v>
      </c>
      <c r="H146" s="130"/>
      <c r="I146" s="38" t="s">
        <v>133</v>
      </c>
      <c r="J146" s="24"/>
      <c r="K146" s="41">
        <f ca="1">H143*50%</f>
        <v>11</v>
      </c>
    </row>
    <row r="147" spans="1:11" x14ac:dyDescent="0.25">
      <c r="A147" s="120" t="s">
        <v>50</v>
      </c>
      <c r="B147" s="117"/>
      <c r="C147" s="55">
        <v>22</v>
      </c>
      <c r="D147" s="60">
        <f ca="1">((100/H143)*C147)/100</f>
        <v>1.0000000000000002</v>
      </c>
      <c r="E147" s="128"/>
      <c r="F147" s="128"/>
      <c r="G147" s="128"/>
      <c r="H147" s="130"/>
      <c r="I147" s="38" t="s">
        <v>134</v>
      </c>
      <c r="J147" s="24"/>
      <c r="K147" s="41">
        <f ca="1">H143</f>
        <v>22</v>
      </c>
    </row>
    <row r="148" spans="1:11" ht="15.75" customHeight="1" x14ac:dyDescent="0.25">
      <c r="A148" s="120" t="s">
        <v>210</v>
      </c>
      <c r="B148" s="117"/>
      <c r="C148" s="55">
        <v>23</v>
      </c>
      <c r="D148" s="60">
        <f ca="1">((100/(D143+F143+H143))*C148)/100</f>
        <v>1</v>
      </c>
      <c r="E148" s="128"/>
      <c r="F148" s="128"/>
      <c r="G148" s="128"/>
      <c r="H148" s="130"/>
      <c r="I148" s="38" t="s">
        <v>135</v>
      </c>
      <c r="J148" s="24"/>
      <c r="K148" s="45">
        <f ca="1">(IF(B143=0,H143/4,(H143/(B143+4))))</f>
        <v>5.5</v>
      </c>
    </row>
    <row r="149" spans="1:11" ht="15.75" customHeight="1" x14ac:dyDescent="0.25">
      <c r="A149" s="120" t="s">
        <v>172</v>
      </c>
      <c r="B149" s="117" t="s">
        <v>166</v>
      </c>
      <c r="C149" s="54">
        <v>22</v>
      </c>
      <c r="D149" s="60">
        <f ca="1">((100/H143)*C149)/100</f>
        <v>1.0000000000000002</v>
      </c>
      <c r="E149" s="128"/>
      <c r="F149" s="128"/>
      <c r="G149" s="128"/>
      <c r="H149" s="130"/>
      <c r="I149" s="38" t="s">
        <v>136</v>
      </c>
      <c r="J149" s="24"/>
      <c r="K149" s="45">
        <f ca="1">(IF(B143=0,H143/4+K148,(H143/(B143+4)+K148)))</f>
        <v>11</v>
      </c>
    </row>
    <row r="150" spans="1:11" ht="15.75" customHeight="1" x14ac:dyDescent="0.25">
      <c r="A150" s="120" t="s">
        <v>173</v>
      </c>
      <c r="B150" s="117" t="s">
        <v>166</v>
      </c>
      <c r="C150" s="54">
        <v>22</v>
      </c>
      <c r="D150" s="60">
        <f ca="1">((100/H143)*C150)/100</f>
        <v>1.0000000000000002</v>
      </c>
      <c r="E150" s="128"/>
      <c r="F150" s="128"/>
      <c r="G150" s="128"/>
      <c r="H150" s="130"/>
      <c r="I150" s="38" t="s">
        <v>179</v>
      </c>
      <c r="J150" s="50"/>
      <c r="K150" s="45">
        <f>(IF(B143=0,0,(H143/(B143+4)+K149)))</f>
        <v>0</v>
      </c>
    </row>
    <row r="151" spans="1:11" ht="15" customHeight="1" x14ac:dyDescent="0.25">
      <c r="A151" s="120" t="s">
        <v>171</v>
      </c>
      <c r="B151" s="117" t="s">
        <v>168</v>
      </c>
      <c r="C151" s="54">
        <v>20</v>
      </c>
      <c r="D151" s="60">
        <f ca="1">((100/(H143))*C151)/100</f>
        <v>0.90909090909090917</v>
      </c>
      <c r="E151" s="128"/>
      <c r="F151" s="128"/>
      <c r="G151" s="128"/>
      <c r="H151" s="130"/>
      <c r="I151" s="38" t="s">
        <v>180</v>
      </c>
      <c r="J151" s="50"/>
      <c r="K151" s="45">
        <f>(IF(B143&gt;1,(H143/(B143+4)+K150),0))</f>
        <v>0</v>
      </c>
    </row>
    <row r="152" spans="1:11" ht="15.75" customHeight="1" x14ac:dyDescent="0.25">
      <c r="A152" s="120" t="s">
        <v>167</v>
      </c>
      <c r="B152" s="117" t="s">
        <v>167</v>
      </c>
      <c r="C152" s="54">
        <v>10</v>
      </c>
      <c r="D152" s="60">
        <f ca="1">((100/H143)*C152)/100</f>
        <v>0.45454545454545459</v>
      </c>
      <c r="E152" s="128"/>
      <c r="F152" s="128"/>
      <c r="G152" s="128"/>
      <c r="H152" s="130"/>
      <c r="I152" s="38" t="s">
        <v>181</v>
      </c>
      <c r="J152" s="44"/>
      <c r="K152" s="46">
        <f>(IF(B143&gt;2,(H143/(B143+4)+K151),0))</f>
        <v>0</v>
      </c>
    </row>
    <row r="153" spans="1:11" ht="15.75" customHeight="1" x14ac:dyDescent="0.25">
      <c r="A153" s="120" t="s">
        <v>174</v>
      </c>
      <c r="B153" s="117"/>
      <c r="C153" s="54">
        <v>8</v>
      </c>
      <c r="D153" s="60">
        <f ca="1">((100/H143)*C153)/100</f>
        <v>0.36363636363636365</v>
      </c>
      <c r="E153" s="128"/>
      <c r="F153" s="128"/>
      <c r="G153" s="128"/>
      <c r="H153" s="130"/>
      <c r="I153" s="38" t="s">
        <v>182</v>
      </c>
      <c r="J153"/>
      <c r="K153" s="49">
        <f>(IF(B143&gt;3,(H143/(B143+4)+K152),0))</f>
        <v>0</v>
      </c>
    </row>
    <row r="154" spans="1:11" ht="15.75" customHeight="1" x14ac:dyDescent="0.25">
      <c r="A154" s="120" t="s">
        <v>169</v>
      </c>
      <c r="B154" s="117" t="s">
        <v>169</v>
      </c>
      <c r="C154" s="54">
        <v>0</v>
      </c>
      <c r="D154" s="60">
        <f ca="1">((100/(H143))*C154)/100</f>
        <v>0</v>
      </c>
      <c r="E154" s="128"/>
      <c r="F154" s="128"/>
      <c r="G154" s="128"/>
      <c r="H154" s="130"/>
      <c r="I154" s="38" t="s">
        <v>137</v>
      </c>
      <c r="J154" s="24"/>
      <c r="K154" s="45">
        <f ca="1">(IF(B143=0,H143/4+K149,(H143/(B143+4)+K149+MAX(0,K150-K149)+MAX(0,K151-K150)+MAX(0,K152-K151)+MAX(0,K153-K152))))</f>
        <v>16.5</v>
      </c>
    </row>
    <row r="155" spans="1:11" ht="16.5" thickBot="1" x14ac:dyDescent="0.3">
      <c r="A155" s="122" t="s">
        <v>170</v>
      </c>
      <c r="B155" s="123"/>
      <c r="C155" s="56">
        <v>0</v>
      </c>
      <c r="D155" s="61">
        <f ca="1">((100/(H143))*C155)/100</f>
        <v>0</v>
      </c>
      <c r="E155" s="129"/>
      <c r="F155" s="129"/>
      <c r="G155" s="129"/>
      <c r="H155" s="131"/>
      <c r="I155" s="42" t="s">
        <v>138</v>
      </c>
      <c r="J155" s="43"/>
      <c r="K155" s="47">
        <f ca="1">(IF(B143=0,H143/4+K154,(H143/(B143+4)+K154)))</f>
        <v>22</v>
      </c>
    </row>
    <row r="156" spans="1:11" x14ac:dyDescent="0.25">
      <c r="A156" s="216" t="s">
        <v>176</v>
      </c>
      <c r="B156" s="217"/>
      <c r="C156" s="218" t="str">
        <f>D75</f>
        <v xml:space="preserve">Building No.9 - G &amp; H Wing = Gr/St + 1st to 22nd Floor
</v>
      </c>
      <c r="D156" s="218"/>
      <c r="E156" s="218"/>
      <c r="F156" s="218"/>
      <c r="G156" s="218"/>
      <c r="H156" s="219"/>
      <c r="I156" s="20" t="str">
        <f ca="1">(IF(C160=0,"Work not yet Started.",IF(D160=25%,"Piling work in process",IF(D160=50%,"Excavation work in process",IF(D160=100%,"Excavation work completed, ","0")))&amp;(IF(C161=0%,"",IF(C161=K162,"Footing work is process",IF(C161=K163,"Footing work Completed",IF(C161=K164,"1st Basement Completed",IF(C161=K165,"1st &amp; 2nd Basement Completed",IF(C161=K166,"1st to 3rd Basement Completed",IF(C161=K167,"1st to 4th Basement Completed",IF(C161=K168,"Plinth work is process",IF(C161=K169,"Plinth work completed","0")))))))))))&amp;(IF(C162&gt;0,", RCC upto "&amp;C162&amp;" Slab completed",""))&amp;(IF(C163&gt;0,", Brickwork upto "&amp;C163&amp;" Floor completed"," "))&amp;(IF(C164&gt;0,", Internal Plaster upto "&amp;C164&amp;" Floor completed"," "))&amp;(IF(C165&gt;0,", External Plaster upto "&amp;C165&amp;" Floor completed"," "))&amp;(IF(C166&gt;0,", Flooring upto "&amp;C166&amp;" Floor completed"," "))&amp;(IF(C167&gt;0,", Painting upto "&amp;C167&amp;" Floor completed"," "))&amp;(IF(C168&gt;0,", Finishing upto "&amp;C168&amp;" Floor completed"," ")))</f>
        <v xml:space="preserve">Excavation work completed, Plinth work completed, RCC upto 23 Slab completed, Brickwork upto 17 Floor completed     </v>
      </c>
      <c r="J156" s="20"/>
      <c r="K156" s="21"/>
    </row>
    <row r="157" spans="1:11" x14ac:dyDescent="0.25">
      <c r="A157" s="48" t="s">
        <v>178</v>
      </c>
      <c r="B157" s="51">
        <v>0</v>
      </c>
      <c r="C157" s="51" t="s">
        <v>97</v>
      </c>
      <c r="D157" s="51">
        <v>1</v>
      </c>
      <c r="E157" s="51" t="s">
        <v>96</v>
      </c>
      <c r="F157" s="51">
        <v>0</v>
      </c>
      <c r="G157" s="51" t="s">
        <v>110</v>
      </c>
      <c r="H157" s="52">
        <f ca="1">--TRIM(RIGHT(SUBSTITUTE(LEFT(C156,_xlfn.AGGREGATE(16,6,FIND({0,1,2,3,4,5,6,7,8,9},C156,ROW(INDIRECT("1:"&amp;LEN(C156)))),1))," ",REPT(" ",LEN(C156))),LEN(C156)))</f>
        <v>22</v>
      </c>
      <c r="I157" s="18" t="s">
        <v>150</v>
      </c>
      <c r="J157" s="18"/>
      <c r="K157" s="22"/>
    </row>
    <row r="158" spans="1:11" ht="33.950000000000003" customHeight="1" x14ac:dyDescent="0.25">
      <c r="A158" s="152" t="s">
        <v>120</v>
      </c>
      <c r="B158" s="119"/>
      <c r="C158" s="86" t="str">
        <f ca="1">I156</f>
        <v xml:space="preserve">Excavation work completed, Plinth work completed, RCC upto 23 Slab completed, Brickwork upto 17 Floor completed     </v>
      </c>
      <c r="D158" s="86"/>
      <c r="E158" s="86"/>
      <c r="F158" s="86"/>
      <c r="G158" s="86"/>
      <c r="H158" s="153"/>
      <c r="I158" s="18" t="s">
        <v>139</v>
      </c>
      <c r="J158" s="18"/>
      <c r="K158" s="22"/>
    </row>
    <row r="159" spans="1:11" x14ac:dyDescent="0.25">
      <c r="A159" s="120" t="s">
        <v>49</v>
      </c>
      <c r="B159" s="117"/>
      <c r="C159" s="53" t="s">
        <v>175</v>
      </c>
      <c r="D159" s="53" t="s">
        <v>113</v>
      </c>
      <c r="E159" s="117" t="s">
        <v>115</v>
      </c>
      <c r="F159" s="117"/>
      <c r="G159" s="117" t="s">
        <v>114</v>
      </c>
      <c r="H159" s="127"/>
      <c r="I159" s="38" t="s">
        <v>177</v>
      </c>
      <c r="K159" s="23">
        <f ca="1">H157*25%</f>
        <v>5.5</v>
      </c>
    </row>
    <row r="160" spans="1:11" x14ac:dyDescent="0.25">
      <c r="A160" s="120" t="s">
        <v>165</v>
      </c>
      <c r="B160" s="117"/>
      <c r="C160" s="55">
        <f ca="1">K161</f>
        <v>22</v>
      </c>
      <c r="D160" s="60">
        <f ca="1">((100/H157)*C160)/100</f>
        <v>1.0000000000000002</v>
      </c>
      <c r="E160" s="128">
        <f ca="1">(IF(C158=I157,"100%",IF(C158=I158,"100%",(((C161/H157*10)+(40/(D157+F157+H157)*C162)+(7.5/(H157)*C163)+(7.5/(H157)*C164)+(10/H157*C165)+(10/H157*C166)+(5/H157*C167)+(5/H157*C168)+(5/H157*C169))/100))))</f>
        <v>0.55795454545454548</v>
      </c>
      <c r="F160" s="128"/>
      <c r="G160" s="128">
        <f ca="1">((((C160/H157)*20)+((C161/H157)*25)+(30/(H157+F157+D157)*C162)+(5/H157*C163)+(5/H157*C164)+(5/H157*C165)+(5/H157*C166)+(0/H157*C167)+(0/H157*C168)+(5/H157*C169))/100)</f>
        <v>0.78863636363636358</v>
      </c>
      <c r="H160" s="130"/>
      <c r="I160" s="38" t="s">
        <v>133</v>
      </c>
      <c r="J160" s="24"/>
      <c r="K160" s="41">
        <f ca="1">H157*50%</f>
        <v>11</v>
      </c>
    </row>
    <row r="161" spans="1:11" x14ac:dyDescent="0.25">
      <c r="A161" s="120" t="s">
        <v>50</v>
      </c>
      <c r="B161" s="117"/>
      <c r="C161" s="55">
        <f ca="1">K169</f>
        <v>22</v>
      </c>
      <c r="D161" s="60">
        <f ca="1">((100/H157)*C161)/100</f>
        <v>1.0000000000000002</v>
      </c>
      <c r="E161" s="128"/>
      <c r="F161" s="128"/>
      <c r="G161" s="128"/>
      <c r="H161" s="130"/>
      <c r="I161" s="38" t="s">
        <v>134</v>
      </c>
      <c r="J161" s="24"/>
      <c r="K161" s="41">
        <f ca="1">H157</f>
        <v>22</v>
      </c>
    </row>
    <row r="162" spans="1:11" ht="15.75" customHeight="1" x14ac:dyDescent="0.25">
      <c r="A162" s="120" t="s">
        <v>210</v>
      </c>
      <c r="B162" s="117"/>
      <c r="C162" s="55">
        <v>23</v>
      </c>
      <c r="D162" s="60">
        <f ca="1">((100/(D157+F157+H157))*C162)/100</f>
        <v>1</v>
      </c>
      <c r="E162" s="128"/>
      <c r="F162" s="128"/>
      <c r="G162" s="128"/>
      <c r="H162" s="130"/>
      <c r="I162" s="38" t="s">
        <v>135</v>
      </c>
      <c r="J162" s="24"/>
      <c r="K162" s="45">
        <f ca="1">(IF(B157=0,H157/4,(H157/(B157+4))))</f>
        <v>5.5</v>
      </c>
    </row>
    <row r="163" spans="1:11" ht="15.75" customHeight="1" x14ac:dyDescent="0.25">
      <c r="A163" s="120" t="s">
        <v>172</v>
      </c>
      <c r="B163" s="117" t="s">
        <v>166</v>
      </c>
      <c r="C163" s="55">
        <v>17</v>
      </c>
      <c r="D163" s="60">
        <f ca="1">((100/H157)*C163)/100</f>
        <v>0.77272727272727282</v>
      </c>
      <c r="E163" s="128"/>
      <c r="F163" s="128"/>
      <c r="G163" s="128"/>
      <c r="H163" s="130"/>
      <c r="I163" s="38" t="s">
        <v>136</v>
      </c>
      <c r="J163" s="24"/>
      <c r="K163" s="45">
        <f ca="1">(IF(B157=0,H157/4+K162,(H157/(B157+4)+K162)))</f>
        <v>11</v>
      </c>
    </row>
    <row r="164" spans="1:11" ht="15.75" customHeight="1" x14ac:dyDescent="0.25">
      <c r="A164" s="120" t="s">
        <v>173</v>
      </c>
      <c r="B164" s="117" t="s">
        <v>166</v>
      </c>
      <c r="C164" s="55">
        <v>0</v>
      </c>
      <c r="D164" s="60">
        <f ca="1">((100/H157)*C164)/100</f>
        <v>0</v>
      </c>
      <c r="E164" s="128"/>
      <c r="F164" s="128"/>
      <c r="G164" s="128"/>
      <c r="H164" s="130"/>
      <c r="I164" s="38" t="s">
        <v>179</v>
      </c>
      <c r="J164" s="50"/>
      <c r="K164" s="45">
        <f>(IF(B157=0,0,(H157/(B157+4)+K163)))</f>
        <v>0</v>
      </c>
    </row>
    <row r="165" spans="1:11" ht="15" customHeight="1" x14ac:dyDescent="0.25">
      <c r="A165" s="120" t="s">
        <v>171</v>
      </c>
      <c r="B165" s="117" t="s">
        <v>168</v>
      </c>
      <c r="C165" s="55">
        <v>0</v>
      </c>
      <c r="D165" s="60">
        <f ca="1">((100/(H157))*C165)/100</f>
        <v>0</v>
      </c>
      <c r="E165" s="128"/>
      <c r="F165" s="128"/>
      <c r="G165" s="128"/>
      <c r="H165" s="130"/>
      <c r="I165" s="38" t="s">
        <v>180</v>
      </c>
      <c r="J165" s="50"/>
      <c r="K165" s="45">
        <f>(IF(B157&gt;1,(H157/(B157+4)+K164),0))</f>
        <v>0</v>
      </c>
    </row>
    <row r="166" spans="1:11" ht="15.75" customHeight="1" x14ac:dyDescent="0.25">
      <c r="A166" s="120" t="s">
        <v>167</v>
      </c>
      <c r="B166" s="117" t="s">
        <v>167</v>
      </c>
      <c r="C166" s="55">
        <v>0</v>
      </c>
      <c r="D166" s="60">
        <f ca="1">((100/H157)*C166)/100</f>
        <v>0</v>
      </c>
      <c r="E166" s="128"/>
      <c r="F166" s="128"/>
      <c r="G166" s="128"/>
      <c r="H166" s="130"/>
      <c r="I166" s="38" t="s">
        <v>181</v>
      </c>
      <c r="J166" s="44"/>
      <c r="K166" s="46">
        <f>(IF(B157&gt;2,(H157/(B157+4)+K165),0))</f>
        <v>0</v>
      </c>
    </row>
    <row r="167" spans="1:11" ht="15.75" customHeight="1" x14ac:dyDescent="0.25">
      <c r="A167" s="120" t="s">
        <v>174</v>
      </c>
      <c r="B167" s="117"/>
      <c r="C167" s="55">
        <v>0</v>
      </c>
      <c r="D167" s="60">
        <f ca="1">((100/H157)*C167)/100</f>
        <v>0</v>
      </c>
      <c r="E167" s="128"/>
      <c r="F167" s="128"/>
      <c r="G167" s="128"/>
      <c r="H167" s="130"/>
      <c r="I167" s="38" t="s">
        <v>182</v>
      </c>
      <c r="J167"/>
      <c r="K167" s="49">
        <f>(IF(B157&gt;3,(H157/(B157+4)+K166),0))</f>
        <v>0</v>
      </c>
    </row>
    <row r="168" spans="1:11" ht="15.75" customHeight="1" x14ac:dyDescent="0.25">
      <c r="A168" s="120" t="s">
        <v>169</v>
      </c>
      <c r="B168" s="117" t="s">
        <v>169</v>
      </c>
      <c r="C168" s="54">
        <v>0</v>
      </c>
      <c r="D168" s="60">
        <f ca="1">((100/(H157))*C168)/100</f>
        <v>0</v>
      </c>
      <c r="E168" s="128"/>
      <c r="F168" s="128"/>
      <c r="G168" s="128"/>
      <c r="H168" s="130"/>
      <c r="I168" s="38" t="s">
        <v>137</v>
      </c>
      <c r="J168" s="24"/>
      <c r="K168" s="45">
        <f ca="1">(IF(B157=0,H157/4+K163,(H157/(B157+4)+K163+MAX(0,K164-K163)+MAX(0,K165-K164)+MAX(0,K166-K165)+MAX(0,K167-K166))))</f>
        <v>16.5</v>
      </c>
    </row>
    <row r="169" spans="1:11" ht="16.5" thickBot="1" x14ac:dyDescent="0.3">
      <c r="A169" s="122" t="s">
        <v>170</v>
      </c>
      <c r="B169" s="123"/>
      <c r="C169" s="56">
        <v>0</v>
      </c>
      <c r="D169" s="61">
        <f ca="1">((100/(H157))*C169)/100</f>
        <v>0</v>
      </c>
      <c r="E169" s="129"/>
      <c r="F169" s="129"/>
      <c r="G169" s="129"/>
      <c r="H169" s="131"/>
      <c r="I169" s="42" t="s">
        <v>138</v>
      </c>
      <c r="J169" s="43"/>
      <c r="K169" s="47">
        <f ca="1">(IF(B157=0,H157/4+K168,(H157/(B157+4)+K168)))</f>
        <v>22</v>
      </c>
    </row>
    <row r="170" spans="1:11" hidden="1" x14ac:dyDescent="0.25">
      <c r="A170" s="189" t="s">
        <v>176</v>
      </c>
      <c r="B170" s="189"/>
      <c r="C170" s="190" t="str">
        <f>D76</f>
        <v xml:space="preserve">Building No.9 - H Wing = Gr/St + 1st to 22nd Floor
</v>
      </c>
      <c r="D170" s="190"/>
      <c r="E170" s="190"/>
      <c r="F170" s="190"/>
      <c r="G170" s="190"/>
      <c r="H170" s="190"/>
      <c r="I170" s="20" t="str">
        <f>(IF(C174=0,"Work not yet Started.",IF(D174=25%,"Piling work in process",IF(D174=50%,"Excavation work in process",IF(D174=100%,"Excavation work completed, ","0")))&amp;(IF(C175=0%,"",IF(C175=K176,"Footing work is process",IF(C175=K177,"Footing work Completed",IF(C175=K178,"1st Basement Completed",IF(C175=K179,"1st &amp; 2nd Basement Completed",IF(C175=K180,"1st to 3rd Basement Completed",IF(C175=K181,"1st to 4th Basement Completed",IF(C175=K182,"Plinth work is process",IF(C175=K183,"Plinth work completed","0")))))))))))&amp;(IF(C176&gt;0,", RCC upto "&amp;C176&amp;" Slab completed",""))&amp;(IF(C177&gt;0,", Brickwork upto "&amp;C177&amp;" Floor completed"," "))&amp;(IF(C178&gt;0,", Internal Plaster upto "&amp;C178&amp;" Floor completed"," "))&amp;(IF(C179&gt;0,", External Plaster upto "&amp;C179&amp;" Floor completed"," "))&amp;(IF(C180&gt;0,", Flooring upto "&amp;C180&amp;" Floor completed"," "))&amp;(IF(C181&gt;0,", Painting upto "&amp;C181&amp;" Floor completed"," "))&amp;(IF(C182&gt;0,", Finishing upto "&amp;C182&amp;" Floor completed"," ")))</f>
        <v xml:space="preserve">Work not yet Started.      </v>
      </c>
      <c r="J170" s="20"/>
      <c r="K170" s="21"/>
    </row>
    <row r="171" spans="1:11" hidden="1" x14ac:dyDescent="0.25">
      <c r="A171" s="51" t="s">
        <v>178</v>
      </c>
      <c r="B171" s="51">
        <v>0</v>
      </c>
      <c r="C171" s="51" t="s">
        <v>97</v>
      </c>
      <c r="D171" s="51">
        <v>1</v>
      </c>
      <c r="E171" s="51" t="s">
        <v>96</v>
      </c>
      <c r="F171" s="51">
        <v>0</v>
      </c>
      <c r="G171" s="51" t="s">
        <v>110</v>
      </c>
      <c r="H171" s="51">
        <f ca="1">--TRIM(RIGHT(SUBSTITUTE(LEFT(C170,_xlfn.AGGREGATE(16,6,FIND({0,1,2,3,4,5,6,7,8,9},C170,ROW(INDIRECT("1:"&amp;LEN(C170)))),1))," ",REPT(" ",LEN(C170))),LEN(C170)))</f>
        <v>22</v>
      </c>
      <c r="I171" s="18" t="s">
        <v>150</v>
      </c>
      <c r="J171" s="18"/>
      <c r="K171" s="22"/>
    </row>
    <row r="172" spans="1:11" hidden="1" x14ac:dyDescent="0.25">
      <c r="A172" s="119" t="s">
        <v>120</v>
      </c>
      <c r="B172" s="119"/>
      <c r="C172" s="86" t="str">
        <f>I170</f>
        <v xml:space="preserve">Work not yet Started.      </v>
      </c>
      <c r="D172" s="86"/>
      <c r="E172" s="86"/>
      <c r="F172" s="86"/>
      <c r="G172" s="86"/>
      <c r="H172" s="86"/>
      <c r="I172" s="18" t="s">
        <v>139</v>
      </c>
      <c r="J172" s="18"/>
      <c r="K172" s="22"/>
    </row>
    <row r="173" spans="1:11" hidden="1" x14ac:dyDescent="0.25">
      <c r="A173" s="120" t="s">
        <v>49</v>
      </c>
      <c r="B173" s="117"/>
      <c r="C173" s="53" t="s">
        <v>175</v>
      </c>
      <c r="D173" s="53" t="s">
        <v>113</v>
      </c>
      <c r="E173" s="117" t="s">
        <v>115</v>
      </c>
      <c r="F173" s="117"/>
      <c r="G173" s="117" t="s">
        <v>114</v>
      </c>
      <c r="H173" s="127"/>
      <c r="I173" s="38" t="s">
        <v>177</v>
      </c>
      <c r="K173" s="23">
        <f ca="1">H171*25%</f>
        <v>5.5</v>
      </c>
    </row>
    <row r="174" spans="1:11" hidden="1" x14ac:dyDescent="0.25">
      <c r="A174" s="120" t="s">
        <v>165</v>
      </c>
      <c r="B174" s="117"/>
      <c r="C174" s="55">
        <v>0</v>
      </c>
      <c r="D174" s="60">
        <f ca="1">((100/H171)*C174)/100</f>
        <v>0</v>
      </c>
      <c r="E174" s="128">
        <f ca="1">(IF(C172=I171,"100%",IF(C172=I172,"100%",(((C175/H171*10)+(40/(D171+F171+H171)*C176)+(7.5/(H171)*C177)+(7.5/(H171)*C178)+(10/H171*C179)+(10/H171*C180)+(5/H171*C181)+(5/H171*C182)+(5/H171*C183))/100))))</f>
        <v>0</v>
      </c>
      <c r="F174" s="128"/>
      <c r="G174" s="128">
        <f ca="1">((((C174/H171)*20)+((C175/H171)*25)+(30/(H171+F171+D171)*C176)+(5/H171*C177)+(5/H171*C178)+(5/H171*C179)+(5/H171*C180)+(0/H171*C181)+(0/H171*C182)+(5/H171*C183))/100)</f>
        <v>0</v>
      </c>
      <c r="H174" s="130"/>
      <c r="I174" s="38" t="s">
        <v>133</v>
      </c>
      <c r="J174" s="24"/>
      <c r="K174" s="41">
        <f ca="1">H171*50%</f>
        <v>11</v>
      </c>
    </row>
    <row r="175" spans="1:11" hidden="1" x14ac:dyDescent="0.25">
      <c r="A175" s="120" t="s">
        <v>50</v>
      </c>
      <c r="B175" s="117"/>
      <c r="C175" s="55">
        <v>0</v>
      </c>
      <c r="D175" s="60">
        <f ca="1">((100/H171)*C175)/100</f>
        <v>0</v>
      </c>
      <c r="E175" s="128"/>
      <c r="F175" s="128"/>
      <c r="G175" s="128"/>
      <c r="H175" s="130"/>
      <c r="I175" s="38" t="s">
        <v>134</v>
      </c>
      <c r="J175" s="24"/>
      <c r="K175" s="41">
        <f ca="1">H171</f>
        <v>22</v>
      </c>
    </row>
    <row r="176" spans="1:11" ht="15.75" hidden="1" customHeight="1" x14ac:dyDescent="0.25">
      <c r="A176" s="120" t="s">
        <v>210</v>
      </c>
      <c r="B176" s="117"/>
      <c r="C176" s="55">
        <v>0</v>
      </c>
      <c r="D176" s="60">
        <f ca="1">((100/(D171+F171+H171))*C176)/100</f>
        <v>0</v>
      </c>
      <c r="E176" s="128"/>
      <c r="F176" s="128"/>
      <c r="G176" s="128"/>
      <c r="H176" s="130"/>
      <c r="I176" s="38" t="s">
        <v>135</v>
      </c>
      <c r="J176" s="24"/>
      <c r="K176" s="45">
        <f ca="1">(IF(B171=0,H171/4,(H171/(B171+4))))</f>
        <v>5.5</v>
      </c>
    </row>
    <row r="177" spans="1:13" ht="15.75" hidden="1" customHeight="1" x14ac:dyDescent="0.25">
      <c r="A177" s="120" t="s">
        <v>172</v>
      </c>
      <c r="B177" s="117" t="s">
        <v>166</v>
      </c>
      <c r="C177" s="55">
        <v>0</v>
      </c>
      <c r="D177" s="60">
        <f ca="1">((100/H171)*C177)/100</f>
        <v>0</v>
      </c>
      <c r="E177" s="128"/>
      <c r="F177" s="128"/>
      <c r="G177" s="128"/>
      <c r="H177" s="130"/>
      <c r="I177" s="38" t="s">
        <v>136</v>
      </c>
      <c r="J177" s="24"/>
      <c r="K177" s="45">
        <f ca="1">(IF(B171=0,H171/4+K176,(H171/(B171+4)+K176)))</f>
        <v>11</v>
      </c>
    </row>
    <row r="178" spans="1:13" ht="15.75" hidden="1" customHeight="1" x14ac:dyDescent="0.25">
      <c r="A178" s="120" t="s">
        <v>173</v>
      </c>
      <c r="B178" s="117" t="s">
        <v>166</v>
      </c>
      <c r="C178" s="55">
        <v>0</v>
      </c>
      <c r="D178" s="60">
        <f ca="1">((100/H171)*C178)/100</f>
        <v>0</v>
      </c>
      <c r="E178" s="128"/>
      <c r="F178" s="128"/>
      <c r="G178" s="128"/>
      <c r="H178" s="130"/>
      <c r="I178" s="38" t="s">
        <v>179</v>
      </c>
      <c r="J178" s="50"/>
      <c r="K178" s="45">
        <f>(IF(B171=0,0,(H171/(B171+4)+K177)))</f>
        <v>0</v>
      </c>
    </row>
    <row r="179" spans="1:13" ht="15" hidden="1" customHeight="1" x14ac:dyDescent="0.25">
      <c r="A179" s="120" t="s">
        <v>171</v>
      </c>
      <c r="B179" s="117" t="s">
        <v>168</v>
      </c>
      <c r="C179" s="55">
        <v>0</v>
      </c>
      <c r="D179" s="60">
        <f ca="1">((100/(H171))*C179)/100</f>
        <v>0</v>
      </c>
      <c r="E179" s="128"/>
      <c r="F179" s="128"/>
      <c r="G179" s="128"/>
      <c r="H179" s="130"/>
      <c r="I179" s="38" t="s">
        <v>180</v>
      </c>
      <c r="J179" s="50"/>
      <c r="K179" s="45">
        <f>(IF(B171&gt;1,(H171/(B171+4)+K178),0))</f>
        <v>0</v>
      </c>
    </row>
    <row r="180" spans="1:13" ht="15.75" hidden="1" customHeight="1" x14ac:dyDescent="0.25">
      <c r="A180" s="120" t="s">
        <v>167</v>
      </c>
      <c r="B180" s="117" t="s">
        <v>167</v>
      </c>
      <c r="C180" s="55">
        <v>0</v>
      </c>
      <c r="D180" s="60">
        <f ca="1">((100/H171)*C180)/100</f>
        <v>0</v>
      </c>
      <c r="E180" s="128"/>
      <c r="F180" s="128"/>
      <c r="G180" s="128"/>
      <c r="H180" s="130"/>
      <c r="I180" s="38" t="s">
        <v>181</v>
      </c>
      <c r="J180" s="44"/>
      <c r="K180" s="46">
        <f>(IF(B171&gt;2,(H171/(B171+4)+K179),0))</f>
        <v>0</v>
      </c>
    </row>
    <row r="181" spans="1:13" ht="15.75" hidden="1" customHeight="1" x14ac:dyDescent="0.25">
      <c r="A181" s="120" t="s">
        <v>174</v>
      </c>
      <c r="B181" s="117"/>
      <c r="C181" s="55">
        <v>0</v>
      </c>
      <c r="D181" s="60">
        <f ca="1">((100/H171)*C181)/100</f>
        <v>0</v>
      </c>
      <c r="E181" s="128"/>
      <c r="F181" s="128"/>
      <c r="G181" s="128"/>
      <c r="H181" s="130"/>
      <c r="I181" s="38" t="s">
        <v>182</v>
      </c>
      <c r="J181"/>
      <c r="K181" s="49">
        <f>(IF(B171&gt;3,(H171/(B171+4)+K180),0))</f>
        <v>0</v>
      </c>
    </row>
    <row r="182" spans="1:13" ht="15.75" hidden="1" customHeight="1" x14ac:dyDescent="0.25">
      <c r="A182" s="120" t="s">
        <v>169</v>
      </c>
      <c r="B182" s="117" t="s">
        <v>169</v>
      </c>
      <c r="C182" s="54">
        <v>0</v>
      </c>
      <c r="D182" s="60">
        <f ca="1">((100/(H171))*C182)/100</f>
        <v>0</v>
      </c>
      <c r="E182" s="128"/>
      <c r="F182" s="128"/>
      <c r="G182" s="128"/>
      <c r="H182" s="130"/>
      <c r="I182" s="38" t="s">
        <v>137</v>
      </c>
      <c r="J182" s="24"/>
      <c r="K182" s="45">
        <f ca="1">(IF(B171=0,H171/4+K177,(H171/(B171+4)+K177+MAX(0,K178-K177)+MAX(0,K179-K178)+MAX(0,K180-K179)+MAX(0,K181-K180))))</f>
        <v>16.5</v>
      </c>
    </row>
    <row r="183" spans="1:13" ht="16.5" hidden="1" thickBot="1" x14ac:dyDescent="0.3">
      <c r="A183" s="122" t="s">
        <v>170</v>
      </c>
      <c r="B183" s="123"/>
      <c r="C183" s="56">
        <v>0</v>
      </c>
      <c r="D183" s="61">
        <f ca="1">((100/(H171))*C183)/100</f>
        <v>0</v>
      </c>
      <c r="E183" s="129"/>
      <c r="F183" s="129"/>
      <c r="G183" s="129"/>
      <c r="H183" s="131"/>
      <c r="I183" s="42" t="s">
        <v>138</v>
      </c>
      <c r="J183" s="43"/>
      <c r="K183" s="47">
        <f ca="1">(IF(B171=0,H171/4+K182,(H171/(B171+4)+K182)))</f>
        <v>22</v>
      </c>
    </row>
    <row r="184" spans="1:13" x14ac:dyDescent="0.25">
      <c r="A184" s="164" t="s">
        <v>151</v>
      </c>
      <c r="B184" s="165"/>
      <c r="C184" s="165"/>
      <c r="D184" s="165"/>
      <c r="E184" s="166"/>
      <c r="F184" s="164" t="str">
        <f ca="1">(IF(G90="100%","Yes",IF(G90&gt;0%,"Under Construction",IF(G90=0%,"Work not yet Started"))))</f>
        <v>Under Construction</v>
      </c>
      <c r="G184" s="165"/>
      <c r="H184" s="166"/>
    </row>
    <row r="185" spans="1:13" x14ac:dyDescent="0.25">
      <c r="A185" s="76" t="s">
        <v>51</v>
      </c>
      <c r="B185" s="76"/>
      <c r="C185" s="76"/>
      <c r="D185" s="76"/>
      <c r="E185" s="76"/>
      <c r="F185" s="76"/>
      <c r="G185" s="76"/>
      <c r="H185" s="76"/>
    </row>
    <row r="186" spans="1:13" ht="15" hidden="1" customHeight="1" x14ac:dyDescent="0.25">
      <c r="A186" s="119" t="s">
        <v>99</v>
      </c>
      <c r="B186" s="119"/>
      <c r="C186" s="86" t="s">
        <v>100</v>
      </c>
      <c r="D186" s="86"/>
      <c r="E186" s="86"/>
      <c r="F186" s="86"/>
      <c r="G186" s="86"/>
      <c r="H186" s="86"/>
    </row>
    <row r="187" spans="1:13" x14ac:dyDescent="0.25">
      <c r="A187" s="81" t="s">
        <v>52</v>
      </c>
      <c r="B187" s="81"/>
      <c r="C187" s="81"/>
      <c r="D187" s="81"/>
      <c r="E187" s="81"/>
      <c r="F187" s="81"/>
      <c r="G187" s="81"/>
      <c r="H187" s="81"/>
    </row>
    <row r="188" spans="1:13" x14ac:dyDescent="0.25">
      <c r="A188" s="76" t="s">
        <v>101</v>
      </c>
      <c r="B188" s="76"/>
      <c r="C188" s="76"/>
      <c r="D188" s="76"/>
      <c r="E188" s="76"/>
      <c r="F188" s="118">
        <v>6500</v>
      </c>
      <c r="G188" s="118"/>
      <c r="H188" s="118"/>
      <c r="J188" s="65" t="s">
        <v>251</v>
      </c>
      <c r="K188" s="65" t="s">
        <v>252</v>
      </c>
      <c r="L188" s="66">
        <v>45211</v>
      </c>
      <c r="M188" s="65" t="s">
        <v>253</v>
      </c>
    </row>
    <row r="189" spans="1:13" x14ac:dyDescent="0.25">
      <c r="A189" s="76" t="s">
        <v>108</v>
      </c>
      <c r="B189" s="76"/>
      <c r="C189" s="76"/>
      <c r="D189" s="76"/>
      <c r="E189" s="76"/>
      <c r="F189" s="121">
        <v>16000</v>
      </c>
      <c r="G189" s="121"/>
      <c r="H189" s="121"/>
      <c r="J189" s="8" t="s">
        <v>254</v>
      </c>
      <c r="K189" s="8" t="s">
        <v>255</v>
      </c>
      <c r="L189" s="39">
        <v>45250</v>
      </c>
      <c r="M189" s="8" t="s">
        <v>253</v>
      </c>
    </row>
    <row r="190" spans="1:13" hidden="1" x14ac:dyDescent="0.25">
      <c r="A190" s="76" t="s">
        <v>109</v>
      </c>
      <c r="B190" s="76"/>
      <c r="C190" s="76"/>
      <c r="D190" s="76"/>
      <c r="E190" s="76"/>
      <c r="F190" s="121"/>
      <c r="G190" s="121"/>
      <c r="H190" s="121"/>
    </row>
    <row r="191" spans="1:13" s="12" customFormat="1" hidden="1" x14ac:dyDescent="0.25">
      <c r="A191" s="76" t="s">
        <v>125</v>
      </c>
      <c r="B191" s="76"/>
      <c r="C191" s="76"/>
      <c r="D191" s="76"/>
      <c r="E191" s="76"/>
      <c r="F191" s="121" t="s">
        <v>29</v>
      </c>
      <c r="G191" s="121"/>
      <c r="H191" s="121"/>
    </row>
    <row r="192" spans="1:13" s="12" customFormat="1" x14ac:dyDescent="0.25">
      <c r="A192" s="76" t="s">
        <v>126</v>
      </c>
      <c r="B192" s="76"/>
      <c r="C192" s="76"/>
      <c r="D192" s="76"/>
      <c r="E192" s="76"/>
      <c r="F192" s="121" t="s">
        <v>220</v>
      </c>
      <c r="G192" s="121"/>
      <c r="H192" s="121"/>
      <c r="J192" s="12" t="s">
        <v>305</v>
      </c>
    </row>
    <row r="193" spans="1:8" s="12" customFormat="1" hidden="1" x14ac:dyDescent="0.25">
      <c r="A193" s="76" t="s">
        <v>127</v>
      </c>
      <c r="B193" s="76"/>
      <c r="C193" s="76"/>
      <c r="D193" s="76"/>
      <c r="E193" s="76"/>
      <c r="F193" s="121" t="s">
        <v>29</v>
      </c>
      <c r="G193" s="121"/>
      <c r="H193" s="121"/>
    </row>
    <row r="194" spans="1:8" s="12" customFormat="1" hidden="1" x14ac:dyDescent="0.25">
      <c r="A194" s="76" t="s">
        <v>128</v>
      </c>
      <c r="B194" s="76"/>
      <c r="C194" s="76"/>
      <c r="D194" s="76"/>
      <c r="E194" s="76"/>
      <c r="F194" s="121" t="s">
        <v>29</v>
      </c>
      <c r="G194" s="121"/>
      <c r="H194" s="121"/>
    </row>
    <row r="195" spans="1:8" s="12" customFormat="1" hidden="1" x14ac:dyDescent="0.25">
      <c r="A195" s="76" t="s">
        <v>129</v>
      </c>
      <c r="B195" s="76"/>
      <c r="C195" s="76"/>
      <c r="D195" s="76"/>
      <c r="E195" s="76"/>
      <c r="F195" s="121" t="s">
        <v>29</v>
      </c>
      <c r="G195" s="121"/>
      <c r="H195" s="121"/>
    </row>
    <row r="196" spans="1:8" s="12" customFormat="1" hidden="1" x14ac:dyDescent="0.25">
      <c r="A196" s="76" t="s">
        <v>130</v>
      </c>
      <c r="B196" s="76"/>
      <c r="C196" s="76"/>
      <c r="D196" s="76"/>
      <c r="E196" s="76"/>
      <c r="F196" s="121" t="s">
        <v>29</v>
      </c>
      <c r="G196" s="121"/>
      <c r="H196" s="121"/>
    </row>
    <row r="197" spans="1:8" s="12" customFormat="1" hidden="1" x14ac:dyDescent="0.25">
      <c r="A197" s="76" t="s">
        <v>131</v>
      </c>
      <c r="B197" s="76"/>
      <c r="C197" s="76"/>
      <c r="D197" s="76"/>
      <c r="E197" s="76"/>
      <c r="F197" s="121" t="s">
        <v>29</v>
      </c>
      <c r="G197" s="121"/>
      <c r="H197" s="121"/>
    </row>
    <row r="198" spans="1:8" s="12" customFormat="1" hidden="1" x14ac:dyDescent="0.25">
      <c r="A198" s="76" t="s">
        <v>132</v>
      </c>
      <c r="B198" s="76"/>
      <c r="C198" s="76"/>
      <c r="D198" s="76"/>
      <c r="E198" s="76"/>
      <c r="F198" s="121" t="s">
        <v>29</v>
      </c>
      <c r="G198" s="121"/>
      <c r="H198" s="121"/>
    </row>
    <row r="199" spans="1:8" x14ac:dyDescent="0.25">
      <c r="A199" s="76" t="s">
        <v>53</v>
      </c>
      <c r="B199" s="76"/>
      <c r="C199" s="76"/>
      <c r="D199" s="76"/>
      <c r="E199" s="76"/>
      <c r="F199" s="79" t="s">
        <v>306</v>
      </c>
      <c r="G199" s="79"/>
      <c r="H199" s="79"/>
    </row>
    <row r="200" spans="1:8" s="9" customFormat="1" x14ac:dyDescent="0.25">
      <c r="A200" s="81" t="s">
        <v>54</v>
      </c>
      <c r="B200" s="81"/>
      <c r="C200" s="81"/>
      <c r="D200" s="81"/>
      <c r="E200" s="81"/>
      <c r="F200" s="121">
        <f>F188*0.8</f>
        <v>5200</v>
      </c>
      <c r="G200" s="121"/>
      <c r="H200" s="121"/>
    </row>
    <row r="201" spans="1:8" s="1" customFormat="1" ht="15.75" customHeight="1" x14ac:dyDescent="0.25">
      <c r="A201" s="110" t="s">
        <v>102</v>
      </c>
      <c r="B201" s="110"/>
      <c r="C201" s="110"/>
      <c r="D201" s="110"/>
      <c r="E201" s="110"/>
      <c r="F201" s="110"/>
      <c r="G201" s="110"/>
      <c r="H201" s="110"/>
    </row>
    <row r="202" spans="1:8" s="1" customFormat="1" ht="15.75" customHeight="1" x14ac:dyDescent="0.25">
      <c r="A202" s="115" t="s">
        <v>55</v>
      </c>
      <c r="B202" s="115"/>
      <c r="C202" s="112" t="s">
        <v>105</v>
      </c>
      <c r="D202" s="112"/>
      <c r="E202" s="114" t="s">
        <v>56</v>
      </c>
      <c r="F202" s="114"/>
      <c r="G202" s="115" t="s">
        <v>57</v>
      </c>
      <c r="H202" s="115"/>
    </row>
    <row r="203" spans="1:8" s="1" customFormat="1" x14ac:dyDescent="0.25">
      <c r="A203" s="104" t="s">
        <v>186</v>
      </c>
      <c r="B203" s="104"/>
      <c r="C203" s="105">
        <f>COUNT(D234:D243)+COUNT(D245:D254)</f>
        <v>20</v>
      </c>
      <c r="D203" s="106"/>
      <c r="E203" s="107">
        <f>SUM(D234:D243)+SUM(D245:D254)</f>
        <v>4108.2958799999997</v>
      </c>
      <c r="F203" s="108"/>
      <c r="G203" s="109">
        <f>SUM(F234:F243)+SUM(F245:F254)</f>
        <v>6573.2734079999991</v>
      </c>
      <c r="H203" s="109"/>
    </row>
    <row r="204" spans="1:8" s="1" customFormat="1" x14ac:dyDescent="0.25">
      <c r="A204" s="104" t="s">
        <v>193</v>
      </c>
      <c r="B204" s="104"/>
      <c r="C204" s="105">
        <f>COUNT(D257:D266)+COUNT(D268:D277)</f>
        <v>20</v>
      </c>
      <c r="D204" s="106"/>
      <c r="E204" s="107">
        <f>SUM(D257:D266)+SUM(D268:D277)</f>
        <v>4097.1820499999994</v>
      </c>
      <c r="F204" s="108"/>
      <c r="G204" s="109">
        <f>SUM(F257:F266)+SUM(F268:F277)</f>
        <v>6555.4912799999993</v>
      </c>
      <c r="H204" s="109"/>
    </row>
    <row r="205" spans="1:8" s="1" customFormat="1" x14ac:dyDescent="0.25">
      <c r="A205" s="104" t="s">
        <v>199</v>
      </c>
      <c r="B205" s="104"/>
      <c r="C205" s="105">
        <f>COUNT(D280:D290)+COUNT(D292:D302)</f>
        <v>22</v>
      </c>
      <c r="D205" s="106"/>
      <c r="E205" s="107">
        <f>SUM(D280:D290)+SUM(D292:D302)</f>
        <v>4181.5448999999999</v>
      </c>
      <c r="F205" s="108"/>
      <c r="G205" s="109">
        <f>SUM(F280:F290)+SUM(F292:F302)</f>
        <v>6690.4718400000002</v>
      </c>
      <c r="H205" s="109"/>
    </row>
    <row r="206" spans="1:8" s="1" customFormat="1" x14ac:dyDescent="0.25">
      <c r="A206" s="104" t="s">
        <v>229</v>
      </c>
      <c r="B206" s="104"/>
      <c r="C206" s="105">
        <f>COUNT(D305:D309)+COUNT(D311:D315)</f>
        <v>10</v>
      </c>
      <c r="D206" s="106"/>
      <c r="E206" s="107">
        <f>SUM(D305:D309)+SUM(D311:D315)</f>
        <v>1708.7311799999998</v>
      </c>
      <c r="F206" s="108"/>
      <c r="G206" s="107">
        <f>SUM(F305:F309)+SUM(F311:F315)</f>
        <v>2733.9698879999996</v>
      </c>
      <c r="H206" s="108"/>
    </row>
    <row r="207" spans="1:8" s="1" customFormat="1" x14ac:dyDescent="0.25">
      <c r="A207" s="104" t="s">
        <v>239</v>
      </c>
      <c r="B207" s="104"/>
      <c r="C207" s="105">
        <f>COUNT(D318:D325)+COUNT(D327:D332)</f>
        <v>14</v>
      </c>
      <c r="D207" s="106"/>
      <c r="E207" s="107">
        <f>SUM(D318:D325)+SUM(D327:D332)</f>
        <v>2596.5997200000002</v>
      </c>
      <c r="F207" s="108"/>
      <c r="G207" s="107">
        <f>SUM(F318:F325)+SUM(F327:F332)</f>
        <v>4154.5595520000006</v>
      </c>
      <c r="H207" s="108"/>
    </row>
    <row r="208" spans="1:8" s="1" customFormat="1" x14ac:dyDescent="0.25">
      <c r="A208" s="110" t="s">
        <v>59</v>
      </c>
      <c r="B208" s="110"/>
      <c r="C208" s="111">
        <f>SUM(C203:D207)</f>
        <v>86</v>
      </c>
      <c r="D208" s="112"/>
      <c r="E208" s="113">
        <f>SUM(E203:F207)</f>
        <v>16692.353729999995</v>
      </c>
      <c r="F208" s="114"/>
      <c r="G208" s="115">
        <f>SUM(G203:H207)</f>
        <v>26707.765968</v>
      </c>
      <c r="H208" s="115"/>
    </row>
    <row r="209" spans="1:8" s="1" customFormat="1" x14ac:dyDescent="0.25">
      <c r="A209" s="110" t="s">
        <v>320</v>
      </c>
      <c r="B209" s="110"/>
      <c r="C209" s="110"/>
      <c r="D209" s="110"/>
      <c r="E209" s="110"/>
      <c r="F209" s="110"/>
      <c r="G209" s="110"/>
      <c r="H209" s="110"/>
    </row>
    <row r="210" spans="1:8" s="1" customFormat="1" ht="15.75" customHeight="1" x14ac:dyDescent="0.25">
      <c r="A210" s="115" t="s">
        <v>55</v>
      </c>
      <c r="B210" s="115"/>
      <c r="C210" s="112" t="s">
        <v>105</v>
      </c>
      <c r="D210" s="112"/>
      <c r="E210" s="114" t="s">
        <v>56</v>
      </c>
      <c r="F210" s="114"/>
      <c r="G210" s="115" t="s">
        <v>57</v>
      </c>
      <c r="H210" s="115"/>
    </row>
    <row r="211" spans="1:8" s="1" customFormat="1" x14ac:dyDescent="0.25">
      <c r="A211" s="104" t="s">
        <v>186</v>
      </c>
      <c r="B211" s="104"/>
      <c r="C211" s="106">
        <f>COUNT(D338:D344)+COUNT(D346:D352)*14+COUNT(D354:D360)*4</f>
        <v>133</v>
      </c>
      <c r="D211" s="106"/>
      <c r="E211" s="105">
        <f>SUM(D338:D344)+SUM(D346:D352)*14+SUM(D354:D360)*4</f>
        <v>58379.953320000001</v>
      </c>
      <c r="F211" s="105"/>
      <c r="G211" s="105">
        <f>SUM(F338:F344)+SUM(F346:F352)*14+SUM(F354:F360)*4</f>
        <v>87952.159619999991</v>
      </c>
      <c r="H211" s="105"/>
    </row>
    <row r="212" spans="1:8" s="1" customFormat="1" x14ac:dyDescent="0.25">
      <c r="A212" s="104" t="s">
        <v>193</v>
      </c>
      <c r="B212" s="104"/>
      <c r="C212" s="106">
        <f>COUNT(D371:D377)+COUNT(D379:D385)*14+COUNT(D387:D393)*4</f>
        <v>133</v>
      </c>
      <c r="D212" s="106"/>
      <c r="E212" s="105">
        <f>SUM(D371:D377)+SUM(D379:D385)*14+SUM(D387:D393)*4</f>
        <v>64036.542959999984</v>
      </c>
      <c r="F212" s="105"/>
      <c r="G212" s="105">
        <f>SUM(F371:F377)+SUM(F379:F385)*14+SUM(F387:F393)*4</f>
        <v>96604.04753999997</v>
      </c>
      <c r="H212" s="105"/>
    </row>
    <row r="213" spans="1:8" s="1" customFormat="1" x14ac:dyDescent="0.25">
      <c r="A213" s="104" t="s">
        <v>321</v>
      </c>
      <c r="B213" s="104"/>
      <c r="C213" s="106">
        <f>COUNT(D406:D409)*15+COUNT(D411:D414)*3</f>
        <v>72</v>
      </c>
      <c r="D213" s="106"/>
      <c r="E213" s="105">
        <f>SUM(D406:D409)*15+SUM(D411:D414)*3</f>
        <v>32033.01816</v>
      </c>
      <c r="F213" s="105"/>
      <c r="G213" s="105">
        <f>SUM(F406:F409)*15+SUM(F411:F414)*3</f>
        <v>48049.527239999996</v>
      </c>
      <c r="H213" s="105"/>
    </row>
    <row r="214" spans="1:8" s="1" customFormat="1" x14ac:dyDescent="0.25">
      <c r="A214" s="104" t="s">
        <v>199</v>
      </c>
      <c r="B214" s="104"/>
      <c r="C214" s="106">
        <f>COUNT(D427:D432)+COUNT(D434:D439)*14+COUNT(D441:D446)*3</f>
        <v>108</v>
      </c>
      <c r="D214" s="106"/>
      <c r="E214" s="105">
        <f>SUM(D427:D432)+SUM(D434:D439)*14+SUM(D441:D446)*3</f>
        <v>53220.95648999999</v>
      </c>
      <c r="F214" s="105"/>
      <c r="G214" s="105">
        <f>SUM(F427:F432)+SUM(F434:F439)*14+SUM(F441:F446)*3</f>
        <v>80181.264735000004</v>
      </c>
      <c r="H214" s="105"/>
    </row>
    <row r="215" spans="1:8" s="1" customFormat="1" x14ac:dyDescent="0.25">
      <c r="A215" s="227" t="s">
        <v>229</v>
      </c>
      <c r="B215" s="227"/>
      <c r="C215" s="105">
        <f>COUNT(D463,D466)+COUNT(D468:D471)*16+COUNT(D473:D476)*4</f>
        <v>82</v>
      </c>
      <c r="D215" s="105"/>
      <c r="E215" s="105">
        <f>SUM(D463,D466)+SUM(D468:D471)*16+SUM(D473:D476)*4</f>
        <v>48855.212639999998</v>
      </c>
      <c r="F215" s="105"/>
      <c r="G215" s="105">
        <f>SUM(F463,F466)+SUM(F468:F471)*16+SUM(F473:F476)*4</f>
        <v>73580.039909999992</v>
      </c>
      <c r="H215" s="105"/>
    </row>
    <row r="216" spans="1:8" s="1" customFormat="1" x14ac:dyDescent="0.25">
      <c r="A216" s="104" t="s">
        <v>239</v>
      </c>
      <c r="B216" s="104"/>
      <c r="C216" s="106">
        <f>COUNT(D479)+COUNT(D481:D482)+COUNT(D484:D489)+COUNT(D491:D496)*15+COUNT(D498:D503)*4</f>
        <v>123</v>
      </c>
      <c r="D216" s="106"/>
      <c r="E216" s="105">
        <f>SUM(D479)+SUM(D481:D482)+SUM(D484:D489)+SUM(D491:D496)*15+SUM(D498:D503)*4</f>
        <v>62858.476979999992</v>
      </c>
      <c r="F216" s="105"/>
      <c r="G216" s="105">
        <f>SUM(F479)+SUM(F481:F482)+SUM(F484:F489)+SUM(F491:F496)*15+SUM(F498:F503)*4</f>
        <v>95020.044209999993</v>
      </c>
      <c r="H216" s="105"/>
    </row>
    <row r="217" spans="1:8" s="1" customFormat="1" x14ac:dyDescent="0.25">
      <c r="A217" s="104" t="s">
        <v>270</v>
      </c>
      <c r="B217" s="104"/>
      <c r="C217" s="106">
        <f>COUNT(D510:D512)+COUNT(D518:D520)+COUNT(D523:D529)*16+COUNT(D531:D537)*4</f>
        <v>146</v>
      </c>
      <c r="D217" s="106"/>
      <c r="E217" s="105">
        <f>SUM(D510:D512)+SUM(D518:D520)+SUM(D523:D529)*16+SUM(D531:D537)*4</f>
        <v>71218.929599999989</v>
      </c>
      <c r="F217" s="105"/>
      <c r="G217" s="105">
        <f>SUM(F510:F512)+SUM(F518:F520)+SUM(F523:F529)*16+SUM(F531:F537)*4</f>
        <v>106828.39439999999</v>
      </c>
      <c r="H217" s="105"/>
    </row>
    <row r="218" spans="1:8" s="1" customFormat="1" x14ac:dyDescent="0.25">
      <c r="A218" s="104" t="s">
        <v>276</v>
      </c>
      <c r="B218" s="104"/>
      <c r="C218" s="106">
        <f>COUNT(D546:D547)+COUNT(D555:D556)+COUNT(D559:D566)*16+COUNT(D568:D575)*4</f>
        <v>164</v>
      </c>
      <c r="D218" s="106"/>
      <c r="E218" s="105">
        <f>SUM(D546:D547)+SUM(D555:D556)+SUM(D559:D566)*16+SUM(D568:D575)*4</f>
        <v>119730.34007999998</v>
      </c>
      <c r="F218" s="105"/>
      <c r="G218" s="175">
        <f>SUM(F546:F547)+SUM(F555:F556)+SUM(F559:F566)*16+SUM(F568:F575)*4</f>
        <v>179595.51011999993</v>
      </c>
      <c r="H218" s="176"/>
    </row>
    <row r="219" spans="1:8" s="1" customFormat="1" x14ac:dyDescent="0.25">
      <c r="A219" s="110" t="s">
        <v>59</v>
      </c>
      <c r="B219" s="110"/>
      <c r="C219" s="111">
        <f>SUM(C211:C218)</f>
        <v>961</v>
      </c>
      <c r="D219" s="111"/>
      <c r="E219" s="111">
        <f>SUM(E211:E218)</f>
        <v>510333.43022999994</v>
      </c>
      <c r="F219" s="111"/>
      <c r="G219" s="111">
        <f>SUM(G211:G218)</f>
        <v>767810.98777499981</v>
      </c>
      <c r="H219" s="111"/>
    </row>
    <row r="220" spans="1:8" s="1" customFormat="1" x14ac:dyDescent="0.25">
      <c r="A220" s="110" t="s">
        <v>319</v>
      </c>
      <c r="B220" s="110"/>
      <c r="C220" s="110"/>
      <c r="D220" s="110"/>
      <c r="E220" s="110"/>
      <c r="F220" s="110"/>
      <c r="G220" s="110"/>
      <c r="H220" s="110"/>
    </row>
    <row r="221" spans="1:8" s="1" customFormat="1" ht="15.75" customHeight="1" x14ac:dyDescent="0.25">
      <c r="A221" s="115" t="s">
        <v>55</v>
      </c>
      <c r="B221" s="115"/>
      <c r="C221" s="112" t="s">
        <v>105</v>
      </c>
      <c r="D221" s="112"/>
      <c r="E221" s="114" t="s">
        <v>56</v>
      </c>
      <c r="F221" s="114"/>
      <c r="G221" s="115" t="s">
        <v>57</v>
      </c>
      <c r="H221" s="115"/>
    </row>
    <row r="222" spans="1:8" s="1" customFormat="1" ht="15.75" customHeight="1" x14ac:dyDescent="0.25">
      <c r="A222" s="104" t="s">
        <v>186</v>
      </c>
      <c r="B222" s="104"/>
      <c r="C222" s="106">
        <f>COUNT(D362:D368)*2</f>
        <v>14</v>
      </c>
      <c r="D222" s="106"/>
      <c r="E222" s="105">
        <f>SUM(D362:D368)*2</f>
        <v>6239.0296799999996</v>
      </c>
      <c r="F222" s="105"/>
      <c r="G222" s="105">
        <f>SUM(F362:F368)*2</f>
        <v>9358.5445199999976</v>
      </c>
      <c r="H222" s="105"/>
    </row>
    <row r="223" spans="1:8" s="1" customFormat="1" ht="15.75" customHeight="1" x14ac:dyDescent="0.25">
      <c r="A223" s="104" t="s">
        <v>193</v>
      </c>
      <c r="B223" s="104"/>
      <c r="C223" s="106">
        <f>COUNT(D395:D401)*2</f>
        <v>14</v>
      </c>
      <c r="D223" s="106"/>
      <c r="E223" s="105">
        <f>SUM(D395:D401)*2</f>
        <v>6762.1600799999987</v>
      </c>
      <c r="F223" s="105"/>
      <c r="G223" s="105">
        <f>SUM(F395:F401)*2</f>
        <v>10143.240119999999</v>
      </c>
      <c r="H223" s="105"/>
    </row>
    <row r="224" spans="1:8" s="1" customFormat="1" ht="15.75" customHeight="1" x14ac:dyDescent="0.25">
      <c r="A224" s="104" t="s">
        <v>321</v>
      </c>
      <c r="B224" s="104"/>
      <c r="C224" s="106">
        <f>COUNT(D416:D419)+COUNT(D421:D424)*2</f>
        <v>12</v>
      </c>
      <c r="D224" s="106"/>
      <c r="E224" s="105">
        <f t="shared" ref="E224" si="0">SUM(D416:D419)+SUM(D421:D424)*2</f>
        <v>5338.8363599999993</v>
      </c>
      <c r="F224" s="105"/>
      <c r="G224" s="105">
        <f>SUM(F416:F419)+SUM(F421:F424)*2</f>
        <v>8008.254539999999</v>
      </c>
      <c r="H224" s="105"/>
    </row>
    <row r="225" spans="1:14" s="1" customFormat="1" ht="15.75" customHeight="1" x14ac:dyDescent="0.25">
      <c r="A225" s="104" t="s">
        <v>199</v>
      </c>
      <c r="B225" s="104"/>
      <c r="C225" s="106">
        <f>COUNT(D448:D453)+COUNT(D455:D460)*2</f>
        <v>18</v>
      </c>
      <c r="D225" s="106"/>
      <c r="E225" s="105">
        <f>SUM(D448:D453)+SUM(D455:D460)*2</f>
        <v>8845.6668299999983</v>
      </c>
      <c r="F225" s="105"/>
      <c r="G225" s="105">
        <f>SUM(F448:F453)+SUM(F455:F460)*2</f>
        <v>13268.500244999999</v>
      </c>
      <c r="H225" s="105"/>
    </row>
    <row r="226" spans="1:14" s="1" customFormat="1" x14ac:dyDescent="0.25">
      <c r="A226" s="110" t="s">
        <v>59</v>
      </c>
      <c r="B226" s="110"/>
      <c r="C226" s="111">
        <f>SUM(C222:C225)</f>
        <v>58</v>
      </c>
      <c r="D226" s="111"/>
      <c r="E226" s="111">
        <f>SUM(E222:E225)</f>
        <v>27185.692949999993</v>
      </c>
      <c r="F226" s="111"/>
      <c r="G226" s="111">
        <f>SUM(G222:G225)</f>
        <v>40778.539424999995</v>
      </c>
      <c r="H226" s="111"/>
    </row>
    <row r="227" spans="1:14" s="9" customFormat="1" x14ac:dyDescent="0.25">
      <c r="A227" s="135" t="s">
        <v>60</v>
      </c>
      <c r="B227" s="135"/>
      <c r="C227" s="135"/>
      <c r="D227" s="135"/>
      <c r="E227" s="135"/>
      <c r="F227" s="135"/>
      <c r="G227" s="135"/>
      <c r="H227" s="135"/>
    </row>
    <row r="228" spans="1:14" x14ac:dyDescent="0.25">
      <c r="A228" s="135" t="s">
        <v>61</v>
      </c>
      <c r="B228" s="135"/>
      <c r="C228" s="135"/>
      <c r="D228" s="135"/>
      <c r="E228" s="135"/>
      <c r="F228" s="135"/>
      <c r="G228" s="135"/>
      <c r="H228" s="135"/>
    </row>
    <row r="229" spans="1:14" ht="47.25" customHeight="1" x14ac:dyDescent="0.25">
      <c r="A229" s="116" t="s">
        <v>155</v>
      </c>
      <c r="B229" s="116" t="s">
        <v>154</v>
      </c>
      <c r="C229" s="116" t="s">
        <v>62</v>
      </c>
      <c r="D229" s="116" t="s">
        <v>63</v>
      </c>
      <c r="E229" s="173" t="s">
        <v>64</v>
      </c>
      <c r="F229" s="70" t="s">
        <v>152</v>
      </c>
      <c r="G229" s="116" t="s">
        <v>65</v>
      </c>
      <c r="H229" s="116"/>
    </row>
    <row r="230" spans="1:14" s="2" customFormat="1" x14ac:dyDescent="0.25">
      <c r="A230" s="116"/>
      <c r="B230" s="116"/>
      <c r="C230" s="116"/>
      <c r="D230" s="116"/>
      <c r="E230" s="173"/>
      <c r="F230" s="71">
        <v>0.6</v>
      </c>
      <c r="G230" s="116"/>
      <c r="H230" s="116"/>
    </row>
    <row r="231" spans="1:14" s="2" customFormat="1" x14ac:dyDescent="0.25">
      <c r="A231" s="99" t="s">
        <v>217</v>
      </c>
      <c r="B231" s="99"/>
      <c r="C231" s="99"/>
      <c r="D231" s="99"/>
      <c r="E231" s="99"/>
      <c r="F231" s="99"/>
      <c r="G231" s="99"/>
      <c r="H231" s="99"/>
    </row>
    <row r="232" spans="1:14" s="2" customFormat="1" x14ac:dyDescent="0.25">
      <c r="A232" s="99" t="s">
        <v>186</v>
      </c>
      <c r="B232" s="99"/>
      <c r="C232" s="99"/>
      <c r="D232" s="99"/>
      <c r="E232" s="99"/>
      <c r="F232" s="99"/>
      <c r="G232" s="99"/>
      <c r="H232" s="99"/>
    </row>
    <row r="233" spans="1:14" s="2" customFormat="1" x14ac:dyDescent="0.25">
      <c r="A233" s="100" t="s">
        <v>187</v>
      </c>
      <c r="B233" s="100"/>
      <c r="C233" s="100"/>
      <c r="D233" s="100"/>
      <c r="E233" s="100"/>
      <c r="F233" s="100"/>
      <c r="G233" s="100"/>
      <c r="H233" s="100"/>
    </row>
    <row r="234" spans="1:14" s="2" customFormat="1" ht="15.75" customHeight="1" x14ac:dyDescent="0.25">
      <c r="A234" s="87">
        <v>1</v>
      </c>
      <c r="B234" s="87"/>
      <c r="C234" s="19" t="s">
        <v>188</v>
      </c>
      <c r="D234" s="19">
        <f>(2.9*3.8+1.95*1.2+2.9*1.2)*10.764</f>
        <v>181.26576</v>
      </c>
      <c r="E234" s="19">
        <v>0</v>
      </c>
      <c r="F234" s="19">
        <f>D234*(($F$230)+1)+E234</f>
        <v>290.025216</v>
      </c>
      <c r="G234" s="87" t="str">
        <f>A233</f>
        <v>Ground Floor Commercial &amp; Parking</v>
      </c>
      <c r="H234" s="87"/>
      <c r="I234" s="36"/>
      <c r="J234" s="2" t="s">
        <v>216</v>
      </c>
      <c r="L234" s="101"/>
      <c r="M234" s="101"/>
      <c r="N234" s="36"/>
    </row>
    <row r="235" spans="1:14" s="2" customFormat="1" ht="15.75" customHeight="1" x14ac:dyDescent="0.25">
      <c r="A235" s="87">
        <f>A234+1</f>
        <v>2</v>
      </c>
      <c r="B235" s="87"/>
      <c r="C235" s="19" t="s">
        <v>188</v>
      </c>
      <c r="D235" s="19">
        <f>(2.4*3.8+2*1.2+2.4*1.2)*10.764</f>
        <v>155.00159999999997</v>
      </c>
      <c r="E235" s="19">
        <v>0</v>
      </c>
      <c r="F235" s="19">
        <f t="shared" ref="F235:F236" si="1">D235*(($F$230)+1)+E235</f>
        <v>248.00255999999996</v>
      </c>
      <c r="G235" s="87"/>
      <c r="H235" s="87"/>
      <c r="I235" s="36"/>
      <c r="L235" s="101"/>
      <c r="M235" s="101"/>
      <c r="N235" s="36"/>
    </row>
    <row r="236" spans="1:14" s="2" customFormat="1" ht="15.75" customHeight="1" x14ac:dyDescent="0.25">
      <c r="A236" s="87">
        <f t="shared" ref="A236:A238" si="2">A235+1</f>
        <v>3</v>
      </c>
      <c r="B236" s="87"/>
      <c r="C236" s="19" t="s">
        <v>188</v>
      </c>
      <c r="D236" s="19">
        <f>(2.9*5.9+1.2*1.95+2.9*1.2)*10.764</f>
        <v>246.81851999999998</v>
      </c>
      <c r="E236" s="19">
        <v>0</v>
      </c>
      <c r="F236" s="19">
        <f t="shared" si="1"/>
        <v>394.90963199999999</v>
      </c>
      <c r="G236" s="87"/>
      <c r="H236" s="87"/>
      <c r="I236" s="36"/>
      <c r="L236" s="101"/>
      <c r="M236" s="101"/>
      <c r="N236" s="36"/>
    </row>
    <row r="237" spans="1:14" s="2" customFormat="1" ht="15.75" customHeight="1" x14ac:dyDescent="0.25">
      <c r="A237" s="87">
        <f t="shared" si="2"/>
        <v>4</v>
      </c>
      <c r="B237" s="87"/>
      <c r="C237" s="19" t="s">
        <v>188</v>
      </c>
      <c r="D237" s="19">
        <f>(2.9*4.7+1.2*0.9+2.9*1.2)*10.764</f>
        <v>195.79715999999999</v>
      </c>
      <c r="E237" s="19">
        <v>0</v>
      </c>
      <c r="F237" s="19">
        <f t="shared" ref="F237:F238" si="3">D237*(($F$230)+1)+E237</f>
        <v>313.27545600000002</v>
      </c>
      <c r="G237" s="87"/>
      <c r="H237" s="87"/>
      <c r="I237" s="36"/>
      <c r="L237" s="101"/>
      <c r="M237" s="101"/>
      <c r="N237" s="36"/>
    </row>
    <row r="238" spans="1:14" s="2" customFormat="1" ht="15.75" customHeight="1" x14ac:dyDescent="0.25">
      <c r="A238" s="87">
        <f t="shared" si="2"/>
        <v>5</v>
      </c>
      <c r="B238" s="87"/>
      <c r="C238" s="19" t="s">
        <v>188</v>
      </c>
      <c r="D238" s="19">
        <f>(2.4*3.2+1.2*0.95+2.4*1.2)*10.764</f>
        <v>125.93879999999999</v>
      </c>
      <c r="E238" s="19">
        <v>0</v>
      </c>
      <c r="F238" s="19">
        <f t="shared" si="3"/>
        <v>201.50207999999998</v>
      </c>
      <c r="G238" s="87"/>
      <c r="H238" s="87"/>
      <c r="I238" s="36"/>
      <c r="L238" s="101"/>
      <c r="M238" s="101"/>
      <c r="N238" s="36"/>
    </row>
    <row r="239" spans="1:14" s="2" customFormat="1" ht="15.75" customHeight="1" x14ac:dyDescent="0.25">
      <c r="A239" s="87">
        <f t="shared" ref="A239:A243" si="4">A238+1</f>
        <v>6</v>
      </c>
      <c r="B239" s="87"/>
      <c r="C239" s="19" t="s">
        <v>188</v>
      </c>
      <c r="D239" s="19">
        <f>(2.9*6.4+1.2*0.95+2.9*1.2)*10.764</f>
        <v>249.50951999999998</v>
      </c>
      <c r="E239" s="19">
        <v>0</v>
      </c>
      <c r="F239" s="19">
        <f t="shared" ref="F239:F241" si="5">D239*(($F$230)+1)+E239</f>
        <v>399.21523200000001</v>
      </c>
      <c r="G239" s="87"/>
      <c r="H239" s="87"/>
      <c r="I239" s="36"/>
      <c r="L239" s="101"/>
      <c r="M239" s="101"/>
      <c r="N239" s="36"/>
    </row>
    <row r="240" spans="1:14" s="2" customFormat="1" ht="15.75" customHeight="1" x14ac:dyDescent="0.25">
      <c r="A240" s="87">
        <f t="shared" si="4"/>
        <v>7</v>
      </c>
      <c r="B240" s="87"/>
      <c r="C240" s="19" t="s">
        <v>188</v>
      </c>
      <c r="D240" s="19">
        <f>(4.25*4.7+4.25*1.2)*10.764</f>
        <v>269.90730000000002</v>
      </c>
      <c r="E240" s="19">
        <v>0</v>
      </c>
      <c r="F240" s="19">
        <f t="shared" si="5"/>
        <v>431.85168000000004</v>
      </c>
      <c r="G240" s="87"/>
      <c r="H240" s="87"/>
      <c r="I240" s="36"/>
      <c r="L240" s="101"/>
      <c r="M240" s="101"/>
      <c r="N240" s="36"/>
    </row>
    <row r="241" spans="1:14" s="2" customFormat="1" ht="15.75" customHeight="1" x14ac:dyDescent="0.25">
      <c r="A241" s="87">
        <f t="shared" si="4"/>
        <v>8</v>
      </c>
      <c r="B241" s="87"/>
      <c r="C241" s="19" t="s">
        <v>188</v>
      </c>
      <c r="D241" s="19">
        <f>(2.9*5.9+1.2*1.95+2.9*1.2)*10.764</f>
        <v>246.81851999999998</v>
      </c>
      <c r="E241" s="19">
        <v>0</v>
      </c>
      <c r="F241" s="19">
        <f t="shared" si="5"/>
        <v>394.90963199999999</v>
      </c>
      <c r="G241" s="87"/>
      <c r="H241" s="87"/>
      <c r="I241" s="36"/>
      <c r="L241" s="101"/>
      <c r="M241" s="101"/>
      <c r="N241" s="36"/>
    </row>
    <row r="242" spans="1:14" s="2" customFormat="1" ht="15.75" customHeight="1" x14ac:dyDescent="0.25">
      <c r="A242" s="87">
        <f t="shared" si="4"/>
        <v>9</v>
      </c>
      <c r="B242" s="87"/>
      <c r="C242" s="19" t="s">
        <v>188</v>
      </c>
      <c r="D242" s="19">
        <f>(2.4*3.8+2*1.2+2.4*1.2)*10.764</f>
        <v>155.00159999999997</v>
      </c>
      <c r="E242" s="19">
        <v>0</v>
      </c>
      <c r="F242" s="19">
        <f t="shared" ref="F242:F243" si="6">D242*(($F$230)+1)+E242</f>
        <v>248.00255999999996</v>
      </c>
      <c r="G242" s="87"/>
      <c r="H242" s="87"/>
      <c r="I242" s="36"/>
      <c r="L242" s="101"/>
      <c r="M242" s="101"/>
      <c r="N242" s="36"/>
    </row>
    <row r="243" spans="1:14" s="2" customFormat="1" ht="15.75" customHeight="1" x14ac:dyDescent="0.25">
      <c r="A243" s="87">
        <f t="shared" si="4"/>
        <v>10</v>
      </c>
      <c r="B243" s="87"/>
      <c r="C243" s="19" t="s">
        <v>188</v>
      </c>
      <c r="D243" s="19">
        <f>(2.9*3.8+1.95*1.2+2.9*1.2)*10.764</f>
        <v>181.26576</v>
      </c>
      <c r="E243" s="19">
        <v>0</v>
      </c>
      <c r="F243" s="19">
        <f t="shared" si="6"/>
        <v>290.025216</v>
      </c>
      <c r="G243" s="87"/>
      <c r="H243" s="87"/>
      <c r="I243" s="36"/>
      <c r="L243" s="101"/>
      <c r="M243" s="101"/>
      <c r="N243" s="36"/>
    </row>
    <row r="244" spans="1:14" s="2" customFormat="1" x14ac:dyDescent="0.25">
      <c r="A244" s="92" t="s">
        <v>189</v>
      </c>
      <c r="B244" s="93"/>
      <c r="C244" s="93"/>
      <c r="D244" s="93"/>
      <c r="E244" s="93"/>
      <c r="F244" s="93"/>
      <c r="G244" s="93"/>
      <c r="H244" s="94"/>
    </row>
    <row r="245" spans="1:14" s="2" customFormat="1" ht="15.75" customHeight="1" x14ac:dyDescent="0.25">
      <c r="A245" s="87">
        <v>101</v>
      </c>
      <c r="B245" s="87"/>
      <c r="C245" s="19" t="s">
        <v>188</v>
      </c>
      <c r="D245" s="19">
        <f>(2.9*3.8+1.95*1.2+2.9*1.5)*10.764</f>
        <v>190.63043999999999</v>
      </c>
      <c r="E245" s="19">
        <v>0</v>
      </c>
      <c r="F245" s="19">
        <f>D245*(($F$230)+1)+E245</f>
        <v>305.00870400000002</v>
      </c>
      <c r="G245" s="87" t="str">
        <f>A244</f>
        <v>1st Floor Commercial &amp; Parking</v>
      </c>
      <c r="H245" s="87"/>
      <c r="I245" s="36"/>
      <c r="L245" s="101"/>
      <c r="M245" s="101"/>
      <c r="N245" s="36"/>
    </row>
    <row r="246" spans="1:14" s="2" customFormat="1" ht="15.75" customHeight="1" x14ac:dyDescent="0.25">
      <c r="A246" s="87">
        <f>A245+1</f>
        <v>102</v>
      </c>
      <c r="B246" s="87"/>
      <c r="C246" s="19" t="s">
        <v>188</v>
      </c>
      <c r="D246" s="19">
        <f>(2.4*3.8+2*1.2+2.4*1.5)*10.764</f>
        <v>162.75167999999999</v>
      </c>
      <c r="E246" s="19">
        <v>0</v>
      </c>
      <c r="F246" s="19">
        <f t="shared" ref="F246:F254" si="7">D246*(($F$230)+1)+E246</f>
        <v>260.40268800000001</v>
      </c>
      <c r="G246" s="87"/>
      <c r="H246" s="87"/>
      <c r="I246" s="36"/>
      <c r="L246" s="101"/>
      <c r="M246" s="101"/>
      <c r="N246" s="36"/>
    </row>
    <row r="247" spans="1:14" s="2" customFormat="1" ht="15.75" customHeight="1" x14ac:dyDescent="0.25">
      <c r="A247" s="87">
        <f t="shared" ref="A247:A254" si="8">A246+1</f>
        <v>103</v>
      </c>
      <c r="B247" s="87"/>
      <c r="C247" s="19" t="s">
        <v>188</v>
      </c>
      <c r="D247" s="19">
        <f>(2.9*5.9+1.2*1.95+2.9*1.5)*10.764</f>
        <v>256.18319999999994</v>
      </c>
      <c r="E247" s="19">
        <v>0</v>
      </c>
      <c r="F247" s="19">
        <f t="shared" si="7"/>
        <v>409.89311999999995</v>
      </c>
      <c r="G247" s="87"/>
      <c r="H247" s="87"/>
      <c r="I247" s="36"/>
      <c r="L247" s="101"/>
      <c r="M247" s="101"/>
      <c r="N247" s="36"/>
    </row>
    <row r="248" spans="1:14" s="2" customFormat="1" ht="15.75" customHeight="1" x14ac:dyDescent="0.25">
      <c r="A248" s="87">
        <f t="shared" si="8"/>
        <v>104</v>
      </c>
      <c r="B248" s="87"/>
      <c r="C248" s="19" t="s">
        <v>188</v>
      </c>
      <c r="D248" s="19">
        <f>(2.9*4.7+1.25*0.9+2.9*1.5)*10.764</f>
        <v>205.64622</v>
      </c>
      <c r="E248" s="19">
        <v>0</v>
      </c>
      <c r="F248" s="19">
        <f t="shared" si="7"/>
        <v>329.033952</v>
      </c>
      <c r="G248" s="87"/>
      <c r="H248" s="87"/>
      <c r="I248" s="36"/>
      <c r="L248" s="101"/>
      <c r="M248" s="101"/>
      <c r="N248" s="36"/>
    </row>
    <row r="249" spans="1:14" s="2" customFormat="1" ht="15.75" customHeight="1" x14ac:dyDescent="0.25">
      <c r="A249" s="87">
        <f t="shared" si="8"/>
        <v>105</v>
      </c>
      <c r="B249" s="87"/>
      <c r="C249" s="19" t="s">
        <v>188</v>
      </c>
      <c r="D249" s="19">
        <f>(2.4*3.2+1.2*0.95+2.4*1.5)*10.764</f>
        <v>133.68887999999998</v>
      </c>
      <c r="E249" s="19">
        <v>0</v>
      </c>
      <c r="F249" s="19">
        <f t="shared" si="7"/>
        <v>213.90220799999997</v>
      </c>
      <c r="G249" s="87"/>
      <c r="H249" s="87"/>
      <c r="I249" s="36"/>
      <c r="L249" s="101"/>
      <c r="M249" s="101"/>
      <c r="N249" s="36"/>
    </row>
    <row r="250" spans="1:14" s="2" customFormat="1" ht="15.75" customHeight="1" x14ac:dyDescent="0.25">
      <c r="A250" s="87">
        <f t="shared" si="8"/>
        <v>106</v>
      </c>
      <c r="B250" s="87"/>
      <c r="C250" s="19" t="s">
        <v>188</v>
      </c>
      <c r="D250" s="19">
        <f>(2.9*6.4+1.2*0.95+2.9*1.5)*10.764</f>
        <v>258.87419999999997</v>
      </c>
      <c r="E250" s="19">
        <v>0</v>
      </c>
      <c r="F250" s="19">
        <f t="shared" si="7"/>
        <v>414.19871999999998</v>
      </c>
      <c r="G250" s="87"/>
      <c r="H250" s="87"/>
      <c r="I250" s="36"/>
      <c r="L250" s="101"/>
      <c r="M250" s="101"/>
      <c r="N250" s="36"/>
    </row>
    <row r="251" spans="1:14" s="2" customFormat="1" ht="15.75" customHeight="1" x14ac:dyDescent="0.25">
      <c r="A251" s="87">
        <f t="shared" si="8"/>
        <v>107</v>
      </c>
      <c r="B251" s="87"/>
      <c r="C251" s="19" t="s">
        <v>188</v>
      </c>
      <c r="D251" s="19">
        <f>(4.25*4.7+4.25*1.5)*10.764</f>
        <v>283.63139999999999</v>
      </c>
      <c r="E251" s="19">
        <v>0</v>
      </c>
      <c r="F251" s="19">
        <f t="shared" si="7"/>
        <v>453.81024000000002</v>
      </c>
      <c r="G251" s="87"/>
      <c r="H251" s="87"/>
      <c r="I251" s="36"/>
      <c r="L251" s="101"/>
      <c r="M251" s="101"/>
      <c r="N251" s="36"/>
    </row>
    <row r="252" spans="1:14" s="2" customFormat="1" ht="15.75" customHeight="1" x14ac:dyDescent="0.25">
      <c r="A252" s="87">
        <f t="shared" si="8"/>
        <v>108</v>
      </c>
      <c r="B252" s="87"/>
      <c r="C252" s="19" t="s">
        <v>188</v>
      </c>
      <c r="D252" s="19">
        <f>(2.9*5.9+1.2*1.95+2.9*1.5)*10.764</f>
        <v>256.18319999999994</v>
      </c>
      <c r="E252" s="19">
        <v>0</v>
      </c>
      <c r="F252" s="19">
        <f t="shared" si="7"/>
        <v>409.89311999999995</v>
      </c>
      <c r="G252" s="87"/>
      <c r="H252" s="87"/>
      <c r="I252" s="36"/>
      <c r="L252" s="101"/>
      <c r="M252" s="101"/>
      <c r="N252" s="36"/>
    </row>
    <row r="253" spans="1:14" s="2" customFormat="1" ht="15.75" customHeight="1" x14ac:dyDescent="0.25">
      <c r="A253" s="87">
        <f t="shared" si="8"/>
        <v>109</v>
      </c>
      <c r="B253" s="87"/>
      <c r="C253" s="19" t="s">
        <v>188</v>
      </c>
      <c r="D253" s="19">
        <f>(2.4*3.8+2*1.2+2.4*1.5)*10.764</f>
        <v>162.75167999999999</v>
      </c>
      <c r="E253" s="19">
        <v>0</v>
      </c>
      <c r="F253" s="19">
        <f t="shared" si="7"/>
        <v>260.40268800000001</v>
      </c>
      <c r="G253" s="87"/>
      <c r="H253" s="87"/>
      <c r="I253" s="36"/>
      <c r="L253" s="101"/>
      <c r="M253" s="101"/>
      <c r="N253" s="36"/>
    </row>
    <row r="254" spans="1:14" s="2" customFormat="1" ht="15.75" customHeight="1" x14ac:dyDescent="0.25">
      <c r="A254" s="87">
        <f t="shared" si="8"/>
        <v>110</v>
      </c>
      <c r="B254" s="87"/>
      <c r="C254" s="19" t="s">
        <v>188</v>
      </c>
      <c r="D254" s="19">
        <f>(2.9*3.8+1.95*1.2+2.9*1.5)*10.764</f>
        <v>190.63043999999999</v>
      </c>
      <c r="E254" s="19">
        <v>0</v>
      </c>
      <c r="F254" s="19">
        <f t="shared" si="7"/>
        <v>305.00870400000002</v>
      </c>
      <c r="G254" s="87"/>
      <c r="H254" s="87"/>
      <c r="I254" s="36"/>
      <c r="L254" s="101"/>
      <c r="M254" s="101"/>
      <c r="N254" s="36"/>
    </row>
    <row r="255" spans="1:14" s="2" customFormat="1" x14ac:dyDescent="0.25">
      <c r="A255" s="99" t="s">
        <v>193</v>
      </c>
      <c r="B255" s="99"/>
      <c r="C255" s="99"/>
      <c r="D255" s="99"/>
      <c r="E255" s="99"/>
      <c r="F255" s="99"/>
      <c r="G255" s="99"/>
      <c r="H255" s="99"/>
    </row>
    <row r="256" spans="1:14" s="2" customFormat="1" x14ac:dyDescent="0.25">
      <c r="A256" s="100" t="s">
        <v>187</v>
      </c>
      <c r="B256" s="100"/>
      <c r="C256" s="100"/>
      <c r="D256" s="100"/>
      <c r="E256" s="100"/>
      <c r="F256" s="100"/>
      <c r="G256" s="100"/>
      <c r="H256" s="100"/>
    </row>
    <row r="257" spans="1:14" s="2" customFormat="1" ht="15.75" customHeight="1" x14ac:dyDescent="0.25">
      <c r="A257" s="87">
        <v>1</v>
      </c>
      <c r="B257" s="87"/>
      <c r="C257" s="19" t="s">
        <v>188</v>
      </c>
      <c r="D257" s="19">
        <f>(2.9*3.8+1.95*1.2+2.9*1.2)*10.764</f>
        <v>181.26576</v>
      </c>
      <c r="E257" s="19">
        <v>0</v>
      </c>
      <c r="F257" s="19">
        <f>D257*(($F$230)+1)+E257</f>
        <v>290.025216</v>
      </c>
      <c r="G257" s="87" t="str">
        <f>A256</f>
        <v>Ground Floor Commercial &amp; Parking</v>
      </c>
      <c r="H257" s="87"/>
      <c r="I257" s="36"/>
      <c r="L257" s="101"/>
      <c r="M257" s="101"/>
      <c r="N257" s="36"/>
    </row>
    <row r="258" spans="1:14" s="2" customFormat="1" ht="15.75" customHeight="1" x14ac:dyDescent="0.25">
      <c r="A258" s="87">
        <v>2</v>
      </c>
      <c r="B258" s="87"/>
      <c r="C258" s="19" t="s">
        <v>188</v>
      </c>
      <c r="D258" s="19">
        <f>(2.4*3.8+2*1.2+2.4*1.2)*10.764</f>
        <v>155.00159999999997</v>
      </c>
      <c r="E258" s="19">
        <v>0</v>
      </c>
      <c r="F258" s="19">
        <f t="shared" ref="F258:F266" si="9">D258*(($F$230)+1)+E258</f>
        <v>248.00255999999996</v>
      </c>
      <c r="G258" s="87"/>
      <c r="H258" s="87"/>
      <c r="I258" s="36"/>
      <c r="L258" s="101"/>
      <c r="M258" s="101"/>
      <c r="N258" s="36"/>
    </row>
    <row r="259" spans="1:14" s="2" customFormat="1" ht="15.75" customHeight="1" x14ac:dyDescent="0.25">
      <c r="A259" s="87">
        <v>3</v>
      </c>
      <c r="B259" s="87"/>
      <c r="C259" s="19" t="s">
        <v>188</v>
      </c>
      <c r="D259" s="19">
        <f>(2.9*5.9+1.2*1.95+2.9*1.2)*10.764</f>
        <v>246.81851999999998</v>
      </c>
      <c r="E259" s="19">
        <v>0</v>
      </c>
      <c r="F259" s="19">
        <f t="shared" si="9"/>
        <v>394.90963199999999</v>
      </c>
      <c r="G259" s="87"/>
      <c r="H259" s="87"/>
      <c r="I259" s="36"/>
      <c r="L259" s="101"/>
      <c r="M259" s="101"/>
      <c r="N259" s="36"/>
    </row>
    <row r="260" spans="1:14" s="2" customFormat="1" ht="15.75" customHeight="1" x14ac:dyDescent="0.25">
      <c r="A260" s="87">
        <v>4</v>
      </c>
      <c r="B260" s="87"/>
      <c r="C260" s="19" t="s">
        <v>188</v>
      </c>
      <c r="D260" s="19">
        <f>(4.25*4.7+4.25*1.2)*10.764</f>
        <v>269.90730000000002</v>
      </c>
      <c r="E260" s="19">
        <v>0</v>
      </c>
      <c r="F260" s="19">
        <f t="shared" si="9"/>
        <v>431.85168000000004</v>
      </c>
      <c r="G260" s="87"/>
      <c r="H260" s="87"/>
      <c r="I260" s="36"/>
      <c r="L260" s="101"/>
      <c r="M260" s="101"/>
      <c r="N260" s="36"/>
    </row>
    <row r="261" spans="1:14" s="2" customFormat="1" ht="15.75" customHeight="1" x14ac:dyDescent="0.25">
      <c r="A261" s="87">
        <v>5</v>
      </c>
      <c r="B261" s="87"/>
      <c r="C261" s="19" t="s">
        <v>188</v>
      </c>
      <c r="D261" s="19">
        <f>(2.9*6.4+1.2*0.95+2.9*1.2)*10.764</f>
        <v>249.50951999999998</v>
      </c>
      <c r="E261" s="19">
        <v>0</v>
      </c>
      <c r="F261" s="19">
        <f t="shared" si="9"/>
        <v>399.21523200000001</v>
      </c>
      <c r="G261" s="87"/>
      <c r="H261" s="87"/>
      <c r="I261" s="36"/>
      <c r="L261" s="101"/>
      <c r="M261" s="101"/>
      <c r="N261" s="36"/>
    </row>
    <row r="262" spans="1:14" s="2" customFormat="1" ht="15.75" customHeight="1" x14ac:dyDescent="0.25">
      <c r="A262" s="87">
        <v>6</v>
      </c>
      <c r="B262" s="87"/>
      <c r="C262" s="19" t="s">
        <v>188</v>
      </c>
      <c r="D262" s="19">
        <f>(2.4*3.2+1.2*0.95+2.4*1.2)*10.764</f>
        <v>125.93879999999999</v>
      </c>
      <c r="E262" s="19">
        <v>0</v>
      </c>
      <c r="F262" s="19">
        <f t="shared" si="9"/>
        <v>201.50207999999998</v>
      </c>
      <c r="G262" s="87"/>
      <c r="H262" s="87"/>
      <c r="I262" s="36"/>
      <c r="L262" s="101"/>
      <c r="M262" s="101"/>
      <c r="N262" s="36"/>
    </row>
    <row r="263" spans="1:14" s="2" customFormat="1" ht="15.75" customHeight="1" x14ac:dyDescent="0.25">
      <c r="A263" s="87">
        <v>7</v>
      </c>
      <c r="B263" s="87"/>
      <c r="C263" s="19" t="s">
        <v>188</v>
      </c>
      <c r="D263" s="19">
        <f>(2.9*4.7+1.25*0.9+2.9*1.2)*10.764</f>
        <v>196.28153999999998</v>
      </c>
      <c r="E263" s="19">
        <v>0</v>
      </c>
      <c r="F263" s="19">
        <f t="shared" si="9"/>
        <v>314.05046399999998</v>
      </c>
      <c r="G263" s="87"/>
      <c r="H263" s="87"/>
      <c r="I263" s="36"/>
      <c r="L263" s="101"/>
      <c r="M263" s="101"/>
      <c r="N263" s="36"/>
    </row>
    <row r="264" spans="1:14" s="2" customFormat="1" ht="15.75" customHeight="1" x14ac:dyDescent="0.25">
      <c r="A264" s="87">
        <v>8</v>
      </c>
      <c r="B264" s="87"/>
      <c r="C264" s="19" t="s">
        <v>188</v>
      </c>
      <c r="D264" s="19">
        <f>(2.9*5.9+1.2*1.95+2.9*1.2)*10.764</f>
        <v>246.81851999999998</v>
      </c>
      <c r="E264" s="19">
        <v>0</v>
      </c>
      <c r="F264" s="19">
        <f t="shared" si="9"/>
        <v>394.90963199999999</v>
      </c>
      <c r="G264" s="87"/>
      <c r="H264" s="87"/>
      <c r="I264" s="36"/>
      <c r="L264" s="101"/>
      <c r="M264" s="101"/>
      <c r="N264" s="36"/>
    </row>
    <row r="265" spans="1:14" s="2" customFormat="1" ht="15.75" customHeight="1" x14ac:dyDescent="0.25">
      <c r="A265" s="87">
        <v>9</v>
      </c>
      <c r="B265" s="87"/>
      <c r="C265" s="19" t="s">
        <v>188</v>
      </c>
      <c r="D265" s="19">
        <f>(2.4*3.8+2*1.2+2.4*1.2)*10.764</f>
        <v>155.00159999999997</v>
      </c>
      <c r="E265" s="19">
        <v>0</v>
      </c>
      <c r="F265" s="19">
        <f t="shared" si="9"/>
        <v>248.00255999999996</v>
      </c>
      <c r="G265" s="87"/>
      <c r="H265" s="87"/>
      <c r="I265" s="36"/>
      <c r="L265" s="101"/>
      <c r="M265" s="101"/>
      <c r="N265" s="36"/>
    </row>
    <row r="266" spans="1:14" s="2" customFormat="1" ht="15.75" customHeight="1" x14ac:dyDescent="0.25">
      <c r="A266" s="87">
        <v>10</v>
      </c>
      <c r="B266" s="87"/>
      <c r="C266" s="19" t="s">
        <v>188</v>
      </c>
      <c r="D266" s="19">
        <f>(2.9*3.8+1.95*1.2+2.9*1.2)*10.764</f>
        <v>181.26576</v>
      </c>
      <c r="E266" s="19">
        <v>0</v>
      </c>
      <c r="F266" s="19">
        <f t="shared" si="9"/>
        <v>290.025216</v>
      </c>
      <c r="G266" s="87"/>
      <c r="H266" s="87"/>
      <c r="I266" s="36"/>
      <c r="L266" s="101"/>
      <c r="M266" s="101"/>
      <c r="N266" s="36"/>
    </row>
    <row r="267" spans="1:14" s="2" customFormat="1" x14ac:dyDescent="0.25">
      <c r="A267" s="100" t="s">
        <v>189</v>
      </c>
      <c r="B267" s="100"/>
      <c r="C267" s="100"/>
      <c r="D267" s="100"/>
      <c r="E267" s="100"/>
      <c r="F267" s="100"/>
      <c r="G267" s="100"/>
      <c r="H267" s="100"/>
    </row>
    <row r="268" spans="1:14" s="2" customFormat="1" ht="15.75" customHeight="1" x14ac:dyDescent="0.25">
      <c r="A268" s="87">
        <v>101</v>
      </c>
      <c r="B268" s="87"/>
      <c r="C268" s="19" t="s">
        <v>188</v>
      </c>
      <c r="D268" s="19">
        <f>(2.9*3.8+1.95*1.2+2.9*1.5)*10.764</f>
        <v>190.63043999999999</v>
      </c>
      <c r="E268" s="19">
        <v>0</v>
      </c>
      <c r="F268" s="19">
        <f>D268*(($F$230)+1)+E268</f>
        <v>305.00870400000002</v>
      </c>
      <c r="G268" s="87" t="str">
        <f>A267</f>
        <v>1st Floor Commercial &amp; Parking</v>
      </c>
      <c r="H268" s="87"/>
      <c r="I268" s="36"/>
      <c r="L268" s="101"/>
      <c r="M268" s="101"/>
      <c r="N268" s="36"/>
    </row>
    <row r="269" spans="1:14" s="2" customFormat="1" ht="15.75" customHeight="1" x14ac:dyDescent="0.25">
      <c r="A269" s="87">
        <f>A268+1</f>
        <v>102</v>
      </c>
      <c r="B269" s="87"/>
      <c r="C269" s="19" t="s">
        <v>188</v>
      </c>
      <c r="D269" s="19">
        <f>(2.4*3.8+2*1.2+2.4*1.5)*10.764</f>
        <v>162.75167999999999</v>
      </c>
      <c r="E269" s="19">
        <v>0</v>
      </c>
      <c r="F269" s="19">
        <f t="shared" ref="F269:F277" si="10">D269*(($F$230)+1)+E269</f>
        <v>260.40268800000001</v>
      </c>
      <c r="G269" s="87"/>
      <c r="H269" s="87"/>
      <c r="I269" s="36"/>
      <c r="L269" s="101"/>
      <c r="M269" s="101"/>
      <c r="N269" s="36"/>
    </row>
    <row r="270" spans="1:14" s="2" customFormat="1" ht="15.75" customHeight="1" x14ac:dyDescent="0.25">
      <c r="A270" s="87">
        <f t="shared" ref="A270:A277" si="11">A269+1</f>
        <v>103</v>
      </c>
      <c r="B270" s="87"/>
      <c r="C270" s="19" t="s">
        <v>188</v>
      </c>
      <c r="D270" s="19">
        <f>(2.9*5.9+1.2*1.95+2.9*1.5)*10.764</f>
        <v>256.18319999999994</v>
      </c>
      <c r="E270" s="19">
        <v>0</v>
      </c>
      <c r="F270" s="19">
        <f t="shared" si="10"/>
        <v>409.89311999999995</v>
      </c>
      <c r="G270" s="87"/>
      <c r="H270" s="87"/>
      <c r="I270" s="36"/>
      <c r="L270" s="101"/>
      <c r="M270" s="101"/>
      <c r="N270" s="36"/>
    </row>
    <row r="271" spans="1:14" s="2" customFormat="1" ht="15.75" customHeight="1" x14ac:dyDescent="0.25">
      <c r="A271" s="87">
        <f t="shared" si="11"/>
        <v>104</v>
      </c>
      <c r="B271" s="87"/>
      <c r="C271" s="19" t="s">
        <v>188</v>
      </c>
      <c r="D271" s="19">
        <f>(4.25*4.7+4.25*1.5)*10.764</f>
        <v>283.63139999999999</v>
      </c>
      <c r="E271" s="19">
        <v>0</v>
      </c>
      <c r="F271" s="19">
        <f t="shared" si="10"/>
        <v>453.81024000000002</v>
      </c>
      <c r="G271" s="87"/>
      <c r="H271" s="87"/>
      <c r="I271" s="36"/>
      <c r="L271" s="101"/>
      <c r="M271" s="101"/>
      <c r="N271" s="36"/>
    </row>
    <row r="272" spans="1:14" s="2" customFormat="1" ht="15.75" customHeight="1" x14ac:dyDescent="0.25">
      <c r="A272" s="87">
        <f t="shared" si="11"/>
        <v>105</v>
      </c>
      <c r="B272" s="87"/>
      <c r="C272" s="19" t="s">
        <v>188</v>
      </c>
      <c r="D272" s="19">
        <f>(2.9*6.4+1.25*0.95+2.9*1.5)*10.764</f>
        <v>259.38548999999995</v>
      </c>
      <c r="E272" s="19">
        <v>0</v>
      </c>
      <c r="F272" s="19">
        <f t="shared" si="10"/>
        <v>415.01678399999992</v>
      </c>
      <c r="G272" s="87"/>
      <c r="H272" s="87"/>
      <c r="I272" s="36"/>
      <c r="L272" s="101"/>
      <c r="M272" s="101"/>
      <c r="N272" s="36"/>
    </row>
    <row r="273" spans="1:14" s="2" customFormat="1" ht="15.75" customHeight="1" x14ac:dyDescent="0.25">
      <c r="A273" s="87">
        <f t="shared" si="11"/>
        <v>106</v>
      </c>
      <c r="B273" s="87"/>
      <c r="C273" s="19" t="s">
        <v>188</v>
      </c>
      <c r="D273" s="19">
        <f>(2.4*3.2+1.2*0.95+2.4*1.5)*10.764</f>
        <v>133.68887999999998</v>
      </c>
      <c r="E273" s="19">
        <v>0</v>
      </c>
      <c r="F273" s="19">
        <f t="shared" si="10"/>
        <v>213.90220799999997</v>
      </c>
      <c r="G273" s="87"/>
      <c r="H273" s="87"/>
      <c r="I273" s="36"/>
      <c r="L273" s="101"/>
      <c r="M273" s="101"/>
      <c r="N273" s="36"/>
    </row>
    <row r="274" spans="1:14" s="2" customFormat="1" ht="15.75" customHeight="1" x14ac:dyDescent="0.25">
      <c r="A274" s="87">
        <f t="shared" si="11"/>
        <v>107</v>
      </c>
      <c r="B274" s="87"/>
      <c r="C274" s="19" t="s">
        <v>188</v>
      </c>
      <c r="D274" s="19">
        <f>(2.9*4.7+2.9*1.5)*10.764</f>
        <v>193.53672</v>
      </c>
      <c r="E274" s="19">
        <v>0</v>
      </c>
      <c r="F274" s="19">
        <f t="shared" si="10"/>
        <v>309.65875200000005</v>
      </c>
      <c r="G274" s="87"/>
      <c r="H274" s="87"/>
      <c r="I274" s="36"/>
      <c r="L274" s="101"/>
      <c r="M274" s="101"/>
      <c r="N274" s="36"/>
    </row>
    <row r="275" spans="1:14" s="2" customFormat="1" ht="15.75" customHeight="1" x14ac:dyDescent="0.25">
      <c r="A275" s="87">
        <f t="shared" si="11"/>
        <v>108</v>
      </c>
      <c r="B275" s="87"/>
      <c r="C275" s="19" t="s">
        <v>188</v>
      </c>
      <c r="D275" s="19">
        <f>(2.9*5.9+1.2*1.95+2.9*1.5)*10.764</f>
        <v>256.18319999999994</v>
      </c>
      <c r="E275" s="19">
        <v>0</v>
      </c>
      <c r="F275" s="19">
        <f t="shared" si="10"/>
        <v>409.89311999999995</v>
      </c>
      <c r="G275" s="87"/>
      <c r="H275" s="87"/>
      <c r="I275" s="36"/>
      <c r="L275" s="101"/>
      <c r="M275" s="101"/>
      <c r="N275" s="36"/>
    </row>
    <row r="276" spans="1:14" s="2" customFormat="1" ht="15.75" customHeight="1" x14ac:dyDescent="0.25">
      <c r="A276" s="87">
        <f t="shared" si="11"/>
        <v>109</v>
      </c>
      <c r="B276" s="87"/>
      <c r="C276" s="19" t="s">
        <v>188</v>
      </c>
      <c r="D276" s="19">
        <f>(2.4*3.8+2*1.2+2.4*1.5)*10.764</f>
        <v>162.75167999999999</v>
      </c>
      <c r="E276" s="19">
        <v>0</v>
      </c>
      <c r="F276" s="19">
        <f t="shared" si="10"/>
        <v>260.40268800000001</v>
      </c>
      <c r="G276" s="87"/>
      <c r="H276" s="87"/>
      <c r="I276" s="36"/>
      <c r="L276" s="101"/>
      <c r="M276" s="101"/>
      <c r="N276" s="36"/>
    </row>
    <row r="277" spans="1:14" s="2" customFormat="1" ht="15.75" customHeight="1" x14ac:dyDescent="0.25">
      <c r="A277" s="87">
        <f t="shared" si="11"/>
        <v>110</v>
      </c>
      <c r="B277" s="87"/>
      <c r="C277" s="19" t="s">
        <v>188</v>
      </c>
      <c r="D277" s="19">
        <f>(2.9*3.8+1.95*1.2+2.9*1.5)*10.764</f>
        <v>190.63043999999999</v>
      </c>
      <c r="E277" s="19">
        <v>0</v>
      </c>
      <c r="F277" s="19">
        <f t="shared" si="10"/>
        <v>305.00870400000002</v>
      </c>
      <c r="G277" s="87"/>
      <c r="H277" s="87"/>
      <c r="I277" s="36"/>
      <c r="L277" s="101"/>
      <c r="M277" s="101"/>
      <c r="N277" s="36"/>
    </row>
    <row r="278" spans="1:14" s="2" customFormat="1" x14ac:dyDescent="0.25">
      <c r="A278" s="99" t="s">
        <v>199</v>
      </c>
      <c r="B278" s="99"/>
      <c r="C278" s="99"/>
      <c r="D278" s="99"/>
      <c r="E278" s="99"/>
      <c r="F278" s="99"/>
      <c r="G278" s="99"/>
      <c r="H278" s="99"/>
    </row>
    <row r="279" spans="1:14" s="2" customFormat="1" x14ac:dyDescent="0.25">
      <c r="A279" s="100" t="s">
        <v>187</v>
      </c>
      <c r="B279" s="100"/>
      <c r="C279" s="100"/>
      <c r="D279" s="100"/>
      <c r="E279" s="100"/>
      <c r="F279" s="100"/>
      <c r="G279" s="100"/>
      <c r="H279" s="100"/>
    </row>
    <row r="280" spans="1:14" s="2" customFormat="1" ht="15.75" customHeight="1" x14ac:dyDescent="0.25">
      <c r="A280" s="87">
        <v>1</v>
      </c>
      <c r="B280" s="87"/>
      <c r="C280" s="19" t="s">
        <v>188</v>
      </c>
      <c r="D280" s="19">
        <f>(2.75*4.25+1.25*0.9+2.75*1.2)*10.764</f>
        <v>173.43494999999999</v>
      </c>
      <c r="E280" s="19">
        <v>0</v>
      </c>
      <c r="F280" s="19">
        <f>D280*(($F$230)+1)+E280</f>
        <v>277.49592000000001</v>
      </c>
      <c r="G280" s="87" t="str">
        <f>A279</f>
        <v>Ground Floor Commercial &amp; Parking</v>
      </c>
      <c r="H280" s="87"/>
      <c r="I280" s="36"/>
      <c r="L280" s="101"/>
      <c r="M280" s="101"/>
      <c r="N280" s="36"/>
    </row>
    <row r="281" spans="1:14" s="2" customFormat="1" ht="15.75" customHeight="1" x14ac:dyDescent="0.25">
      <c r="A281" s="87">
        <f>A280+1</f>
        <v>2</v>
      </c>
      <c r="B281" s="87"/>
      <c r="C281" s="19" t="s">
        <v>188</v>
      </c>
      <c r="D281" s="19">
        <f>(2.4*4.25+1.25*0.9+2.75*1.2)*10.764</f>
        <v>157.42349999999999</v>
      </c>
      <c r="E281" s="19">
        <v>0</v>
      </c>
      <c r="F281" s="19">
        <f t="shared" ref="F281:F289" si="12">D281*(($F$230)+1)+E281</f>
        <v>251.8776</v>
      </c>
      <c r="G281" s="87"/>
      <c r="H281" s="87"/>
      <c r="I281" s="36"/>
      <c r="L281" s="101"/>
      <c r="M281" s="101"/>
      <c r="N281" s="36"/>
    </row>
    <row r="282" spans="1:14" s="2" customFormat="1" ht="15.75" customHeight="1" x14ac:dyDescent="0.25">
      <c r="A282" s="87">
        <f t="shared" ref="A282:A290" si="13">A281+1</f>
        <v>3</v>
      </c>
      <c r="B282" s="87"/>
      <c r="C282" s="19" t="s">
        <v>188</v>
      </c>
      <c r="D282" s="19">
        <f>(2.75*5.9+1.2*1.5+2.75*1.2)*10.764</f>
        <v>229.54230000000001</v>
      </c>
      <c r="E282" s="19">
        <v>0</v>
      </c>
      <c r="F282" s="19">
        <f t="shared" si="12"/>
        <v>367.26768000000004</v>
      </c>
      <c r="G282" s="87"/>
      <c r="H282" s="87"/>
      <c r="I282" s="36"/>
      <c r="L282" s="101"/>
      <c r="M282" s="101"/>
      <c r="N282" s="36"/>
    </row>
    <row r="283" spans="1:14" s="2" customFormat="1" ht="15.75" customHeight="1" x14ac:dyDescent="0.25">
      <c r="A283" s="87">
        <f t="shared" si="13"/>
        <v>4</v>
      </c>
      <c r="B283" s="87"/>
      <c r="C283" s="19" t="s">
        <v>188</v>
      </c>
      <c r="D283" s="19">
        <f>(2.75*4.8+1*1.2+2.75*1.2)*10.764</f>
        <v>190.52279999999999</v>
      </c>
      <c r="E283" s="19">
        <v>0</v>
      </c>
      <c r="F283" s="19">
        <f t="shared" si="12"/>
        <v>304.83647999999999</v>
      </c>
      <c r="G283" s="87"/>
      <c r="H283" s="87"/>
      <c r="I283" s="36"/>
      <c r="L283" s="101"/>
      <c r="M283" s="101"/>
      <c r="N283" s="36"/>
    </row>
    <row r="284" spans="1:14" s="2" customFormat="1" ht="15.75" customHeight="1" x14ac:dyDescent="0.25">
      <c r="A284" s="87">
        <f t="shared" si="13"/>
        <v>5</v>
      </c>
      <c r="B284" s="87"/>
      <c r="C284" s="19" t="s">
        <v>188</v>
      </c>
      <c r="D284" s="19">
        <f>(2.75*3.45+2.75*1.2+3.45*1.2)*10.764</f>
        <v>182.20761000000002</v>
      </c>
      <c r="E284" s="19">
        <v>0</v>
      </c>
      <c r="F284" s="19">
        <f t="shared" si="12"/>
        <v>291.53217600000005</v>
      </c>
      <c r="G284" s="87"/>
      <c r="H284" s="87"/>
      <c r="I284" s="36"/>
      <c r="L284" s="101"/>
      <c r="M284" s="101"/>
      <c r="N284" s="36"/>
    </row>
    <row r="285" spans="1:14" s="2" customFormat="1" ht="15.75" customHeight="1" x14ac:dyDescent="0.25">
      <c r="A285" s="87">
        <f t="shared" si="13"/>
        <v>6</v>
      </c>
      <c r="B285" s="87"/>
      <c r="C285" s="19" t="s">
        <v>188</v>
      </c>
      <c r="D285" s="19">
        <f>(3.55*2.75+1.2*2+2.75*1.2)*10.764</f>
        <v>166.43834999999999</v>
      </c>
      <c r="E285" s="19">
        <v>0</v>
      </c>
      <c r="F285" s="19">
        <f t="shared" si="12"/>
        <v>266.30135999999999</v>
      </c>
      <c r="G285" s="87"/>
      <c r="H285" s="87"/>
      <c r="I285" s="36"/>
      <c r="L285" s="101"/>
      <c r="M285" s="101"/>
      <c r="N285" s="36"/>
    </row>
    <row r="286" spans="1:14" s="2" customFormat="1" ht="15.75" customHeight="1" x14ac:dyDescent="0.25">
      <c r="A286" s="87">
        <f t="shared" si="13"/>
        <v>7</v>
      </c>
      <c r="B286" s="87"/>
      <c r="C286" s="19" t="s">
        <v>188</v>
      </c>
      <c r="D286" s="19">
        <f>(3.55*2.45+1.2*1.7+2.45*1.2)*10.764</f>
        <v>147.22460999999998</v>
      </c>
      <c r="E286" s="19">
        <v>0</v>
      </c>
      <c r="F286" s="19">
        <f t="shared" si="12"/>
        <v>235.55937599999999</v>
      </c>
      <c r="G286" s="87"/>
      <c r="H286" s="87"/>
      <c r="I286" s="36"/>
      <c r="L286" s="101"/>
      <c r="M286" s="101"/>
      <c r="N286" s="36"/>
    </row>
    <row r="287" spans="1:14" s="2" customFormat="1" ht="15.75" customHeight="1" x14ac:dyDescent="0.25">
      <c r="A287" s="87">
        <f t="shared" si="13"/>
        <v>8</v>
      </c>
      <c r="B287" s="87"/>
      <c r="C287" s="19" t="s">
        <v>188</v>
      </c>
      <c r="D287" s="19">
        <f>(4.9*2.75+1.2*1.35+2.75*1.2)*10.764</f>
        <v>198.00378000000003</v>
      </c>
      <c r="E287" s="19">
        <v>0</v>
      </c>
      <c r="F287" s="19">
        <f t="shared" si="12"/>
        <v>316.80604800000009</v>
      </c>
      <c r="G287" s="87"/>
      <c r="H287" s="87"/>
      <c r="I287" s="36"/>
      <c r="L287" s="101"/>
      <c r="M287" s="101"/>
      <c r="N287" s="36"/>
    </row>
    <row r="288" spans="1:14" s="2" customFormat="1" ht="15.75" customHeight="1" x14ac:dyDescent="0.25">
      <c r="A288" s="87">
        <f t="shared" si="13"/>
        <v>9</v>
      </c>
      <c r="B288" s="87"/>
      <c r="C288" s="19" t="s">
        <v>188</v>
      </c>
      <c r="D288" s="19">
        <f>(4.7*3.05+2.4*1.2+3.05*1.2)*10.764</f>
        <v>224.6985</v>
      </c>
      <c r="E288" s="19">
        <v>0</v>
      </c>
      <c r="F288" s="19">
        <f t="shared" si="12"/>
        <v>359.51760000000002</v>
      </c>
      <c r="G288" s="87"/>
      <c r="H288" s="87"/>
      <c r="I288" s="36"/>
      <c r="L288" s="101"/>
      <c r="M288" s="101"/>
      <c r="N288" s="36"/>
    </row>
    <row r="289" spans="1:14" s="2" customFormat="1" ht="15.75" customHeight="1" x14ac:dyDescent="0.25">
      <c r="A289" s="87">
        <f t="shared" si="13"/>
        <v>10</v>
      </c>
      <c r="B289" s="87"/>
      <c r="C289" s="19" t="s">
        <v>188</v>
      </c>
      <c r="D289" s="19">
        <f>(3.35*3.05+1.2*1.7+1.2*1.7+3.05*1.2)*10.764</f>
        <v>193.29452999999998</v>
      </c>
      <c r="E289" s="19">
        <v>0</v>
      </c>
      <c r="F289" s="19">
        <f t="shared" si="12"/>
        <v>309.27124800000001</v>
      </c>
      <c r="G289" s="87"/>
      <c r="H289" s="87"/>
      <c r="I289" s="36"/>
      <c r="L289" s="101"/>
      <c r="M289" s="101"/>
      <c r="N289" s="36"/>
    </row>
    <row r="290" spans="1:14" s="2" customFormat="1" ht="15.75" customHeight="1" x14ac:dyDescent="0.25">
      <c r="A290" s="87">
        <f t="shared" si="13"/>
        <v>11</v>
      </c>
      <c r="B290" s="87"/>
      <c r="C290" s="19" t="s">
        <v>188</v>
      </c>
      <c r="D290" s="19">
        <f>(3.8*2.4+2.1*1.05+1.95*1.2+2.4*1.2)*10.764</f>
        <v>178.09037999999998</v>
      </c>
      <c r="E290" s="19">
        <v>0</v>
      </c>
      <c r="F290" s="19">
        <f t="shared" ref="F290" si="14">D290*(($F$230)+1)+E290</f>
        <v>284.94460799999996</v>
      </c>
      <c r="G290" s="87"/>
      <c r="H290" s="87"/>
      <c r="I290" s="36"/>
      <c r="L290" s="101"/>
      <c r="M290" s="101"/>
      <c r="N290" s="36"/>
    </row>
    <row r="291" spans="1:14" s="2" customFormat="1" x14ac:dyDescent="0.25">
      <c r="A291" s="92" t="s">
        <v>189</v>
      </c>
      <c r="B291" s="93"/>
      <c r="C291" s="93"/>
      <c r="D291" s="93"/>
      <c r="E291" s="93"/>
      <c r="F291" s="93"/>
      <c r="G291" s="93"/>
      <c r="H291" s="94"/>
    </row>
    <row r="292" spans="1:14" s="2" customFormat="1" ht="15.75" customHeight="1" x14ac:dyDescent="0.25">
      <c r="A292" s="97">
        <v>101</v>
      </c>
      <c r="B292" s="98"/>
      <c r="C292" s="19" t="s">
        <v>188</v>
      </c>
      <c r="D292" s="19">
        <f>(2.75*4.25+1.25*0.9+2.75*1.5)*10.764</f>
        <v>182.31524999999999</v>
      </c>
      <c r="E292" s="19">
        <v>0</v>
      </c>
      <c r="F292" s="19">
        <f>D292*(($F$230)+1)+E292</f>
        <v>291.70440000000002</v>
      </c>
      <c r="G292" s="88" t="str">
        <f>A291</f>
        <v>1st Floor Commercial &amp; Parking</v>
      </c>
      <c r="H292" s="89"/>
      <c r="I292" s="36"/>
      <c r="L292" s="101"/>
      <c r="M292" s="101"/>
      <c r="N292" s="36"/>
    </row>
    <row r="293" spans="1:14" s="2" customFormat="1" ht="15.75" customHeight="1" x14ac:dyDescent="0.25">
      <c r="A293" s="97">
        <f>A292+1</f>
        <v>102</v>
      </c>
      <c r="B293" s="98"/>
      <c r="C293" s="19" t="s">
        <v>188</v>
      </c>
      <c r="D293" s="19">
        <f>(2.4*4.25+1.25*0.9+2.75*1.5)*10.764</f>
        <v>166.3038</v>
      </c>
      <c r="E293" s="19">
        <v>0</v>
      </c>
      <c r="F293" s="19">
        <f t="shared" ref="F293:F301" si="15">D293*(($F$230)+1)+E293</f>
        <v>266.08607999999998</v>
      </c>
      <c r="G293" s="90"/>
      <c r="H293" s="91"/>
      <c r="I293" s="36"/>
      <c r="L293" s="101"/>
      <c r="M293" s="101"/>
      <c r="N293" s="36"/>
    </row>
    <row r="294" spans="1:14" s="2" customFormat="1" ht="15.75" customHeight="1" x14ac:dyDescent="0.25">
      <c r="A294" s="97">
        <f t="shared" ref="A294:A302" si="16">A293+1</f>
        <v>103</v>
      </c>
      <c r="B294" s="98"/>
      <c r="C294" s="19" t="s">
        <v>188</v>
      </c>
      <c r="D294" s="19">
        <f>(2.75*5.9+1.2*1.5+2.75*1.5)*10.764</f>
        <v>238.42260000000002</v>
      </c>
      <c r="E294" s="19">
        <v>0</v>
      </c>
      <c r="F294" s="19">
        <f t="shared" si="15"/>
        <v>381.47616000000005</v>
      </c>
      <c r="G294" s="90"/>
      <c r="H294" s="91"/>
      <c r="I294" s="36"/>
      <c r="L294" s="101"/>
      <c r="M294" s="101"/>
      <c r="N294" s="36"/>
    </row>
    <row r="295" spans="1:14" s="2" customFormat="1" ht="15.75" customHeight="1" x14ac:dyDescent="0.25">
      <c r="A295" s="97">
        <f t="shared" si="16"/>
        <v>104</v>
      </c>
      <c r="B295" s="98"/>
      <c r="C295" s="19" t="s">
        <v>188</v>
      </c>
      <c r="D295" s="19">
        <f>(2.75*4.8+1*1.2+2.75*1.5)*10.764</f>
        <v>199.40309999999997</v>
      </c>
      <c r="E295" s="19">
        <v>0</v>
      </c>
      <c r="F295" s="19">
        <f t="shared" si="15"/>
        <v>319.04495999999995</v>
      </c>
      <c r="G295" s="90"/>
      <c r="H295" s="91"/>
      <c r="I295" s="36"/>
      <c r="L295" s="101"/>
      <c r="M295" s="101"/>
      <c r="N295" s="36"/>
    </row>
    <row r="296" spans="1:14" s="2" customFormat="1" ht="15.75" customHeight="1" x14ac:dyDescent="0.25">
      <c r="A296" s="97">
        <f t="shared" si="16"/>
        <v>105</v>
      </c>
      <c r="B296" s="98"/>
      <c r="C296" s="19" t="s">
        <v>188</v>
      </c>
      <c r="D296" s="19">
        <f>(2.75*3.45+2.75*1.2+3.45*1.5)*10.764</f>
        <v>193.34835000000001</v>
      </c>
      <c r="E296" s="19">
        <v>0</v>
      </c>
      <c r="F296" s="19">
        <f t="shared" si="15"/>
        <v>309.35736000000003</v>
      </c>
      <c r="G296" s="90"/>
      <c r="H296" s="91"/>
      <c r="I296" s="36"/>
      <c r="L296" s="101"/>
      <c r="M296" s="101"/>
      <c r="N296" s="36"/>
    </row>
    <row r="297" spans="1:14" s="2" customFormat="1" ht="15.75" customHeight="1" x14ac:dyDescent="0.25">
      <c r="A297" s="97">
        <f t="shared" si="16"/>
        <v>106</v>
      </c>
      <c r="B297" s="98"/>
      <c r="C297" s="19" t="s">
        <v>188</v>
      </c>
      <c r="D297" s="19">
        <f>(3.55*2.75+1.2*2+2.75*1.5)*10.764</f>
        <v>175.31864999999999</v>
      </c>
      <c r="E297" s="19">
        <v>0</v>
      </c>
      <c r="F297" s="19">
        <f t="shared" si="15"/>
        <v>280.50984</v>
      </c>
      <c r="G297" s="90"/>
      <c r="H297" s="91"/>
      <c r="I297" s="36"/>
      <c r="L297" s="101"/>
      <c r="M297" s="101"/>
      <c r="N297" s="36"/>
    </row>
    <row r="298" spans="1:14" s="2" customFormat="1" ht="15.75" customHeight="1" x14ac:dyDescent="0.25">
      <c r="A298" s="97">
        <f t="shared" si="16"/>
        <v>107</v>
      </c>
      <c r="B298" s="98"/>
      <c r="C298" s="19" t="s">
        <v>188</v>
      </c>
      <c r="D298" s="19">
        <f>(3.55*2.45+1.2*1.7+2.45*1.5)*10.764</f>
        <v>155.13615000000001</v>
      </c>
      <c r="E298" s="19">
        <v>0</v>
      </c>
      <c r="F298" s="19">
        <f t="shared" si="15"/>
        <v>248.21784000000002</v>
      </c>
      <c r="G298" s="90"/>
      <c r="H298" s="91"/>
      <c r="I298" s="36"/>
      <c r="L298" s="101"/>
      <c r="M298" s="101"/>
      <c r="N298" s="36"/>
    </row>
    <row r="299" spans="1:14" s="2" customFormat="1" ht="15.75" customHeight="1" x14ac:dyDescent="0.25">
      <c r="A299" s="97">
        <f t="shared" si="16"/>
        <v>108</v>
      </c>
      <c r="B299" s="98"/>
      <c r="C299" s="19" t="s">
        <v>188</v>
      </c>
      <c r="D299" s="19">
        <f>(4.9*2.75+1.2*1.35+2.75*1.5)*10.764</f>
        <v>206.88408000000001</v>
      </c>
      <c r="E299" s="19">
        <v>0</v>
      </c>
      <c r="F299" s="19">
        <f t="shared" si="15"/>
        <v>331.01452800000004</v>
      </c>
      <c r="G299" s="90"/>
      <c r="H299" s="91"/>
      <c r="I299" s="36"/>
      <c r="L299" s="101"/>
      <c r="M299" s="101"/>
      <c r="N299" s="36"/>
    </row>
    <row r="300" spans="1:14" s="2" customFormat="1" ht="15.75" customHeight="1" x14ac:dyDescent="0.25">
      <c r="A300" s="97">
        <f t="shared" si="16"/>
        <v>109</v>
      </c>
      <c r="B300" s="98"/>
      <c r="C300" s="19" t="s">
        <v>188</v>
      </c>
      <c r="D300" s="19">
        <f>(4.7*3.05+2.4*1.2+3.05*1.5)*10.764</f>
        <v>234.54755999999998</v>
      </c>
      <c r="E300" s="19">
        <v>0</v>
      </c>
      <c r="F300" s="19">
        <f t="shared" si="15"/>
        <v>375.276096</v>
      </c>
      <c r="G300" s="90"/>
      <c r="H300" s="91"/>
      <c r="I300" s="36"/>
      <c r="L300" s="101"/>
      <c r="M300" s="101"/>
      <c r="N300" s="36"/>
    </row>
    <row r="301" spans="1:14" s="2" customFormat="1" ht="15.75" customHeight="1" x14ac:dyDescent="0.25">
      <c r="A301" s="97">
        <f t="shared" si="16"/>
        <v>110</v>
      </c>
      <c r="B301" s="98"/>
      <c r="C301" s="19" t="s">
        <v>188</v>
      </c>
      <c r="D301" s="19">
        <f>(3.35*3.05+1.2*1.7+1.2*1.7+3.05*1.5)*10.764</f>
        <v>203.14358999999996</v>
      </c>
      <c r="E301" s="19">
        <v>0</v>
      </c>
      <c r="F301" s="19">
        <f t="shared" si="15"/>
        <v>325.02974399999994</v>
      </c>
      <c r="G301" s="90"/>
      <c r="H301" s="91"/>
      <c r="I301" s="36"/>
      <c r="L301" s="101"/>
      <c r="M301" s="101"/>
      <c r="N301" s="36"/>
    </row>
    <row r="302" spans="1:14" s="2" customFormat="1" ht="15.75" customHeight="1" x14ac:dyDescent="0.25">
      <c r="A302" s="97">
        <f t="shared" si="16"/>
        <v>111</v>
      </c>
      <c r="B302" s="98"/>
      <c r="C302" s="19" t="s">
        <v>188</v>
      </c>
      <c r="D302" s="19">
        <f>(3.8*2.4+2.1*1.05+1.95*1.2+2.4*1.5)*10.764</f>
        <v>185.84046000000001</v>
      </c>
      <c r="E302" s="19">
        <v>0</v>
      </c>
      <c r="F302" s="19">
        <f t="shared" ref="F302" si="17">D302*(($F$230)+1)+E302</f>
        <v>297.34473600000001</v>
      </c>
      <c r="G302" s="95"/>
      <c r="H302" s="96"/>
      <c r="I302" s="36"/>
      <c r="L302" s="101"/>
      <c r="M302" s="101"/>
      <c r="N302" s="36"/>
    </row>
    <row r="303" spans="1:14" s="2" customFormat="1" x14ac:dyDescent="0.25">
      <c r="A303" s="99" t="s">
        <v>229</v>
      </c>
      <c r="B303" s="99"/>
      <c r="C303" s="99"/>
      <c r="D303" s="99"/>
      <c r="E303" s="99"/>
      <c r="F303" s="99"/>
      <c r="G303" s="99"/>
      <c r="H303" s="99"/>
    </row>
    <row r="304" spans="1:14" s="2" customFormat="1" x14ac:dyDescent="0.25">
      <c r="A304" s="100" t="s">
        <v>187</v>
      </c>
      <c r="B304" s="100"/>
      <c r="C304" s="100"/>
      <c r="D304" s="100"/>
      <c r="E304" s="100"/>
      <c r="F304" s="100"/>
      <c r="G304" s="100"/>
      <c r="H304" s="100"/>
    </row>
    <row r="305" spans="1:14" s="2" customFormat="1" ht="15.75" customHeight="1" x14ac:dyDescent="0.25">
      <c r="A305" s="87">
        <v>1</v>
      </c>
      <c r="B305" s="87"/>
      <c r="C305" s="19" t="s">
        <v>188</v>
      </c>
      <c r="D305" s="19">
        <f>(3.8*2.4+1.95*1.2+1.2*2.4)*10.764</f>
        <v>154.35575999999998</v>
      </c>
      <c r="E305" s="19">
        <v>0</v>
      </c>
      <c r="F305" s="19">
        <f>D305*(($F$230)+1)+E305</f>
        <v>246.96921599999996</v>
      </c>
      <c r="G305" s="87" t="str">
        <f>A304</f>
        <v>Ground Floor Commercial &amp; Parking</v>
      </c>
      <c r="H305" s="87"/>
      <c r="I305" s="36"/>
      <c r="L305" s="101"/>
      <c r="M305" s="101"/>
      <c r="N305" s="36"/>
    </row>
    <row r="306" spans="1:14" s="2" customFormat="1" ht="15.75" customHeight="1" x14ac:dyDescent="0.25">
      <c r="A306" s="87">
        <f>A305+1</f>
        <v>2</v>
      </c>
      <c r="B306" s="87"/>
      <c r="C306" s="19" t="s">
        <v>188</v>
      </c>
      <c r="D306" s="19">
        <f>(5.9*3+1.95*1.05+1.2*3)*10.764</f>
        <v>251.31249000000003</v>
      </c>
      <c r="E306" s="19">
        <v>0</v>
      </c>
      <c r="F306" s="19">
        <f>D306*(($F$230)+1)+E306</f>
        <v>402.09998400000006</v>
      </c>
      <c r="G306" s="87"/>
      <c r="H306" s="87"/>
      <c r="I306" s="36"/>
      <c r="L306" s="101"/>
      <c r="M306" s="101"/>
      <c r="N306" s="36"/>
    </row>
    <row r="307" spans="1:14" s="2" customFormat="1" ht="15.75" customHeight="1" x14ac:dyDescent="0.25">
      <c r="A307" s="87">
        <f t="shared" ref="A307:A309" si="18">A306+1</f>
        <v>3</v>
      </c>
      <c r="B307" s="87"/>
      <c r="C307" s="19" t="s">
        <v>188</v>
      </c>
      <c r="D307" s="19">
        <f>(4.6*3.2+1.95*1.2+1.2*3.2)*10.764</f>
        <v>224.96759999999998</v>
      </c>
      <c r="E307" s="19">
        <v>0</v>
      </c>
      <c r="F307" s="19">
        <f>D307*(($F$230)+1)+E307</f>
        <v>359.94815999999997</v>
      </c>
      <c r="G307" s="87"/>
      <c r="H307" s="87"/>
      <c r="I307" s="36"/>
      <c r="L307" s="101"/>
      <c r="M307" s="101"/>
      <c r="N307" s="36"/>
    </row>
    <row r="308" spans="1:14" s="2" customFormat="1" ht="15.75" customHeight="1" x14ac:dyDescent="0.25">
      <c r="A308" s="87">
        <f t="shared" si="18"/>
        <v>4</v>
      </c>
      <c r="B308" s="87"/>
      <c r="C308" s="19" t="s">
        <v>188</v>
      </c>
      <c r="D308" s="19">
        <f>(3.65*2.4+1.2*1.05+1.2+2.4)*10.764</f>
        <v>146.60567999999998</v>
      </c>
      <c r="E308" s="19">
        <v>0</v>
      </c>
      <c r="F308" s="19">
        <f>D308*(($F$230)+1)+E308</f>
        <v>234.56908799999997</v>
      </c>
      <c r="G308" s="87"/>
      <c r="H308" s="87"/>
      <c r="I308" s="36"/>
      <c r="L308" s="101"/>
      <c r="M308" s="101"/>
      <c r="N308" s="36"/>
    </row>
    <row r="309" spans="1:14" s="2" customFormat="1" ht="15.75" customHeight="1" x14ac:dyDescent="0.25">
      <c r="A309" s="87">
        <f t="shared" si="18"/>
        <v>5</v>
      </c>
      <c r="B309" s="87"/>
      <c r="C309" s="19" t="s">
        <v>188</v>
      </c>
      <c r="D309" s="19">
        <f>(3.65*2.9+1.2*1.5+2.9*1.2)*10.764</f>
        <v>170.77085999999997</v>
      </c>
      <c r="E309" s="19">
        <v>0</v>
      </c>
      <c r="F309" s="19">
        <f>D309*(($F$230)+1)+E309</f>
        <v>273.23337599999996</v>
      </c>
      <c r="G309" s="87"/>
      <c r="H309" s="87"/>
      <c r="I309" s="36"/>
      <c r="L309" s="101"/>
      <c r="M309" s="101"/>
      <c r="N309" s="36"/>
    </row>
    <row r="310" spans="1:14" s="2" customFormat="1" x14ac:dyDescent="0.25">
      <c r="A310" s="100" t="s">
        <v>189</v>
      </c>
      <c r="B310" s="100"/>
      <c r="C310" s="100"/>
      <c r="D310" s="100"/>
      <c r="E310" s="100"/>
      <c r="F310" s="100"/>
      <c r="G310" s="100"/>
      <c r="H310" s="100"/>
    </row>
    <row r="311" spans="1:14" s="2" customFormat="1" ht="15.75" customHeight="1" x14ac:dyDescent="0.25">
      <c r="A311" s="87">
        <v>101</v>
      </c>
      <c r="B311" s="87"/>
      <c r="C311" s="19" t="s">
        <v>188</v>
      </c>
      <c r="D311" s="19">
        <f>(3.8*2.4+1.95*1.2)*10.764</f>
        <v>123.35543999999999</v>
      </c>
      <c r="E311" s="19">
        <v>0</v>
      </c>
      <c r="F311" s="19">
        <f>D311*(($F$230)+1)+E311</f>
        <v>197.36870399999998</v>
      </c>
      <c r="G311" s="87" t="str">
        <f>A310</f>
        <v>1st Floor Commercial &amp; Parking</v>
      </c>
      <c r="H311" s="87"/>
      <c r="I311" s="36"/>
      <c r="L311" s="101"/>
      <c r="M311" s="101"/>
      <c r="N311" s="36"/>
    </row>
    <row r="312" spans="1:14" s="2" customFormat="1" ht="15.75" customHeight="1" x14ac:dyDescent="0.25">
      <c r="A312" s="87">
        <f>A311+1</f>
        <v>102</v>
      </c>
      <c r="B312" s="87"/>
      <c r="C312" s="19" t="s">
        <v>188</v>
      </c>
      <c r="D312" s="19">
        <f>(5.9*3+1.95*1.05)*10.764</f>
        <v>212.56209000000001</v>
      </c>
      <c r="E312" s="19">
        <v>0</v>
      </c>
      <c r="F312" s="19">
        <f>D312*(($F$230)+1)+E312</f>
        <v>340.09934400000003</v>
      </c>
      <c r="G312" s="87"/>
      <c r="H312" s="87"/>
      <c r="I312" s="36"/>
      <c r="L312" s="101"/>
      <c r="M312" s="101"/>
      <c r="N312" s="36"/>
    </row>
    <row r="313" spans="1:14" s="2" customFormat="1" ht="15.75" customHeight="1" x14ac:dyDescent="0.25">
      <c r="A313" s="87">
        <f t="shared" ref="A313:A315" si="19">A312+1</f>
        <v>103</v>
      </c>
      <c r="B313" s="87"/>
      <c r="C313" s="19" t="s">
        <v>188</v>
      </c>
      <c r="D313" s="19">
        <f>(4.6*3.2+1.95*1.2)*10.764</f>
        <v>183.63383999999996</v>
      </c>
      <c r="E313" s="19">
        <v>0</v>
      </c>
      <c r="F313" s="19">
        <f>D313*(($F$230)+1)+E313</f>
        <v>293.81414399999994</v>
      </c>
      <c r="G313" s="87"/>
      <c r="H313" s="87"/>
      <c r="I313" s="36"/>
      <c r="L313" s="101"/>
      <c r="M313" s="101"/>
      <c r="N313" s="36"/>
    </row>
    <row r="314" spans="1:14" s="2" customFormat="1" ht="15.75" customHeight="1" x14ac:dyDescent="0.25">
      <c r="A314" s="87">
        <f t="shared" si="19"/>
        <v>104</v>
      </c>
      <c r="B314" s="87"/>
      <c r="C314" s="19" t="s">
        <v>188</v>
      </c>
      <c r="D314" s="19">
        <f>(3.65*2.4+1.2*1.05)*10.764</f>
        <v>107.85527999999999</v>
      </c>
      <c r="E314" s="19">
        <v>0</v>
      </c>
      <c r="F314" s="19">
        <f>D314*(($F$230)+1)+E314</f>
        <v>172.56844799999999</v>
      </c>
      <c r="G314" s="87"/>
      <c r="H314" s="87"/>
      <c r="I314" s="36"/>
      <c r="L314" s="101"/>
      <c r="M314" s="101"/>
      <c r="N314" s="36"/>
    </row>
    <row r="315" spans="1:14" s="2" customFormat="1" ht="15.75" customHeight="1" x14ac:dyDescent="0.25">
      <c r="A315" s="87">
        <f t="shared" si="19"/>
        <v>105</v>
      </c>
      <c r="B315" s="87"/>
      <c r="C315" s="19" t="s">
        <v>188</v>
      </c>
      <c r="D315" s="19">
        <f>(3.65*2.9+1.2*1.5)*10.764</f>
        <v>133.31213999999997</v>
      </c>
      <c r="E315" s="19">
        <v>0</v>
      </c>
      <c r="F315" s="19">
        <f>D315*(($F$230)+1)+E315</f>
        <v>213.29942399999996</v>
      </c>
      <c r="G315" s="87"/>
      <c r="H315" s="87"/>
      <c r="I315" s="36"/>
      <c r="L315" s="101"/>
      <c r="M315" s="101"/>
      <c r="N315" s="36"/>
    </row>
    <row r="316" spans="1:14" s="2" customFormat="1" x14ac:dyDescent="0.25">
      <c r="A316" s="174" t="s">
        <v>239</v>
      </c>
      <c r="B316" s="174"/>
      <c r="C316" s="174"/>
      <c r="D316" s="174"/>
      <c r="E316" s="174"/>
      <c r="F316" s="174"/>
      <c r="G316" s="174"/>
      <c r="H316" s="174"/>
    </row>
    <row r="317" spans="1:14" s="2" customFormat="1" x14ac:dyDescent="0.25">
      <c r="A317" s="100" t="s">
        <v>240</v>
      </c>
      <c r="B317" s="100"/>
      <c r="C317" s="100"/>
      <c r="D317" s="100"/>
      <c r="E317" s="100"/>
      <c r="F317" s="100"/>
      <c r="G317" s="100"/>
      <c r="H317" s="100"/>
    </row>
    <row r="318" spans="1:14" s="2" customFormat="1" ht="15.75" customHeight="1" x14ac:dyDescent="0.25">
      <c r="A318" s="87">
        <v>1</v>
      </c>
      <c r="B318" s="87"/>
      <c r="C318" s="19" t="s">
        <v>188</v>
      </c>
      <c r="D318" s="64">
        <f>(13.54)*10.764</f>
        <v>145.74455999999998</v>
      </c>
      <c r="E318" s="19">
        <v>0</v>
      </c>
      <c r="F318" s="19">
        <f t="shared" ref="F318:F325" si="20">D318*(($F$230)+1)+E318</f>
        <v>233.19129599999997</v>
      </c>
      <c r="G318" s="87" t="str">
        <f>A317</f>
        <v>Ground Floor For Entrance Lobby, Meter Room, Driver Room, Commercial &amp; Parking</v>
      </c>
      <c r="H318" s="87"/>
      <c r="I318" s="36">
        <f>3.65*2.9+1.2*2</f>
        <v>12.984999999999999</v>
      </c>
      <c r="J318" s="64">
        <v>10.763999999999999</v>
      </c>
      <c r="L318" s="101"/>
      <c r="M318" s="101"/>
      <c r="N318" s="36"/>
    </row>
    <row r="319" spans="1:14" s="2" customFormat="1" ht="15.75" customHeight="1" x14ac:dyDescent="0.25">
      <c r="A319" s="87">
        <f>A318+1</f>
        <v>2</v>
      </c>
      <c r="B319" s="87"/>
      <c r="C319" s="19" t="s">
        <v>188</v>
      </c>
      <c r="D319" s="64">
        <f>(11.64)*10.764</f>
        <v>125.29295999999999</v>
      </c>
      <c r="E319" s="19">
        <v>0</v>
      </c>
      <c r="F319" s="19">
        <f t="shared" si="20"/>
        <v>200.46873600000001</v>
      </c>
      <c r="G319" s="87"/>
      <c r="H319" s="87"/>
      <c r="I319" s="36">
        <f>3.65*2.4+2*1.2</f>
        <v>11.16</v>
      </c>
      <c r="L319" s="101"/>
      <c r="M319" s="101"/>
      <c r="N319" s="36"/>
    </row>
    <row r="320" spans="1:14" s="2" customFormat="1" ht="15.75" customHeight="1" x14ac:dyDescent="0.25">
      <c r="A320" s="87">
        <f t="shared" ref="A320:A325" si="21">A319+1</f>
        <v>3</v>
      </c>
      <c r="B320" s="87"/>
      <c r="C320" s="19" t="s">
        <v>188</v>
      </c>
      <c r="D320" s="64">
        <f>(13.87)*10.764</f>
        <v>149.29667999999998</v>
      </c>
      <c r="E320" s="19">
        <v>0</v>
      </c>
      <c r="F320" s="19">
        <f t="shared" si="20"/>
        <v>238.87468799999999</v>
      </c>
      <c r="G320" s="87"/>
      <c r="H320" s="87"/>
      <c r="I320" s="36">
        <f>3.35*2.9+1.05*1.55+1.2*1.55</f>
        <v>13.202499999999999</v>
      </c>
      <c r="L320" s="101"/>
      <c r="M320" s="101"/>
      <c r="N320" s="36"/>
    </row>
    <row r="321" spans="1:14" s="2" customFormat="1" ht="15.75" customHeight="1" x14ac:dyDescent="0.25">
      <c r="A321" s="87">
        <f t="shared" si="21"/>
        <v>4</v>
      </c>
      <c r="B321" s="87"/>
      <c r="C321" s="19" t="s">
        <v>188</v>
      </c>
      <c r="D321" s="64">
        <f>(17.19)*10.764</f>
        <v>185.03316000000001</v>
      </c>
      <c r="E321" s="19">
        <v>0</v>
      </c>
      <c r="F321" s="19">
        <f t="shared" si="20"/>
        <v>296.05305600000003</v>
      </c>
      <c r="G321" s="87"/>
      <c r="H321" s="87"/>
      <c r="I321" s="36"/>
      <c r="L321" s="101"/>
      <c r="M321" s="101"/>
      <c r="N321" s="36"/>
    </row>
    <row r="322" spans="1:14" s="2" customFormat="1" ht="15.75" customHeight="1" x14ac:dyDescent="0.25">
      <c r="A322" s="87">
        <f t="shared" si="21"/>
        <v>5</v>
      </c>
      <c r="B322" s="87"/>
      <c r="C322" s="19" t="s">
        <v>188</v>
      </c>
      <c r="D322" s="64">
        <f>(15.69)*10.764</f>
        <v>168.88715999999999</v>
      </c>
      <c r="E322" s="19">
        <v>0</v>
      </c>
      <c r="F322" s="19">
        <f t="shared" si="20"/>
        <v>270.21945599999998</v>
      </c>
      <c r="G322" s="87"/>
      <c r="H322" s="87"/>
      <c r="I322" s="36"/>
      <c r="L322" s="101"/>
      <c r="M322" s="101"/>
      <c r="N322" s="36"/>
    </row>
    <row r="323" spans="1:14" s="2" customFormat="1" ht="15.75" customHeight="1" x14ac:dyDescent="0.25">
      <c r="A323" s="87">
        <f t="shared" si="21"/>
        <v>6</v>
      </c>
      <c r="B323" s="87"/>
      <c r="C323" s="19" t="s">
        <v>188</v>
      </c>
      <c r="D323" s="64">
        <f>(11.23)*10.764</f>
        <v>120.87971999999999</v>
      </c>
      <c r="E323" s="19">
        <v>0</v>
      </c>
      <c r="F323" s="19">
        <f t="shared" si="20"/>
        <v>193.40755200000001</v>
      </c>
      <c r="G323" s="87"/>
      <c r="H323" s="87"/>
      <c r="I323" s="36">
        <f>3.35*2.9+1.05*1.55+1.2*1.55</f>
        <v>13.202499999999999</v>
      </c>
      <c r="L323" s="101"/>
      <c r="M323" s="101"/>
      <c r="N323" s="36"/>
    </row>
    <row r="324" spans="1:14" s="2" customFormat="1" ht="15.75" customHeight="1" x14ac:dyDescent="0.25">
      <c r="A324" s="87">
        <f t="shared" si="21"/>
        <v>7</v>
      </c>
      <c r="B324" s="87"/>
      <c r="C324" s="19" t="s">
        <v>188</v>
      </c>
      <c r="D324" s="64">
        <f>(12.88)*10.764</f>
        <v>138.64032</v>
      </c>
      <c r="E324" s="19">
        <v>0</v>
      </c>
      <c r="F324" s="19">
        <f t="shared" si="20"/>
        <v>221.82451200000003</v>
      </c>
      <c r="G324" s="87"/>
      <c r="H324" s="87"/>
      <c r="I324" s="36"/>
      <c r="L324" s="101"/>
      <c r="M324" s="101"/>
      <c r="N324" s="36"/>
    </row>
    <row r="325" spans="1:14" s="2" customFormat="1" ht="15.75" customHeight="1" x14ac:dyDescent="0.25">
      <c r="A325" s="87">
        <f t="shared" si="21"/>
        <v>8</v>
      </c>
      <c r="B325" s="87"/>
      <c r="C325" s="19" t="s">
        <v>188</v>
      </c>
      <c r="D325" s="64">
        <f>(10)*10.764</f>
        <v>107.63999999999999</v>
      </c>
      <c r="E325" s="19">
        <v>0</v>
      </c>
      <c r="F325" s="19">
        <f t="shared" si="20"/>
        <v>172.22399999999999</v>
      </c>
      <c r="G325" s="87"/>
      <c r="H325" s="87"/>
      <c r="I325" s="36"/>
      <c r="L325" s="101"/>
      <c r="M325" s="101"/>
      <c r="N325" s="36"/>
    </row>
    <row r="326" spans="1:14" s="2" customFormat="1" x14ac:dyDescent="0.25">
      <c r="A326" s="100" t="s">
        <v>241</v>
      </c>
      <c r="B326" s="100"/>
      <c r="C326" s="100"/>
      <c r="D326" s="100"/>
      <c r="E326" s="100"/>
      <c r="F326" s="100"/>
      <c r="G326" s="100"/>
      <c r="H326" s="100"/>
    </row>
    <row r="327" spans="1:14" s="2" customFormat="1" ht="15.75" customHeight="1" x14ac:dyDescent="0.25">
      <c r="A327" s="87">
        <v>1</v>
      </c>
      <c r="B327" s="87"/>
      <c r="C327" s="19" t="s">
        <v>188</v>
      </c>
      <c r="D327" s="64">
        <f>(13.54)*10.764</f>
        <v>145.74455999999998</v>
      </c>
      <c r="E327" s="19">
        <v>0</v>
      </c>
      <c r="F327" s="19">
        <f t="shared" ref="F327:F332" si="22">D327*(($F$230)+1)+E327</f>
        <v>233.19129599999997</v>
      </c>
      <c r="G327" s="87" t="str">
        <f>A326</f>
        <v>1st Floor Entrance Lobby, Commercial &amp; Parking</v>
      </c>
      <c r="H327" s="87"/>
      <c r="I327" s="36">
        <f>3.65*2.9+1.2*2</f>
        <v>12.984999999999999</v>
      </c>
      <c r="L327" s="101"/>
      <c r="M327" s="101"/>
      <c r="N327" s="36"/>
    </row>
    <row r="328" spans="1:14" s="2" customFormat="1" ht="15.75" customHeight="1" x14ac:dyDescent="0.25">
      <c r="A328" s="87">
        <f>A327+1</f>
        <v>2</v>
      </c>
      <c r="B328" s="87"/>
      <c r="C328" s="19" t="s">
        <v>188</v>
      </c>
      <c r="D328" s="64">
        <f>(11.64)*10.764</f>
        <v>125.29295999999999</v>
      </c>
      <c r="E328" s="19">
        <v>0</v>
      </c>
      <c r="F328" s="19">
        <f t="shared" si="22"/>
        <v>200.46873600000001</v>
      </c>
      <c r="G328" s="87"/>
      <c r="H328" s="87"/>
      <c r="I328" s="36">
        <f>3.65*2.4+2*1.2</f>
        <v>11.16</v>
      </c>
      <c r="L328" s="101"/>
      <c r="M328" s="101"/>
      <c r="N328" s="36"/>
    </row>
    <row r="329" spans="1:14" s="2" customFormat="1" ht="15.75" customHeight="1" x14ac:dyDescent="0.25">
      <c r="A329" s="87">
        <f t="shared" ref="A329:A332" si="23">A328+1</f>
        <v>3</v>
      </c>
      <c r="B329" s="87"/>
      <c r="C329" s="19" t="s">
        <v>188</v>
      </c>
      <c r="D329" s="64">
        <f>(53.54)*10.764</f>
        <v>576.30455999999992</v>
      </c>
      <c r="E329" s="19">
        <v>0</v>
      </c>
      <c r="F329" s="19">
        <f t="shared" si="22"/>
        <v>922.08729599999992</v>
      </c>
      <c r="G329" s="87"/>
      <c r="H329" s="87"/>
      <c r="I329" s="36">
        <f>3.35*2.9+1.05*1.55+1.2*1.55</f>
        <v>13.202499999999999</v>
      </c>
      <c r="L329" s="101"/>
      <c r="M329" s="101"/>
      <c r="N329" s="36"/>
    </row>
    <row r="330" spans="1:14" s="2" customFormat="1" ht="15.75" customHeight="1" x14ac:dyDescent="0.25">
      <c r="A330" s="87">
        <f t="shared" si="23"/>
        <v>4</v>
      </c>
      <c r="B330" s="87"/>
      <c r="C330" s="19" t="s">
        <v>188</v>
      </c>
      <c r="D330" s="64">
        <f>(16.8)*10.764</f>
        <v>180.83519999999999</v>
      </c>
      <c r="E330" s="19">
        <v>0</v>
      </c>
      <c r="F330" s="19">
        <f t="shared" si="22"/>
        <v>289.33632</v>
      </c>
      <c r="G330" s="87"/>
      <c r="H330" s="87"/>
      <c r="I330" s="36"/>
      <c r="L330" s="101"/>
      <c r="M330" s="101"/>
      <c r="N330" s="36"/>
    </row>
    <row r="331" spans="1:14" s="2" customFormat="1" ht="15.75" customHeight="1" x14ac:dyDescent="0.25">
      <c r="A331" s="87">
        <f t="shared" si="23"/>
        <v>5</v>
      </c>
      <c r="B331" s="87"/>
      <c r="C331" s="19" t="s">
        <v>188</v>
      </c>
      <c r="D331" s="64">
        <f>(16.35)*10.764</f>
        <v>175.9914</v>
      </c>
      <c r="E331" s="19">
        <v>0</v>
      </c>
      <c r="F331" s="19">
        <f t="shared" si="22"/>
        <v>281.58624000000003</v>
      </c>
      <c r="G331" s="87"/>
      <c r="H331" s="87"/>
      <c r="I331" s="36"/>
      <c r="L331" s="101"/>
      <c r="M331" s="101"/>
      <c r="N331" s="36"/>
    </row>
    <row r="332" spans="1:14" s="2" customFormat="1" ht="15.75" customHeight="1" x14ac:dyDescent="0.25">
      <c r="A332" s="87">
        <f t="shared" si="23"/>
        <v>6</v>
      </c>
      <c r="B332" s="87"/>
      <c r="C332" s="19" t="s">
        <v>188</v>
      </c>
      <c r="D332" s="64">
        <f>(23.32)*10.764</f>
        <v>251.01648</v>
      </c>
      <c r="E332" s="19">
        <v>0</v>
      </c>
      <c r="F332" s="19">
        <f t="shared" si="22"/>
        <v>401.62636800000001</v>
      </c>
      <c r="G332" s="87"/>
      <c r="H332" s="87"/>
      <c r="I332" s="36">
        <f>3.35*2.9+1.05*1.55+1.2*1.55</f>
        <v>13.202499999999999</v>
      </c>
      <c r="L332" s="101"/>
      <c r="M332" s="101"/>
      <c r="N332" s="36"/>
    </row>
    <row r="333" spans="1:14" s="2" customFormat="1" x14ac:dyDescent="0.25">
      <c r="A333" s="97"/>
      <c r="B333" s="134"/>
      <c r="C333" s="134"/>
      <c r="D333" s="134"/>
      <c r="E333" s="134"/>
      <c r="F333" s="134"/>
      <c r="G333" s="134"/>
      <c r="H333" s="98"/>
      <c r="I333" s="36"/>
      <c r="N333" s="36"/>
    </row>
    <row r="334" spans="1:14" ht="47.25" customHeight="1" x14ac:dyDescent="0.25">
      <c r="A334" s="102" t="s">
        <v>156</v>
      </c>
      <c r="B334" s="102" t="s">
        <v>157</v>
      </c>
      <c r="C334" s="155" t="s">
        <v>62</v>
      </c>
      <c r="D334" s="155" t="s">
        <v>63</v>
      </c>
      <c r="E334" s="157" t="s">
        <v>64</v>
      </c>
      <c r="F334" s="37" t="s">
        <v>152</v>
      </c>
      <c r="G334" s="102" t="s">
        <v>65</v>
      </c>
      <c r="H334" s="159"/>
      <c r="I334" s="36"/>
    </row>
    <row r="335" spans="1:14" s="2" customFormat="1" x14ac:dyDescent="0.25">
      <c r="A335" s="103"/>
      <c r="B335" s="103"/>
      <c r="C335" s="156"/>
      <c r="D335" s="156"/>
      <c r="E335" s="158"/>
      <c r="F335" s="35">
        <v>0.5</v>
      </c>
      <c r="G335" s="103"/>
      <c r="H335" s="160"/>
      <c r="I335" s="36"/>
    </row>
    <row r="336" spans="1:14" s="2" customFormat="1" x14ac:dyDescent="0.25">
      <c r="A336" s="99" t="s">
        <v>194</v>
      </c>
      <c r="B336" s="99"/>
      <c r="C336" s="99"/>
      <c r="D336" s="99"/>
      <c r="E336" s="99"/>
      <c r="F336" s="99"/>
      <c r="G336" s="99"/>
      <c r="H336" s="99"/>
      <c r="I336" s="36"/>
      <c r="L336" s="101"/>
      <c r="M336" s="101"/>
    </row>
    <row r="337" spans="1:16" s="2" customFormat="1" x14ac:dyDescent="0.25">
      <c r="A337" s="100" t="s">
        <v>153</v>
      </c>
      <c r="B337" s="100"/>
      <c r="C337" s="100"/>
      <c r="D337" s="100"/>
      <c r="E337" s="100"/>
      <c r="F337" s="100"/>
      <c r="G337" s="100"/>
      <c r="H337" s="100"/>
      <c r="I337" s="36"/>
      <c r="L337" s="101"/>
      <c r="M337" s="101"/>
    </row>
    <row r="338" spans="1:16" s="2" customFormat="1" x14ac:dyDescent="0.25">
      <c r="A338" s="87">
        <f>LEFT(A337,SUM(LEN(A337)-LEN(SUBSTITUTE(A337,{"0","1","2","3","4","5","6","7","8","9"},""))))*100+1</f>
        <v>201</v>
      </c>
      <c r="B338" s="87"/>
      <c r="C338" s="19" t="s">
        <v>190</v>
      </c>
      <c r="D338" s="19">
        <f>((30.64)+(2.75+2.75)*0.6+(2.4*0.75))*10.764</f>
        <v>384.70535999999993</v>
      </c>
      <c r="E338" s="19">
        <v>0</v>
      </c>
      <c r="F338" s="19">
        <f>D338*(($F$335)+1)+E338</f>
        <v>577.05803999999989</v>
      </c>
      <c r="G338" s="88" t="str">
        <f>A337</f>
        <v>2nd Floor</v>
      </c>
      <c r="H338" s="89"/>
      <c r="I338" s="36"/>
      <c r="N338" s="36"/>
    </row>
    <row r="339" spans="1:16" s="2" customFormat="1" x14ac:dyDescent="0.25">
      <c r="A339" s="87">
        <f>A338+1</f>
        <v>202</v>
      </c>
      <c r="B339" s="87"/>
      <c r="C339" s="19" t="s">
        <v>190</v>
      </c>
      <c r="D339" s="19">
        <f>((30.64)+(2.75+2.75)*0.6+(2.4*0.75))*10.764</f>
        <v>384.70535999999993</v>
      </c>
      <c r="E339" s="19">
        <v>0</v>
      </c>
      <c r="F339" s="19">
        <f t="shared" ref="F339:F340" si="24">D339*(($F$335)+1)+E339</f>
        <v>577.05803999999989</v>
      </c>
      <c r="G339" s="90"/>
      <c r="H339" s="91"/>
      <c r="I339" s="36"/>
      <c r="N339" s="36"/>
    </row>
    <row r="340" spans="1:16" s="2" customFormat="1" x14ac:dyDescent="0.25">
      <c r="A340" s="87">
        <f>A339+1</f>
        <v>203</v>
      </c>
      <c r="B340" s="87"/>
      <c r="C340" s="19" t="s">
        <v>190</v>
      </c>
      <c r="D340" s="19">
        <f>((31.19)+(2.9+2.9)*0.6+(2.4*0.75))*10.764</f>
        <v>392.56307999999996</v>
      </c>
      <c r="E340" s="19">
        <v>0</v>
      </c>
      <c r="F340" s="19">
        <f t="shared" si="24"/>
        <v>588.84461999999996</v>
      </c>
      <c r="G340" s="90"/>
      <c r="H340" s="91"/>
      <c r="I340" s="36"/>
      <c r="N340" s="36"/>
    </row>
    <row r="341" spans="1:16" s="2" customFormat="1" x14ac:dyDescent="0.25">
      <c r="A341" s="87">
        <f t="shared" ref="A341:A344" si="25">A340+1</f>
        <v>204</v>
      </c>
      <c r="B341" s="87"/>
      <c r="C341" s="19" t="s">
        <v>191</v>
      </c>
      <c r="D341" s="19">
        <f>((46.62))*10.764</f>
        <v>501.81767999999994</v>
      </c>
      <c r="E341" s="19">
        <f>((2.9+2.9+2.9)*2.5+(2.4*1.5))*10.764</f>
        <v>272.86739999999998</v>
      </c>
      <c r="F341" s="19">
        <f>D341*(($F$335)+1)+E341/2</f>
        <v>889.16021999999998</v>
      </c>
      <c r="G341" s="90"/>
      <c r="H341" s="91"/>
      <c r="I341" s="36"/>
      <c r="N341" s="36"/>
    </row>
    <row r="342" spans="1:16" s="2" customFormat="1" x14ac:dyDescent="0.25">
      <c r="A342" s="87">
        <f t="shared" si="25"/>
        <v>205</v>
      </c>
      <c r="B342" s="87"/>
      <c r="C342" s="19" t="s">
        <v>190</v>
      </c>
      <c r="D342" s="19">
        <f>((31.75))*10.764</f>
        <v>341.75700000000001</v>
      </c>
      <c r="E342" s="19">
        <f>((2.9*3.2)+(2.4+2.9)*1.5+(1.2*0.8))*10.764</f>
        <v>195.79715999999996</v>
      </c>
      <c r="F342" s="19">
        <f t="shared" ref="F342:F343" si="26">D342*(($F$335)+1)+E342/2</f>
        <v>610.5340799999999</v>
      </c>
      <c r="G342" s="90"/>
      <c r="H342" s="91"/>
      <c r="I342" s="36"/>
      <c r="N342" s="36"/>
    </row>
    <row r="343" spans="1:16" s="2" customFormat="1" x14ac:dyDescent="0.25">
      <c r="A343" s="87">
        <f t="shared" si="25"/>
        <v>206</v>
      </c>
      <c r="B343" s="87"/>
      <c r="C343" s="19" t="s">
        <v>191</v>
      </c>
      <c r="D343" s="19">
        <f>((47.7))*10.764</f>
        <v>513.44280000000003</v>
      </c>
      <c r="E343" s="19">
        <f>((2.9+2.9+1.2)*2.5+(2.9*2.2)+(2.4*1.5))*10.764</f>
        <v>295.79471999999993</v>
      </c>
      <c r="F343" s="19">
        <f t="shared" si="26"/>
        <v>918.06155999999999</v>
      </c>
      <c r="G343" s="90"/>
      <c r="H343" s="91"/>
      <c r="I343" s="36"/>
      <c r="N343" s="36"/>
    </row>
    <row r="344" spans="1:16" s="2" customFormat="1" x14ac:dyDescent="0.25">
      <c r="A344" s="87">
        <f t="shared" si="25"/>
        <v>207</v>
      </c>
      <c r="B344" s="87"/>
      <c r="C344" s="19" t="s">
        <v>190</v>
      </c>
      <c r="D344" s="19">
        <f>((31.19)+(2.9+2.9)*0.6+(2.4*0.75))*10.764</f>
        <v>392.56307999999996</v>
      </c>
      <c r="E344" s="19">
        <v>0</v>
      </c>
      <c r="F344" s="19">
        <f t="shared" ref="F344" si="27">D344*(($F$335)+1)+E344</f>
        <v>588.84461999999996</v>
      </c>
      <c r="G344" s="95"/>
      <c r="H344" s="96"/>
      <c r="I344" s="36"/>
      <c r="N344" s="36"/>
    </row>
    <row r="345" spans="1:16" s="2" customFormat="1" ht="15.75" customHeight="1" x14ac:dyDescent="0.25">
      <c r="A345" s="92" t="s">
        <v>196</v>
      </c>
      <c r="B345" s="93"/>
      <c r="C345" s="93"/>
      <c r="D345" s="93"/>
      <c r="E345" s="93"/>
      <c r="F345" s="93"/>
      <c r="G345" s="93"/>
      <c r="H345" s="94"/>
      <c r="I345" s="36"/>
    </row>
    <row r="346" spans="1:16" s="2" customFormat="1" ht="15.75" customHeight="1" x14ac:dyDescent="0.25">
      <c r="A346" s="97" t="str">
        <f t="shared" ref="A346:A351" ca="1" si="28">N346</f>
        <v>301,..,1901</v>
      </c>
      <c r="B346" s="98"/>
      <c r="C346" s="19" t="s">
        <v>190</v>
      </c>
      <c r="D346" s="19">
        <f>((30.64)+(2.75+2.75)*0.6+(2.4*0.75))*10.764</f>
        <v>384.70535999999993</v>
      </c>
      <c r="E346" s="19">
        <v>0</v>
      </c>
      <c r="F346" s="19">
        <f t="shared" ref="F346:F350" si="29">D346*(($F$335)+1)+E346</f>
        <v>577.05803999999989</v>
      </c>
      <c r="G346" s="88" t="str">
        <f>A345</f>
        <v>3rd to 7th, 9th to 11th, 13th to 15th, 17th to 19th Floor</v>
      </c>
      <c r="H346" s="89"/>
      <c r="I346" s="36"/>
      <c r="N346" s="2" t="str">
        <f t="shared" ref="N346:N351" ca="1" si="30">O346&amp;""&amp;",..,"&amp;""&amp;P346</f>
        <v>301,..,1901</v>
      </c>
      <c r="O346" s="2">
        <v>301</v>
      </c>
      <c r="P346" s="2">
        <f ca="1">(SUMPRODUCT(MID(0&amp;(--TRIM(RIGHT(SUBSTITUTE(LEFT(A345,_xlfn.AGGREGATE(16,6,FIND({0,1,2,3,4,5,6,7,8,9},A345,ROW(INDIRECT("1:"&amp;LEN(A345)))),1))," ",REPT(" ",LEN(A345))),LEN(A345)))), LARGE(INDEX(ISNUMBER(--MID((--TRIM(RIGHT(SUBSTITUTE(LEFT(A345,_xlfn.AGGREGATE(16,6,FIND({0,1,2,3,4,5,6,7,8,9},A345,ROW(INDIRECT("1:"&amp;LEN(A345)))),1))," ",REPT(" ",LEN(A345))),LEN(A345)))), ROW(INDIRECT("1:"&amp;LEN((--TRIM(RIGHT(SUBSTITUTE(LEFT(A345,_xlfn.AGGREGATE(16,6,FIND({0,1,2,3,4,5,6,7,8,9},A345,ROW(INDIRECT("1:"&amp;LEN(A345)))),1))," ",REPT(" ",LEN(A345))),LEN(A345))))))), 1)) * ROW(INDIRECT("1:"&amp;LEN((--TRIM(RIGHT(SUBSTITUTE(LEFT(A345,_xlfn.AGGREGATE(16,6,FIND({0,1,2,3,4,5,6,7,8,9},A345,ROW(INDIRECT("1:"&amp;LEN(A345)))),1))," ",REPT(" ",LEN(A345))),LEN(A345))))))), 0), ROW(INDIRECT("1:"&amp;LEN((--TRIM(RIGHT(SUBSTITUTE(LEFT(A345,_xlfn.AGGREGATE(16,6,FIND({0,1,2,3,4,5,6,7,8,9},A345,ROW(INDIRECT("1:"&amp;LEN(A345)))),1))," ",REPT(" ",LEN(A345))),LEN(A345))))))))+1, 1) * 10^ROW(INDIRECT("1:"&amp;LEN((--TRIM(RIGHT(SUBSTITUTE(LEFT(A345,_xlfn.AGGREGATE(16,6,FIND({0,1,2,3,4,5,6,7,8,9},A345,ROW(INDIRECT("1:"&amp;LEN(A345)))),1))," ",REPT(" ",LEN(A345))),LEN(A345)))))))/10))*100+1</f>
        <v>1901</v>
      </c>
    </row>
    <row r="347" spans="1:16" s="2" customFormat="1" ht="15.75" customHeight="1" x14ac:dyDescent="0.25">
      <c r="A347" s="97" t="str">
        <f t="shared" ca="1" si="28"/>
        <v>302,..,1902</v>
      </c>
      <c r="B347" s="98"/>
      <c r="C347" s="19" t="s">
        <v>190</v>
      </c>
      <c r="D347" s="19">
        <f>((30.64)+(2.75+2.75)*0.6+(2.4*0.75))*10.764</f>
        <v>384.70535999999993</v>
      </c>
      <c r="E347" s="19">
        <v>0</v>
      </c>
      <c r="F347" s="19">
        <f t="shared" si="29"/>
        <v>577.05803999999989</v>
      </c>
      <c r="G347" s="90"/>
      <c r="H347" s="91"/>
      <c r="I347" s="36">
        <f>5+3+3+3</f>
        <v>14</v>
      </c>
      <c r="N347" s="2" t="str">
        <f t="shared" ca="1" si="30"/>
        <v>302,..,1902</v>
      </c>
      <c r="O347" s="2">
        <f t="shared" ref="O347:P350" si="31">O346+1</f>
        <v>302</v>
      </c>
      <c r="P347" s="2">
        <f t="shared" ca="1" si="31"/>
        <v>1902</v>
      </c>
    </row>
    <row r="348" spans="1:16" s="2" customFormat="1" ht="15.75" customHeight="1" x14ac:dyDescent="0.25">
      <c r="A348" s="97" t="str">
        <f t="shared" ca="1" si="28"/>
        <v>303,..,1903</v>
      </c>
      <c r="B348" s="98"/>
      <c r="C348" s="19" t="s">
        <v>190</v>
      </c>
      <c r="D348" s="19">
        <f>((31.19)+(2.9+2.9)*0.6+(2.4*0.75))*10.764</f>
        <v>392.56307999999996</v>
      </c>
      <c r="E348" s="19">
        <v>0</v>
      </c>
      <c r="F348" s="19">
        <f t="shared" si="29"/>
        <v>588.84461999999996</v>
      </c>
      <c r="G348" s="90"/>
      <c r="H348" s="91"/>
      <c r="I348" s="36"/>
      <c r="N348" s="2" t="str">
        <f t="shared" ca="1" si="30"/>
        <v>303,..,1903</v>
      </c>
      <c r="O348" s="2">
        <f t="shared" si="31"/>
        <v>303</v>
      </c>
      <c r="P348" s="2">
        <f t="shared" ca="1" si="31"/>
        <v>1903</v>
      </c>
    </row>
    <row r="349" spans="1:16" s="2" customFormat="1" ht="15.75" customHeight="1" x14ac:dyDescent="0.25">
      <c r="A349" s="97" t="str">
        <f t="shared" ca="1" si="28"/>
        <v>304,..,1904</v>
      </c>
      <c r="B349" s="98"/>
      <c r="C349" s="19" t="s">
        <v>191</v>
      </c>
      <c r="D349" s="19">
        <f>((46.62)+(2.9+2.9+2.9)*0.6+(2.4*0.75))*10.764</f>
        <v>577.38095999999985</v>
      </c>
      <c r="E349" s="19">
        <v>0</v>
      </c>
      <c r="F349" s="19">
        <f t="shared" si="29"/>
        <v>866.07143999999971</v>
      </c>
      <c r="G349" s="90"/>
      <c r="H349" s="91"/>
      <c r="I349" s="36"/>
      <c r="N349" s="2" t="str">
        <f t="shared" ca="1" si="30"/>
        <v>304,..,1904</v>
      </c>
      <c r="O349" s="2">
        <f t="shared" si="31"/>
        <v>304</v>
      </c>
      <c r="P349" s="2">
        <f t="shared" ca="1" si="31"/>
        <v>1904</v>
      </c>
    </row>
    <row r="350" spans="1:16" s="2" customFormat="1" ht="15.75" customHeight="1" x14ac:dyDescent="0.25">
      <c r="A350" s="97" t="str">
        <f t="shared" ca="1" si="28"/>
        <v>305,..,1905</v>
      </c>
      <c r="B350" s="98"/>
      <c r="C350" s="19" t="s">
        <v>190</v>
      </c>
      <c r="D350" s="19">
        <f>((31.75)+(2.9+2.9)*0.6+(2.4*0.75))*10.764</f>
        <v>398.59091999999993</v>
      </c>
      <c r="E350" s="19">
        <v>0</v>
      </c>
      <c r="F350" s="19">
        <f t="shared" si="29"/>
        <v>597.88637999999992</v>
      </c>
      <c r="G350" s="90"/>
      <c r="H350" s="91"/>
      <c r="I350" s="36"/>
      <c r="N350" s="2" t="str">
        <f t="shared" ca="1" si="30"/>
        <v>305,..,1905</v>
      </c>
      <c r="O350" s="2">
        <f t="shared" si="31"/>
        <v>305</v>
      </c>
      <c r="P350" s="2">
        <f t="shared" ca="1" si="31"/>
        <v>1905</v>
      </c>
    </row>
    <row r="351" spans="1:16" s="2" customFormat="1" ht="15.75" customHeight="1" x14ac:dyDescent="0.25">
      <c r="A351" s="97" t="str">
        <f t="shared" ca="1" si="28"/>
        <v>306,..,1906</v>
      </c>
      <c r="B351" s="98"/>
      <c r="C351" s="19" t="s">
        <v>191</v>
      </c>
      <c r="D351" s="19">
        <f>((47.7)+(2.9+2.9+2.9)*0.6+(2.4*0.75))*10.764</f>
        <v>589.00608</v>
      </c>
      <c r="E351" s="19">
        <v>0</v>
      </c>
      <c r="F351" s="19">
        <f t="shared" ref="F351" si="32">D351*(($F$335)+1)+E351</f>
        <v>883.50911999999994</v>
      </c>
      <c r="G351" s="90"/>
      <c r="H351" s="91"/>
      <c r="I351" s="36"/>
      <c r="N351" s="2" t="str">
        <f t="shared" ca="1" si="30"/>
        <v>306,..,1906</v>
      </c>
      <c r="O351" s="2">
        <f t="shared" ref="O351:P352" si="33">O350+1</f>
        <v>306</v>
      </c>
      <c r="P351" s="2">
        <f t="shared" ca="1" si="33"/>
        <v>1906</v>
      </c>
    </row>
    <row r="352" spans="1:16" s="2" customFormat="1" ht="15.75" customHeight="1" x14ac:dyDescent="0.25">
      <c r="A352" s="97" t="str">
        <f t="shared" ref="A352" ca="1" si="34">N352</f>
        <v>307,..,1907</v>
      </c>
      <c r="B352" s="98"/>
      <c r="C352" s="19" t="s">
        <v>190</v>
      </c>
      <c r="D352" s="19">
        <f>((31.19)+(2.9+2.9)*0.6+(2.4*0.75))*10.764</f>
        <v>392.56307999999996</v>
      </c>
      <c r="E352" s="19">
        <v>0</v>
      </c>
      <c r="F352" s="19">
        <f t="shared" ref="F352" si="35">D352*(($F$335)+1)+E352</f>
        <v>588.84461999999996</v>
      </c>
      <c r="G352" s="95"/>
      <c r="H352" s="96"/>
      <c r="I352" s="36"/>
      <c r="N352" s="2" t="str">
        <f t="shared" ref="N352" ca="1" si="36">O352&amp;""&amp;",..,"&amp;""&amp;P352</f>
        <v>307,..,1907</v>
      </c>
      <c r="O352" s="2">
        <f t="shared" si="33"/>
        <v>307</v>
      </c>
      <c r="P352" s="2">
        <f t="shared" ca="1" si="33"/>
        <v>1907</v>
      </c>
    </row>
    <row r="353" spans="1:16" s="2" customFormat="1" ht="15.75" customHeight="1" x14ac:dyDescent="0.25">
      <c r="A353" s="100" t="s">
        <v>192</v>
      </c>
      <c r="B353" s="100"/>
      <c r="C353" s="100"/>
      <c r="D353" s="100"/>
      <c r="E353" s="100"/>
      <c r="F353" s="100"/>
      <c r="G353" s="100"/>
      <c r="H353" s="100"/>
      <c r="I353" s="36"/>
    </row>
    <row r="354" spans="1:16" s="2" customFormat="1" ht="15.75" customHeight="1" x14ac:dyDescent="0.25">
      <c r="A354" s="87" t="str">
        <f t="shared" ref="A354:A360" ca="1" si="37">N354</f>
        <v>801,..,2001</v>
      </c>
      <c r="B354" s="87"/>
      <c r="C354" s="19" t="s">
        <v>190</v>
      </c>
      <c r="D354" s="19">
        <f>((30.64)+(2.75+2.75)*0.6+(2.4*0.75))*10.764</f>
        <v>384.70535999999993</v>
      </c>
      <c r="E354" s="19">
        <v>0</v>
      </c>
      <c r="F354" s="19">
        <f t="shared" ref="F354:F360" si="38">D354*(($F$335)+1)+E354</f>
        <v>577.05803999999989</v>
      </c>
      <c r="G354" s="87" t="str">
        <f>A353</f>
        <v>8th, 12th, 16th &amp; 20th Floor (Part Refuge Area)</v>
      </c>
      <c r="H354" s="87"/>
      <c r="I354" s="36"/>
      <c r="N354" s="2" t="str">
        <f t="shared" ref="N354:N360" ca="1" si="39">O354&amp;""&amp;",..,"&amp;""&amp;P354</f>
        <v>801,..,2001</v>
      </c>
      <c r="O354" s="2">
        <v>801</v>
      </c>
      <c r="P354" s="2">
        <f ca="1">(SUMPRODUCT(MID(0&amp;(--TRIM(RIGHT(SUBSTITUTE(LEFT(A353,_xlfn.AGGREGATE(16,6,FIND({0,1,2,3,4,5,6,7,8,9},A353,ROW(INDIRECT("1:"&amp;LEN(A353)))),1))," ",REPT(" ",LEN(A353))),LEN(A353)))), LARGE(INDEX(ISNUMBER(--MID((--TRIM(RIGHT(SUBSTITUTE(LEFT(A353,_xlfn.AGGREGATE(16,6,FIND({0,1,2,3,4,5,6,7,8,9},A353,ROW(INDIRECT("1:"&amp;LEN(A353)))),1))," ",REPT(" ",LEN(A353))),LEN(A353)))), ROW(INDIRECT("1:"&amp;LEN((--TRIM(RIGHT(SUBSTITUTE(LEFT(A353,_xlfn.AGGREGATE(16,6,FIND({0,1,2,3,4,5,6,7,8,9},A353,ROW(INDIRECT("1:"&amp;LEN(A353)))),1))," ",REPT(" ",LEN(A353))),LEN(A353))))))), 1)) * ROW(INDIRECT("1:"&amp;LEN((--TRIM(RIGHT(SUBSTITUTE(LEFT(A353,_xlfn.AGGREGATE(16,6,FIND({0,1,2,3,4,5,6,7,8,9},A353,ROW(INDIRECT("1:"&amp;LEN(A353)))),1))," ",REPT(" ",LEN(A353))),LEN(A353))))))), 0), ROW(INDIRECT("1:"&amp;LEN((--TRIM(RIGHT(SUBSTITUTE(LEFT(A353,_xlfn.AGGREGATE(16,6,FIND({0,1,2,3,4,5,6,7,8,9},A353,ROW(INDIRECT("1:"&amp;LEN(A353)))),1))," ",REPT(" ",LEN(A353))),LEN(A353))))))))+1, 1) * 10^ROW(INDIRECT("1:"&amp;LEN((--TRIM(RIGHT(SUBSTITUTE(LEFT(A353,_xlfn.AGGREGATE(16,6,FIND({0,1,2,3,4,5,6,7,8,9},A353,ROW(INDIRECT("1:"&amp;LEN(A353)))),1))," ",REPT(" ",LEN(A353))),LEN(A353)))))))/10))*100+1</f>
        <v>2001</v>
      </c>
    </row>
    <row r="355" spans="1:16" s="2" customFormat="1" ht="15.75" customHeight="1" x14ac:dyDescent="0.25">
      <c r="A355" s="87" t="str">
        <f t="shared" ca="1" si="37"/>
        <v>802,..,2002</v>
      </c>
      <c r="B355" s="87"/>
      <c r="C355" s="19" t="s">
        <v>190</v>
      </c>
      <c r="D355" s="19">
        <f>((30.64)+(2.75+2.75)*0.6+(2.4*0.75))*10.764</f>
        <v>384.70535999999993</v>
      </c>
      <c r="E355" s="19">
        <v>0</v>
      </c>
      <c r="F355" s="19">
        <f t="shared" si="38"/>
        <v>577.05803999999989</v>
      </c>
      <c r="G355" s="87"/>
      <c r="H355" s="87"/>
      <c r="I355" s="36"/>
      <c r="N355" s="2" t="str">
        <f t="shared" ca="1" si="39"/>
        <v>802,..,2002</v>
      </c>
      <c r="O355" s="2">
        <f t="shared" ref="O355:P355" si="40">O354+1</f>
        <v>802</v>
      </c>
      <c r="P355" s="2">
        <f t="shared" ca="1" si="40"/>
        <v>2002</v>
      </c>
    </row>
    <row r="356" spans="1:16" s="2" customFormat="1" ht="15.75" customHeight="1" x14ac:dyDescent="0.25">
      <c r="A356" s="87" t="str">
        <f t="shared" ca="1" si="37"/>
        <v>803,..,2003</v>
      </c>
      <c r="B356" s="87"/>
      <c r="C356" s="19" t="s">
        <v>190</v>
      </c>
      <c r="D356" s="19">
        <f>((31.19)+(2.9+2.9)*0.6+(2.4*0.75))*10.764</f>
        <v>392.56307999999996</v>
      </c>
      <c r="E356" s="19">
        <v>0</v>
      </c>
      <c r="F356" s="19">
        <f t="shared" si="38"/>
        <v>588.84461999999996</v>
      </c>
      <c r="G356" s="87"/>
      <c r="H356" s="87"/>
      <c r="I356" s="36"/>
      <c r="N356" s="2" t="str">
        <f t="shared" ca="1" si="39"/>
        <v>803,..,2003</v>
      </c>
      <c r="O356" s="2">
        <f t="shared" ref="O356:P356" si="41">O355+1</f>
        <v>803</v>
      </c>
      <c r="P356" s="2">
        <f t="shared" ca="1" si="41"/>
        <v>2003</v>
      </c>
    </row>
    <row r="357" spans="1:16" s="2" customFormat="1" ht="15.75" customHeight="1" x14ac:dyDescent="0.25">
      <c r="A357" s="87" t="str">
        <f t="shared" ca="1" si="37"/>
        <v>804,..,2004</v>
      </c>
      <c r="B357" s="87"/>
      <c r="C357" s="19" t="s">
        <v>191</v>
      </c>
      <c r="D357" s="19">
        <f>((46.62)+(2.9+2.9+2.9)*0.6+(2.4*0.75))*10.764</f>
        <v>577.38095999999985</v>
      </c>
      <c r="E357" s="19">
        <v>0</v>
      </c>
      <c r="F357" s="19">
        <f t="shared" si="38"/>
        <v>866.07143999999971</v>
      </c>
      <c r="G357" s="87"/>
      <c r="H357" s="87"/>
      <c r="I357" s="36"/>
      <c r="N357" s="2" t="str">
        <f t="shared" ca="1" si="39"/>
        <v>804,..,2004</v>
      </c>
      <c r="O357" s="2">
        <f t="shared" ref="O357:P357" si="42">O356+1</f>
        <v>804</v>
      </c>
      <c r="P357" s="2">
        <f t="shared" ca="1" si="42"/>
        <v>2004</v>
      </c>
    </row>
    <row r="358" spans="1:16" s="2" customFormat="1" ht="15.75" customHeight="1" x14ac:dyDescent="0.25">
      <c r="A358" s="87" t="str">
        <f t="shared" ca="1" si="37"/>
        <v>805,..,2005</v>
      </c>
      <c r="B358" s="87"/>
      <c r="C358" s="19" t="s">
        <v>190</v>
      </c>
      <c r="D358" s="19">
        <f>((31.75)+(2.9+2.9)*0.6+(2.4*0.75))*10.764</f>
        <v>398.59091999999993</v>
      </c>
      <c r="E358" s="19">
        <v>0</v>
      </c>
      <c r="F358" s="19">
        <f t="shared" si="38"/>
        <v>597.88637999999992</v>
      </c>
      <c r="G358" s="87"/>
      <c r="H358" s="87"/>
      <c r="I358" s="36"/>
      <c r="N358" s="2" t="str">
        <f t="shared" ca="1" si="39"/>
        <v>805,..,2005</v>
      </c>
      <c r="O358" s="2">
        <f t="shared" ref="O358:P358" si="43">O357+1</f>
        <v>805</v>
      </c>
      <c r="P358" s="2">
        <f t="shared" ca="1" si="43"/>
        <v>2005</v>
      </c>
    </row>
    <row r="359" spans="1:16" s="2" customFormat="1" ht="15.75" customHeight="1" x14ac:dyDescent="0.25">
      <c r="A359" s="87" t="str">
        <f t="shared" ca="1" si="37"/>
        <v>806,..,2006</v>
      </c>
      <c r="B359" s="87"/>
      <c r="C359" s="19" t="s">
        <v>190</v>
      </c>
      <c r="D359" s="19">
        <f>((33.58)+(2.9+2.9)*0.6+(2.4*0.75))*10.764</f>
        <v>418.28903999999989</v>
      </c>
      <c r="E359" s="19">
        <v>0</v>
      </c>
      <c r="F359" s="19">
        <f t="shared" si="38"/>
        <v>627.43355999999983</v>
      </c>
      <c r="G359" s="87"/>
      <c r="H359" s="87"/>
      <c r="I359" s="36"/>
      <c r="N359" s="2" t="str">
        <f t="shared" ca="1" si="39"/>
        <v>806,..,2006</v>
      </c>
      <c r="O359" s="2">
        <f t="shared" ref="O359:P359" si="44">O358+1</f>
        <v>806</v>
      </c>
      <c r="P359" s="2">
        <f t="shared" ca="1" si="44"/>
        <v>2006</v>
      </c>
    </row>
    <row r="360" spans="1:16" s="2" customFormat="1" ht="15.75" customHeight="1" x14ac:dyDescent="0.25">
      <c r="A360" s="87" t="str">
        <f t="shared" ca="1" si="37"/>
        <v>807,..,2007</v>
      </c>
      <c r="B360" s="87"/>
      <c r="C360" s="19" t="s">
        <v>190</v>
      </c>
      <c r="D360" s="19">
        <f>((31.19)+(2.9+2.9)*0.6+(2.4*0.75))*10.764</f>
        <v>392.56307999999996</v>
      </c>
      <c r="E360" s="19">
        <v>0</v>
      </c>
      <c r="F360" s="19">
        <f t="shared" si="38"/>
        <v>588.84461999999996</v>
      </c>
      <c r="G360" s="87"/>
      <c r="H360" s="87"/>
      <c r="I360" s="36"/>
      <c r="N360" s="2" t="str">
        <f t="shared" ca="1" si="39"/>
        <v>807,..,2007</v>
      </c>
      <c r="O360" s="2">
        <f t="shared" ref="O360:P360" si="45">O359+1</f>
        <v>807</v>
      </c>
      <c r="P360" s="2">
        <f t="shared" ca="1" si="45"/>
        <v>2007</v>
      </c>
    </row>
    <row r="361" spans="1:16" s="2" customFormat="1" x14ac:dyDescent="0.25">
      <c r="A361" s="100" t="s">
        <v>218</v>
      </c>
      <c r="B361" s="100"/>
      <c r="C361" s="100"/>
      <c r="D361" s="100"/>
      <c r="E361" s="100"/>
      <c r="F361" s="100"/>
      <c r="G361" s="100"/>
      <c r="H361" s="100"/>
      <c r="I361" s="36"/>
    </row>
    <row r="362" spans="1:16" s="2" customFormat="1" ht="15.75" customHeight="1" x14ac:dyDescent="0.25">
      <c r="A362" s="87" t="str">
        <f t="shared" ref="A362:A367" ca="1" si="46">N362</f>
        <v>2101 &amp; 2201</v>
      </c>
      <c r="B362" s="87"/>
      <c r="C362" s="19" t="s">
        <v>190</v>
      </c>
      <c r="D362" s="19">
        <f>((30.64)+(2.75+2.75)*0.6+(2.4*0.75))*10.764</f>
        <v>384.70535999999993</v>
      </c>
      <c r="E362" s="19">
        <v>0</v>
      </c>
      <c r="F362" s="19">
        <f t="shared" ref="F362:F367" si="47">D362*(($F$335)+1)+E362</f>
        <v>577.05803999999989</v>
      </c>
      <c r="G362" s="87" t="str">
        <f>A361</f>
        <v>21st &amp; 22nd Floor for MHADA</v>
      </c>
      <c r="H362" s="87"/>
      <c r="I362" s="36"/>
      <c r="N362" s="2" t="str">
        <f t="shared" ref="N362:N367" ca="1" si="48">O362&amp;""&amp;" &amp; "&amp;""&amp;P362</f>
        <v>2101 &amp; 2201</v>
      </c>
      <c r="O362" s="2">
        <f ca="1">(SUMPRODUCT(MID(0&amp;(LEFT(A361,SUM(LEN(A361)-LEN(SUBSTITUTE(A361,{"0","1","2"},""))))), LARGE(INDEX(ISNUMBER(--MID((LEFT(A361,SUM(LEN(A361)-LEN(SUBSTITUTE(A361,{"0","1","2"},""))))), ROW(INDIRECT("1:"&amp;LEN((LEFT(A361,SUM(LEN(A361)-LEN(SUBSTITUTE(A361,{"0","1","2"},"")))))))), 1)) * ROW(INDIRECT("1:"&amp;LEN((LEFT(A361,SUM(LEN(A361)-LEN(SUBSTITUTE(A361,{"0","1","2"},"")))))))), 0), ROW(INDIRECT("1:"&amp;LEN((LEFT(A361,SUM(LEN(A361)-LEN(SUBSTITUTE(A361,{"0","1","2"},"")))))))))+1, 1) * 10^ROW(INDIRECT("1:"&amp;LEN((LEFT(A361,SUM(LEN(A361)-LEN(SUBSTITUTE(A361,{"0","1","2"},""))))))))/10))*100+1</f>
        <v>2101</v>
      </c>
      <c r="P362" s="2">
        <f ca="1">(SUMPRODUCT(MID(0&amp;(--TRIM(RIGHT(SUBSTITUTE(LEFT(A361,_xlfn.AGGREGATE(16,6,FIND({0,1,2,3,4,5,6,7,8,9},A361,ROW(INDIRECT("1:"&amp;LEN(A361)))),1))," ",REPT(" ",LEN(A361))),LEN(A361)))), LARGE(INDEX(ISNUMBER(--MID((--TRIM(RIGHT(SUBSTITUTE(LEFT(A361,_xlfn.AGGREGATE(16,6,FIND({0,1,2,3,4,5,6,7,8,9},A361,ROW(INDIRECT("1:"&amp;LEN(A361)))),1))," ",REPT(" ",LEN(A361))),LEN(A361)))), ROW(INDIRECT("1:"&amp;LEN((--TRIM(RIGHT(SUBSTITUTE(LEFT(A361,_xlfn.AGGREGATE(16,6,FIND({0,1,2,3,4,5,6,7,8,9},A361,ROW(INDIRECT("1:"&amp;LEN(A361)))),1))," ",REPT(" ",LEN(A361))),LEN(A361))))))), 1)) * ROW(INDIRECT("1:"&amp;LEN((--TRIM(RIGHT(SUBSTITUTE(LEFT(A361,_xlfn.AGGREGATE(16,6,FIND({0,1,2,3,4,5,6,7,8,9},A361,ROW(INDIRECT("1:"&amp;LEN(A361)))),1))," ",REPT(" ",LEN(A361))),LEN(A361))))))), 0), ROW(INDIRECT("1:"&amp;LEN((--TRIM(RIGHT(SUBSTITUTE(LEFT(A361,_xlfn.AGGREGATE(16,6,FIND({0,1,2,3,4,5,6,7,8,9},A361,ROW(INDIRECT("1:"&amp;LEN(A361)))),1))," ",REPT(" ",LEN(A361))),LEN(A361))))))))+1, 1) * 10^ROW(INDIRECT("1:"&amp;LEN((--TRIM(RIGHT(SUBSTITUTE(LEFT(A361,_xlfn.AGGREGATE(16,6,FIND({0,1,2,3,4,5,6,7,8,9},A361,ROW(INDIRECT("1:"&amp;LEN(A361)))),1))," ",REPT(" ",LEN(A361))),LEN(A361)))))))/10))*100+1</f>
        <v>2201</v>
      </c>
    </row>
    <row r="363" spans="1:16" s="2" customFormat="1" ht="15.75" customHeight="1" x14ac:dyDescent="0.25">
      <c r="A363" s="87" t="str">
        <f t="shared" ca="1" si="46"/>
        <v>2102 &amp; 2202</v>
      </c>
      <c r="B363" s="87"/>
      <c r="C363" s="19" t="s">
        <v>190</v>
      </c>
      <c r="D363" s="19">
        <f>((30.64)+(2.75+2.75)*0.6+(2.4*0.75))*10.764</f>
        <v>384.70535999999993</v>
      </c>
      <c r="E363" s="19">
        <v>0</v>
      </c>
      <c r="F363" s="19">
        <f t="shared" si="47"/>
        <v>577.05803999999989</v>
      </c>
      <c r="G363" s="87"/>
      <c r="H363" s="87"/>
      <c r="I363" s="36"/>
      <c r="N363" s="2" t="str">
        <f t="shared" ca="1" si="48"/>
        <v>2102 &amp; 2202</v>
      </c>
      <c r="O363" s="2">
        <f t="shared" ref="O363:P363" ca="1" si="49">O362+1</f>
        <v>2102</v>
      </c>
      <c r="P363" s="2">
        <f t="shared" ca="1" si="49"/>
        <v>2202</v>
      </c>
    </row>
    <row r="364" spans="1:16" s="2" customFormat="1" ht="15.75" customHeight="1" x14ac:dyDescent="0.25">
      <c r="A364" s="87" t="str">
        <f t="shared" ca="1" si="46"/>
        <v>2103 &amp; 2203</v>
      </c>
      <c r="B364" s="87"/>
      <c r="C364" s="19" t="s">
        <v>190</v>
      </c>
      <c r="D364" s="19">
        <f>((31.19)+(2.9+2.9)*0.6+(2.4*0.75))*10.764</f>
        <v>392.56307999999996</v>
      </c>
      <c r="E364" s="19">
        <v>0</v>
      </c>
      <c r="F364" s="19">
        <f t="shared" si="47"/>
        <v>588.84461999999996</v>
      </c>
      <c r="G364" s="87"/>
      <c r="H364" s="87"/>
      <c r="I364" s="36"/>
      <c r="N364" s="2" t="str">
        <f t="shared" ca="1" si="48"/>
        <v>2103 &amp; 2203</v>
      </c>
      <c r="O364" s="2">
        <f t="shared" ref="O364:P364" ca="1" si="50">O363+1</f>
        <v>2103</v>
      </c>
      <c r="P364" s="2">
        <f t="shared" ca="1" si="50"/>
        <v>2203</v>
      </c>
    </row>
    <row r="365" spans="1:16" s="2" customFormat="1" ht="15.75" customHeight="1" x14ac:dyDescent="0.25">
      <c r="A365" s="87" t="str">
        <f t="shared" ca="1" si="46"/>
        <v>2104 &amp; 2204</v>
      </c>
      <c r="B365" s="87"/>
      <c r="C365" s="19" t="s">
        <v>191</v>
      </c>
      <c r="D365" s="19">
        <f>((46.62)+(2.9+2.9+2.9)*0.6+(2.4*0.75))*10.764</f>
        <v>577.38095999999985</v>
      </c>
      <c r="E365" s="19">
        <v>0</v>
      </c>
      <c r="F365" s="19">
        <f t="shared" si="47"/>
        <v>866.07143999999971</v>
      </c>
      <c r="G365" s="87"/>
      <c r="H365" s="87"/>
      <c r="I365" s="36"/>
      <c r="N365" s="2" t="str">
        <f t="shared" ca="1" si="48"/>
        <v>2104 &amp; 2204</v>
      </c>
      <c r="O365" s="2">
        <f t="shared" ref="O365:P365" ca="1" si="51">O364+1</f>
        <v>2104</v>
      </c>
      <c r="P365" s="2">
        <f t="shared" ca="1" si="51"/>
        <v>2204</v>
      </c>
    </row>
    <row r="366" spans="1:16" s="2" customFormat="1" ht="15.75" customHeight="1" x14ac:dyDescent="0.25">
      <c r="A366" s="87" t="str">
        <f t="shared" ca="1" si="46"/>
        <v>2105 &amp; 2205</v>
      </c>
      <c r="B366" s="87"/>
      <c r="C366" s="19" t="s">
        <v>190</v>
      </c>
      <c r="D366" s="19">
        <f>((31.75)+(2.9+2.9)*0.6+(2.4*0.75))*10.764</f>
        <v>398.59091999999993</v>
      </c>
      <c r="E366" s="19">
        <v>0</v>
      </c>
      <c r="F366" s="19">
        <f t="shared" si="47"/>
        <v>597.88637999999992</v>
      </c>
      <c r="G366" s="87"/>
      <c r="H366" s="87"/>
      <c r="I366" s="36"/>
      <c r="N366" s="2" t="str">
        <f t="shared" ca="1" si="48"/>
        <v>2105 &amp; 2205</v>
      </c>
      <c r="O366" s="2">
        <f t="shared" ref="O366:P366" ca="1" si="52">O365+1</f>
        <v>2105</v>
      </c>
      <c r="P366" s="2">
        <f t="shared" ca="1" si="52"/>
        <v>2205</v>
      </c>
    </row>
    <row r="367" spans="1:16" s="2" customFormat="1" ht="15.75" customHeight="1" x14ac:dyDescent="0.25">
      <c r="A367" s="87" t="str">
        <f t="shared" ca="1" si="46"/>
        <v>2106 &amp; 2206</v>
      </c>
      <c r="B367" s="87"/>
      <c r="C367" s="19" t="s">
        <v>191</v>
      </c>
      <c r="D367" s="19">
        <f>((47.7)+(2.9+2.9+2.9)*0.6+(2.4*0.75))*10.764</f>
        <v>589.00608</v>
      </c>
      <c r="E367" s="19">
        <v>0</v>
      </c>
      <c r="F367" s="19">
        <f t="shared" si="47"/>
        <v>883.50911999999994</v>
      </c>
      <c r="G367" s="87"/>
      <c r="H367" s="87"/>
      <c r="I367" s="36"/>
      <c r="N367" s="2" t="str">
        <f t="shared" ca="1" si="48"/>
        <v>2106 &amp; 2206</v>
      </c>
      <c r="O367" s="2">
        <f t="shared" ref="O367:P368" ca="1" si="53">O366+1</f>
        <v>2106</v>
      </c>
      <c r="P367" s="2">
        <f t="shared" ca="1" si="53"/>
        <v>2206</v>
      </c>
    </row>
    <row r="368" spans="1:16" s="2" customFormat="1" ht="15.75" customHeight="1" x14ac:dyDescent="0.25">
      <c r="A368" s="87" t="str">
        <f t="shared" ref="A368" ca="1" si="54">N368</f>
        <v>2107 &amp; 2207</v>
      </c>
      <c r="B368" s="87"/>
      <c r="C368" s="19" t="s">
        <v>190</v>
      </c>
      <c r="D368" s="19">
        <f>((31.19)+(2.9+2.9)*0.6+(2.4*0.75))*10.764</f>
        <v>392.56307999999996</v>
      </c>
      <c r="E368" s="19">
        <v>0</v>
      </c>
      <c r="F368" s="19">
        <f t="shared" ref="F368" si="55">D368*(($F$335)+1)+E368</f>
        <v>588.84461999999996</v>
      </c>
      <c r="G368" s="87"/>
      <c r="H368" s="87"/>
      <c r="I368" s="36"/>
      <c r="N368" s="2" t="str">
        <f t="shared" ref="N368" ca="1" si="56">O368&amp;""&amp;" &amp; "&amp;""&amp;P368</f>
        <v>2107 &amp; 2207</v>
      </c>
      <c r="O368" s="2">
        <f t="shared" ca="1" si="53"/>
        <v>2107</v>
      </c>
      <c r="P368" s="2">
        <f t="shared" ca="1" si="53"/>
        <v>2207</v>
      </c>
    </row>
    <row r="369" spans="1:16" s="2" customFormat="1" x14ac:dyDescent="0.25">
      <c r="A369" s="99" t="s">
        <v>195</v>
      </c>
      <c r="B369" s="99"/>
      <c r="C369" s="99"/>
      <c r="D369" s="99"/>
      <c r="E369" s="99"/>
      <c r="F369" s="99"/>
      <c r="G369" s="99"/>
      <c r="H369" s="99"/>
      <c r="I369" s="36"/>
      <c r="L369" s="101"/>
      <c r="M369" s="101"/>
    </row>
    <row r="370" spans="1:16" s="2" customFormat="1" x14ac:dyDescent="0.25">
      <c r="A370" s="100" t="s">
        <v>153</v>
      </c>
      <c r="B370" s="100"/>
      <c r="C370" s="100"/>
      <c r="D370" s="100"/>
      <c r="E370" s="100"/>
      <c r="F370" s="100"/>
      <c r="G370" s="100"/>
      <c r="H370" s="100"/>
      <c r="I370" s="36"/>
      <c r="L370" s="101"/>
      <c r="M370" s="101"/>
    </row>
    <row r="371" spans="1:16" s="2" customFormat="1" x14ac:dyDescent="0.25">
      <c r="A371" s="87">
        <f>LEFT(A370,SUM(LEN(A370)-LEN(SUBSTITUTE(A370,{"0","1","2","3","4","5","6","7","8","9"},""))))*100+1</f>
        <v>201</v>
      </c>
      <c r="B371" s="87"/>
      <c r="C371" s="19" t="s">
        <v>190</v>
      </c>
      <c r="D371" s="19">
        <f>(31.18+1.2*2.9+0.6*2.9+2.4*0.75+0.6*2.9)*10.764</f>
        <v>429.91415999999992</v>
      </c>
      <c r="E371" s="19">
        <v>0</v>
      </c>
      <c r="F371" s="19">
        <f>D371*(($F$335)+1)+E371</f>
        <v>644.87123999999994</v>
      </c>
      <c r="G371" s="88" t="str">
        <f>A370</f>
        <v>2nd Floor</v>
      </c>
      <c r="H371" s="89"/>
      <c r="I371" s="36">
        <f>(2.9*3.35+2.4*3.35+2.9*3.05+2*1.2+1.2*2+1*2.4)</f>
        <v>33.799999999999997</v>
      </c>
      <c r="J371" s="2">
        <f t="shared" ref="J371:J372" si="57">3250000/F371</f>
        <v>5039.7657678143632</v>
      </c>
      <c r="N371" s="36"/>
    </row>
    <row r="372" spans="1:16" s="2" customFormat="1" x14ac:dyDescent="0.25">
      <c r="A372" s="87">
        <f>A371+1</f>
        <v>202</v>
      </c>
      <c r="B372" s="87"/>
      <c r="C372" s="19" t="s">
        <v>191</v>
      </c>
      <c r="D372" s="19">
        <f>(47.78+1.2*2.9)*10.764</f>
        <v>551.76263999999992</v>
      </c>
      <c r="E372" s="19">
        <f>(2.9*2.25+1.5*2.4+2.9*2.25+2.9*2.25+1.2*2.25)*10.764</f>
        <v>278.51849999999996</v>
      </c>
      <c r="F372" s="19">
        <f t="shared" ref="F372:F377" si="58">D372*(($F$335)+1)+E372</f>
        <v>1106.1624599999998</v>
      </c>
      <c r="G372" s="90"/>
      <c r="H372" s="91"/>
      <c r="I372" s="36"/>
      <c r="J372" s="2">
        <f t="shared" si="57"/>
        <v>2938.085604532268</v>
      </c>
      <c r="N372" s="36"/>
    </row>
    <row r="373" spans="1:16" s="2" customFormat="1" x14ac:dyDescent="0.25">
      <c r="A373" s="87">
        <f>A372+1</f>
        <v>203</v>
      </c>
      <c r="B373" s="87"/>
      <c r="C373" s="19" t="s">
        <v>190</v>
      </c>
      <c r="D373" s="19">
        <f>(31.75+1.2*2.9)*10.764</f>
        <v>379.21571999999992</v>
      </c>
      <c r="E373" s="19">
        <f>(2.9*2.75+2.4*1.5+2.9*1.5+0.75*1.2)*10.764</f>
        <v>181.10429999999999</v>
      </c>
      <c r="F373" s="19">
        <f t="shared" si="58"/>
        <v>749.92787999999985</v>
      </c>
      <c r="G373" s="90"/>
      <c r="H373" s="91"/>
      <c r="I373" s="36"/>
      <c r="J373" s="2">
        <f>3250000/F373</f>
        <v>4333.7500667397517</v>
      </c>
      <c r="N373" s="36"/>
    </row>
    <row r="374" spans="1:16" s="2" customFormat="1" x14ac:dyDescent="0.25">
      <c r="A374" s="87">
        <f t="shared" ref="A374:A377" si="59">A373+1</f>
        <v>204</v>
      </c>
      <c r="B374" s="87"/>
      <c r="C374" s="19" t="s">
        <v>191</v>
      </c>
      <c r="D374" s="19">
        <f>(46.82+1.2*2.9)*10.764</f>
        <v>541.42919999999992</v>
      </c>
      <c r="E374" s="19">
        <f>(2.9*2.25+2.4*1.5+2.25*2.9)*10.764</f>
        <v>179.22059999999996</v>
      </c>
      <c r="F374" s="19">
        <f t="shared" ref="F374:F376" si="60">D374*(($F$335)+1)+E374/2</f>
        <v>901.75409999999977</v>
      </c>
      <c r="G374" s="90"/>
      <c r="H374" s="91"/>
      <c r="I374" s="36"/>
      <c r="N374" s="36"/>
    </row>
    <row r="375" spans="1:16" s="2" customFormat="1" x14ac:dyDescent="0.25">
      <c r="A375" s="87">
        <f t="shared" si="59"/>
        <v>205</v>
      </c>
      <c r="B375" s="87"/>
      <c r="C375" s="19" t="s">
        <v>190</v>
      </c>
      <c r="D375" s="19">
        <f>(31.19+1.2*2.9+0.6*(2.9+2.9)+0.75*2.4)*10.764</f>
        <v>430.02179999999993</v>
      </c>
      <c r="E375" s="19">
        <v>0</v>
      </c>
      <c r="F375" s="19">
        <f t="shared" si="60"/>
        <v>645.03269999999986</v>
      </c>
      <c r="G375" s="90"/>
      <c r="H375" s="91"/>
      <c r="I375" s="36"/>
      <c r="N375" s="36"/>
    </row>
    <row r="376" spans="1:16" s="2" customFormat="1" x14ac:dyDescent="0.25">
      <c r="A376" s="87">
        <f t="shared" si="59"/>
        <v>206</v>
      </c>
      <c r="B376" s="87"/>
      <c r="C376" s="19" t="s">
        <v>190</v>
      </c>
      <c r="D376" s="19">
        <f>(30.84+1.2*2.75+0.6*(2.75+2.75)+0.75*2.4)*10.764</f>
        <v>422.37935999999991</v>
      </c>
      <c r="E376" s="19">
        <v>0</v>
      </c>
      <c r="F376" s="19">
        <f t="shared" si="60"/>
        <v>633.56903999999986</v>
      </c>
      <c r="G376" s="90"/>
      <c r="H376" s="91"/>
      <c r="I376" s="36"/>
      <c r="N376" s="36"/>
    </row>
    <row r="377" spans="1:16" s="2" customFormat="1" x14ac:dyDescent="0.25">
      <c r="A377" s="87">
        <f t="shared" si="59"/>
        <v>207</v>
      </c>
      <c r="B377" s="87"/>
      <c r="C377" s="19" t="s">
        <v>190</v>
      </c>
      <c r="D377" s="19">
        <f>(30.84+1.2*2.75+0.6*(2.75+2.75)+0.75*2.4)*10.764</f>
        <v>422.37935999999991</v>
      </c>
      <c r="E377" s="19">
        <v>0</v>
      </c>
      <c r="F377" s="19">
        <f t="shared" si="58"/>
        <v>633.56903999999986</v>
      </c>
      <c r="G377" s="95"/>
      <c r="H377" s="96"/>
      <c r="I377" s="36"/>
      <c r="J377" s="2">
        <f>3250000/F377</f>
        <v>5129.6698462412251</v>
      </c>
      <c r="N377" s="36"/>
    </row>
    <row r="378" spans="1:16" s="2" customFormat="1" ht="15.75" customHeight="1" x14ac:dyDescent="0.25">
      <c r="A378" s="92" t="s">
        <v>196</v>
      </c>
      <c r="B378" s="93"/>
      <c r="C378" s="93"/>
      <c r="D378" s="93"/>
      <c r="E378" s="93"/>
      <c r="F378" s="93"/>
      <c r="G378" s="93"/>
      <c r="H378" s="94"/>
      <c r="I378" s="36"/>
    </row>
    <row r="379" spans="1:16" s="2" customFormat="1" ht="15.75" customHeight="1" x14ac:dyDescent="0.25">
      <c r="A379" s="97" t="str">
        <f t="shared" ref="A379:A385" ca="1" si="61">N379</f>
        <v>301,..,1901</v>
      </c>
      <c r="B379" s="98"/>
      <c r="C379" s="19" t="s">
        <v>190</v>
      </c>
      <c r="D379" s="19">
        <f>(31.19+1.2*2.9+0.6*(2.9+2.9)+0.75*2.4)*10.764</f>
        <v>430.02179999999993</v>
      </c>
      <c r="E379" s="19">
        <v>0</v>
      </c>
      <c r="F379" s="19">
        <f t="shared" ref="F379:F385" si="62">D379*(($F$335)+1)+E379</f>
        <v>645.03269999999986</v>
      </c>
      <c r="G379" s="88" t="str">
        <f>A378</f>
        <v>3rd to 7th, 9th to 11th, 13th to 15th, 17th to 19th Floor</v>
      </c>
      <c r="H379" s="89"/>
      <c r="I379" s="36"/>
      <c r="N379" s="2" t="str">
        <f t="shared" ref="N379:N385" ca="1" si="63">O379&amp;""&amp;",..,"&amp;""&amp;P379</f>
        <v>301,..,1901</v>
      </c>
      <c r="O379" s="2">
        <v>301</v>
      </c>
      <c r="P379" s="2">
        <f ca="1">(SUMPRODUCT(MID(0&amp;(--TRIM(RIGHT(SUBSTITUTE(LEFT(A378,_xlfn.AGGREGATE(16,6,FIND({0,1,2,3,4,5,6,7,8,9},A378,ROW(INDIRECT("1:"&amp;LEN(A378)))),1))," ",REPT(" ",LEN(A378))),LEN(A378)))), LARGE(INDEX(ISNUMBER(--MID((--TRIM(RIGHT(SUBSTITUTE(LEFT(A378,_xlfn.AGGREGATE(16,6,FIND({0,1,2,3,4,5,6,7,8,9},A378,ROW(INDIRECT("1:"&amp;LEN(A378)))),1))," ",REPT(" ",LEN(A378))),LEN(A378)))), ROW(INDIRECT("1:"&amp;LEN((--TRIM(RIGHT(SUBSTITUTE(LEFT(A378,_xlfn.AGGREGATE(16,6,FIND({0,1,2,3,4,5,6,7,8,9},A378,ROW(INDIRECT("1:"&amp;LEN(A378)))),1))," ",REPT(" ",LEN(A378))),LEN(A378))))))), 1)) * ROW(INDIRECT("1:"&amp;LEN((--TRIM(RIGHT(SUBSTITUTE(LEFT(A378,_xlfn.AGGREGATE(16,6,FIND({0,1,2,3,4,5,6,7,8,9},A378,ROW(INDIRECT("1:"&amp;LEN(A378)))),1))," ",REPT(" ",LEN(A378))),LEN(A378))))))), 0), ROW(INDIRECT("1:"&amp;LEN((--TRIM(RIGHT(SUBSTITUTE(LEFT(A378,_xlfn.AGGREGATE(16,6,FIND({0,1,2,3,4,5,6,7,8,9},A378,ROW(INDIRECT("1:"&amp;LEN(A378)))),1))," ",REPT(" ",LEN(A378))),LEN(A378))))))))+1, 1) * 10^ROW(INDIRECT("1:"&amp;LEN((--TRIM(RIGHT(SUBSTITUTE(LEFT(A378,_xlfn.AGGREGATE(16,6,FIND({0,1,2,3,4,5,6,7,8,9},A378,ROW(INDIRECT("1:"&amp;LEN(A378)))),1))," ",REPT(" ",LEN(A378))),LEN(A378)))))))/10))*100+1</f>
        <v>1901</v>
      </c>
    </row>
    <row r="380" spans="1:16" s="2" customFormat="1" ht="15.75" customHeight="1" x14ac:dyDescent="0.25">
      <c r="A380" s="97" t="str">
        <f t="shared" ca="1" si="61"/>
        <v>302,..,1902</v>
      </c>
      <c r="B380" s="98"/>
      <c r="C380" s="19" t="s">
        <v>191</v>
      </c>
      <c r="D380" s="19">
        <f>(47.78+1.2*2.9+0.6*(2.9+2.9+2.9)+0.75*2.4)*10.764</f>
        <v>627.32591999999988</v>
      </c>
      <c r="E380" s="19">
        <v>0</v>
      </c>
      <c r="F380" s="19">
        <f t="shared" si="62"/>
        <v>940.98887999999988</v>
      </c>
      <c r="G380" s="90"/>
      <c r="H380" s="91"/>
      <c r="I380" s="36"/>
      <c r="N380" s="2" t="str">
        <f t="shared" ca="1" si="63"/>
        <v>302,..,1902</v>
      </c>
      <c r="O380" s="2">
        <f t="shared" ref="O380:P380" si="64">O379+1</f>
        <v>302</v>
      </c>
      <c r="P380" s="2">
        <f t="shared" ca="1" si="64"/>
        <v>1902</v>
      </c>
    </row>
    <row r="381" spans="1:16" s="2" customFormat="1" ht="15.75" customHeight="1" x14ac:dyDescent="0.25">
      <c r="A381" s="97" t="str">
        <f t="shared" ca="1" si="61"/>
        <v>303,..,1903</v>
      </c>
      <c r="B381" s="98"/>
      <c r="C381" s="19" t="s">
        <v>190</v>
      </c>
      <c r="D381" s="19">
        <f>(31.75+1.2*2.9+0.6*(2.9+2.9)+2.4*0.75)*10.764</f>
        <v>436.0496399999999</v>
      </c>
      <c r="E381" s="19">
        <v>0</v>
      </c>
      <c r="F381" s="19">
        <f t="shared" si="62"/>
        <v>654.07445999999982</v>
      </c>
      <c r="G381" s="90"/>
      <c r="H381" s="91"/>
      <c r="I381" s="36"/>
      <c r="N381" s="2" t="str">
        <f t="shared" ca="1" si="63"/>
        <v>303,..,1903</v>
      </c>
      <c r="O381" s="2">
        <f t="shared" ref="O381:P381" si="65">O380+1</f>
        <v>303</v>
      </c>
      <c r="P381" s="2">
        <f t="shared" ca="1" si="65"/>
        <v>1903</v>
      </c>
    </row>
    <row r="382" spans="1:16" s="2" customFormat="1" ht="15.75" customHeight="1" x14ac:dyDescent="0.25">
      <c r="A382" s="97" t="str">
        <f t="shared" ca="1" si="61"/>
        <v>304,..,1904</v>
      </c>
      <c r="B382" s="98"/>
      <c r="C382" s="19" t="s">
        <v>191</v>
      </c>
      <c r="D382" s="19">
        <f>(46.62+1.2*2.9+0.6*(2.9+2.9+2.6)+0.75*2.4)*10.764</f>
        <v>612.90215999999987</v>
      </c>
      <c r="E382" s="19">
        <v>0</v>
      </c>
      <c r="F382" s="19">
        <f t="shared" si="62"/>
        <v>919.3532399999998</v>
      </c>
      <c r="G382" s="90"/>
      <c r="H382" s="91"/>
      <c r="I382" s="36"/>
      <c r="J382" s="2">
        <f>4875000/F382</f>
        <v>5302.6407999606345</v>
      </c>
      <c r="N382" s="2" t="str">
        <f t="shared" ca="1" si="63"/>
        <v>304,..,1904</v>
      </c>
      <c r="O382" s="2">
        <f t="shared" ref="O382:P382" si="66">O381+1</f>
        <v>304</v>
      </c>
      <c r="P382" s="2">
        <f t="shared" ca="1" si="66"/>
        <v>1904</v>
      </c>
    </row>
    <row r="383" spans="1:16" s="2" customFormat="1" ht="15.75" customHeight="1" x14ac:dyDescent="0.25">
      <c r="A383" s="97" t="str">
        <f t="shared" ca="1" si="61"/>
        <v>305,..,1905</v>
      </c>
      <c r="B383" s="98"/>
      <c r="C383" s="19" t="s">
        <v>190</v>
      </c>
      <c r="D383" s="19">
        <f>(31.19+1.2*2.9+0.6*(2.9+2.9)+2.4*0.75)*10.764</f>
        <v>430.02179999999993</v>
      </c>
      <c r="E383" s="19">
        <v>0</v>
      </c>
      <c r="F383" s="19">
        <f t="shared" si="62"/>
        <v>645.03269999999986</v>
      </c>
      <c r="G383" s="90"/>
      <c r="H383" s="91"/>
      <c r="I383" s="36"/>
      <c r="N383" s="2" t="str">
        <f t="shared" ca="1" si="63"/>
        <v>305,..,1905</v>
      </c>
      <c r="O383" s="2">
        <f t="shared" ref="O383:P383" si="67">O382+1</f>
        <v>305</v>
      </c>
      <c r="P383" s="2">
        <f t="shared" ca="1" si="67"/>
        <v>1905</v>
      </c>
    </row>
    <row r="384" spans="1:16" s="2" customFormat="1" ht="15.75" customHeight="1" x14ac:dyDescent="0.25">
      <c r="A384" s="97" t="str">
        <f t="shared" ca="1" si="61"/>
        <v>306,..,1906</v>
      </c>
      <c r="B384" s="98"/>
      <c r="C384" s="19" t="s">
        <v>190</v>
      </c>
      <c r="D384" s="19">
        <f>(30.84+1.2*2.75+0.6*(2.75+2.75)+2.4*0.75)*10.764</f>
        <v>422.37935999999991</v>
      </c>
      <c r="E384" s="19">
        <v>0</v>
      </c>
      <c r="F384" s="19">
        <f t="shared" si="62"/>
        <v>633.56903999999986</v>
      </c>
      <c r="G384" s="90"/>
      <c r="H384" s="91"/>
      <c r="I384" s="36">
        <f>(3.5*2.75+2.3*2.4+3.05*2.75+2*1.2+1.2*2+2.4*1)*10.764</f>
        <v>330.80462999999992</v>
      </c>
      <c r="N384" s="2" t="str">
        <f t="shared" ca="1" si="63"/>
        <v>306,..,1906</v>
      </c>
      <c r="O384" s="2">
        <f t="shared" ref="O384:P384" si="68">O383+1</f>
        <v>306</v>
      </c>
      <c r="P384" s="2">
        <f t="shared" ca="1" si="68"/>
        <v>1906</v>
      </c>
    </row>
    <row r="385" spans="1:16" s="2" customFormat="1" ht="15.75" customHeight="1" x14ac:dyDescent="0.25">
      <c r="A385" s="97" t="str">
        <f t="shared" ca="1" si="61"/>
        <v>307,..,1907</v>
      </c>
      <c r="B385" s="98"/>
      <c r="C385" s="19" t="s">
        <v>190</v>
      </c>
      <c r="D385" s="19">
        <f>(30.84+1.2*2.75+0.6*(2.75+2.75)+2.4*0.75)*10.764</f>
        <v>422.37935999999991</v>
      </c>
      <c r="E385" s="19">
        <v>0</v>
      </c>
      <c r="F385" s="19">
        <f t="shared" si="62"/>
        <v>633.56903999999986</v>
      </c>
      <c r="G385" s="95"/>
      <c r="H385" s="96"/>
      <c r="I385" s="36"/>
      <c r="N385" s="2" t="str">
        <f t="shared" ca="1" si="63"/>
        <v>307,..,1907</v>
      </c>
      <c r="O385" s="2">
        <f t="shared" ref="O385:P385" si="69">O384+1</f>
        <v>307</v>
      </c>
      <c r="P385" s="2">
        <f t="shared" ca="1" si="69"/>
        <v>1907</v>
      </c>
    </row>
    <row r="386" spans="1:16" s="2" customFormat="1" ht="15.75" customHeight="1" x14ac:dyDescent="0.25">
      <c r="A386" s="92" t="s">
        <v>192</v>
      </c>
      <c r="B386" s="93"/>
      <c r="C386" s="93"/>
      <c r="D386" s="93"/>
      <c r="E386" s="93"/>
      <c r="F386" s="93"/>
      <c r="G386" s="93"/>
      <c r="H386" s="94"/>
      <c r="I386" s="36"/>
    </row>
    <row r="387" spans="1:16" s="2" customFormat="1" ht="15.75" customHeight="1" x14ac:dyDescent="0.25">
      <c r="A387" s="97" t="str">
        <f t="shared" ref="A387:A393" ca="1" si="70">N387</f>
        <v>801,..,2001</v>
      </c>
      <c r="B387" s="98"/>
      <c r="C387" s="19" t="s">
        <v>190</v>
      </c>
      <c r="D387" s="19">
        <f>(31.19+1.2*2.9+0.6*(2.9+2.9)+0.75*2.4)*10.764</f>
        <v>430.02179999999993</v>
      </c>
      <c r="E387" s="19">
        <v>0</v>
      </c>
      <c r="F387" s="19">
        <f t="shared" ref="F387:F393" si="71">D387*(($F$335)+1)+E387</f>
        <v>645.03269999999986</v>
      </c>
      <c r="G387" s="88" t="str">
        <f>A386</f>
        <v>8th, 12th, 16th &amp; 20th Floor (Part Refuge Area)</v>
      </c>
      <c r="H387" s="89"/>
      <c r="I387" s="36"/>
      <c r="N387" s="2" t="str">
        <f t="shared" ref="N387:N393" ca="1" si="72">O387&amp;""&amp;",..,"&amp;""&amp;P387</f>
        <v>801,..,2001</v>
      </c>
      <c r="O387" s="2">
        <v>801</v>
      </c>
      <c r="P387" s="2">
        <f ca="1">(SUMPRODUCT(MID(0&amp;(--TRIM(RIGHT(SUBSTITUTE(LEFT(A386,_xlfn.AGGREGATE(16,6,FIND({0,1,2,3,4,5,6,7,8,9},A386,ROW(INDIRECT("1:"&amp;LEN(A386)))),1))," ",REPT(" ",LEN(A386))),LEN(A386)))), LARGE(INDEX(ISNUMBER(--MID((--TRIM(RIGHT(SUBSTITUTE(LEFT(A386,_xlfn.AGGREGATE(16,6,FIND({0,1,2,3,4,5,6,7,8,9},A386,ROW(INDIRECT("1:"&amp;LEN(A386)))),1))," ",REPT(" ",LEN(A386))),LEN(A386)))), ROW(INDIRECT("1:"&amp;LEN((--TRIM(RIGHT(SUBSTITUTE(LEFT(A386,_xlfn.AGGREGATE(16,6,FIND({0,1,2,3,4,5,6,7,8,9},A386,ROW(INDIRECT("1:"&amp;LEN(A386)))),1))," ",REPT(" ",LEN(A386))),LEN(A386))))))), 1)) * ROW(INDIRECT("1:"&amp;LEN((--TRIM(RIGHT(SUBSTITUTE(LEFT(A386,_xlfn.AGGREGATE(16,6,FIND({0,1,2,3,4,5,6,7,8,9},A386,ROW(INDIRECT("1:"&amp;LEN(A386)))),1))," ",REPT(" ",LEN(A386))),LEN(A386))))))), 0), ROW(INDIRECT("1:"&amp;LEN((--TRIM(RIGHT(SUBSTITUTE(LEFT(A386,_xlfn.AGGREGATE(16,6,FIND({0,1,2,3,4,5,6,7,8,9},A386,ROW(INDIRECT("1:"&amp;LEN(A386)))),1))," ",REPT(" ",LEN(A386))),LEN(A386))))))))+1, 1) * 10^ROW(INDIRECT("1:"&amp;LEN((--TRIM(RIGHT(SUBSTITUTE(LEFT(A386,_xlfn.AGGREGATE(16,6,FIND({0,1,2,3,4,5,6,7,8,9},A386,ROW(INDIRECT("1:"&amp;LEN(A386)))),1))," ",REPT(" ",LEN(A386))),LEN(A386)))))))/10))*100+1</f>
        <v>2001</v>
      </c>
    </row>
    <row r="388" spans="1:16" s="2" customFormat="1" ht="15.75" customHeight="1" x14ac:dyDescent="0.25">
      <c r="A388" s="97" t="str">
        <f t="shared" ca="1" si="70"/>
        <v>802,..,2002</v>
      </c>
      <c r="B388" s="98"/>
      <c r="C388" s="19" t="s">
        <v>191</v>
      </c>
      <c r="D388" s="19">
        <f>(47.78+1.2*2.9+0.6*(2.9+2.9+2.9)+0.75*2.4)*10.764</f>
        <v>627.32591999999988</v>
      </c>
      <c r="E388" s="19">
        <v>0</v>
      </c>
      <c r="F388" s="19">
        <f t="shared" si="71"/>
        <v>940.98887999999988</v>
      </c>
      <c r="G388" s="90"/>
      <c r="H388" s="91"/>
      <c r="I388" s="36"/>
      <c r="N388" s="2" t="str">
        <f t="shared" ca="1" si="72"/>
        <v>802,..,2002</v>
      </c>
      <c r="O388" s="2">
        <f t="shared" ref="O388:P388" si="73">O387+1</f>
        <v>802</v>
      </c>
      <c r="P388" s="2">
        <f t="shared" ca="1" si="73"/>
        <v>2002</v>
      </c>
    </row>
    <row r="389" spans="1:16" s="2" customFormat="1" ht="15.75" customHeight="1" x14ac:dyDescent="0.25">
      <c r="A389" s="97" t="str">
        <f t="shared" ca="1" si="70"/>
        <v>803,..,2003</v>
      </c>
      <c r="B389" s="98"/>
      <c r="C389" s="19" t="s">
        <v>190</v>
      </c>
      <c r="D389" s="19">
        <f>(31.75+1.2*2.9+0.6*(2.9+2.9)+2.4*0.75)*10.764</f>
        <v>436.0496399999999</v>
      </c>
      <c r="E389" s="19">
        <v>0</v>
      </c>
      <c r="F389" s="19">
        <f t="shared" si="71"/>
        <v>654.07445999999982</v>
      </c>
      <c r="G389" s="90"/>
      <c r="H389" s="91"/>
      <c r="I389" s="36"/>
      <c r="N389" s="2" t="str">
        <f t="shared" ca="1" si="72"/>
        <v>803,..,2003</v>
      </c>
      <c r="O389" s="2">
        <f t="shared" ref="O389:P389" si="74">O388+1</f>
        <v>803</v>
      </c>
      <c r="P389" s="2">
        <f t="shared" ca="1" si="74"/>
        <v>2003</v>
      </c>
    </row>
    <row r="390" spans="1:16" s="2" customFormat="1" ht="15.75" customHeight="1" x14ac:dyDescent="0.25">
      <c r="A390" s="97" t="str">
        <f t="shared" ca="1" si="70"/>
        <v>804,..,2004</v>
      </c>
      <c r="B390" s="98"/>
      <c r="C390" s="19" t="s">
        <v>191</v>
      </c>
      <c r="D390" s="19">
        <f>(46.62+1.2*2.9+0.6*(2.9+2.9+2.6)+0.75*2.4)*10.764</f>
        <v>612.90215999999987</v>
      </c>
      <c r="E390" s="19">
        <v>0</v>
      </c>
      <c r="F390" s="19">
        <f t="shared" si="71"/>
        <v>919.3532399999998</v>
      </c>
      <c r="G390" s="90"/>
      <c r="H390" s="91"/>
      <c r="I390" s="36"/>
      <c r="N390" s="2" t="str">
        <f t="shared" ca="1" si="72"/>
        <v>804,..,2004</v>
      </c>
      <c r="O390" s="2">
        <f t="shared" ref="O390:P390" si="75">O389+1</f>
        <v>804</v>
      </c>
      <c r="P390" s="2">
        <f t="shared" ca="1" si="75"/>
        <v>2004</v>
      </c>
    </row>
    <row r="391" spans="1:16" s="2" customFormat="1" ht="15.75" customHeight="1" x14ac:dyDescent="0.25">
      <c r="A391" s="97" t="str">
        <f t="shared" ca="1" si="70"/>
        <v>805,..,2005</v>
      </c>
      <c r="B391" s="98"/>
      <c r="C391" s="19" t="s">
        <v>190</v>
      </c>
      <c r="D391" s="19">
        <f>(31.19+1.2*2.9+0.6*(2.9+2.9)+2.4*0.75)*10.764</f>
        <v>430.02179999999993</v>
      </c>
      <c r="E391" s="19">
        <v>0</v>
      </c>
      <c r="F391" s="19">
        <f t="shared" si="71"/>
        <v>645.03269999999986</v>
      </c>
      <c r="G391" s="90"/>
      <c r="H391" s="91"/>
      <c r="I391" s="36"/>
      <c r="N391" s="2" t="str">
        <f t="shared" ca="1" si="72"/>
        <v>805,..,2005</v>
      </c>
      <c r="O391" s="2">
        <f t="shared" ref="O391:P391" si="76">O390+1</f>
        <v>805</v>
      </c>
      <c r="P391" s="2">
        <f t="shared" ca="1" si="76"/>
        <v>2005</v>
      </c>
    </row>
    <row r="392" spans="1:16" s="2" customFormat="1" ht="15.75" customHeight="1" x14ac:dyDescent="0.25">
      <c r="A392" s="97" t="str">
        <f t="shared" ca="1" si="70"/>
        <v>806,..,2006</v>
      </c>
      <c r="B392" s="98"/>
      <c r="C392" s="19" t="s">
        <v>190</v>
      </c>
      <c r="D392" s="19">
        <f>(30.84+1.2*2.75+0.6*(2.75+2.75)+2.4*0.75)*10.764</f>
        <v>422.37935999999991</v>
      </c>
      <c r="E392" s="19">
        <v>0</v>
      </c>
      <c r="F392" s="19">
        <f t="shared" si="71"/>
        <v>633.56903999999986</v>
      </c>
      <c r="G392" s="90"/>
      <c r="H392" s="91"/>
      <c r="I392" s="36"/>
      <c r="N392" s="2" t="str">
        <f t="shared" ca="1" si="72"/>
        <v>806,..,2006</v>
      </c>
      <c r="O392" s="2">
        <f t="shared" ref="O392:P392" si="77">O391+1</f>
        <v>806</v>
      </c>
      <c r="P392" s="2">
        <f t="shared" ca="1" si="77"/>
        <v>2006</v>
      </c>
    </row>
    <row r="393" spans="1:16" s="2" customFormat="1" ht="15.75" customHeight="1" x14ac:dyDescent="0.25">
      <c r="A393" s="97" t="str">
        <f t="shared" ca="1" si="70"/>
        <v>807,..,2007</v>
      </c>
      <c r="B393" s="98"/>
      <c r="C393" s="19" t="s">
        <v>190</v>
      </c>
      <c r="D393" s="19">
        <f>(30.84+1.2*2.75+0.6*(2.75+2.75)+2.4*0.75)*10.764</f>
        <v>422.37935999999991</v>
      </c>
      <c r="E393" s="19">
        <v>0</v>
      </c>
      <c r="F393" s="19">
        <f t="shared" si="71"/>
        <v>633.56903999999986</v>
      </c>
      <c r="G393" s="95"/>
      <c r="H393" s="96"/>
      <c r="I393" s="36"/>
      <c r="N393" s="2" t="str">
        <f t="shared" ca="1" si="72"/>
        <v>807,..,2007</v>
      </c>
      <c r="O393" s="2">
        <f t="shared" ref="O393:P393" si="78">O392+1</f>
        <v>807</v>
      </c>
      <c r="P393" s="2">
        <f t="shared" ca="1" si="78"/>
        <v>2007</v>
      </c>
    </row>
    <row r="394" spans="1:16" s="2" customFormat="1" x14ac:dyDescent="0.25">
      <c r="A394" s="100" t="s">
        <v>218</v>
      </c>
      <c r="B394" s="100"/>
      <c r="C394" s="100"/>
      <c r="D394" s="100"/>
      <c r="E394" s="100"/>
      <c r="F394" s="100"/>
      <c r="G394" s="100"/>
      <c r="H394" s="100"/>
      <c r="I394" s="36"/>
    </row>
    <row r="395" spans="1:16" s="2" customFormat="1" ht="15.75" customHeight="1" x14ac:dyDescent="0.25">
      <c r="A395" s="87" t="str">
        <f t="shared" ref="A395:A401" ca="1" si="79">N395</f>
        <v>2101 &amp; 2201</v>
      </c>
      <c r="B395" s="87"/>
      <c r="C395" s="19" t="s">
        <v>190</v>
      </c>
      <c r="D395" s="19">
        <f>(31.19+1.2*2.9+0.6*(2.9+2.9)+0.75*2.4)*10.764</f>
        <v>430.02179999999993</v>
      </c>
      <c r="E395" s="19">
        <v>0</v>
      </c>
      <c r="F395" s="19">
        <f t="shared" ref="F395:F401" si="80">D395*(($F$335)+1)+E395</f>
        <v>645.03269999999986</v>
      </c>
      <c r="G395" s="87" t="str">
        <f>A394</f>
        <v>21st &amp; 22nd Floor for MHADA</v>
      </c>
      <c r="H395" s="87"/>
      <c r="I395" s="36"/>
      <c r="N395" s="2" t="str">
        <f t="shared" ref="N395:N401" ca="1" si="81">O395&amp;""&amp;" &amp; "&amp;""&amp;P395</f>
        <v>2101 &amp; 2201</v>
      </c>
      <c r="O395" s="2">
        <f ca="1">(SUMPRODUCT(MID(0&amp;(LEFT(A394,SUM(LEN(A394)-LEN(SUBSTITUTE(A394,{"0","1","2"},""))))), LARGE(INDEX(ISNUMBER(--MID((LEFT(A394,SUM(LEN(A394)-LEN(SUBSTITUTE(A394,{"0","1","2"},""))))), ROW(INDIRECT("1:"&amp;LEN((LEFT(A394,SUM(LEN(A394)-LEN(SUBSTITUTE(A394,{"0","1","2"},"")))))))), 1)) * ROW(INDIRECT("1:"&amp;LEN((LEFT(A394,SUM(LEN(A394)-LEN(SUBSTITUTE(A394,{"0","1","2"},"")))))))), 0), ROW(INDIRECT("1:"&amp;LEN((LEFT(A394,SUM(LEN(A394)-LEN(SUBSTITUTE(A394,{"0","1","2"},"")))))))))+1, 1) * 10^ROW(INDIRECT("1:"&amp;LEN((LEFT(A394,SUM(LEN(A394)-LEN(SUBSTITUTE(A394,{"0","1","2"},""))))))))/10))*100+1</f>
        <v>2101</v>
      </c>
      <c r="P395" s="2">
        <f ca="1">(SUMPRODUCT(MID(0&amp;(--TRIM(RIGHT(SUBSTITUTE(LEFT(A394,_xlfn.AGGREGATE(16,6,FIND({0,1,2,3,4,5,6,7,8,9},A394,ROW(INDIRECT("1:"&amp;LEN(A394)))),1))," ",REPT(" ",LEN(A394))),LEN(A394)))), LARGE(INDEX(ISNUMBER(--MID((--TRIM(RIGHT(SUBSTITUTE(LEFT(A394,_xlfn.AGGREGATE(16,6,FIND({0,1,2,3,4,5,6,7,8,9},A394,ROW(INDIRECT("1:"&amp;LEN(A394)))),1))," ",REPT(" ",LEN(A394))),LEN(A394)))), ROW(INDIRECT("1:"&amp;LEN((--TRIM(RIGHT(SUBSTITUTE(LEFT(A394,_xlfn.AGGREGATE(16,6,FIND({0,1,2,3,4,5,6,7,8,9},A394,ROW(INDIRECT("1:"&amp;LEN(A394)))),1))," ",REPT(" ",LEN(A394))),LEN(A394))))))), 1)) * ROW(INDIRECT("1:"&amp;LEN((--TRIM(RIGHT(SUBSTITUTE(LEFT(A394,_xlfn.AGGREGATE(16,6,FIND({0,1,2,3,4,5,6,7,8,9},A394,ROW(INDIRECT("1:"&amp;LEN(A394)))),1))," ",REPT(" ",LEN(A394))),LEN(A394))))))), 0), ROW(INDIRECT("1:"&amp;LEN((--TRIM(RIGHT(SUBSTITUTE(LEFT(A394,_xlfn.AGGREGATE(16,6,FIND({0,1,2,3,4,5,6,7,8,9},A394,ROW(INDIRECT("1:"&amp;LEN(A394)))),1))," ",REPT(" ",LEN(A394))),LEN(A394))))))))+1, 1) * 10^ROW(INDIRECT("1:"&amp;LEN((--TRIM(RIGHT(SUBSTITUTE(LEFT(A394,_xlfn.AGGREGATE(16,6,FIND({0,1,2,3,4,5,6,7,8,9},A394,ROW(INDIRECT("1:"&amp;LEN(A394)))),1))," ",REPT(" ",LEN(A394))),LEN(A394)))))))/10))*100+1</f>
        <v>2201</v>
      </c>
    </row>
    <row r="396" spans="1:16" s="2" customFormat="1" ht="15.75" customHeight="1" x14ac:dyDescent="0.25">
      <c r="A396" s="87" t="str">
        <f t="shared" ca="1" si="79"/>
        <v>2102 &amp; 2202</v>
      </c>
      <c r="B396" s="87"/>
      <c r="C396" s="19" t="s">
        <v>191</v>
      </c>
      <c r="D396" s="19">
        <f>(47.78+1.2*2.9+0.6*(2.9+2.9+2.9)+0.75*2.4)*10.764</f>
        <v>627.32591999999988</v>
      </c>
      <c r="E396" s="19">
        <v>0</v>
      </c>
      <c r="F396" s="19">
        <f t="shared" si="80"/>
        <v>940.98887999999988</v>
      </c>
      <c r="G396" s="87"/>
      <c r="H396" s="87"/>
      <c r="I396" s="36"/>
      <c r="N396" s="2" t="str">
        <f t="shared" ca="1" si="81"/>
        <v>2102 &amp; 2202</v>
      </c>
      <c r="O396" s="2">
        <f t="shared" ref="O396:P396" ca="1" si="82">O395+1</f>
        <v>2102</v>
      </c>
      <c r="P396" s="2">
        <f t="shared" ca="1" si="82"/>
        <v>2202</v>
      </c>
    </row>
    <row r="397" spans="1:16" s="2" customFormat="1" ht="15.75" customHeight="1" x14ac:dyDescent="0.25">
      <c r="A397" s="87" t="str">
        <f t="shared" ca="1" si="79"/>
        <v>2103 &amp; 2203</v>
      </c>
      <c r="B397" s="87"/>
      <c r="C397" s="19" t="s">
        <v>190</v>
      </c>
      <c r="D397" s="19">
        <f>(31.75+1.2*2.9+0.6*(2.9+2.9)+2.4*0.75)*10.764</f>
        <v>436.0496399999999</v>
      </c>
      <c r="E397" s="19">
        <v>0</v>
      </c>
      <c r="F397" s="19">
        <f t="shared" si="80"/>
        <v>654.07445999999982</v>
      </c>
      <c r="G397" s="87"/>
      <c r="H397" s="87"/>
      <c r="I397" s="36"/>
      <c r="N397" s="2" t="str">
        <f t="shared" ca="1" si="81"/>
        <v>2103 &amp; 2203</v>
      </c>
      <c r="O397" s="2">
        <f t="shared" ref="O397:P397" ca="1" si="83">O396+1</f>
        <v>2103</v>
      </c>
      <c r="P397" s="2">
        <f t="shared" ca="1" si="83"/>
        <v>2203</v>
      </c>
    </row>
    <row r="398" spans="1:16" s="2" customFormat="1" ht="15.75" customHeight="1" x14ac:dyDescent="0.25">
      <c r="A398" s="87" t="str">
        <f t="shared" ca="1" si="79"/>
        <v>2104 &amp; 2204</v>
      </c>
      <c r="B398" s="87"/>
      <c r="C398" s="19" t="s">
        <v>191</v>
      </c>
      <c r="D398" s="19">
        <f>(46.62+1.2*2.9+0.6*(2.9+2.9+2.6)+0.75*2.4)*10.764</f>
        <v>612.90215999999987</v>
      </c>
      <c r="E398" s="19">
        <v>0</v>
      </c>
      <c r="F398" s="19">
        <f t="shared" si="80"/>
        <v>919.3532399999998</v>
      </c>
      <c r="G398" s="87"/>
      <c r="H398" s="87"/>
      <c r="I398" s="36"/>
      <c r="J398" s="2" t="s">
        <v>221</v>
      </c>
      <c r="N398" s="2" t="str">
        <f t="shared" ca="1" si="81"/>
        <v>2104 &amp; 2204</v>
      </c>
      <c r="O398" s="2">
        <f t="shared" ref="O398:P398" ca="1" si="84">O397+1</f>
        <v>2104</v>
      </c>
      <c r="P398" s="2">
        <f t="shared" ca="1" si="84"/>
        <v>2204</v>
      </c>
    </row>
    <row r="399" spans="1:16" s="2" customFormat="1" ht="15.75" customHeight="1" x14ac:dyDescent="0.25">
      <c r="A399" s="87" t="str">
        <f t="shared" ca="1" si="79"/>
        <v>2105 &amp; 2205</v>
      </c>
      <c r="B399" s="87"/>
      <c r="C399" s="19" t="s">
        <v>190</v>
      </c>
      <c r="D399" s="19">
        <f>(31.19+1.2*2.9+0.6*(2.9+2.9)+2.4*0.75)*10.764</f>
        <v>430.02179999999993</v>
      </c>
      <c r="E399" s="19">
        <v>0</v>
      </c>
      <c r="F399" s="19">
        <f t="shared" si="80"/>
        <v>645.03269999999986</v>
      </c>
      <c r="G399" s="87"/>
      <c r="H399" s="87"/>
      <c r="I399" s="36"/>
      <c r="N399" s="2" t="str">
        <f t="shared" ca="1" si="81"/>
        <v>2105 &amp; 2205</v>
      </c>
      <c r="O399" s="2">
        <f t="shared" ref="O399:P399" ca="1" si="85">O398+1</f>
        <v>2105</v>
      </c>
      <c r="P399" s="2">
        <f t="shared" ca="1" si="85"/>
        <v>2205</v>
      </c>
    </row>
    <row r="400" spans="1:16" s="2" customFormat="1" ht="15.75" customHeight="1" x14ac:dyDescent="0.25">
      <c r="A400" s="87" t="str">
        <f t="shared" ca="1" si="79"/>
        <v>2106 &amp; 2206</v>
      </c>
      <c r="B400" s="87"/>
      <c r="C400" s="19" t="s">
        <v>190</v>
      </c>
      <c r="D400" s="19">
        <f>(30.84+1.2*2.75+0.6*(2.75+2.75)+2.4*0.75)*10.764</f>
        <v>422.37935999999991</v>
      </c>
      <c r="E400" s="19">
        <v>0</v>
      </c>
      <c r="F400" s="19">
        <f t="shared" si="80"/>
        <v>633.56903999999986</v>
      </c>
      <c r="G400" s="87"/>
      <c r="H400" s="87"/>
      <c r="I400" s="36"/>
      <c r="N400" s="2" t="str">
        <f t="shared" ca="1" si="81"/>
        <v>2106 &amp; 2206</v>
      </c>
      <c r="O400" s="2">
        <f t="shared" ref="O400:P400" ca="1" si="86">O399+1</f>
        <v>2106</v>
      </c>
      <c r="P400" s="2">
        <f t="shared" ca="1" si="86"/>
        <v>2206</v>
      </c>
    </row>
    <row r="401" spans="1:16" s="2" customFormat="1" ht="15.75" customHeight="1" x14ac:dyDescent="0.25">
      <c r="A401" s="87" t="str">
        <f t="shared" ca="1" si="79"/>
        <v>2107 &amp; 2207</v>
      </c>
      <c r="B401" s="87"/>
      <c r="C401" s="19" t="s">
        <v>190</v>
      </c>
      <c r="D401" s="19">
        <f>(30.84+1.2*2.75+0.6*(2.75+2.75)+2.4*0.75)*10.764</f>
        <v>422.37935999999991</v>
      </c>
      <c r="E401" s="19">
        <v>0</v>
      </c>
      <c r="F401" s="19">
        <f t="shared" si="80"/>
        <v>633.56903999999986</v>
      </c>
      <c r="G401" s="87"/>
      <c r="H401" s="87"/>
      <c r="I401" s="36"/>
      <c r="N401" s="2" t="str">
        <f t="shared" ca="1" si="81"/>
        <v>2107 &amp; 2207</v>
      </c>
      <c r="O401" s="2">
        <f t="shared" ref="O401:P401" ca="1" si="87">O400+1</f>
        <v>2107</v>
      </c>
      <c r="P401" s="2">
        <f t="shared" ca="1" si="87"/>
        <v>2207</v>
      </c>
    </row>
    <row r="402" spans="1:16" s="2" customFormat="1" x14ac:dyDescent="0.25">
      <c r="A402" s="99" t="s">
        <v>224</v>
      </c>
      <c r="B402" s="99"/>
      <c r="C402" s="99"/>
      <c r="D402" s="99"/>
      <c r="E402" s="99"/>
      <c r="F402" s="99"/>
      <c r="G402" s="99"/>
      <c r="H402" s="99"/>
      <c r="I402" s="36"/>
      <c r="L402" s="101"/>
      <c r="M402" s="101"/>
    </row>
    <row r="403" spans="1:16" s="2" customFormat="1" x14ac:dyDescent="0.25">
      <c r="A403" s="100" t="s">
        <v>225</v>
      </c>
      <c r="B403" s="100"/>
      <c r="C403" s="100"/>
      <c r="D403" s="100"/>
      <c r="E403" s="100"/>
      <c r="F403" s="100"/>
      <c r="G403" s="100"/>
      <c r="H403" s="100"/>
      <c r="I403" s="36"/>
      <c r="L403" s="101"/>
      <c r="M403" s="101"/>
    </row>
    <row r="404" spans="1:16" s="2" customFormat="1" x14ac:dyDescent="0.25">
      <c r="A404" s="100" t="s">
        <v>226</v>
      </c>
      <c r="B404" s="100"/>
      <c r="C404" s="100"/>
      <c r="D404" s="100"/>
      <c r="E404" s="100"/>
      <c r="F404" s="100"/>
      <c r="G404" s="100"/>
      <c r="H404" s="100"/>
      <c r="I404" s="36"/>
      <c r="L404" s="101"/>
      <c r="M404" s="101"/>
    </row>
    <row r="405" spans="1:16" s="2" customFormat="1" ht="15.75" customHeight="1" x14ac:dyDescent="0.25">
      <c r="A405" s="100" t="s">
        <v>227</v>
      </c>
      <c r="B405" s="100"/>
      <c r="C405" s="100"/>
      <c r="D405" s="100"/>
      <c r="E405" s="100"/>
      <c r="F405" s="100"/>
      <c r="G405" s="100"/>
      <c r="H405" s="100"/>
      <c r="I405" s="36"/>
    </row>
    <row r="406" spans="1:16" s="2" customFormat="1" ht="15.75" customHeight="1" x14ac:dyDescent="0.25">
      <c r="A406" s="87" t="str">
        <f ca="1">N406</f>
        <v>201,..,1901</v>
      </c>
      <c r="B406" s="87"/>
      <c r="C406" s="19" t="s">
        <v>190</v>
      </c>
      <c r="D406" s="19">
        <f>(31.47+0.45*2+1.05*2.9+0.6*(2.9+2.9)+0.75*2.4)*10.764</f>
        <v>438.04097999999988</v>
      </c>
      <c r="E406" s="19">
        <v>0</v>
      </c>
      <c r="F406" s="19">
        <f>D406*(($F$335)+1)+E406</f>
        <v>657.06146999999987</v>
      </c>
      <c r="G406" s="87" t="str">
        <f>A405</f>
        <v>2nd to 7th, 9th to 11th, 13th to 15th, 17th to 19th Floor</v>
      </c>
      <c r="H406" s="87"/>
      <c r="I406" s="63">
        <f>3.35*2.9+3.4*2.4+3.05*2.9+1.2*1.95+2*1.2+0.45*2</f>
        <v>32.36</v>
      </c>
      <c r="N406" s="2" t="str">
        <f t="shared" ref="N406:N409" ca="1" si="88">O406&amp;""&amp;",..,"&amp;""&amp;P406</f>
        <v>201,..,1901</v>
      </c>
      <c r="O406" s="2">
        <v>201</v>
      </c>
      <c r="P406" s="2">
        <f ca="1">(SUMPRODUCT(MID(0&amp;(--TRIM(RIGHT(SUBSTITUTE(LEFT(A405,_xlfn.AGGREGATE(16,6,FIND({0,1,2,3,4,5,6,7,8,9},A405,ROW(INDIRECT("1:"&amp;LEN(A405)))),1))," ",REPT(" ",LEN(A405))),LEN(A405)))), LARGE(INDEX(ISNUMBER(--MID((--TRIM(RIGHT(SUBSTITUTE(LEFT(A405,_xlfn.AGGREGATE(16,6,FIND({0,1,2,3,4,5,6,7,8,9},A405,ROW(INDIRECT("1:"&amp;LEN(A405)))),1))," ",REPT(" ",LEN(A405))),LEN(A405)))), ROW(INDIRECT("1:"&amp;LEN((--TRIM(RIGHT(SUBSTITUTE(LEFT(A405,_xlfn.AGGREGATE(16,6,FIND({0,1,2,3,4,5,6,7,8,9},A405,ROW(INDIRECT("1:"&amp;LEN(A405)))),1))," ",REPT(" ",LEN(A405))),LEN(A405))))))), 1)) * ROW(INDIRECT("1:"&amp;LEN((--TRIM(RIGHT(SUBSTITUTE(LEFT(A405,_xlfn.AGGREGATE(16,6,FIND({0,1,2,3,4,5,6,7,8,9},A405,ROW(INDIRECT("1:"&amp;LEN(A405)))),1))," ",REPT(" ",LEN(A405))),LEN(A405))))))), 0), ROW(INDIRECT("1:"&amp;LEN((--TRIM(RIGHT(SUBSTITUTE(LEFT(A405,_xlfn.AGGREGATE(16,6,FIND({0,1,2,3,4,5,6,7,8,9},A405,ROW(INDIRECT("1:"&amp;LEN(A405)))),1))," ",REPT(" ",LEN(A405))),LEN(A405))))))))+1, 1) * 10^ROW(INDIRECT("1:"&amp;LEN((--TRIM(RIGHT(SUBSTITUTE(LEFT(A405,_xlfn.AGGREGATE(16,6,FIND({0,1,2,3,4,5,6,7,8,9},A405,ROW(INDIRECT("1:"&amp;LEN(A405)))),1))," ",REPT(" ",LEN(A405))),LEN(A405)))))))/10))*100+1</f>
        <v>1901</v>
      </c>
    </row>
    <row r="407" spans="1:16" s="2" customFormat="1" ht="15.75" customHeight="1" x14ac:dyDescent="0.25">
      <c r="A407" s="87" t="str">
        <f t="shared" ref="A407:A409" ca="1" si="89">N407</f>
        <v>202,..,1902</v>
      </c>
      <c r="B407" s="87"/>
      <c r="C407" s="19" t="s">
        <v>190</v>
      </c>
      <c r="D407" s="19">
        <f>(31.47+0.45*2+1.05*2.9+0.6*(2.9+2.9)+0.75*2.4)*10.764</f>
        <v>438.04097999999988</v>
      </c>
      <c r="E407" s="19">
        <v>0</v>
      </c>
      <c r="F407" s="19">
        <f>D407*(($F$335)+1)+E407</f>
        <v>657.06146999999987</v>
      </c>
      <c r="G407" s="87"/>
      <c r="H407" s="87"/>
      <c r="I407" s="36"/>
      <c r="N407" s="2" t="str">
        <f t="shared" ca="1" si="88"/>
        <v>202,..,1902</v>
      </c>
      <c r="O407" s="2">
        <f t="shared" ref="O407:P407" si="90">O406+1</f>
        <v>202</v>
      </c>
      <c r="P407" s="2">
        <f t="shared" ca="1" si="90"/>
        <v>1902</v>
      </c>
    </row>
    <row r="408" spans="1:16" s="2" customFormat="1" ht="15.75" customHeight="1" x14ac:dyDescent="0.25">
      <c r="A408" s="87" t="str">
        <f t="shared" ca="1" si="89"/>
        <v>203,..,1903</v>
      </c>
      <c r="B408" s="87"/>
      <c r="C408" s="19" t="s">
        <v>190</v>
      </c>
      <c r="D408" s="19">
        <f t="shared" ref="D408" si="91">(31.23+0.45*2+1.35*3.2+0.6*(3.2+2.9)+0.75*2.4)*10.764</f>
        <v>451.11923999999993</v>
      </c>
      <c r="E408" s="19">
        <v>0</v>
      </c>
      <c r="F408" s="19">
        <f>D408*(($F$335)+1)+E408</f>
        <v>676.67885999999987</v>
      </c>
      <c r="G408" s="87"/>
      <c r="H408" s="87"/>
      <c r="I408" s="36"/>
      <c r="N408" s="2" t="str">
        <f t="shared" ca="1" si="88"/>
        <v>203,..,1903</v>
      </c>
      <c r="O408" s="2">
        <f t="shared" ref="O408:P408" si="92">O407+1</f>
        <v>203</v>
      </c>
      <c r="P408" s="2">
        <f t="shared" ca="1" si="92"/>
        <v>1903</v>
      </c>
    </row>
    <row r="409" spans="1:16" s="2" customFormat="1" ht="15.75" customHeight="1" x14ac:dyDescent="0.25">
      <c r="A409" s="87" t="str">
        <f t="shared" ca="1" si="89"/>
        <v>204,..,1904</v>
      </c>
      <c r="B409" s="87"/>
      <c r="C409" s="19" t="s">
        <v>190</v>
      </c>
      <c r="D409" s="19">
        <f>(31.35+0.45*2+1.35*3.2+0.6*(3.2+2.9)+0.75*2.4)*10.764</f>
        <v>452.41091999999992</v>
      </c>
      <c r="E409" s="19">
        <v>0</v>
      </c>
      <c r="F409" s="19">
        <f>D409*(($F$335)+1)+E409</f>
        <v>678.61637999999994</v>
      </c>
      <c r="G409" s="87"/>
      <c r="H409" s="87"/>
      <c r="I409" s="36"/>
      <c r="J409" s="2">
        <f>4875000/F409</f>
        <v>7183.7346454855697</v>
      </c>
      <c r="N409" s="2" t="str">
        <f t="shared" ca="1" si="88"/>
        <v>204,..,1904</v>
      </c>
      <c r="O409" s="2">
        <f t="shared" ref="O409:P409" si="93">O408+1</f>
        <v>204</v>
      </c>
      <c r="P409" s="2">
        <f t="shared" ca="1" si="93"/>
        <v>1904</v>
      </c>
    </row>
    <row r="410" spans="1:16" s="2" customFormat="1" ht="15.75" customHeight="1" x14ac:dyDescent="0.25">
      <c r="A410" s="100" t="s">
        <v>198</v>
      </c>
      <c r="B410" s="100"/>
      <c r="C410" s="100"/>
      <c r="D410" s="100"/>
      <c r="E410" s="100"/>
      <c r="F410" s="100"/>
      <c r="G410" s="100"/>
      <c r="H410" s="100"/>
      <c r="I410" s="36"/>
    </row>
    <row r="411" spans="1:16" s="2" customFormat="1" ht="15.75" customHeight="1" x14ac:dyDescent="0.25">
      <c r="A411" s="87" t="str">
        <f t="shared" ref="A411:A414" ca="1" si="94">N411</f>
        <v>801,..,1601</v>
      </c>
      <c r="B411" s="87"/>
      <c r="C411" s="19" t="s">
        <v>190</v>
      </c>
      <c r="D411" s="19">
        <f>(31.47+0.45*2+1.05*2.9+0.6*(2.9+2.9)+0.75*2.4)*10.764</f>
        <v>438.04097999999988</v>
      </c>
      <c r="E411" s="19">
        <v>0</v>
      </c>
      <c r="F411" s="19">
        <f>D411*(($F$335)+1)+E411</f>
        <v>657.06146999999987</v>
      </c>
      <c r="G411" s="87" t="str">
        <f>A410</f>
        <v>8th, 12th &amp; 16th Floor (Part Refuge Area)</v>
      </c>
      <c r="H411" s="87"/>
      <c r="I411" s="36"/>
      <c r="N411" s="2" t="str">
        <f t="shared" ref="N411:N414" ca="1" si="95">O411&amp;""&amp;",..,"&amp;""&amp;P411</f>
        <v>801,..,1601</v>
      </c>
      <c r="O411" s="2">
        <v>801</v>
      </c>
      <c r="P411" s="2">
        <f ca="1">(SUMPRODUCT(MID(0&amp;(--TRIM(RIGHT(SUBSTITUTE(LEFT(A410,_xlfn.AGGREGATE(16,6,FIND({0,1,2,3,4,5,6,7,8,9},A410,ROW(INDIRECT("1:"&amp;LEN(A410)))),1))," ",REPT(" ",LEN(A410))),LEN(A410)))), LARGE(INDEX(ISNUMBER(--MID((--TRIM(RIGHT(SUBSTITUTE(LEFT(A410,_xlfn.AGGREGATE(16,6,FIND({0,1,2,3,4,5,6,7,8,9},A410,ROW(INDIRECT("1:"&amp;LEN(A410)))),1))," ",REPT(" ",LEN(A410))),LEN(A410)))), ROW(INDIRECT("1:"&amp;LEN((--TRIM(RIGHT(SUBSTITUTE(LEFT(A410,_xlfn.AGGREGATE(16,6,FIND({0,1,2,3,4,5,6,7,8,9},A410,ROW(INDIRECT("1:"&amp;LEN(A410)))),1))," ",REPT(" ",LEN(A410))),LEN(A410))))))), 1)) * ROW(INDIRECT("1:"&amp;LEN((--TRIM(RIGHT(SUBSTITUTE(LEFT(A410,_xlfn.AGGREGATE(16,6,FIND({0,1,2,3,4,5,6,7,8,9},A410,ROW(INDIRECT("1:"&amp;LEN(A410)))),1))," ",REPT(" ",LEN(A410))),LEN(A410))))))), 0), ROW(INDIRECT("1:"&amp;LEN((--TRIM(RIGHT(SUBSTITUTE(LEFT(A410,_xlfn.AGGREGATE(16,6,FIND({0,1,2,3,4,5,6,7,8,9},A410,ROW(INDIRECT("1:"&amp;LEN(A410)))),1))," ",REPT(" ",LEN(A410))),LEN(A410))))))))+1, 1) * 10^ROW(INDIRECT("1:"&amp;LEN((--TRIM(RIGHT(SUBSTITUTE(LEFT(A410,_xlfn.AGGREGATE(16,6,FIND({0,1,2,3,4,5,6,7,8,9},A410,ROW(INDIRECT("1:"&amp;LEN(A410)))),1))," ",REPT(" ",LEN(A410))),LEN(A410)))))))/10))*100+1</f>
        <v>1601</v>
      </c>
    </row>
    <row r="412" spans="1:16" s="2" customFormat="1" ht="15.75" customHeight="1" x14ac:dyDescent="0.25">
      <c r="A412" s="87" t="str">
        <f t="shared" ca="1" si="94"/>
        <v>802,..,1602</v>
      </c>
      <c r="B412" s="87"/>
      <c r="C412" s="19" t="s">
        <v>190</v>
      </c>
      <c r="D412" s="19">
        <f>(31.47+0.45*2+1.05*2.9+0.6*(2.9+2.9)+0.75*2.4)*10.764</f>
        <v>438.04097999999988</v>
      </c>
      <c r="E412" s="19">
        <v>0</v>
      </c>
      <c r="F412" s="19">
        <f>D412*(($F$335)+1)+E412</f>
        <v>657.06146999999987</v>
      </c>
      <c r="G412" s="87"/>
      <c r="H412" s="87"/>
      <c r="I412" s="36"/>
      <c r="N412" s="2" t="str">
        <f t="shared" ca="1" si="95"/>
        <v>802,..,1602</v>
      </c>
      <c r="O412" s="2">
        <f t="shared" ref="O412:P412" si="96">O411+1</f>
        <v>802</v>
      </c>
      <c r="P412" s="2">
        <f t="shared" ca="1" si="96"/>
        <v>1602</v>
      </c>
    </row>
    <row r="413" spans="1:16" s="2" customFormat="1" ht="15.75" customHeight="1" x14ac:dyDescent="0.25">
      <c r="A413" s="87" t="str">
        <f t="shared" ca="1" si="94"/>
        <v>803,..,1603</v>
      </c>
      <c r="B413" s="87"/>
      <c r="C413" s="19" t="s">
        <v>190</v>
      </c>
      <c r="D413" s="19">
        <f t="shared" ref="D413" si="97">(31.23+0.45*2+1.35*3.2+0.6*(3.2+2.9)+0.75*2.4)*10.764</f>
        <v>451.11923999999993</v>
      </c>
      <c r="E413" s="19">
        <v>0</v>
      </c>
      <c r="F413" s="19">
        <f>D413*(($F$335)+1)+E413</f>
        <v>676.67885999999987</v>
      </c>
      <c r="G413" s="87"/>
      <c r="H413" s="87"/>
      <c r="I413" s="36"/>
      <c r="N413" s="2" t="str">
        <f t="shared" ca="1" si="95"/>
        <v>803,..,1603</v>
      </c>
      <c r="O413" s="2">
        <f t="shared" ref="O413:P413" si="98">O412+1</f>
        <v>803</v>
      </c>
      <c r="P413" s="2">
        <f t="shared" ca="1" si="98"/>
        <v>1603</v>
      </c>
    </row>
    <row r="414" spans="1:16" s="2" customFormat="1" ht="15.75" customHeight="1" x14ac:dyDescent="0.25">
      <c r="A414" s="87" t="str">
        <f t="shared" ca="1" si="94"/>
        <v>804,..,1604</v>
      </c>
      <c r="B414" s="87"/>
      <c r="C414" s="19" t="s">
        <v>190</v>
      </c>
      <c r="D414" s="19">
        <f>(31.35+0.45*2+1.35*3.2+0.6*(3.2+2.9)+0.75*2.4)*10.764</f>
        <v>452.41091999999992</v>
      </c>
      <c r="E414" s="19">
        <v>0</v>
      </c>
      <c r="F414" s="19">
        <f>D414*(($F$335)+1)+E414</f>
        <v>678.61637999999994</v>
      </c>
      <c r="G414" s="87"/>
      <c r="H414" s="87"/>
      <c r="I414" s="36"/>
      <c r="N414" s="2" t="str">
        <f t="shared" ca="1" si="95"/>
        <v>804,..,1604</v>
      </c>
      <c r="O414" s="2">
        <f t="shared" ref="O414:P414" si="99">O413+1</f>
        <v>804</v>
      </c>
      <c r="P414" s="2">
        <f t="shared" ca="1" si="99"/>
        <v>1604</v>
      </c>
    </row>
    <row r="415" spans="1:16" s="2" customFormat="1" ht="15.75" customHeight="1" x14ac:dyDescent="0.25">
      <c r="A415" s="100" t="s">
        <v>228</v>
      </c>
      <c r="B415" s="100"/>
      <c r="C415" s="100"/>
      <c r="D415" s="100"/>
      <c r="E415" s="100"/>
      <c r="F415" s="100"/>
      <c r="G415" s="100"/>
      <c r="H415" s="100"/>
      <c r="I415" s="36"/>
    </row>
    <row r="416" spans="1:16" s="2" customFormat="1" ht="15.75" customHeight="1" x14ac:dyDescent="0.25">
      <c r="A416" s="97">
        <v>2001</v>
      </c>
      <c r="B416" s="98"/>
      <c r="C416" s="19" t="s">
        <v>190</v>
      </c>
      <c r="D416" s="19">
        <f>(31.47+0.45*2+1.05*2.9+0.6*(2.9+2.9)+0.75*2.4)*10.764</f>
        <v>438.04097999999988</v>
      </c>
      <c r="E416" s="19">
        <v>0</v>
      </c>
      <c r="F416" s="19">
        <f t="shared" ref="F416:F419" si="100">D416*(($F$335)+1)+E416</f>
        <v>657.06146999999987</v>
      </c>
      <c r="G416" s="88" t="str">
        <f>A415</f>
        <v>20th Floor for MHADA (Part Refuge Area)</v>
      </c>
      <c r="H416" s="89"/>
      <c r="I416" s="36"/>
      <c r="N416" s="2" t="str">
        <f t="shared" ref="N416:N419" ca="1" si="101">O416&amp;""&amp;",..,"&amp;""&amp;P416</f>
        <v>801,..,2001</v>
      </c>
      <c r="O416" s="2">
        <v>801</v>
      </c>
      <c r="P416" s="2">
        <f ca="1">(SUMPRODUCT(MID(0&amp;(--TRIM(RIGHT(SUBSTITUTE(LEFT(A415,_xlfn.AGGREGATE(16,6,FIND({0,1,2,3,4,5,6,7,8,9},A415,ROW(INDIRECT("1:"&amp;LEN(A415)))),1))," ",REPT(" ",LEN(A415))),LEN(A415)))), LARGE(INDEX(ISNUMBER(--MID((--TRIM(RIGHT(SUBSTITUTE(LEFT(A415,_xlfn.AGGREGATE(16,6,FIND({0,1,2,3,4,5,6,7,8,9},A415,ROW(INDIRECT("1:"&amp;LEN(A415)))),1))," ",REPT(" ",LEN(A415))),LEN(A415)))), ROW(INDIRECT("1:"&amp;LEN((--TRIM(RIGHT(SUBSTITUTE(LEFT(A415,_xlfn.AGGREGATE(16,6,FIND({0,1,2,3,4,5,6,7,8,9},A415,ROW(INDIRECT("1:"&amp;LEN(A415)))),1))," ",REPT(" ",LEN(A415))),LEN(A415))))))), 1)) * ROW(INDIRECT("1:"&amp;LEN((--TRIM(RIGHT(SUBSTITUTE(LEFT(A415,_xlfn.AGGREGATE(16,6,FIND({0,1,2,3,4,5,6,7,8,9},A415,ROW(INDIRECT("1:"&amp;LEN(A415)))),1))," ",REPT(" ",LEN(A415))),LEN(A415))))))), 0), ROW(INDIRECT("1:"&amp;LEN((--TRIM(RIGHT(SUBSTITUTE(LEFT(A415,_xlfn.AGGREGATE(16,6,FIND({0,1,2,3,4,5,6,7,8,9},A415,ROW(INDIRECT("1:"&amp;LEN(A415)))),1))," ",REPT(" ",LEN(A415))),LEN(A415))))))))+1, 1) * 10^ROW(INDIRECT("1:"&amp;LEN((--TRIM(RIGHT(SUBSTITUTE(LEFT(A415,_xlfn.AGGREGATE(16,6,FIND({0,1,2,3,4,5,6,7,8,9},A415,ROW(INDIRECT("1:"&amp;LEN(A415)))),1))," ",REPT(" ",LEN(A415))),LEN(A415)))))))/10))*100+1</f>
        <v>2001</v>
      </c>
    </row>
    <row r="417" spans="1:16" s="2" customFormat="1" ht="15.75" customHeight="1" x14ac:dyDescent="0.25">
      <c r="A417" s="97">
        <v>2002</v>
      </c>
      <c r="B417" s="98"/>
      <c r="C417" s="19" t="s">
        <v>190</v>
      </c>
      <c r="D417" s="19">
        <f>(31.47+0.45*2+1.05*2.9+0.6*(2.9+2.9)+0.75*2.4)*10.764</f>
        <v>438.04097999999988</v>
      </c>
      <c r="E417" s="19">
        <v>0</v>
      </c>
      <c r="F417" s="19">
        <f t="shared" si="100"/>
        <v>657.06146999999987</v>
      </c>
      <c r="G417" s="90"/>
      <c r="H417" s="91"/>
      <c r="I417" s="36"/>
      <c r="N417" s="2" t="str">
        <f t="shared" ca="1" si="101"/>
        <v>802,..,2002</v>
      </c>
      <c r="O417" s="2">
        <f t="shared" ref="O417:P417" si="102">O416+1</f>
        <v>802</v>
      </c>
      <c r="P417" s="2">
        <f t="shared" ca="1" si="102"/>
        <v>2002</v>
      </c>
    </row>
    <row r="418" spans="1:16" s="2" customFormat="1" ht="15.75" customHeight="1" x14ac:dyDescent="0.25">
      <c r="A418" s="97">
        <v>2003</v>
      </c>
      <c r="B418" s="98"/>
      <c r="C418" s="19" t="s">
        <v>190</v>
      </c>
      <c r="D418" s="19">
        <f t="shared" ref="D418" si="103">(31.23+0.45*2+1.35*3.2+0.6*(3.2+2.9)+0.75*2.4)*10.764</f>
        <v>451.11923999999993</v>
      </c>
      <c r="E418" s="19">
        <v>0</v>
      </c>
      <c r="F418" s="19">
        <f t="shared" si="100"/>
        <v>676.67885999999987</v>
      </c>
      <c r="G418" s="90"/>
      <c r="H418" s="91"/>
      <c r="I418" s="36"/>
      <c r="N418" s="2" t="str">
        <f t="shared" ca="1" si="101"/>
        <v>803,..,2003</v>
      </c>
      <c r="O418" s="2">
        <f t="shared" ref="O418:P418" si="104">O417+1</f>
        <v>803</v>
      </c>
      <c r="P418" s="2">
        <f t="shared" ca="1" si="104"/>
        <v>2003</v>
      </c>
    </row>
    <row r="419" spans="1:16" s="2" customFormat="1" ht="15.75" customHeight="1" x14ac:dyDescent="0.25">
      <c r="A419" s="97">
        <v>2004</v>
      </c>
      <c r="B419" s="98"/>
      <c r="C419" s="19" t="s">
        <v>190</v>
      </c>
      <c r="D419" s="19">
        <f>(31.35+0.45*2+1.35*3.2+0.6*(3.2+2.9)+0.75*2.4)*10.764</f>
        <v>452.41091999999992</v>
      </c>
      <c r="E419" s="19">
        <v>0</v>
      </c>
      <c r="F419" s="19">
        <f t="shared" si="100"/>
        <v>678.61637999999994</v>
      </c>
      <c r="G419" s="90"/>
      <c r="H419" s="91"/>
      <c r="I419" s="36"/>
      <c r="N419" s="2" t="str">
        <f t="shared" ca="1" si="101"/>
        <v>804,..,2004</v>
      </c>
      <c r="O419" s="2">
        <f t="shared" ref="O419:P419" si="105">O418+1</f>
        <v>804</v>
      </c>
      <c r="P419" s="2">
        <f t="shared" ca="1" si="105"/>
        <v>2004</v>
      </c>
    </row>
    <row r="420" spans="1:16" s="2" customFormat="1" x14ac:dyDescent="0.25">
      <c r="A420" s="92" t="s">
        <v>218</v>
      </c>
      <c r="B420" s="93"/>
      <c r="C420" s="93"/>
      <c r="D420" s="93"/>
      <c r="E420" s="93"/>
      <c r="F420" s="93"/>
      <c r="G420" s="93"/>
      <c r="H420" s="94"/>
      <c r="I420" s="36"/>
    </row>
    <row r="421" spans="1:16" s="2" customFormat="1" ht="15.75" customHeight="1" x14ac:dyDescent="0.25">
      <c r="A421" s="97" t="str">
        <f t="shared" ref="A421:A424" ca="1" si="106">N421</f>
        <v>2101 &amp; 2201</v>
      </c>
      <c r="B421" s="98"/>
      <c r="C421" s="19" t="s">
        <v>190</v>
      </c>
      <c r="D421" s="19">
        <f>(31.47+0.45*2+1.05*2.9+0.6*(2.9+2.9)+0.75*2.4)*10.764</f>
        <v>438.04097999999988</v>
      </c>
      <c r="E421" s="19">
        <v>0</v>
      </c>
      <c r="F421" s="19">
        <f>D421*(($F$335)+1)+E421</f>
        <v>657.06146999999987</v>
      </c>
      <c r="G421" s="88" t="str">
        <f>A420</f>
        <v>21st &amp; 22nd Floor for MHADA</v>
      </c>
      <c r="H421" s="89"/>
      <c r="I421" s="36"/>
      <c r="N421" s="2" t="str">
        <f t="shared" ref="N421:N424" ca="1" si="107">O421&amp;""&amp;" &amp; "&amp;""&amp;P421</f>
        <v>2101 &amp; 2201</v>
      </c>
      <c r="O421" s="2">
        <f ca="1">(SUMPRODUCT(MID(0&amp;(LEFT(A420,SUM(LEN(A420)-LEN(SUBSTITUTE(A420,{"0","1","2"},""))))), LARGE(INDEX(ISNUMBER(--MID((LEFT(A420,SUM(LEN(A420)-LEN(SUBSTITUTE(A420,{"0","1","2"},""))))), ROW(INDIRECT("1:"&amp;LEN((LEFT(A420,SUM(LEN(A420)-LEN(SUBSTITUTE(A420,{"0","1","2"},"")))))))), 1)) * ROW(INDIRECT("1:"&amp;LEN((LEFT(A420,SUM(LEN(A420)-LEN(SUBSTITUTE(A420,{"0","1","2"},"")))))))), 0), ROW(INDIRECT("1:"&amp;LEN((LEFT(A420,SUM(LEN(A420)-LEN(SUBSTITUTE(A420,{"0","1","2"},"")))))))))+1, 1) * 10^ROW(INDIRECT("1:"&amp;LEN((LEFT(A420,SUM(LEN(A420)-LEN(SUBSTITUTE(A420,{"0","1","2"},""))))))))/10))*100+1</f>
        <v>2101</v>
      </c>
      <c r="P421" s="2">
        <f ca="1">(SUMPRODUCT(MID(0&amp;(--TRIM(RIGHT(SUBSTITUTE(LEFT(A420,_xlfn.AGGREGATE(16,6,FIND({0,1,2,3,4,5,6,7,8,9},A420,ROW(INDIRECT("1:"&amp;LEN(A420)))),1))," ",REPT(" ",LEN(A420))),LEN(A420)))), LARGE(INDEX(ISNUMBER(--MID((--TRIM(RIGHT(SUBSTITUTE(LEFT(A420,_xlfn.AGGREGATE(16,6,FIND({0,1,2,3,4,5,6,7,8,9},A420,ROW(INDIRECT("1:"&amp;LEN(A420)))),1))," ",REPT(" ",LEN(A420))),LEN(A420)))), ROW(INDIRECT("1:"&amp;LEN((--TRIM(RIGHT(SUBSTITUTE(LEFT(A420,_xlfn.AGGREGATE(16,6,FIND({0,1,2,3,4,5,6,7,8,9},A420,ROW(INDIRECT("1:"&amp;LEN(A420)))),1))," ",REPT(" ",LEN(A420))),LEN(A420))))))), 1)) * ROW(INDIRECT("1:"&amp;LEN((--TRIM(RIGHT(SUBSTITUTE(LEFT(A420,_xlfn.AGGREGATE(16,6,FIND({0,1,2,3,4,5,6,7,8,9},A420,ROW(INDIRECT("1:"&amp;LEN(A420)))),1))," ",REPT(" ",LEN(A420))),LEN(A420))))))), 0), ROW(INDIRECT("1:"&amp;LEN((--TRIM(RIGHT(SUBSTITUTE(LEFT(A420,_xlfn.AGGREGATE(16,6,FIND({0,1,2,3,4,5,6,7,8,9},A420,ROW(INDIRECT("1:"&amp;LEN(A420)))),1))," ",REPT(" ",LEN(A420))),LEN(A420))))))))+1, 1) * 10^ROW(INDIRECT("1:"&amp;LEN((--TRIM(RIGHT(SUBSTITUTE(LEFT(A420,_xlfn.AGGREGATE(16,6,FIND({0,1,2,3,4,5,6,7,8,9},A420,ROW(INDIRECT("1:"&amp;LEN(A420)))),1))," ",REPT(" ",LEN(A420))),LEN(A420)))))))/10))*100+1</f>
        <v>2201</v>
      </c>
    </row>
    <row r="422" spans="1:16" s="2" customFormat="1" ht="15.75" customHeight="1" x14ac:dyDescent="0.25">
      <c r="A422" s="97" t="str">
        <f t="shared" ca="1" si="106"/>
        <v>2102 &amp; 2202</v>
      </c>
      <c r="B422" s="98"/>
      <c r="C422" s="19" t="s">
        <v>190</v>
      </c>
      <c r="D422" s="19">
        <f>(31.47+0.45*2+1.05*2.9+0.6*(2.9+2.9)+0.75*2.4)*10.764</f>
        <v>438.04097999999988</v>
      </c>
      <c r="E422" s="19">
        <v>0</v>
      </c>
      <c r="F422" s="19">
        <f>D422*(($F$335)+1)+E422</f>
        <v>657.06146999999987</v>
      </c>
      <c r="G422" s="90"/>
      <c r="H422" s="91"/>
      <c r="I422" s="36"/>
      <c r="N422" s="2" t="str">
        <f t="shared" ca="1" si="107"/>
        <v>2102 &amp; 2202</v>
      </c>
      <c r="O422" s="2">
        <f t="shared" ref="O422:P422" ca="1" si="108">O421+1</f>
        <v>2102</v>
      </c>
      <c r="P422" s="2">
        <f t="shared" ca="1" si="108"/>
        <v>2202</v>
      </c>
    </row>
    <row r="423" spans="1:16" s="2" customFormat="1" ht="15.75" customHeight="1" x14ac:dyDescent="0.25">
      <c r="A423" s="97" t="str">
        <f t="shared" ca="1" si="106"/>
        <v>2103 &amp; 2203</v>
      </c>
      <c r="B423" s="98"/>
      <c r="C423" s="19" t="s">
        <v>190</v>
      </c>
      <c r="D423" s="19">
        <f t="shared" ref="D423" si="109">(31.23+0.45*2+1.35*3.2+0.6*(3.2+2.9)+0.75*2.4)*10.764</f>
        <v>451.11923999999993</v>
      </c>
      <c r="E423" s="19">
        <v>0</v>
      </c>
      <c r="F423" s="19">
        <f>D423*(($F$335)+1)+E423</f>
        <v>676.67885999999987</v>
      </c>
      <c r="G423" s="90"/>
      <c r="H423" s="91"/>
      <c r="I423" s="36"/>
      <c r="N423" s="2" t="str">
        <f t="shared" ca="1" si="107"/>
        <v>2103 &amp; 2203</v>
      </c>
      <c r="O423" s="2">
        <f t="shared" ref="O423:P423" ca="1" si="110">O422+1</f>
        <v>2103</v>
      </c>
      <c r="P423" s="2">
        <f t="shared" ca="1" si="110"/>
        <v>2203</v>
      </c>
    </row>
    <row r="424" spans="1:16" s="2" customFormat="1" ht="15.75" customHeight="1" x14ac:dyDescent="0.25">
      <c r="A424" s="97" t="str">
        <f t="shared" ca="1" si="106"/>
        <v>2104 &amp; 2204</v>
      </c>
      <c r="B424" s="98"/>
      <c r="C424" s="19" t="s">
        <v>190</v>
      </c>
      <c r="D424" s="19">
        <f>(31.35+0.45*2+1.35*3.2+0.6*(3.2+2.9)+0.75*2.4)*10.764</f>
        <v>452.41091999999992</v>
      </c>
      <c r="E424" s="19">
        <v>0</v>
      </c>
      <c r="F424" s="19">
        <f>D424*(($F$335)+1)+E424</f>
        <v>678.61637999999994</v>
      </c>
      <c r="G424" s="90"/>
      <c r="H424" s="91"/>
      <c r="I424" s="36"/>
      <c r="J424" s="2" t="s">
        <v>221</v>
      </c>
      <c r="N424" s="2" t="str">
        <f t="shared" ca="1" si="107"/>
        <v>2104 &amp; 2204</v>
      </c>
      <c r="O424" s="2">
        <f t="shared" ref="O424:P424" ca="1" si="111">O423+1</f>
        <v>2104</v>
      </c>
      <c r="P424" s="2">
        <f t="shared" ca="1" si="111"/>
        <v>2204</v>
      </c>
    </row>
    <row r="425" spans="1:16" s="2" customFormat="1" x14ac:dyDescent="0.25">
      <c r="A425" s="99" t="s">
        <v>197</v>
      </c>
      <c r="B425" s="99"/>
      <c r="C425" s="99"/>
      <c r="D425" s="99"/>
      <c r="E425" s="99"/>
      <c r="F425" s="99"/>
      <c r="G425" s="99"/>
      <c r="H425" s="99"/>
      <c r="I425" s="36"/>
      <c r="L425" s="101"/>
      <c r="M425" s="101"/>
    </row>
    <row r="426" spans="1:16" s="2" customFormat="1" x14ac:dyDescent="0.25">
      <c r="A426" s="100" t="s">
        <v>153</v>
      </c>
      <c r="B426" s="100"/>
      <c r="C426" s="100"/>
      <c r="D426" s="100"/>
      <c r="E426" s="100"/>
      <c r="F426" s="100"/>
      <c r="G426" s="100"/>
      <c r="H426" s="100"/>
      <c r="I426" s="36"/>
      <c r="L426" s="101"/>
      <c r="M426" s="101"/>
    </row>
    <row r="427" spans="1:16" s="2" customFormat="1" x14ac:dyDescent="0.25">
      <c r="A427" s="87">
        <f>LEFT(A426,SUM(LEN(A426)-LEN(SUBSTITUTE(A426,{"0","1","2","3","4","5","6","7","8","9"},""))))*100+1</f>
        <v>201</v>
      </c>
      <c r="B427" s="87"/>
      <c r="C427" s="19" t="s">
        <v>190</v>
      </c>
      <c r="D427" s="19">
        <f>((30.37)+(2.75+2.75)*0.6+(2.4*0.75))*10.764</f>
        <v>381.79907999999995</v>
      </c>
      <c r="E427" s="19">
        <v>0</v>
      </c>
      <c r="F427" s="19">
        <f t="shared" ref="F427:F432" si="112">D427*(($F$335)+1)+E427</f>
        <v>572.69861999999989</v>
      </c>
      <c r="G427" s="88" t="str">
        <f>A426</f>
        <v>2nd Floor</v>
      </c>
      <c r="H427" s="89"/>
      <c r="I427" s="36"/>
      <c r="N427" s="36"/>
    </row>
    <row r="428" spans="1:16" s="2" customFormat="1" x14ac:dyDescent="0.25">
      <c r="A428" s="87">
        <f>A427+1</f>
        <v>202</v>
      </c>
      <c r="B428" s="87"/>
      <c r="C428" s="19" t="s">
        <v>190</v>
      </c>
      <c r="D428" s="19">
        <f>((30.37))*10.764</f>
        <v>326.90267999999998</v>
      </c>
      <c r="E428" s="19">
        <v>0</v>
      </c>
      <c r="F428" s="19">
        <f t="shared" si="112"/>
        <v>490.35401999999999</v>
      </c>
      <c r="G428" s="90"/>
      <c r="H428" s="91"/>
      <c r="I428" s="36"/>
      <c r="N428" s="36"/>
    </row>
    <row r="429" spans="1:16" s="2" customFormat="1" x14ac:dyDescent="0.25">
      <c r="A429" s="87">
        <f>A428+1</f>
        <v>203</v>
      </c>
      <c r="B429" s="87"/>
      <c r="C429" s="19" t="s">
        <v>190</v>
      </c>
      <c r="D429" s="19">
        <f>((33.09))*10.764</f>
        <v>356.18076000000002</v>
      </c>
      <c r="E429" s="19">
        <f>(12.65*1.5+5*1.5)*10.764</f>
        <v>284.9769</v>
      </c>
      <c r="F429" s="19">
        <f t="shared" ref="F429:F431" si="113">D429*(($F$335)+1)+E429/2</f>
        <v>676.75959000000012</v>
      </c>
      <c r="G429" s="90"/>
      <c r="H429" s="91"/>
      <c r="I429" s="36"/>
      <c r="N429" s="36"/>
    </row>
    <row r="430" spans="1:16" s="2" customFormat="1" x14ac:dyDescent="0.25">
      <c r="A430" s="87">
        <f t="shared" ref="A430:A432" si="114">A429+1</f>
        <v>204</v>
      </c>
      <c r="B430" s="87"/>
      <c r="C430" s="19" t="s">
        <v>191</v>
      </c>
      <c r="D430" s="19">
        <f>((45.1))*10.764</f>
        <v>485.45639999999997</v>
      </c>
      <c r="E430" s="19">
        <f>(8.5*1.5+3.05*2.75)*10.764</f>
        <v>227.52404999999999</v>
      </c>
      <c r="F430" s="19">
        <f t="shared" si="113"/>
        <v>841.94662499999993</v>
      </c>
      <c r="G430" s="90"/>
      <c r="H430" s="91"/>
      <c r="I430" s="36"/>
      <c r="N430" s="36"/>
    </row>
    <row r="431" spans="1:16" s="2" customFormat="1" x14ac:dyDescent="0.25">
      <c r="A431" s="87">
        <f t="shared" si="114"/>
        <v>205</v>
      </c>
      <c r="B431" s="87"/>
      <c r="C431" s="19" t="s">
        <v>191</v>
      </c>
      <c r="D431" s="19">
        <f>((50.52)+(3.05*0.6))*10.764</f>
        <v>563.49540000000002</v>
      </c>
      <c r="E431" s="19">
        <f>(6*1.5+3.05*2.75)*10.764</f>
        <v>187.15904999999998</v>
      </c>
      <c r="F431" s="19">
        <f t="shared" si="113"/>
        <v>938.82262500000002</v>
      </c>
      <c r="G431" s="90"/>
      <c r="H431" s="91"/>
      <c r="I431" s="36"/>
      <c r="N431" s="36"/>
    </row>
    <row r="432" spans="1:16" s="2" customFormat="1" x14ac:dyDescent="0.25">
      <c r="A432" s="87">
        <f t="shared" si="114"/>
        <v>206</v>
      </c>
      <c r="B432" s="87"/>
      <c r="C432" s="19" t="s">
        <v>191</v>
      </c>
      <c r="D432" s="19">
        <f>((50.52)+(3.05+3.1+3.05)*0.6+(2.4*0.75))*10.764</f>
        <v>622.58975999999996</v>
      </c>
      <c r="E432" s="19">
        <v>0</v>
      </c>
      <c r="F432" s="19">
        <f t="shared" si="112"/>
        <v>933.88463999999999</v>
      </c>
      <c r="G432" s="95"/>
      <c r="H432" s="96"/>
      <c r="I432" s="36"/>
      <c r="N432" s="36"/>
    </row>
    <row r="433" spans="1:16" s="2" customFormat="1" ht="15.75" customHeight="1" x14ac:dyDescent="0.25">
      <c r="A433" s="92" t="s">
        <v>196</v>
      </c>
      <c r="B433" s="93"/>
      <c r="C433" s="93"/>
      <c r="D433" s="93"/>
      <c r="E433" s="93"/>
      <c r="F433" s="93"/>
      <c r="G433" s="93"/>
      <c r="H433" s="94"/>
      <c r="I433" s="36"/>
    </row>
    <row r="434" spans="1:16" s="2" customFormat="1" ht="15.75" customHeight="1" x14ac:dyDescent="0.25">
      <c r="A434" s="97" t="str">
        <f t="shared" ref="A434:A439" ca="1" si="115">N434</f>
        <v>301,..,1901</v>
      </c>
      <c r="B434" s="98"/>
      <c r="C434" s="19" t="s">
        <v>190</v>
      </c>
      <c r="D434" s="19">
        <f t="shared" ref="D434:D435" si="116">((30.37)+(2.75+2.75)*0.6+(2.4*0.75))*10.764</f>
        <v>381.79907999999995</v>
      </c>
      <c r="E434" s="19">
        <v>0</v>
      </c>
      <c r="F434" s="19">
        <f t="shared" ref="F434:F439" si="117">D434*(($F$335)+1)+E434</f>
        <v>572.69861999999989</v>
      </c>
      <c r="G434" s="88" t="str">
        <f>A433</f>
        <v>3rd to 7th, 9th to 11th, 13th to 15th, 17th to 19th Floor</v>
      </c>
      <c r="H434" s="89"/>
      <c r="I434" s="36"/>
      <c r="N434" s="2" t="str">
        <f t="shared" ref="N434:N439" ca="1" si="118">O434&amp;""&amp;",..,"&amp;""&amp;P434</f>
        <v>301,..,1901</v>
      </c>
      <c r="O434" s="2">
        <v>301</v>
      </c>
      <c r="P434" s="2">
        <f ca="1">(SUMPRODUCT(MID(0&amp;(--TRIM(RIGHT(SUBSTITUTE(LEFT(A433,_xlfn.AGGREGATE(16,6,FIND({0,1,2,3,4,5,6,7,8,9},A433,ROW(INDIRECT("1:"&amp;LEN(A433)))),1))," ",REPT(" ",LEN(A433))),LEN(A433)))), LARGE(INDEX(ISNUMBER(--MID((--TRIM(RIGHT(SUBSTITUTE(LEFT(A433,_xlfn.AGGREGATE(16,6,FIND({0,1,2,3,4,5,6,7,8,9},A433,ROW(INDIRECT("1:"&amp;LEN(A433)))),1))," ",REPT(" ",LEN(A433))),LEN(A433)))), ROW(INDIRECT("1:"&amp;LEN((--TRIM(RIGHT(SUBSTITUTE(LEFT(A433,_xlfn.AGGREGATE(16,6,FIND({0,1,2,3,4,5,6,7,8,9},A433,ROW(INDIRECT("1:"&amp;LEN(A433)))),1))," ",REPT(" ",LEN(A433))),LEN(A433))))))), 1)) * ROW(INDIRECT("1:"&amp;LEN((--TRIM(RIGHT(SUBSTITUTE(LEFT(A433,_xlfn.AGGREGATE(16,6,FIND({0,1,2,3,4,5,6,7,8,9},A433,ROW(INDIRECT("1:"&amp;LEN(A433)))),1))," ",REPT(" ",LEN(A433))),LEN(A433))))))), 0), ROW(INDIRECT("1:"&amp;LEN((--TRIM(RIGHT(SUBSTITUTE(LEFT(A433,_xlfn.AGGREGATE(16,6,FIND({0,1,2,3,4,5,6,7,8,9},A433,ROW(INDIRECT("1:"&amp;LEN(A433)))),1))," ",REPT(" ",LEN(A433))),LEN(A433))))))))+1, 1) * 10^ROW(INDIRECT("1:"&amp;LEN((--TRIM(RIGHT(SUBSTITUTE(LEFT(A433,_xlfn.AGGREGATE(16,6,FIND({0,1,2,3,4,5,6,7,8,9},A433,ROW(INDIRECT("1:"&amp;LEN(A433)))),1))," ",REPT(" ",LEN(A433))),LEN(A433)))))))/10))*100+1</f>
        <v>1901</v>
      </c>
    </row>
    <row r="435" spans="1:16" s="2" customFormat="1" ht="15.75" customHeight="1" x14ac:dyDescent="0.25">
      <c r="A435" s="97" t="str">
        <f t="shared" ca="1" si="115"/>
        <v>302,..,1902</v>
      </c>
      <c r="B435" s="98"/>
      <c r="C435" s="19" t="s">
        <v>190</v>
      </c>
      <c r="D435" s="19">
        <f t="shared" si="116"/>
        <v>381.79907999999995</v>
      </c>
      <c r="E435" s="19">
        <v>0</v>
      </c>
      <c r="F435" s="19">
        <f t="shared" si="117"/>
        <v>572.69861999999989</v>
      </c>
      <c r="G435" s="90"/>
      <c r="H435" s="91"/>
      <c r="I435" s="36"/>
      <c r="N435" s="2" t="str">
        <f t="shared" ca="1" si="118"/>
        <v>302,..,1902</v>
      </c>
      <c r="O435" s="2">
        <f t="shared" ref="O435:P435" si="119">O434+1</f>
        <v>302</v>
      </c>
      <c r="P435" s="2">
        <f t="shared" ca="1" si="119"/>
        <v>1902</v>
      </c>
    </row>
    <row r="436" spans="1:16" s="2" customFormat="1" ht="15.75" customHeight="1" x14ac:dyDescent="0.25">
      <c r="A436" s="97" t="str">
        <f t="shared" ca="1" si="115"/>
        <v>303,..,1903</v>
      </c>
      <c r="B436" s="98"/>
      <c r="C436" s="19" t="s">
        <v>190</v>
      </c>
      <c r="D436" s="19">
        <f>((33.89)+(2.75+3.45)*0.6+(2.4*0.75))*10.764</f>
        <v>424.20923999999997</v>
      </c>
      <c r="E436" s="19">
        <v>0</v>
      </c>
      <c r="F436" s="19">
        <f t="shared" si="117"/>
        <v>636.31385999999998</v>
      </c>
      <c r="G436" s="90"/>
      <c r="H436" s="91"/>
      <c r="I436" s="36"/>
      <c r="N436" s="2" t="str">
        <f t="shared" ca="1" si="118"/>
        <v>303,..,1903</v>
      </c>
      <c r="O436" s="2">
        <f t="shared" ref="O436:P436" si="120">O435+1</f>
        <v>303</v>
      </c>
      <c r="P436" s="2">
        <f t="shared" ca="1" si="120"/>
        <v>1903</v>
      </c>
    </row>
    <row r="437" spans="1:16" s="2" customFormat="1" ht="15.75" customHeight="1" x14ac:dyDescent="0.25">
      <c r="A437" s="97" t="str">
        <f t="shared" ca="1" si="115"/>
        <v>304,..,1904</v>
      </c>
      <c r="B437" s="98"/>
      <c r="C437" s="19" t="s">
        <v>191</v>
      </c>
      <c r="D437" s="19">
        <f>((45.1)+(2.75+2.75+3.05)*0.6+(2.45*0.75))*10.764</f>
        <v>560.45456999999999</v>
      </c>
      <c r="E437" s="19">
        <v>0</v>
      </c>
      <c r="F437" s="19">
        <f t="shared" si="117"/>
        <v>840.68185500000004</v>
      </c>
      <c r="G437" s="90"/>
      <c r="H437" s="91"/>
      <c r="I437" s="36"/>
      <c r="N437" s="2" t="str">
        <f t="shared" ca="1" si="118"/>
        <v>304,..,1904</v>
      </c>
      <c r="O437" s="2">
        <f t="shared" ref="O437:P437" si="121">O436+1</f>
        <v>304</v>
      </c>
      <c r="P437" s="2">
        <f t="shared" ca="1" si="121"/>
        <v>1904</v>
      </c>
    </row>
    <row r="438" spans="1:16" s="2" customFormat="1" ht="15.75" customHeight="1" x14ac:dyDescent="0.25">
      <c r="A438" s="97" t="str">
        <f t="shared" ca="1" si="115"/>
        <v>305,..,1905</v>
      </c>
      <c r="B438" s="98"/>
      <c r="C438" s="19" t="s">
        <v>191</v>
      </c>
      <c r="D438" s="19">
        <f>((50.52)+(3.05+3.1+3.05)*0.6+(2.4*0.75))*10.764</f>
        <v>622.58975999999996</v>
      </c>
      <c r="E438" s="19">
        <v>0</v>
      </c>
      <c r="F438" s="19">
        <f t="shared" si="117"/>
        <v>933.88463999999999</v>
      </c>
      <c r="G438" s="90"/>
      <c r="H438" s="91"/>
      <c r="I438" s="36"/>
      <c r="N438" s="2" t="str">
        <f t="shared" ca="1" si="118"/>
        <v>305,..,1905</v>
      </c>
      <c r="O438" s="2">
        <f t="shared" ref="O438:P438" si="122">O437+1</f>
        <v>305</v>
      </c>
      <c r="P438" s="2">
        <f t="shared" ca="1" si="122"/>
        <v>1905</v>
      </c>
    </row>
    <row r="439" spans="1:16" s="2" customFormat="1" ht="15.75" customHeight="1" x14ac:dyDescent="0.25">
      <c r="A439" s="97" t="str">
        <f t="shared" ca="1" si="115"/>
        <v>306,..,1906</v>
      </c>
      <c r="B439" s="98"/>
      <c r="C439" s="19" t="s">
        <v>191</v>
      </c>
      <c r="D439" s="19">
        <f>((50.52)+(3.05+3.1+3.05)*0.6+(2.4*0.75))*10.764</f>
        <v>622.58975999999996</v>
      </c>
      <c r="E439" s="19">
        <v>0</v>
      </c>
      <c r="F439" s="19">
        <f t="shared" si="117"/>
        <v>933.88463999999999</v>
      </c>
      <c r="G439" s="95"/>
      <c r="H439" s="96"/>
      <c r="I439" s="36"/>
      <c r="N439" s="2" t="str">
        <f t="shared" ca="1" si="118"/>
        <v>306,..,1906</v>
      </c>
      <c r="O439" s="2">
        <f t="shared" ref="O439:P439" si="123">O438+1</f>
        <v>306</v>
      </c>
      <c r="P439" s="2">
        <f t="shared" ca="1" si="123"/>
        <v>1906</v>
      </c>
    </row>
    <row r="440" spans="1:16" s="2" customFormat="1" ht="15.75" customHeight="1" x14ac:dyDescent="0.25">
      <c r="A440" s="100" t="s">
        <v>198</v>
      </c>
      <c r="B440" s="100"/>
      <c r="C440" s="100"/>
      <c r="D440" s="100"/>
      <c r="E440" s="100"/>
      <c r="F440" s="100"/>
      <c r="G440" s="100"/>
      <c r="H440" s="100"/>
      <c r="I440" s="36"/>
    </row>
    <row r="441" spans="1:16" s="2" customFormat="1" ht="15.75" customHeight="1" x14ac:dyDescent="0.25">
      <c r="A441" s="87" t="str">
        <f t="shared" ref="A441:A446" ca="1" si="124">N441</f>
        <v>801,..,1601</v>
      </c>
      <c r="B441" s="87"/>
      <c r="C441" s="19" t="s">
        <v>190</v>
      </c>
      <c r="D441" s="19">
        <f t="shared" ref="D441:D442" si="125">((30.37)+(2.75+2.75)*0.6+(2.4*0.75))*10.764</f>
        <v>381.79907999999995</v>
      </c>
      <c r="E441" s="19">
        <v>0</v>
      </c>
      <c r="F441" s="19">
        <f t="shared" ref="F441:F446" si="126">D441*(($F$335)+1)+E441</f>
        <v>572.69861999999989</v>
      </c>
      <c r="G441" s="87" t="str">
        <f>A440</f>
        <v>8th, 12th &amp; 16th Floor (Part Refuge Area)</v>
      </c>
      <c r="H441" s="87"/>
      <c r="I441" s="36"/>
      <c r="N441" s="2" t="str">
        <f t="shared" ref="N441:N446" ca="1" si="127">O441&amp;""&amp;",..,"&amp;""&amp;P441</f>
        <v>801,..,1601</v>
      </c>
      <c r="O441" s="2">
        <v>801</v>
      </c>
      <c r="P441" s="2">
        <f ca="1">(SUMPRODUCT(MID(0&amp;(--TRIM(RIGHT(SUBSTITUTE(LEFT(A440,_xlfn.AGGREGATE(16,6,FIND({0,1,2,3,4,5,6,7,8,9},A440,ROW(INDIRECT("1:"&amp;LEN(A440)))),1))," ",REPT(" ",LEN(A440))),LEN(A440)))), LARGE(INDEX(ISNUMBER(--MID((--TRIM(RIGHT(SUBSTITUTE(LEFT(A440,_xlfn.AGGREGATE(16,6,FIND({0,1,2,3,4,5,6,7,8,9},A440,ROW(INDIRECT("1:"&amp;LEN(A440)))),1))," ",REPT(" ",LEN(A440))),LEN(A440)))), ROW(INDIRECT("1:"&amp;LEN((--TRIM(RIGHT(SUBSTITUTE(LEFT(A440,_xlfn.AGGREGATE(16,6,FIND({0,1,2,3,4,5,6,7,8,9},A440,ROW(INDIRECT("1:"&amp;LEN(A440)))),1))," ",REPT(" ",LEN(A440))),LEN(A440))))))), 1)) * ROW(INDIRECT("1:"&amp;LEN((--TRIM(RIGHT(SUBSTITUTE(LEFT(A440,_xlfn.AGGREGATE(16,6,FIND({0,1,2,3,4,5,6,7,8,9},A440,ROW(INDIRECT("1:"&amp;LEN(A440)))),1))," ",REPT(" ",LEN(A440))),LEN(A440))))))), 0), ROW(INDIRECT("1:"&amp;LEN((--TRIM(RIGHT(SUBSTITUTE(LEFT(A440,_xlfn.AGGREGATE(16,6,FIND({0,1,2,3,4,5,6,7,8,9},A440,ROW(INDIRECT("1:"&amp;LEN(A440)))),1))," ",REPT(" ",LEN(A440))),LEN(A440))))))))+1, 1) * 10^ROW(INDIRECT("1:"&amp;LEN((--TRIM(RIGHT(SUBSTITUTE(LEFT(A440,_xlfn.AGGREGATE(16,6,FIND({0,1,2,3,4,5,6,7,8,9},A440,ROW(INDIRECT("1:"&amp;LEN(A440)))),1))," ",REPT(" ",LEN(A440))),LEN(A440)))))))/10))*100+1</f>
        <v>1601</v>
      </c>
    </row>
    <row r="442" spans="1:16" s="2" customFormat="1" ht="15.75" customHeight="1" x14ac:dyDescent="0.25">
      <c r="A442" s="87" t="str">
        <f t="shared" ca="1" si="124"/>
        <v>802,..,1602</v>
      </c>
      <c r="B442" s="87"/>
      <c r="C442" s="19" t="s">
        <v>190</v>
      </c>
      <c r="D442" s="19">
        <f t="shared" si="125"/>
        <v>381.79907999999995</v>
      </c>
      <c r="E442" s="19">
        <v>0</v>
      </c>
      <c r="F442" s="19">
        <f t="shared" si="126"/>
        <v>572.69861999999989</v>
      </c>
      <c r="G442" s="87"/>
      <c r="H442" s="87"/>
      <c r="I442" s="36"/>
      <c r="N442" s="2" t="str">
        <f t="shared" ca="1" si="127"/>
        <v>802,..,1602</v>
      </c>
      <c r="O442" s="2">
        <f t="shared" ref="O442:P442" si="128">O441+1</f>
        <v>802</v>
      </c>
      <c r="P442" s="2">
        <f t="shared" ca="1" si="128"/>
        <v>1602</v>
      </c>
    </row>
    <row r="443" spans="1:16" s="2" customFormat="1" ht="15.75" customHeight="1" x14ac:dyDescent="0.25">
      <c r="A443" s="87" t="str">
        <f t="shared" ca="1" si="124"/>
        <v>803,..,1603</v>
      </c>
      <c r="B443" s="87"/>
      <c r="C443" s="19" t="s">
        <v>190</v>
      </c>
      <c r="D443" s="19">
        <f>((33.89)+(2.75+3.45)*0.6+(2.4*0.75))*10.764</f>
        <v>424.20923999999997</v>
      </c>
      <c r="E443" s="19">
        <v>0</v>
      </c>
      <c r="F443" s="19">
        <f t="shared" si="126"/>
        <v>636.31385999999998</v>
      </c>
      <c r="G443" s="87"/>
      <c r="H443" s="87"/>
      <c r="I443" s="36"/>
      <c r="N443" s="2" t="str">
        <f t="shared" ca="1" si="127"/>
        <v>803,..,1603</v>
      </c>
      <c r="O443" s="2">
        <f t="shared" ref="O443:P443" si="129">O442+1</f>
        <v>803</v>
      </c>
      <c r="P443" s="2">
        <f t="shared" ca="1" si="129"/>
        <v>1603</v>
      </c>
    </row>
    <row r="444" spans="1:16" s="2" customFormat="1" ht="15.75" customHeight="1" x14ac:dyDescent="0.25">
      <c r="A444" s="87" t="str">
        <f t="shared" ca="1" si="124"/>
        <v>804,..,1604</v>
      </c>
      <c r="B444" s="87"/>
      <c r="C444" s="19" t="s">
        <v>190</v>
      </c>
      <c r="D444" s="19">
        <f>((34.42)+(2.75+2.75)*0.6+(2.45*0.75))*10.764</f>
        <v>425.79692999999997</v>
      </c>
      <c r="E444" s="19">
        <v>0</v>
      </c>
      <c r="F444" s="19">
        <f t="shared" si="126"/>
        <v>638.69539499999996</v>
      </c>
      <c r="G444" s="87"/>
      <c r="H444" s="87"/>
      <c r="I444" s="36"/>
      <c r="N444" s="2" t="str">
        <f t="shared" ca="1" si="127"/>
        <v>804,..,1604</v>
      </c>
      <c r="O444" s="2">
        <f t="shared" ref="O444:P444" si="130">O443+1</f>
        <v>804</v>
      </c>
      <c r="P444" s="2">
        <f t="shared" ca="1" si="130"/>
        <v>1604</v>
      </c>
    </row>
    <row r="445" spans="1:16" s="2" customFormat="1" ht="15.75" customHeight="1" x14ac:dyDescent="0.25">
      <c r="A445" s="87" t="str">
        <f t="shared" ca="1" si="124"/>
        <v>805,..,1605</v>
      </c>
      <c r="B445" s="87"/>
      <c r="C445" s="19" t="s">
        <v>191</v>
      </c>
      <c r="D445" s="19">
        <f>((50.52)+(3.05+3.1+3.05)*0.6+(2.4*0.75))*10.764</f>
        <v>622.58975999999996</v>
      </c>
      <c r="E445" s="19">
        <v>0</v>
      </c>
      <c r="F445" s="19">
        <f t="shared" si="126"/>
        <v>933.88463999999999</v>
      </c>
      <c r="G445" s="87"/>
      <c r="H445" s="87"/>
      <c r="I445" s="36"/>
      <c r="N445" s="2" t="str">
        <f t="shared" ca="1" si="127"/>
        <v>805,..,1605</v>
      </c>
      <c r="O445" s="2">
        <f t="shared" ref="O445:P445" si="131">O444+1</f>
        <v>805</v>
      </c>
      <c r="P445" s="2">
        <f t="shared" ca="1" si="131"/>
        <v>1605</v>
      </c>
    </row>
    <row r="446" spans="1:16" s="2" customFormat="1" ht="15.75" customHeight="1" x14ac:dyDescent="0.25">
      <c r="A446" s="87" t="str">
        <f t="shared" ca="1" si="124"/>
        <v>806,..,1606</v>
      </c>
      <c r="B446" s="87"/>
      <c r="C446" s="19" t="s">
        <v>191</v>
      </c>
      <c r="D446" s="19">
        <f>((50.52)+(3.05+3.1+3.05)*0.6+(2.4*0.75))*10.764</f>
        <v>622.58975999999996</v>
      </c>
      <c r="E446" s="19">
        <v>0</v>
      </c>
      <c r="F446" s="19">
        <f t="shared" si="126"/>
        <v>933.88463999999999</v>
      </c>
      <c r="G446" s="87"/>
      <c r="H446" s="87"/>
      <c r="I446" s="36"/>
      <c r="N446" s="2" t="str">
        <f t="shared" ca="1" si="127"/>
        <v>806,..,1606</v>
      </c>
      <c r="O446" s="2">
        <f t="shared" ref="O446:P446" si="132">O445+1</f>
        <v>806</v>
      </c>
      <c r="P446" s="2">
        <f t="shared" ca="1" si="132"/>
        <v>1606</v>
      </c>
    </row>
    <row r="447" spans="1:16" s="2" customFormat="1" x14ac:dyDescent="0.25">
      <c r="A447" s="100" t="s">
        <v>219</v>
      </c>
      <c r="B447" s="100"/>
      <c r="C447" s="100"/>
      <c r="D447" s="100"/>
      <c r="E447" s="100"/>
      <c r="F447" s="100"/>
      <c r="G447" s="100"/>
      <c r="H447" s="100"/>
      <c r="I447" s="36"/>
      <c r="L447" s="101"/>
      <c r="M447" s="101"/>
    </row>
    <row r="448" spans="1:16" s="2" customFormat="1" x14ac:dyDescent="0.25">
      <c r="A448" s="87">
        <f>LEFT(A447,SUM(LEN(A447)-LEN(SUBSTITUTE(A447,{"0","1","2","3","4","5","6","7","8","9"},""))))*100+1</f>
        <v>2001</v>
      </c>
      <c r="B448" s="87"/>
      <c r="C448" s="19" t="s">
        <v>190</v>
      </c>
      <c r="D448" s="19">
        <f t="shared" ref="D448:D449" si="133">((30.37)+(2.75+2.75)*0.6+(2.4*0.75))*10.764</f>
        <v>381.79907999999995</v>
      </c>
      <c r="E448" s="19">
        <v>0</v>
      </c>
      <c r="F448" s="19">
        <f>D448*(($F$335)+1)+E448</f>
        <v>572.69861999999989</v>
      </c>
      <c r="G448" s="88" t="str">
        <f>A447</f>
        <v>20th Floor for MHADA</v>
      </c>
      <c r="H448" s="89"/>
      <c r="I448" s="36"/>
      <c r="N448" s="36"/>
    </row>
    <row r="449" spans="1:16" s="2" customFormat="1" x14ac:dyDescent="0.25">
      <c r="A449" s="87">
        <f>A448+1</f>
        <v>2002</v>
      </c>
      <c r="B449" s="87"/>
      <c r="C449" s="19" t="s">
        <v>190</v>
      </c>
      <c r="D449" s="19">
        <f t="shared" si="133"/>
        <v>381.79907999999995</v>
      </c>
      <c r="E449" s="19">
        <v>0</v>
      </c>
      <c r="F449" s="19">
        <f t="shared" ref="F449:F453" si="134">D449*(($F$335)+1)+E449</f>
        <v>572.69861999999989</v>
      </c>
      <c r="G449" s="90"/>
      <c r="H449" s="91"/>
      <c r="I449" s="36"/>
      <c r="N449" s="36"/>
    </row>
    <row r="450" spans="1:16" s="2" customFormat="1" x14ac:dyDescent="0.25">
      <c r="A450" s="87">
        <f>A449+1</f>
        <v>2003</v>
      </c>
      <c r="B450" s="87"/>
      <c r="C450" s="19" t="s">
        <v>190</v>
      </c>
      <c r="D450" s="19">
        <f>((33.89)+(2.75+3.45)*0.6+(2.4*0.75))*10.764</f>
        <v>424.20923999999997</v>
      </c>
      <c r="E450" s="19">
        <v>0</v>
      </c>
      <c r="F450" s="19">
        <f t="shared" si="134"/>
        <v>636.31385999999998</v>
      </c>
      <c r="G450" s="90"/>
      <c r="H450" s="91"/>
      <c r="I450" s="36"/>
      <c r="N450" s="36"/>
    </row>
    <row r="451" spans="1:16" s="2" customFormat="1" x14ac:dyDescent="0.25">
      <c r="A451" s="87">
        <f t="shared" ref="A451:A453" si="135">A450+1</f>
        <v>2004</v>
      </c>
      <c r="B451" s="87"/>
      <c r="C451" s="19" t="s">
        <v>190</v>
      </c>
      <c r="D451" s="19">
        <f>((34.42)+(2.75+2.75)*0.6+(2.45*0.75))*10.764</f>
        <v>425.79692999999997</v>
      </c>
      <c r="E451" s="19">
        <v>0</v>
      </c>
      <c r="F451" s="19">
        <f t="shared" si="134"/>
        <v>638.69539499999996</v>
      </c>
      <c r="G451" s="90"/>
      <c r="H451" s="91"/>
      <c r="I451" s="36"/>
      <c r="N451" s="36"/>
    </row>
    <row r="452" spans="1:16" s="2" customFormat="1" x14ac:dyDescent="0.25">
      <c r="A452" s="87">
        <f t="shared" si="135"/>
        <v>2005</v>
      </c>
      <c r="B452" s="87"/>
      <c r="C452" s="19" t="s">
        <v>191</v>
      </c>
      <c r="D452" s="19">
        <f>((50.52)+(3.05+3.1+3.05)*0.6+(2.4*0.75))*10.764</f>
        <v>622.58975999999996</v>
      </c>
      <c r="E452" s="19">
        <v>0</v>
      </c>
      <c r="F452" s="19">
        <f t="shared" si="134"/>
        <v>933.88463999999999</v>
      </c>
      <c r="G452" s="90"/>
      <c r="H452" s="91"/>
      <c r="I452" s="36"/>
      <c r="N452" s="36"/>
    </row>
    <row r="453" spans="1:16" s="2" customFormat="1" x14ac:dyDescent="0.25">
      <c r="A453" s="87">
        <f t="shared" si="135"/>
        <v>2006</v>
      </c>
      <c r="B453" s="87"/>
      <c r="C453" s="19" t="s">
        <v>191</v>
      </c>
      <c r="D453" s="19">
        <f>((50.52)+(3.05+3.1+3.05)*0.6+(2.4*0.75))*10.764</f>
        <v>622.58975999999996</v>
      </c>
      <c r="E453" s="19">
        <v>0</v>
      </c>
      <c r="F453" s="19">
        <f t="shared" si="134"/>
        <v>933.88463999999999</v>
      </c>
      <c r="G453" s="95"/>
      <c r="H453" s="96"/>
      <c r="I453" s="36"/>
      <c r="N453" s="36"/>
    </row>
    <row r="454" spans="1:16" s="2" customFormat="1" x14ac:dyDescent="0.25">
      <c r="A454" s="100" t="s">
        <v>218</v>
      </c>
      <c r="B454" s="100"/>
      <c r="C454" s="100"/>
      <c r="D454" s="100"/>
      <c r="E454" s="100"/>
      <c r="F454" s="100"/>
      <c r="G454" s="100"/>
      <c r="H454" s="100"/>
      <c r="I454" s="36"/>
    </row>
    <row r="455" spans="1:16" s="2" customFormat="1" ht="15.75" customHeight="1" x14ac:dyDescent="0.25">
      <c r="A455" s="87" t="str">
        <f t="shared" ref="A455:A460" ca="1" si="136">N455</f>
        <v>2101 &amp; 2201</v>
      </c>
      <c r="B455" s="87"/>
      <c r="C455" s="19" t="s">
        <v>190</v>
      </c>
      <c r="D455" s="19">
        <f t="shared" ref="D455:D456" si="137">((30.37)+(2.75+2.75)*0.6+(2.4*0.75))*10.764</f>
        <v>381.79907999999995</v>
      </c>
      <c r="E455" s="19">
        <v>0</v>
      </c>
      <c r="F455" s="19">
        <f t="shared" ref="F455:F460" si="138">D455*(($F$335)+1)+E455</f>
        <v>572.69861999999989</v>
      </c>
      <c r="G455" s="87" t="str">
        <f>A454</f>
        <v>21st &amp; 22nd Floor for MHADA</v>
      </c>
      <c r="H455" s="87"/>
      <c r="I455" s="36"/>
      <c r="N455" s="2" t="str">
        <f t="shared" ref="N455:N460" ca="1" si="139">O455&amp;""&amp;" &amp; "&amp;""&amp;P455</f>
        <v>2101 &amp; 2201</v>
      </c>
      <c r="O455" s="2">
        <f ca="1">(SUMPRODUCT(MID(0&amp;(LEFT(A454,SUM(LEN(A454)-LEN(SUBSTITUTE(A454,{"0","1","2"},""))))), LARGE(INDEX(ISNUMBER(--MID((LEFT(A454,SUM(LEN(A454)-LEN(SUBSTITUTE(A454,{"0","1","2"},""))))), ROW(INDIRECT("1:"&amp;LEN((LEFT(A454,SUM(LEN(A454)-LEN(SUBSTITUTE(A454,{"0","1","2"},"")))))))), 1)) * ROW(INDIRECT("1:"&amp;LEN((LEFT(A454,SUM(LEN(A454)-LEN(SUBSTITUTE(A454,{"0","1","2"},"")))))))), 0), ROW(INDIRECT("1:"&amp;LEN((LEFT(A454,SUM(LEN(A454)-LEN(SUBSTITUTE(A454,{"0","1","2"},"")))))))))+1, 1) * 10^ROW(INDIRECT("1:"&amp;LEN((LEFT(A454,SUM(LEN(A454)-LEN(SUBSTITUTE(A454,{"0","1","2"},""))))))))/10))*100+1</f>
        <v>2101</v>
      </c>
      <c r="P455" s="2">
        <f ca="1">(SUMPRODUCT(MID(0&amp;(--TRIM(RIGHT(SUBSTITUTE(LEFT(A454,_xlfn.AGGREGATE(16,6,FIND({0,1,2,3,4,5,6,7,8,9},A454,ROW(INDIRECT("1:"&amp;LEN(A454)))),1))," ",REPT(" ",LEN(A454))),LEN(A454)))), LARGE(INDEX(ISNUMBER(--MID((--TRIM(RIGHT(SUBSTITUTE(LEFT(A454,_xlfn.AGGREGATE(16,6,FIND({0,1,2,3,4,5,6,7,8,9},A454,ROW(INDIRECT("1:"&amp;LEN(A454)))),1))," ",REPT(" ",LEN(A454))),LEN(A454)))), ROW(INDIRECT("1:"&amp;LEN((--TRIM(RIGHT(SUBSTITUTE(LEFT(A454,_xlfn.AGGREGATE(16,6,FIND({0,1,2,3,4,5,6,7,8,9},A454,ROW(INDIRECT("1:"&amp;LEN(A454)))),1))," ",REPT(" ",LEN(A454))),LEN(A454))))))), 1)) * ROW(INDIRECT("1:"&amp;LEN((--TRIM(RIGHT(SUBSTITUTE(LEFT(A454,_xlfn.AGGREGATE(16,6,FIND({0,1,2,3,4,5,6,7,8,9},A454,ROW(INDIRECT("1:"&amp;LEN(A454)))),1))," ",REPT(" ",LEN(A454))),LEN(A454))))))), 0), ROW(INDIRECT("1:"&amp;LEN((--TRIM(RIGHT(SUBSTITUTE(LEFT(A454,_xlfn.AGGREGATE(16,6,FIND({0,1,2,3,4,5,6,7,8,9},A454,ROW(INDIRECT("1:"&amp;LEN(A454)))),1))," ",REPT(" ",LEN(A454))),LEN(A454))))))))+1, 1) * 10^ROW(INDIRECT("1:"&amp;LEN((--TRIM(RIGHT(SUBSTITUTE(LEFT(A454,_xlfn.AGGREGATE(16,6,FIND({0,1,2,3,4,5,6,7,8,9},A454,ROW(INDIRECT("1:"&amp;LEN(A454)))),1))," ",REPT(" ",LEN(A454))),LEN(A454)))))))/10))*100+1</f>
        <v>2201</v>
      </c>
    </row>
    <row r="456" spans="1:16" s="2" customFormat="1" ht="15.75" customHeight="1" x14ac:dyDescent="0.25">
      <c r="A456" s="87" t="str">
        <f t="shared" ca="1" si="136"/>
        <v>2102 &amp; 2202</v>
      </c>
      <c r="B456" s="87"/>
      <c r="C456" s="19" t="s">
        <v>190</v>
      </c>
      <c r="D456" s="19">
        <f t="shared" si="137"/>
        <v>381.79907999999995</v>
      </c>
      <c r="E456" s="19">
        <v>0</v>
      </c>
      <c r="F456" s="19">
        <f t="shared" si="138"/>
        <v>572.69861999999989</v>
      </c>
      <c r="G456" s="87"/>
      <c r="H456" s="87"/>
      <c r="I456" s="36"/>
      <c r="N456" s="2" t="str">
        <f t="shared" ca="1" si="139"/>
        <v>2102 &amp; 2202</v>
      </c>
      <c r="O456" s="2">
        <f t="shared" ref="O456:P456" ca="1" si="140">O455+1</f>
        <v>2102</v>
      </c>
      <c r="P456" s="2">
        <f t="shared" ca="1" si="140"/>
        <v>2202</v>
      </c>
    </row>
    <row r="457" spans="1:16" s="2" customFormat="1" ht="15.75" customHeight="1" x14ac:dyDescent="0.25">
      <c r="A457" s="87" t="str">
        <f t="shared" ca="1" si="136"/>
        <v>2103 &amp; 2203</v>
      </c>
      <c r="B457" s="87"/>
      <c r="C457" s="19" t="s">
        <v>190</v>
      </c>
      <c r="D457" s="19">
        <f>((33.89)+(2.75+3.45)*0.6+(2.4*0.75))*10.764</f>
        <v>424.20923999999997</v>
      </c>
      <c r="E457" s="19">
        <v>0</v>
      </c>
      <c r="F457" s="19">
        <f t="shared" si="138"/>
        <v>636.31385999999998</v>
      </c>
      <c r="G457" s="87"/>
      <c r="H457" s="87"/>
      <c r="I457" s="36"/>
      <c r="N457" s="2" t="str">
        <f t="shared" ca="1" si="139"/>
        <v>2103 &amp; 2203</v>
      </c>
      <c r="O457" s="2">
        <f t="shared" ref="O457:P457" ca="1" si="141">O456+1</f>
        <v>2103</v>
      </c>
      <c r="P457" s="2">
        <f t="shared" ca="1" si="141"/>
        <v>2203</v>
      </c>
    </row>
    <row r="458" spans="1:16" s="2" customFormat="1" ht="15.75" customHeight="1" x14ac:dyDescent="0.25">
      <c r="A458" s="87" t="str">
        <f t="shared" ca="1" si="136"/>
        <v>2104 &amp; 2204</v>
      </c>
      <c r="B458" s="87"/>
      <c r="C458" s="19" t="s">
        <v>191</v>
      </c>
      <c r="D458" s="19">
        <f>((45.1)+(2.75+2.75+3.05)*0.6+(2.45*0.75))*10.764</f>
        <v>560.45456999999999</v>
      </c>
      <c r="E458" s="19">
        <v>0</v>
      </c>
      <c r="F458" s="19">
        <f t="shared" si="138"/>
        <v>840.68185500000004</v>
      </c>
      <c r="G458" s="87"/>
      <c r="H458" s="87"/>
      <c r="I458" s="36"/>
      <c r="N458" s="2" t="str">
        <f t="shared" ca="1" si="139"/>
        <v>2104 &amp; 2204</v>
      </c>
      <c r="O458" s="2">
        <f t="shared" ref="O458:P458" ca="1" si="142">O457+1</f>
        <v>2104</v>
      </c>
      <c r="P458" s="2">
        <f t="shared" ca="1" si="142"/>
        <v>2204</v>
      </c>
    </row>
    <row r="459" spans="1:16" s="2" customFormat="1" ht="15.75" customHeight="1" x14ac:dyDescent="0.25">
      <c r="A459" s="87" t="str">
        <f t="shared" ca="1" si="136"/>
        <v>2105 &amp; 2205</v>
      </c>
      <c r="B459" s="87"/>
      <c r="C459" s="19" t="s">
        <v>191</v>
      </c>
      <c r="D459" s="19">
        <f>((50.52)+(3.05+3.1+3.05)*0.6+(2.4*0.75))*10.764</f>
        <v>622.58975999999996</v>
      </c>
      <c r="E459" s="19">
        <v>0</v>
      </c>
      <c r="F459" s="19">
        <f t="shared" si="138"/>
        <v>933.88463999999999</v>
      </c>
      <c r="G459" s="87"/>
      <c r="H459" s="87"/>
      <c r="I459" s="36"/>
      <c r="N459" s="2" t="str">
        <f t="shared" ca="1" si="139"/>
        <v>2105 &amp; 2205</v>
      </c>
      <c r="O459" s="2">
        <f t="shared" ref="O459:P459" ca="1" si="143">O458+1</f>
        <v>2105</v>
      </c>
      <c r="P459" s="2">
        <f t="shared" ca="1" si="143"/>
        <v>2205</v>
      </c>
    </row>
    <row r="460" spans="1:16" s="2" customFormat="1" ht="15.75" customHeight="1" x14ac:dyDescent="0.25">
      <c r="A460" s="87" t="str">
        <f t="shared" ca="1" si="136"/>
        <v>2106 &amp; 2206</v>
      </c>
      <c r="B460" s="87"/>
      <c r="C460" s="19" t="s">
        <v>191</v>
      </c>
      <c r="D460" s="19">
        <f>((50.52)+(3.05+3.1+3.05)*0.6+(2.4*0.75))*10.764</f>
        <v>622.58975999999996</v>
      </c>
      <c r="E460" s="19">
        <v>0</v>
      </c>
      <c r="F460" s="19">
        <f t="shared" si="138"/>
        <v>933.88463999999999</v>
      </c>
      <c r="G460" s="87"/>
      <c r="H460" s="87"/>
      <c r="I460" s="36"/>
      <c r="N460" s="2" t="str">
        <f t="shared" ca="1" si="139"/>
        <v>2106 &amp; 2206</v>
      </c>
      <c r="O460" s="2">
        <f t="shared" ref="O460:P460" ca="1" si="144">O459+1</f>
        <v>2106</v>
      </c>
      <c r="P460" s="2">
        <f t="shared" ca="1" si="144"/>
        <v>2206</v>
      </c>
    </row>
    <row r="461" spans="1:16" s="2" customFormat="1" x14ac:dyDescent="0.25">
      <c r="A461" s="99" t="s">
        <v>230</v>
      </c>
      <c r="B461" s="99"/>
      <c r="C461" s="99"/>
      <c r="D461" s="99"/>
      <c r="E461" s="99"/>
      <c r="F461" s="99"/>
      <c r="G461" s="99"/>
      <c r="H461" s="99"/>
      <c r="I461" s="36"/>
      <c r="L461" s="101"/>
      <c r="M461" s="101"/>
    </row>
    <row r="462" spans="1:16" s="2" customFormat="1" x14ac:dyDescent="0.25">
      <c r="A462" s="100" t="s">
        <v>318</v>
      </c>
      <c r="B462" s="100"/>
      <c r="C462" s="100"/>
      <c r="D462" s="100"/>
      <c r="E462" s="100"/>
      <c r="F462" s="100"/>
      <c r="G462" s="100"/>
      <c r="H462" s="100"/>
      <c r="I462" s="36"/>
      <c r="L462" s="101"/>
      <c r="M462" s="101"/>
    </row>
    <row r="463" spans="1:16" s="2" customFormat="1" x14ac:dyDescent="0.25">
      <c r="A463" s="87">
        <f>LEFT(A462,SUM(LEN(A462)-LEN(SUBSTITUTE(A462,{"0","1","2","3","4","5","6","7","8","9"},""))))*100+1</f>
        <v>201</v>
      </c>
      <c r="B463" s="87"/>
      <c r="C463" s="19" t="s">
        <v>190</v>
      </c>
      <c r="D463" s="19">
        <f>(34.96+1.35*3.2)*10.764</f>
        <v>422.80991999999998</v>
      </c>
      <c r="E463" s="19">
        <f>((3.85+6.05+3.05)*1.5+2.9*0.3)*10.764</f>
        <v>218.45537999999996</v>
      </c>
      <c r="F463" s="19">
        <f>D463*(($F$335)+1)+E463</f>
        <v>852.67025999999998</v>
      </c>
      <c r="G463" s="87" t="str">
        <f>A462</f>
        <v>2nd Floor for Parking and Residential</v>
      </c>
      <c r="H463" s="87"/>
      <c r="I463" s="63">
        <f>3*3.2+3.4*2.4+3.05*2.9+2*1.2+1.2*1.95+0.45*2</f>
        <v>32.244999999999997</v>
      </c>
      <c r="J463" s="2">
        <f>1.35*3.2</f>
        <v>4.32</v>
      </c>
      <c r="N463" s="36"/>
    </row>
    <row r="464" spans="1:16" s="2" customFormat="1" x14ac:dyDescent="0.25">
      <c r="A464" s="87">
        <f>A463+1</f>
        <v>202</v>
      </c>
      <c r="B464" s="87"/>
      <c r="C464" s="88" t="s">
        <v>283</v>
      </c>
      <c r="D464" s="177"/>
      <c r="E464" s="177"/>
      <c r="F464" s="89"/>
      <c r="G464" s="87"/>
      <c r="H464" s="87"/>
      <c r="I464" s="36"/>
      <c r="N464" s="36"/>
    </row>
    <row r="465" spans="1:16" s="2" customFormat="1" x14ac:dyDescent="0.25">
      <c r="A465" s="87">
        <f>A464+1</f>
        <v>203</v>
      </c>
      <c r="B465" s="87"/>
      <c r="C465" s="95"/>
      <c r="D465" s="179"/>
      <c r="E465" s="179"/>
      <c r="F465" s="96"/>
      <c r="G465" s="87"/>
      <c r="H465" s="87"/>
      <c r="I465" s="36"/>
      <c r="N465" s="36"/>
    </row>
    <row r="466" spans="1:16" s="2" customFormat="1" x14ac:dyDescent="0.25">
      <c r="A466" s="87">
        <f t="shared" ref="A466" si="145">A465+1</f>
        <v>204</v>
      </c>
      <c r="B466" s="87"/>
      <c r="C466" s="19" t="s">
        <v>191</v>
      </c>
      <c r="D466" s="19">
        <f>(55.45+1.2*3+0.6*3.05)*10.764</f>
        <v>655.31232</v>
      </c>
      <c r="E466" s="19">
        <f>(2.3*3+1.3*5.95)*10.764</f>
        <v>157.53113999999999</v>
      </c>
      <c r="F466" s="19">
        <f>D466*(($F$335)+1)+E466/2</f>
        <v>1061.73405</v>
      </c>
      <c r="G466" s="87"/>
      <c r="H466" s="87"/>
      <c r="I466" s="36"/>
      <c r="N466" s="36"/>
    </row>
    <row r="467" spans="1:16" s="2" customFormat="1" ht="15.75" customHeight="1" x14ac:dyDescent="0.25">
      <c r="A467" s="92" t="s">
        <v>282</v>
      </c>
      <c r="B467" s="93"/>
      <c r="C467" s="93"/>
      <c r="D467" s="93"/>
      <c r="E467" s="93"/>
      <c r="F467" s="93"/>
      <c r="G467" s="93"/>
      <c r="H467" s="94"/>
      <c r="I467" s="36"/>
    </row>
    <row r="468" spans="1:16" s="2" customFormat="1" ht="15.75" customHeight="1" x14ac:dyDescent="0.25">
      <c r="A468" s="97" t="str">
        <f t="shared" ref="A468:A471" ca="1" si="146">N468</f>
        <v>301,..,2201</v>
      </c>
      <c r="B468" s="98"/>
      <c r="C468" s="19" t="s">
        <v>190</v>
      </c>
      <c r="D468" s="19">
        <f>(34.96+1.35*3.2+0.75*2.4+(0.6*(3.2+2.9)))*10.764</f>
        <v>481.5813599999999</v>
      </c>
      <c r="E468" s="19">
        <v>0</v>
      </c>
      <c r="F468" s="19">
        <f>D468*(($F$335)+1)+E468</f>
        <v>722.37203999999986</v>
      </c>
      <c r="G468" s="88" t="str">
        <f>A467</f>
        <v>3rd to 7th, 9th to 11th, 13th to 15th, 17th to 19th, 21st &amp; 22nd Floor</v>
      </c>
      <c r="H468" s="89"/>
      <c r="I468" s="36"/>
      <c r="N468" s="2" t="str">
        <f t="shared" ref="N468:N471" ca="1" si="147">O468&amp;""&amp;",..,"&amp;""&amp;P468</f>
        <v>301,..,2201</v>
      </c>
      <c r="O468" s="2">
        <v>301</v>
      </c>
      <c r="P468" s="2">
        <f ca="1">(SUMPRODUCT(MID(0&amp;(--TRIM(RIGHT(SUBSTITUTE(LEFT(A467,_xlfn.AGGREGATE(16,6,FIND({0,1,2,3,4,5,6,7,8,9},A467,ROW(INDIRECT("1:"&amp;LEN(A467)))),1))," ",REPT(" ",LEN(A467))),LEN(A467)))), LARGE(INDEX(ISNUMBER(--MID((--TRIM(RIGHT(SUBSTITUTE(LEFT(A467,_xlfn.AGGREGATE(16,6,FIND({0,1,2,3,4,5,6,7,8,9},A467,ROW(INDIRECT("1:"&amp;LEN(A467)))),1))," ",REPT(" ",LEN(A467))),LEN(A467)))), ROW(INDIRECT("1:"&amp;LEN((--TRIM(RIGHT(SUBSTITUTE(LEFT(A467,_xlfn.AGGREGATE(16,6,FIND({0,1,2,3,4,5,6,7,8,9},A467,ROW(INDIRECT("1:"&amp;LEN(A467)))),1))," ",REPT(" ",LEN(A467))),LEN(A467))))))), 1)) * ROW(INDIRECT("1:"&amp;LEN((--TRIM(RIGHT(SUBSTITUTE(LEFT(A467,_xlfn.AGGREGATE(16,6,FIND({0,1,2,3,4,5,6,7,8,9},A467,ROW(INDIRECT("1:"&amp;LEN(A467)))),1))," ",REPT(" ",LEN(A467))),LEN(A467))))))), 0), ROW(INDIRECT("1:"&amp;LEN((--TRIM(RIGHT(SUBSTITUTE(LEFT(A467,_xlfn.AGGREGATE(16,6,FIND({0,1,2,3,4,5,6,7,8,9},A467,ROW(INDIRECT("1:"&amp;LEN(A467)))),1))," ",REPT(" ",LEN(A467))),LEN(A467))))))))+1, 1) * 10^ROW(INDIRECT("1:"&amp;LEN((--TRIM(RIGHT(SUBSTITUTE(LEFT(A467,_xlfn.AGGREGATE(16,6,FIND({0,1,2,3,4,5,6,7,8,9},A467,ROW(INDIRECT("1:"&amp;LEN(A467)))),1))," ",REPT(" ",LEN(A467))),LEN(A467)))))))/10))*100+1</f>
        <v>2201</v>
      </c>
    </row>
    <row r="469" spans="1:16" s="2" customFormat="1" ht="15.75" customHeight="1" x14ac:dyDescent="0.25">
      <c r="A469" s="97" t="str">
        <f t="shared" ca="1" si="146"/>
        <v>302,..,2202</v>
      </c>
      <c r="B469" s="98"/>
      <c r="C469" s="19" t="s">
        <v>190</v>
      </c>
      <c r="D469" s="19">
        <f>(34.83+1.35*3.2+0.75*2.4+(0.6*(3.2+2.9)))*10.764</f>
        <v>480.18203999999992</v>
      </c>
      <c r="E469" s="19">
        <v>0</v>
      </c>
      <c r="F469" s="19">
        <f>D469*(($F$335)+1)+E469</f>
        <v>720.27305999999987</v>
      </c>
      <c r="G469" s="90"/>
      <c r="H469" s="91"/>
      <c r="I469" s="36"/>
      <c r="N469" s="2" t="str">
        <f t="shared" ca="1" si="147"/>
        <v>302,..,2202</v>
      </c>
      <c r="O469" s="2">
        <f t="shared" ref="O469:P469" si="148">O468+1</f>
        <v>302</v>
      </c>
      <c r="P469" s="2">
        <f t="shared" ca="1" si="148"/>
        <v>2202</v>
      </c>
    </row>
    <row r="470" spans="1:16" s="2" customFormat="1" ht="15.75" customHeight="1" x14ac:dyDescent="0.25">
      <c r="A470" s="97" t="str">
        <f t="shared" ca="1" si="146"/>
        <v>303,..,2203</v>
      </c>
      <c r="B470" s="98"/>
      <c r="C470" s="19" t="s">
        <v>191</v>
      </c>
      <c r="D470" s="19">
        <f>(55.35+1.2*3+(0.6*(3+3.1+3.05))+0.75*2.4)*10.764</f>
        <v>713.00735999999995</v>
      </c>
      <c r="E470" s="19">
        <v>0</v>
      </c>
      <c r="F470" s="19">
        <f>D470*(($F$335)+1)+E470</f>
        <v>1069.5110399999999</v>
      </c>
      <c r="G470" s="90"/>
      <c r="H470" s="91"/>
      <c r="I470" s="63">
        <f>3.5*3+2.1*1.2+2.75*2.4+2*1.2*2+2.75*3.1+3.8*3.05+0.9*0.6+0.9*3.1+0.9*2.5</f>
        <v>50.114999999999995</v>
      </c>
      <c r="J470" s="2">
        <f>3*1.2</f>
        <v>3.5999999999999996</v>
      </c>
      <c r="N470" s="2" t="str">
        <f t="shared" ca="1" si="147"/>
        <v>303,..,2203</v>
      </c>
      <c r="O470" s="2">
        <f t="shared" ref="O470:P470" si="149">O469+1</f>
        <v>303</v>
      </c>
      <c r="P470" s="2">
        <f t="shared" ca="1" si="149"/>
        <v>2203</v>
      </c>
    </row>
    <row r="471" spans="1:16" s="2" customFormat="1" ht="15.75" customHeight="1" x14ac:dyDescent="0.25">
      <c r="A471" s="97" t="str">
        <f t="shared" ca="1" si="146"/>
        <v>304,..,2204</v>
      </c>
      <c r="B471" s="98"/>
      <c r="C471" s="19" t="s">
        <v>191</v>
      </c>
      <c r="D471" s="19">
        <f>(55.45+1.2*3+(0.6*(3+3.1+3.05))+0.75*2.4)*10.764</f>
        <v>714.08375999999998</v>
      </c>
      <c r="E471" s="19">
        <v>0</v>
      </c>
      <c r="F471" s="19">
        <f>D471*(($F$335)+1)+E471</f>
        <v>1071.12564</v>
      </c>
      <c r="G471" s="90"/>
      <c r="H471" s="91"/>
      <c r="I471" s="36"/>
      <c r="N471" s="2" t="str">
        <f t="shared" ca="1" si="147"/>
        <v>304,..,2204</v>
      </c>
      <c r="O471" s="2">
        <f t="shared" ref="O471:P471" si="150">O470+1</f>
        <v>304</v>
      </c>
      <c r="P471" s="2">
        <f t="shared" ca="1" si="150"/>
        <v>2204</v>
      </c>
    </row>
    <row r="472" spans="1:16" s="2" customFormat="1" ht="15.75" customHeight="1" x14ac:dyDescent="0.25">
      <c r="A472" s="92" t="s">
        <v>192</v>
      </c>
      <c r="B472" s="93"/>
      <c r="C472" s="93"/>
      <c r="D472" s="93"/>
      <c r="E472" s="93"/>
      <c r="F472" s="93"/>
      <c r="G472" s="93"/>
      <c r="H472" s="94"/>
      <c r="I472" s="36"/>
    </row>
    <row r="473" spans="1:16" s="2" customFormat="1" ht="15.75" customHeight="1" x14ac:dyDescent="0.25">
      <c r="A473" s="97" t="str">
        <f t="shared" ref="A473:A476" ca="1" si="151">N473</f>
        <v>801,..,2001</v>
      </c>
      <c r="B473" s="98"/>
      <c r="C473" s="19" t="s">
        <v>190</v>
      </c>
      <c r="D473" s="19">
        <f>(34.96+1.35*3.2+0.75*2.4+(0.6*(3.2+2.9)))*10.764</f>
        <v>481.5813599999999</v>
      </c>
      <c r="E473" s="19">
        <v>0</v>
      </c>
      <c r="F473" s="19">
        <f>D473*(($F$335)+1)+E473</f>
        <v>722.37203999999986</v>
      </c>
      <c r="G473" s="88" t="str">
        <f>A472</f>
        <v>8th, 12th, 16th &amp; 20th Floor (Part Refuge Area)</v>
      </c>
      <c r="H473" s="89"/>
      <c r="I473" s="36"/>
      <c r="N473" s="2" t="str">
        <f t="shared" ref="N473:N476" ca="1" si="152">O473&amp;""&amp;",..,"&amp;""&amp;P473</f>
        <v>801,..,2001</v>
      </c>
      <c r="O473" s="2">
        <v>801</v>
      </c>
      <c r="P473" s="2">
        <f ca="1">(SUMPRODUCT(MID(0&amp;(--TRIM(RIGHT(SUBSTITUTE(LEFT(A472,_xlfn.AGGREGATE(16,6,FIND({0,1,2,3,4,5,6,7,8,9},A472,ROW(INDIRECT("1:"&amp;LEN(A472)))),1))," ",REPT(" ",LEN(A472))),LEN(A472)))), LARGE(INDEX(ISNUMBER(--MID((--TRIM(RIGHT(SUBSTITUTE(LEFT(A472,_xlfn.AGGREGATE(16,6,FIND({0,1,2,3,4,5,6,7,8,9},A472,ROW(INDIRECT("1:"&amp;LEN(A472)))),1))," ",REPT(" ",LEN(A472))),LEN(A472)))), ROW(INDIRECT("1:"&amp;LEN((--TRIM(RIGHT(SUBSTITUTE(LEFT(A472,_xlfn.AGGREGATE(16,6,FIND({0,1,2,3,4,5,6,7,8,9},A472,ROW(INDIRECT("1:"&amp;LEN(A472)))),1))," ",REPT(" ",LEN(A472))),LEN(A472))))))), 1)) * ROW(INDIRECT("1:"&amp;LEN((--TRIM(RIGHT(SUBSTITUTE(LEFT(A472,_xlfn.AGGREGATE(16,6,FIND({0,1,2,3,4,5,6,7,8,9},A472,ROW(INDIRECT("1:"&amp;LEN(A472)))),1))," ",REPT(" ",LEN(A472))),LEN(A472))))))), 0), ROW(INDIRECT("1:"&amp;LEN((--TRIM(RIGHT(SUBSTITUTE(LEFT(A472,_xlfn.AGGREGATE(16,6,FIND({0,1,2,3,4,5,6,7,8,9},A472,ROW(INDIRECT("1:"&amp;LEN(A472)))),1))," ",REPT(" ",LEN(A472))),LEN(A472))))))))+1, 1) * 10^ROW(INDIRECT("1:"&amp;LEN((--TRIM(RIGHT(SUBSTITUTE(LEFT(A472,_xlfn.AGGREGATE(16,6,FIND({0,1,2,3,4,5,6,7,8,9},A472,ROW(INDIRECT("1:"&amp;LEN(A472)))),1))," ",REPT(" ",LEN(A472))),LEN(A472)))))))/10))*100+1</f>
        <v>2001</v>
      </c>
    </row>
    <row r="474" spans="1:16" s="2" customFormat="1" ht="15.75" customHeight="1" x14ac:dyDescent="0.25">
      <c r="A474" s="97" t="str">
        <f t="shared" ca="1" si="151"/>
        <v>802,..,2002</v>
      </c>
      <c r="B474" s="98"/>
      <c r="C474" s="19" t="s">
        <v>190</v>
      </c>
      <c r="D474" s="19">
        <f>(34.83+1.35*3.2+0.75*2.4+(0.6*(3.2+2.9)))*10.764</f>
        <v>480.18203999999992</v>
      </c>
      <c r="E474" s="19">
        <v>0</v>
      </c>
      <c r="F474" s="19">
        <f>D474*(($F$335)+1)+E474</f>
        <v>720.27305999999987</v>
      </c>
      <c r="G474" s="90"/>
      <c r="H474" s="91"/>
      <c r="I474" s="36"/>
      <c r="N474" s="2" t="str">
        <f t="shared" ca="1" si="152"/>
        <v>802,..,2002</v>
      </c>
      <c r="O474" s="2">
        <f t="shared" ref="O474:P474" si="153">O473+1</f>
        <v>802</v>
      </c>
      <c r="P474" s="2">
        <f t="shared" ca="1" si="153"/>
        <v>2002</v>
      </c>
    </row>
    <row r="475" spans="1:16" s="2" customFormat="1" ht="15.75" customHeight="1" x14ac:dyDescent="0.25">
      <c r="A475" s="97" t="str">
        <f t="shared" ca="1" si="151"/>
        <v>803,..,2003</v>
      </c>
      <c r="B475" s="98"/>
      <c r="C475" s="19" t="s">
        <v>191</v>
      </c>
      <c r="D475" s="19">
        <f>(55.35+1.2*3+(0.6*(3+3.1+3.05))+0.75*2.4)*10.764</f>
        <v>713.00735999999995</v>
      </c>
      <c r="E475" s="19">
        <v>0</v>
      </c>
      <c r="F475" s="19">
        <f>D475*(($F$335)+1)+E475</f>
        <v>1069.5110399999999</v>
      </c>
      <c r="G475" s="90"/>
      <c r="H475" s="91"/>
      <c r="I475" s="36"/>
      <c r="N475" s="2" t="str">
        <f t="shared" ca="1" si="152"/>
        <v>803,..,2003</v>
      </c>
      <c r="O475" s="2">
        <f t="shared" ref="O475:P475" si="154">O474+1</f>
        <v>803</v>
      </c>
      <c r="P475" s="2">
        <f t="shared" ca="1" si="154"/>
        <v>2003</v>
      </c>
    </row>
    <row r="476" spans="1:16" s="2" customFormat="1" ht="15.75" customHeight="1" x14ac:dyDescent="0.25">
      <c r="A476" s="97" t="str">
        <f t="shared" ca="1" si="151"/>
        <v>804,..,2004</v>
      </c>
      <c r="B476" s="98"/>
      <c r="C476" s="19" t="s">
        <v>191</v>
      </c>
      <c r="D476" s="19">
        <f>(55.45+1.2*3+(0.6*(3+3.1+3.05))+0.75*2.4)*10.764</f>
        <v>714.08375999999998</v>
      </c>
      <c r="E476" s="19">
        <v>0</v>
      </c>
      <c r="F476" s="19">
        <f>D476*(($F$335)+1)+E476</f>
        <v>1071.12564</v>
      </c>
      <c r="G476" s="90"/>
      <c r="H476" s="91"/>
      <c r="I476" s="36"/>
      <c r="N476" s="2" t="str">
        <f t="shared" ca="1" si="152"/>
        <v>804,..,2004</v>
      </c>
      <c r="O476" s="2">
        <f t="shared" ref="O476:P476" si="155">O475+1</f>
        <v>804</v>
      </c>
      <c r="P476" s="2">
        <f t="shared" ca="1" si="155"/>
        <v>2004</v>
      </c>
    </row>
    <row r="477" spans="1:16" s="2" customFormat="1" x14ac:dyDescent="0.25">
      <c r="A477" s="99" t="s">
        <v>242</v>
      </c>
      <c r="B477" s="99"/>
      <c r="C477" s="99"/>
      <c r="D477" s="99"/>
      <c r="E477" s="99"/>
      <c r="F477" s="99"/>
      <c r="G477" s="99"/>
      <c r="H477" s="99"/>
      <c r="I477" s="36"/>
      <c r="L477" s="101"/>
      <c r="M477" s="101"/>
    </row>
    <row r="478" spans="1:16" s="2" customFormat="1" x14ac:dyDescent="0.25">
      <c r="A478" s="100" t="s">
        <v>247</v>
      </c>
      <c r="B478" s="100"/>
      <c r="C478" s="100"/>
      <c r="D478" s="100"/>
      <c r="E478" s="100"/>
      <c r="F478" s="100"/>
      <c r="G478" s="100"/>
      <c r="H478" s="100"/>
      <c r="I478" s="36"/>
      <c r="J478" s="64">
        <v>10.763999999999999</v>
      </c>
      <c r="L478" s="101"/>
      <c r="M478" s="101"/>
    </row>
    <row r="479" spans="1:16" s="2" customFormat="1" x14ac:dyDescent="0.25">
      <c r="A479" s="87">
        <v>5</v>
      </c>
      <c r="B479" s="87"/>
      <c r="C479" s="19" t="s">
        <v>190</v>
      </c>
      <c r="D479" s="64">
        <f>(33.79+1.25*2.75+0.75*(2.75+2.4+2.75))*10.764</f>
        <v>464.49351000000001</v>
      </c>
      <c r="E479" s="19">
        <v>0</v>
      </c>
      <c r="F479" s="19">
        <f>D479*(($F$335)+1)+E479</f>
        <v>696.74026500000002</v>
      </c>
      <c r="G479" s="87" t="str">
        <f>A478</f>
        <v>1st Floor For Entrance Lobby, Society Office, Residential &amp; Parking</v>
      </c>
      <c r="H479" s="87"/>
      <c r="I479" s="36">
        <f>2.75*3.5+2.4*2.45+2.75*3.5+1.2*1.5+1.25*0.9+2.4*1.05</f>
        <v>30.574999999999999</v>
      </c>
      <c r="N479" s="36"/>
    </row>
    <row r="480" spans="1:16" s="2" customFormat="1" x14ac:dyDescent="0.25">
      <c r="A480" s="100" t="s">
        <v>244</v>
      </c>
      <c r="B480" s="100"/>
      <c r="C480" s="100"/>
      <c r="D480" s="100"/>
      <c r="E480" s="100"/>
      <c r="F480" s="100"/>
      <c r="G480" s="100"/>
      <c r="H480" s="100"/>
      <c r="I480" s="36"/>
      <c r="L480" s="101"/>
      <c r="M480" s="101"/>
    </row>
    <row r="481" spans="1:14" s="2" customFormat="1" x14ac:dyDescent="0.25">
      <c r="A481" s="87">
        <v>1</v>
      </c>
      <c r="B481" s="87"/>
      <c r="C481" s="19" t="s">
        <v>243</v>
      </c>
      <c r="D481" s="64">
        <f>(184.62)*10.764</f>
        <v>1987.2496799999999</v>
      </c>
      <c r="E481" s="64">
        <f>(1.5*(14.3+24))*10.764</f>
        <v>618.39179999999988</v>
      </c>
      <c r="F481" s="19">
        <f t="shared" ref="F481" si="156">D481*(($F$335)+1)+E481</f>
        <v>3599.2663199999997</v>
      </c>
      <c r="G481" s="87" t="str">
        <f>A480</f>
        <v>2nd Floor For Entrance Lobby, Residential &amp; Parking</v>
      </c>
      <c r="H481" s="87"/>
      <c r="I481" s="36"/>
      <c r="N481" s="36"/>
    </row>
    <row r="482" spans="1:14" s="2" customFormat="1" x14ac:dyDescent="0.25">
      <c r="A482" s="87">
        <v>5</v>
      </c>
      <c r="B482" s="87"/>
      <c r="C482" s="19" t="s">
        <v>190</v>
      </c>
      <c r="D482" s="64">
        <f>(33.79+1.25*2.75+0.75*(2.75+2.4+2.75))*10.764</f>
        <v>464.49351000000001</v>
      </c>
      <c r="E482" s="64">
        <v>0</v>
      </c>
      <c r="F482" s="19">
        <f t="shared" ref="F482" si="157">D482*(($F$335)+1)+E482</f>
        <v>696.74026500000002</v>
      </c>
      <c r="G482" s="87"/>
      <c r="H482" s="87"/>
      <c r="I482" s="36"/>
      <c r="N482" s="36"/>
    </row>
    <row r="483" spans="1:14" s="2" customFormat="1" x14ac:dyDescent="0.25">
      <c r="A483" s="100" t="s">
        <v>245</v>
      </c>
      <c r="B483" s="100"/>
      <c r="C483" s="100"/>
      <c r="D483" s="100"/>
      <c r="E483" s="100"/>
      <c r="F483" s="100"/>
      <c r="G483" s="100"/>
      <c r="H483" s="100"/>
      <c r="I483" s="36"/>
      <c r="L483" s="101"/>
      <c r="M483" s="101"/>
    </row>
    <row r="484" spans="1:14" s="2" customFormat="1" ht="15.75" customHeight="1" x14ac:dyDescent="0.25">
      <c r="A484" s="87">
        <v>1</v>
      </c>
      <c r="B484" s="87"/>
      <c r="C484" s="19" t="s">
        <v>190</v>
      </c>
      <c r="D484" s="64">
        <f>(36.77+1.2*2.9+0.75*(2.4)+0.6*2.9)*10.764</f>
        <v>471.35555999999997</v>
      </c>
      <c r="E484" s="64">
        <f>(1.45*2.9)*10.764</f>
        <v>45.262619999999998</v>
      </c>
      <c r="F484" s="19">
        <f t="shared" ref="F484:F485" si="158">D484*(($F$335)+1)+E484</f>
        <v>752.29595999999992</v>
      </c>
      <c r="G484" s="87" t="str">
        <f>A483</f>
        <v xml:space="preserve">3rd Floor For Residential </v>
      </c>
      <c r="H484" s="87"/>
      <c r="I484" s="36"/>
      <c r="N484" s="36"/>
    </row>
    <row r="485" spans="1:14" s="2" customFormat="1" x14ac:dyDescent="0.25">
      <c r="A485" s="87">
        <v>2</v>
      </c>
      <c r="B485" s="87"/>
      <c r="C485" s="19" t="s">
        <v>190</v>
      </c>
      <c r="D485" s="64">
        <f>(36.77+1.2*2.9+0.75*(2.4)+0.6*2.9)*10.764</f>
        <v>471.35555999999997</v>
      </c>
      <c r="E485" s="64">
        <f>(1.1*2.9)*10.764</f>
        <v>34.337159999999997</v>
      </c>
      <c r="F485" s="19">
        <f t="shared" si="158"/>
        <v>741.37049999999999</v>
      </c>
      <c r="G485" s="87"/>
      <c r="H485" s="87"/>
      <c r="I485" s="36"/>
      <c r="N485" s="36"/>
    </row>
    <row r="486" spans="1:14" s="2" customFormat="1" x14ac:dyDescent="0.25">
      <c r="A486" s="87">
        <v>3</v>
      </c>
      <c r="B486" s="87"/>
      <c r="C486" s="19" t="s">
        <v>191</v>
      </c>
      <c r="D486" s="64">
        <f>(49.3+1.35*2.75+0.75*(2.45)+0.6*(2.75+2.75))*10.764</f>
        <v>625.92659999999989</v>
      </c>
      <c r="E486" s="64">
        <f>(1.1*2.9)*10.764</f>
        <v>34.337159999999997</v>
      </c>
      <c r="F486" s="19">
        <f t="shared" ref="F486:F487" si="159">D486*(($F$335)+1)+E486</f>
        <v>973.22705999999994</v>
      </c>
      <c r="G486" s="87"/>
      <c r="H486" s="87"/>
      <c r="I486" s="36"/>
      <c r="N486" s="36"/>
    </row>
    <row r="487" spans="1:14" s="2" customFormat="1" x14ac:dyDescent="0.25">
      <c r="A487" s="87">
        <v>4</v>
      </c>
      <c r="B487" s="87"/>
      <c r="C487" s="19" t="s">
        <v>190</v>
      </c>
      <c r="D487" s="64">
        <f>(37.38+1.3*2.75+0.75*(2.4)+0.6*(3.45+2.75))*10.764</f>
        <v>500.25689999999997</v>
      </c>
      <c r="E487" s="64">
        <v>0</v>
      </c>
      <c r="F487" s="19">
        <f t="shared" si="159"/>
        <v>750.38535000000002</v>
      </c>
      <c r="G487" s="87"/>
      <c r="H487" s="87"/>
      <c r="I487" s="36"/>
      <c r="N487" s="36"/>
    </row>
    <row r="488" spans="1:14" s="2" customFormat="1" x14ac:dyDescent="0.25">
      <c r="A488" s="87">
        <v>5</v>
      </c>
      <c r="B488" s="87"/>
      <c r="C488" s="19" t="s">
        <v>190</v>
      </c>
      <c r="D488" s="64">
        <f>(33.79+1.25*2.75+0.75*(2.4)+0.6*(2.75+2.75))*10.764</f>
        <v>455.61320999999992</v>
      </c>
      <c r="E488" s="64">
        <v>0</v>
      </c>
      <c r="F488" s="19">
        <f t="shared" ref="F488:F489" si="160">D488*(($F$335)+1)+E488</f>
        <v>683.41981499999986</v>
      </c>
      <c r="G488" s="87"/>
      <c r="H488" s="87"/>
      <c r="I488" s="36"/>
      <c r="N488" s="36"/>
    </row>
    <row r="489" spans="1:14" s="2" customFormat="1" x14ac:dyDescent="0.25">
      <c r="A489" s="87">
        <v>6</v>
      </c>
      <c r="B489" s="87"/>
      <c r="C489" s="19" t="s">
        <v>190</v>
      </c>
      <c r="D489" s="64">
        <f>(33.79+1.25*2.75+0.75*(2.4)+0.6*(2.75+2.75))*10.764</f>
        <v>455.61320999999992</v>
      </c>
      <c r="E489" s="64">
        <v>0</v>
      </c>
      <c r="F489" s="19">
        <f t="shared" si="160"/>
        <v>683.41981499999986</v>
      </c>
      <c r="G489" s="87"/>
      <c r="H489" s="87"/>
      <c r="I489" s="36"/>
      <c r="N489" s="36"/>
    </row>
    <row r="490" spans="1:14" s="2" customFormat="1" x14ac:dyDescent="0.25">
      <c r="A490" s="100" t="s">
        <v>246</v>
      </c>
      <c r="B490" s="100"/>
      <c r="C490" s="100"/>
      <c r="D490" s="100"/>
      <c r="E490" s="100"/>
      <c r="F490" s="100"/>
      <c r="G490" s="100"/>
      <c r="H490" s="100"/>
      <c r="I490" s="36"/>
      <c r="L490" s="101"/>
      <c r="M490" s="101"/>
    </row>
    <row r="491" spans="1:14" s="2" customFormat="1" ht="15.75" customHeight="1" x14ac:dyDescent="0.25">
      <c r="A491" s="87">
        <v>1</v>
      </c>
      <c r="B491" s="87"/>
      <c r="C491" s="19" t="s">
        <v>190</v>
      </c>
      <c r="D491" s="64">
        <f>(36.77+1.2*2.9+0.75*(2.4)+0.6*(2.9+2.9))*10.764</f>
        <v>490.0849199999999</v>
      </c>
      <c r="E491" s="64">
        <v>0</v>
      </c>
      <c r="F491" s="19">
        <f t="shared" ref="F491:F496" si="161">D491*(($F$335)+1)+E491</f>
        <v>735.1273799999999</v>
      </c>
      <c r="G491" s="87" t="str">
        <f>A490</f>
        <v>4th to 7th, 9th to 11th, 13th to 15th, 17th to 19th, 21st &amp; 22nd Floor</v>
      </c>
      <c r="H491" s="87"/>
      <c r="I491" s="36"/>
      <c r="N491" s="36"/>
    </row>
    <row r="492" spans="1:14" s="2" customFormat="1" x14ac:dyDescent="0.25">
      <c r="A492" s="87">
        <v>2</v>
      </c>
      <c r="B492" s="87"/>
      <c r="C492" s="19" t="s">
        <v>190</v>
      </c>
      <c r="D492" s="64">
        <f>(36.77+1.2*2.9+0.75*(2.4)+0.6*(2.9+2.9))*10.764</f>
        <v>490.0849199999999</v>
      </c>
      <c r="E492" s="64">
        <v>0</v>
      </c>
      <c r="F492" s="19">
        <f t="shared" si="161"/>
        <v>735.1273799999999</v>
      </c>
      <c r="G492" s="87"/>
      <c r="H492" s="87"/>
      <c r="I492" s="36"/>
      <c r="N492" s="36"/>
    </row>
    <row r="493" spans="1:14" s="2" customFormat="1" x14ac:dyDescent="0.25">
      <c r="A493" s="87">
        <v>3</v>
      </c>
      <c r="B493" s="87"/>
      <c r="C493" s="19" t="s">
        <v>191</v>
      </c>
      <c r="D493" s="64">
        <f>(49.3+1.35*2.75+0.75*(2.45)+0.6*(3.05+2.75+2.75))*10.764</f>
        <v>645.62471999999991</v>
      </c>
      <c r="E493" s="64">
        <v>0</v>
      </c>
      <c r="F493" s="19">
        <f t="shared" si="161"/>
        <v>968.43707999999992</v>
      </c>
      <c r="G493" s="87"/>
      <c r="H493" s="87"/>
      <c r="I493" s="36"/>
      <c r="N493" s="36"/>
    </row>
    <row r="494" spans="1:14" s="2" customFormat="1" x14ac:dyDescent="0.25">
      <c r="A494" s="87">
        <v>4</v>
      </c>
      <c r="B494" s="87"/>
      <c r="C494" s="19" t="s">
        <v>190</v>
      </c>
      <c r="D494" s="64">
        <f>(37.38+1.3*2.75+0.75*(2.4)+0.6*(3.45+2.75))*10.764</f>
        <v>500.25689999999997</v>
      </c>
      <c r="E494" s="64">
        <v>0</v>
      </c>
      <c r="F494" s="19">
        <f t="shared" si="161"/>
        <v>750.38535000000002</v>
      </c>
      <c r="G494" s="87"/>
      <c r="H494" s="87"/>
      <c r="I494" s="36"/>
      <c r="N494" s="36"/>
    </row>
    <row r="495" spans="1:14" s="2" customFormat="1" x14ac:dyDescent="0.25">
      <c r="A495" s="87">
        <v>5</v>
      </c>
      <c r="B495" s="87"/>
      <c r="C495" s="19" t="s">
        <v>190</v>
      </c>
      <c r="D495" s="64">
        <f>(33.79+1.25*2.75+0.75*(2.4)+0.6*(2.75+2.75))*10.764</f>
        <v>455.61320999999992</v>
      </c>
      <c r="E495" s="64">
        <v>0</v>
      </c>
      <c r="F495" s="19">
        <f t="shared" si="161"/>
        <v>683.41981499999986</v>
      </c>
      <c r="G495" s="87"/>
      <c r="H495" s="87"/>
      <c r="I495" s="36"/>
      <c r="N495" s="36"/>
    </row>
    <row r="496" spans="1:14" s="2" customFormat="1" x14ac:dyDescent="0.25">
      <c r="A496" s="87">
        <v>6</v>
      </c>
      <c r="B496" s="87"/>
      <c r="C496" s="19" t="s">
        <v>190</v>
      </c>
      <c r="D496" s="64">
        <f>(33.79+1.25*2.75+0.75*(2.4)+0.6*(2.75+2.75))*10.764</f>
        <v>455.61320999999992</v>
      </c>
      <c r="E496" s="64">
        <v>0</v>
      </c>
      <c r="F496" s="19">
        <f t="shared" si="161"/>
        <v>683.41981499999986</v>
      </c>
      <c r="G496" s="87"/>
      <c r="H496" s="87"/>
      <c r="I496" s="36"/>
      <c r="N496" s="36"/>
    </row>
    <row r="497" spans="1:14" s="2" customFormat="1" x14ac:dyDescent="0.25">
      <c r="A497" s="100" t="s">
        <v>192</v>
      </c>
      <c r="B497" s="100"/>
      <c r="C497" s="100"/>
      <c r="D497" s="100"/>
      <c r="E497" s="100"/>
      <c r="F497" s="100"/>
      <c r="G497" s="100"/>
      <c r="H497" s="100"/>
      <c r="I497" s="36"/>
      <c r="L497" s="101"/>
      <c r="M497" s="101"/>
    </row>
    <row r="498" spans="1:14" s="2" customFormat="1" ht="15.75" customHeight="1" x14ac:dyDescent="0.25">
      <c r="A498" s="87">
        <v>1</v>
      </c>
      <c r="B498" s="87"/>
      <c r="C498" s="19" t="s">
        <v>190</v>
      </c>
      <c r="D498" s="64">
        <f>(36.77+1.2*2.9+0.75*(2.4)+0.6*(2.9+2.9))*10.764</f>
        <v>490.0849199999999</v>
      </c>
      <c r="E498" s="64">
        <v>0</v>
      </c>
      <c r="F498" s="19">
        <f t="shared" ref="F498:F503" si="162">D498*(($F$335)+1)+E498</f>
        <v>735.1273799999999</v>
      </c>
      <c r="G498" s="87" t="str">
        <f>A497</f>
        <v>8th, 12th, 16th &amp; 20th Floor (Part Refuge Area)</v>
      </c>
      <c r="H498" s="87"/>
      <c r="I498" s="36"/>
      <c r="N498" s="36"/>
    </row>
    <row r="499" spans="1:14" s="2" customFormat="1" x14ac:dyDescent="0.25">
      <c r="A499" s="87">
        <v>2</v>
      </c>
      <c r="B499" s="87"/>
      <c r="C499" s="19" t="s">
        <v>190</v>
      </c>
      <c r="D499" s="64">
        <f>(36.77+1.2*2.9+0.75*(2.4)+0.6*(2.9+2.9))*10.764</f>
        <v>490.0849199999999</v>
      </c>
      <c r="E499" s="64">
        <v>0</v>
      </c>
      <c r="F499" s="19">
        <f t="shared" si="162"/>
        <v>735.1273799999999</v>
      </c>
      <c r="G499" s="87"/>
      <c r="H499" s="87"/>
      <c r="I499" s="36"/>
      <c r="N499" s="36"/>
    </row>
    <row r="500" spans="1:14" s="2" customFormat="1" x14ac:dyDescent="0.25">
      <c r="A500" s="87">
        <v>3</v>
      </c>
      <c r="B500" s="87"/>
      <c r="C500" s="19" t="s">
        <v>190</v>
      </c>
      <c r="D500" s="64">
        <f>(33.8+1.35*2.75+0.75*(2.45)+0.6*(2.75+2.75))*10.764</f>
        <v>459.08459999999985</v>
      </c>
      <c r="E500" s="64">
        <v>0</v>
      </c>
      <c r="F500" s="19">
        <f t="shared" si="162"/>
        <v>688.62689999999975</v>
      </c>
      <c r="G500" s="87"/>
      <c r="H500" s="87"/>
      <c r="I500" s="36"/>
      <c r="N500" s="36"/>
    </row>
    <row r="501" spans="1:14" s="2" customFormat="1" x14ac:dyDescent="0.25">
      <c r="A501" s="87">
        <v>4</v>
      </c>
      <c r="B501" s="87"/>
      <c r="C501" s="19" t="s">
        <v>190</v>
      </c>
      <c r="D501" s="64">
        <f>(37.38+1.3*2.75+0.75*(2.4)+0.6*(3.45+2.75))*10.764</f>
        <v>500.25689999999997</v>
      </c>
      <c r="E501" s="64">
        <v>0</v>
      </c>
      <c r="F501" s="19">
        <f t="shared" si="162"/>
        <v>750.38535000000002</v>
      </c>
      <c r="G501" s="87"/>
      <c r="H501" s="87"/>
      <c r="I501" s="36"/>
      <c r="N501" s="36"/>
    </row>
    <row r="502" spans="1:14" s="2" customFormat="1" x14ac:dyDescent="0.25">
      <c r="A502" s="87">
        <v>5</v>
      </c>
      <c r="B502" s="87"/>
      <c r="C502" s="19" t="s">
        <v>190</v>
      </c>
      <c r="D502" s="64">
        <f>(33.79+1.25*2.75+0.75*(2.4)+0.6*(2.75+2.75))*10.764</f>
        <v>455.61320999999992</v>
      </c>
      <c r="E502" s="64">
        <v>0</v>
      </c>
      <c r="F502" s="19">
        <f t="shared" si="162"/>
        <v>683.41981499999986</v>
      </c>
      <c r="G502" s="87"/>
      <c r="H502" s="87"/>
      <c r="I502" s="36"/>
      <c r="N502" s="36"/>
    </row>
    <row r="503" spans="1:14" s="2" customFormat="1" x14ac:dyDescent="0.25">
      <c r="A503" s="87">
        <v>6</v>
      </c>
      <c r="B503" s="87"/>
      <c r="C503" s="19" t="s">
        <v>190</v>
      </c>
      <c r="D503" s="64">
        <f>(33.79+1.25*2.75+0.75*(2.4)+0.6*(2.75+2.75))*10.764</f>
        <v>455.61320999999992</v>
      </c>
      <c r="E503" s="64">
        <v>0</v>
      </c>
      <c r="F503" s="19">
        <f t="shared" si="162"/>
        <v>683.41981499999986</v>
      </c>
      <c r="G503" s="87"/>
      <c r="H503" s="87"/>
      <c r="I503" s="36"/>
      <c r="N503" s="36"/>
    </row>
    <row r="504" spans="1:14" s="2" customFormat="1" x14ac:dyDescent="0.25">
      <c r="A504" s="99" t="s">
        <v>280</v>
      </c>
      <c r="B504" s="99"/>
      <c r="C504" s="99"/>
      <c r="D504" s="99"/>
      <c r="E504" s="99"/>
      <c r="F504" s="99"/>
      <c r="G504" s="99"/>
      <c r="H504" s="99"/>
      <c r="I504" s="36"/>
      <c r="L504" s="101"/>
      <c r="M504" s="101"/>
    </row>
    <row r="505" spans="1:14" s="2" customFormat="1" x14ac:dyDescent="0.25">
      <c r="A505" s="100" t="s">
        <v>225</v>
      </c>
      <c r="B505" s="100"/>
      <c r="C505" s="100"/>
      <c r="D505" s="100"/>
      <c r="E505" s="100"/>
      <c r="F505" s="100"/>
      <c r="G505" s="100"/>
      <c r="H505" s="100"/>
      <c r="I505" s="36"/>
      <c r="J505" s="64">
        <v>10.763999999999999</v>
      </c>
      <c r="L505" s="101"/>
      <c r="M505" s="101"/>
    </row>
    <row r="506" spans="1:14" s="2" customFormat="1" x14ac:dyDescent="0.25">
      <c r="A506" s="100" t="s">
        <v>281</v>
      </c>
      <c r="B506" s="100"/>
      <c r="C506" s="100"/>
      <c r="D506" s="100"/>
      <c r="E506" s="100"/>
      <c r="F506" s="100"/>
      <c r="G506" s="100"/>
      <c r="H506" s="100"/>
      <c r="I506" s="36"/>
      <c r="L506" s="101"/>
      <c r="M506" s="101"/>
    </row>
    <row r="507" spans="1:14" s="2" customFormat="1" ht="15.75" customHeight="1" x14ac:dyDescent="0.25">
      <c r="A507" s="87">
        <v>1</v>
      </c>
      <c r="B507" s="87"/>
      <c r="C507" s="88" t="s">
        <v>283</v>
      </c>
      <c r="D507" s="177"/>
      <c r="E507" s="177"/>
      <c r="F507" s="89"/>
      <c r="G507" s="88" t="str">
        <f>A506</f>
        <v>1st Floor for Residential &amp; Parking</v>
      </c>
      <c r="H507" s="89"/>
      <c r="I507" s="36"/>
      <c r="N507" s="36"/>
    </row>
    <row r="508" spans="1:14" s="2" customFormat="1" x14ac:dyDescent="0.25">
      <c r="A508" s="87">
        <v>2</v>
      </c>
      <c r="B508" s="87"/>
      <c r="C508" s="90"/>
      <c r="D508" s="178"/>
      <c r="E508" s="178"/>
      <c r="F508" s="91"/>
      <c r="G508" s="90"/>
      <c r="H508" s="91"/>
      <c r="I508" s="36"/>
      <c r="N508" s="36"/>
    </row>
    <row r="509" spans="1:14" s="2" customFormat="1" x14ac:dyDescent="0.25">
      <c r="A509" s="87">
        <v>3</v>
      </c>
      <c r="B509" s="87"/>
      <c r="C509" s="95"/>
      <c r="D509" s="179"/>
      <c r="E509" s="179"/>
      <c r="F509" s="96"/>
      <c r="G509" s="90"/>
      <c r="H509" s="91"/>
      <c r="I509" s="36"/>
      <c r="N509" s="36"/>
    </row>
    <row r="510" spans="1:14" s="2" customFormat="1" x14ac:dyDescent="0.25">
      <c r="A510" s="87">
        <v>4</v>
      </c>
      <c r="B510" s="87"/>
      <c r="C510" s="19" t="s">
        <v>284</v>
      </c>
      <c r="D510" s="64">
        <f>(51.46+0.6*(2.9+2.9+2.9)+0.75*2.4)*10.764</f>
        <v>629.47871999999995</v>
      </c>
      <c r="E510" s="64">
        <v>0</v>
      </c>
      <c r="F510" s="19">
        <f t="shared" ref="F510:F512" si="163">D510*(($F$335)+1)+E510</f>
        <v>944.21807999999987</v>
      </c>
      <c r="G510" s="90"/>
      <c r="H510" s="91"/>
      <c r="I510" s="36">
        <f>2.9*3.65+1.35*2.1+2.4*2.75+2.9*3.65+2.9*3.05+1.95*0.45+2*1.2+0.9*2.75+1.2*2.9</f>
        <v>48.68249999999999</v>
      </c>
      <c r="N510" s="36"/>
    </row>
    <row r="511" spans="1:14" s="2" customFormat="1" x14ac:dyDescent="0.25">
      <c r="A511" s="87">
        <v>5</v>
      </c>
      <c r="B511" s="87"/>
      <c r="C511" s="19" t="s">
        <v>190</v>
      </c>
      <c r="D511" s="64">
        <f>(35.04+0.6*(2.9+2.9)+0.75*2.4)*10.764</f>
        <v>434.00447999999989</v>
      </c>
      <c r="E511" s="64">
        <v>0</v>
      </c>
      <c r="F511" s="19">
        <f>D511*(($F$335)+1)+E511</f>
        <v>651.00671999999986</v>
      </c>
      <c r="G511" s="90"/>
      <c r="H511" s="91"/>
      <c r="I511" s="36">
        <f>2.9*3.5+2.4*2.15+2.9*3.2+0.9*2.4+1.2*2.9</f>
        <v>30.229999999999997</v>
      </c>
      <c r="N511" s="36"/>
    </row>
    <row r="512" spans="1:14" s="2" customFormat="1" x14ac:dyDescent="0.25">
      <c r="A512" s="87">
        <v>6</v>
      </c>
      <c r="B512" s="87"/>
      <c r="C512" s="19" t="s">
        <v>284</v>
      </c>
      <c r="D512" s="64">
        <f>(52.74+0.6*(2.9+2.9+2.9)+0.75*2.4)*10.764</f>
        <v>643.25663999999995</v>
      </c>
      <c r="E512" s="64">
        <v>0</v>
      </c>
      <c r="F512" s="19">
        <f t="shared" si="163"/>
        <v>964.88495999999986</v>
      </c>
      <c r="G512" s="90"/>
      <c r="H512" s="91"/>
      <c r="I512" s="36"/>
      <c r="N512" s="36"/>
    </row>
    <row r="513" spans="1:14" s="2" customFormat="1" x14ac:dyDescent="0.25">
      <c r="A513" s="87">
        <v>7</v>
      </c>
      <c r="B513" s="87"/>
      <c r="C513" s="97" t="s">
        <v>283</v>
      </c>
      <c r="D513" s="134"/>
      <c r="E513" s="134"/>
      <c r="F513" s="98"/>
      <c r="G513" s="95"/>
      <c r="H513" s="96"/>
      <c r="I513" s="36"/>
      <c r="N513" s="36"/>
    </row>
    <row r="514" spans="1:14" s="2" customFormat="1" x14ac:dyDescent="0.25">
      <c r="A514" s="100" t="s">
        <v>153</v>
      </c>
      <c r="B514" s="100"/>
      <c r="C514" s="100"/>
      <c r="D514" s="100"/>
      <c r="E514" s="100"/>
      <c r="F514" s="100"/>
      <c r="G514" s="100"/>
      <c r="H514" s="100"/>
      <c r="I514" s="36"/>
      <c r="L514" s="101"/>
      <c r="M514" s="101"/>
    </row>
    <row r="515" spans="1:14" s="2" customFormat="1" ht="15.75" customHeight="1" x14ac:dyDescent="0.25">
      <c r="A515" s="87">
        <v>1</v>
      </c>
      <c r="B515" s="87"/>
      <c r="C515" s="88" t="s">
        <v>283</v>
      </c>
      <c r="D515" s="177"/>
      <c r="E515" s="177"/>
      <c r="F515" s="89"/>
      <c r="G515" s="88" t="str">
        <f>A514</f>
        <v>2nd Floor</v>
      </c>
      <c r="H515" s="89"/>
      <c r="I515" s="36"/>
      <c r="N515" s="36"/>
    </row>
    <row r="516" spans="1:14" s="2" customFormat="1" x14ac:dyDescent="0.25">
      <c r="A516" s="87">
        <v>2</v>
      </c>
      <c r="B516" s="87"/>
      <c r="C516" s="90"/>
      <c r="D516" s="178"/>
      <c r="E516" s="178"/>
      <c r="F516" s="91"/>
      <c r="G516" s="90"/>
      <c r="H516" s="91"/>
      <c r="I516" s="36"/>
      <c r="N516" s="36"/>
    </row>
    <row r="517" spans="1:14" s="2" customFormat="1" x14ac:dyDescent="0.25">
      <c r="A517" s="87">
        <v>3</v>
      </c>
      <c r="B517" s="87"/>
      <c r="C517" s="95"/>
      <c r="D517" s="179"/>
      <c r="E517" s="179"/>
      <c r="F517" s="96"/>
      <c r="G517" s="90"/>
      <c r="H517" s="91"/>
      <c r="I517" s="36"/>
      <c r="N517" s="36"/>
    </row>
    <row r="518" spans="1:14" s="2" customFormat="1" x14ac:dyDescent="0.25">
      <c r="A518" s="87">
        <v>4</v>
      </c>
      <c r="B518" s="87"/>
      <c r="C518" s="19" t="s">
        <v>284</v>
      </c>
      <c r="D518" s="64">
        <f>(51.46+0.6*(2.9+2.9+2.9)+0.75*2.4)*10.764</f>
        <v>629.47871999999995</v>
      </c>
      <c r="E518" s="64">
        <v>0</v>
      </c>
      <c r="F518" s="19">
        <f t="shared" ref="F518" si="164">D518*(($F$335)+1)+E518</f>
        <v>944.21807999999987</v>
      </c>
      <c r="G518" s="90"/>
      <c r="H518" s="91"/>
      <c r="I518" s="36"/>
      <c r="N518" s="36"/>
    </row>
    <row r="519" spans="1:14" s="2" customFormat="1" x14ac:dyDescent="0.25">
      <c r="A519" s="87">
        <v>5</v>
      </c>
      <c r="B519" s="87"/>
      <c r="C519" s="19" t="s">
        <v>190</v>
      </c>
      <c r="D519" s="64">
        <f>(35.04+0.6*(2.9+2.9)+0.75*2.4)*10.764</f>
        <v>434.00447999999989</v>
      </c>
      <c r="E519" s="64">
        <v>0</v>
      </c>
      <c r="F519" s="19">
        <f>D519*(($F$335)+1)+E519</f>
        <v>651.00671999999986</v>
      </c>
      <c r="G519" s="90"/>
      <c r="H519" s="91"/>
      <c r="I519" s="36"/>
      <c r="N519" s="36"/>
    </row>
    <row r="520" spans="1:14" s="2" customFormat="1" x14ac:dyDescent="0.25">
      <c r="A520" s="87">
        <v>6</v>
      </c>
      <c r="B520" s="87"/>
      <c r="C520" s="19" t="s">
        <v>284</v>
      </c>
      <c r="D520" s="64">
        <f>(52.74+0.6*(2.9+2.9+2.9)+0.75*2.4)*10.764</f>
        <v>643.25663999999995</v>
      </c>
      <c r="E520" s="64">
        <v>0</v>
      </c>
      <c r="F520" s="19">
        <f t="shared" ref="F520" si="165">D520*(($F$335)+1)+E520</f>
        <v>964.88495999999986</v>
      </c>
      <c r="G520" s="90"/>
      <c r="H520" s="91"/>
      <c r="I520" s="36"/>
      <c r="N520" s="36"/>
    </row>
    <row r="521" spans="1:14" s="2" customFormat="1" x14ac:dyDescent="0.25">
      <c r="A521" s="87">
        <v>7</v>
      </c>
      <c r="B521" s="87"/>
      <c r="C521" s="97" t="s">
        <v>283</v>
      </c>
      <c r="D521" s="134"/>
      <c r="E521" s="134"/>
      <c r="F521" s="98"/>
      <c r="G521" s="95"/>
      <c r="H521" s="96"/>
      <c r="I521" s="36"/>
      <c r="N521" s="36"/>
    </row>
    <row r="522" spans="1:14" s="2" customFormat="1" x14ac:dyDescent="0.25">
      <c r="A522" s="100" t="s">
        <v>282</v>
      </c>
      <c r="B522" s="100"/>
      <c r="C522" s="100"/>
      <c r="D522" s="100"/>
      <c r="E522" s="100"/>
      <c r="F522" s="100"/>
      <c r="G522" s="100"/>
      <c r="H522" s="100"/>
      <c r="I522" s="36"/>
      <c r="L522" s="101"/>
      <c r="M522" s="101"/>
    </row>
    <row r="523" spans="1:14" s="2" customFormat="1" ht="15.75" customHeight="1" x14ac:dyDescent="0.25">
      <c r="A523" s="87">
        <v>1</v>
      </c>
      <c r="B523" s="87"/>
      <c r="C523" s="19" t="s">
        <v>190</v>
      </c>
      <c r="D523" s="64">
        <f>(34.49+0.6*(2.75+2.75)+0.75*2.4)*10.764</f>
        <v>426.14675999999992</v>
      </c>
      <c r="E523" s="64">
        <v>0</v>
      </c>
      <c r="F523" s="19">
        <f t="shared" ref="F523:F537" si="166">D523*(($F$335)+1)+E523</f>
        <v>639.2201399999999</v>
      </c>
      <c r="G523" s="88" t="str">
        <f>A522</f>
        <v>3rd to 7th, 9th to 11th, 13th to 15th, 17th to 19th, 21st &amp; 22nd Floor</v>
      </c>
      <c r="H523" s="89"/>
      <c r="I523" s="36"/>
      <c r="N523" s="36"/>
    </row>
    <row r="524" spans="1:14" s="2" customFormat="1" x14ac:dyDescent="0.25">
      <c r="A524" s="87">
        <v>2</v>
      </c>
      <c r="B524" s="87"/>
      <c r="C524" s="19" t="s">
        <v>190</v>
      </c>
      <c r="D524" s="64">
        <f>(34.49+0.6*(2.75+2.75)+0.75*2.4)*10.764</f>
        <v>426.14675999999992</v>
      </c>
      <c r="E524" s="64">
        <v>0</v>
      </c>
      <c r="F524" s="19">
        <f t="shared" si="166"/>
        <v>639.2201399999999</v>
      </c>
      <c r="G524" s="90"/>
      <c r="H524" s="91"/>
      <c r="I524" s="36"/>
      <c r="N524" s="36"/>
    </row>
    <row r="525" spans="1:14" s="2" customFormat="1" x14ac:dyDescent="0.25">
      <c r="A525" s="87">
        <v>3</v>
      </c>
      <c r="B525" s="87"/>
      <c r="C525" s="19" t="s">
        <v>190</v>
      </c>
      <c r="D525" s="64">
        <f>(35.07+0.6*(2.9+2.9)+0.75*2.4)*10.764</f>
        <v>434.3273999999999</v>
      </c>
      <c r="E525" s="64">
        <v>0</v>
      </c>
      <c r="F525" s="19">
        <f t="shared" si="166"/>
        <v>651.49109999999985</v>
      </c>
      <c r="G525" s="90"/>
      <c r="H525" s="91"/>
      <c r="I525" s="36"/>
      <c r="N525" s="36"/>
    </row>
    <row r="526" spans="1:14" s="2" customFormat="1" x14ac:dyDescent="0.25">
      <c r="A526" s="87">
        <v>4</v>
      </c>
      <c r="B526" s="87"/>
      <c r="C526" s="19" t="s">
        <v>284</v>
      </c>
      <c r="D526" s="64">
        <f>(51.46+0.6*(2.9+2.9+2.9)+0.75*2.4)*10.764</f>
        <v>629.47871999999995</v>
      </c>
      <c r="E526" s="64">
        <v>0</v>
      </c>
      <c r="F526" s="19">
        <f t="shared" si="166"/>
        <v>944.21807999999987</v>
      </c>
      <c r="G526" s="90"/>
      <c r="H526" s="91"/>
      <c r="I526" s="36"/>
      <c r="N526" s="36"/>
    </row>
    <row r="527" spans="1:14" s="2" customFormat="1" x14ac:dyDescent="0.25">
      <c r="A527" s="87">
        <v>5</v>
      </c>
      <c r="B527" s="87"/>
      <c r="C527" s="19" t="s">
        <v>190</v>
      </c>
      <c r="D527" s="64">
        <f>(35.04+0.6*(2.9+2.9)+0.75*2.4)*10.764</f>
        <v>434.00447999999989</v>
      </c>
      <c r="E527" s="64">
        <v>0</v>
      </c>
      <c r="F527" s="19">
        <f t="shared" si="166"/>
        <v>651.00671999999986</v>
      </c>
      <c r="G527" s="90"/>
      <c r="H527" s="91"/>
      <c r="I527" s="36"/>
      <c r="N527" s="36"/>
    </row>
    <row r="528" spans="1:14" s="2" customFormat="1" x14ac:dyDescent="0.25">
      <c r="A528" s="87">
        <v>6</v>
      </c>
      <c r="B528" s="87"/>
      <c r="C528" s="19" t="s">
        <v>284</v>
      </c>
      <c r="D528" s="64">
        <f>(52.74+0.6*(2.9+2.9+2.9)+0.75*2.4)*10.764</f>
        <v>643.25663999999995</v>
      </c>
      <c r="E528" s="64">
        <v>0</v>
      </c>
      <c r="F528" s="19">
        <f t="shared" si="166"/>
        <v>964.88495999999986</v>
      </c>
      <c r="G528" s="90"/>
      <c r="H528" s="91"/>
      <c r="I528" s="36"/>
      <c r="N528" s="36"/>
    </row>
    <row r="529" spans="1:14" s="2" customFormat="1" x14ac:dyDescent="0.25">
      <c r="A529" s="87">
        <v>7</v>
      </c>
      <c r="B529" s="87"/>
      <c r="C529" s="19" t="s">
        <v>190</v>
      </c>
      <c r="D529" s="64">
        <f>(35.07+0.6*(2.9+2.9)+0.75*2.4)*10.764</f>
        <v>434.3273999999999</v>
      </c>
      <c r="E529" s="64">
        <v>0</v>
      </c>
      <c r="F529" s="19">
        <f t="shared" si="166"/>
        <v>651.49109999999985</v>
      </c>
      <c r="G529" s="95"/>
      <c r="H529" s="96"/>
      <c r="I529" s="36"/>
      <c r="N529" s="36"/>
    </row>
    <row r="530" spans="1:14" s="2" customFormat="1" x14ac:dyDescent="0.25">
      <c r="A530" s="100" t="s">
        <v>192</v>
      </c>
      <c r="B530" s="100"/>
      <c r="C530" s="100"/>
      <c r="D530" s="100"/>
      <c r="E530" s="100"/>
      <c r="F530" s="100"/>
      <c r="G530" s="100"/>
      <c r="H530" s="100"/>
      <c r="I530" s="36"/>
      <c r="L530" s="101"/>
      <c r="M530" s="101"/>
    </row>
    <row r="531" spans="1:14" s="2" customFormat="1" ht="15.75" customHeight="1" x14ac:dyDescent="0.25">
      <c r="A531" s="87">
        <v>1</v>
      </c>
      <c r="B531" s="87"/>
      <c r="C531" s="19" t="s">
        <v>190</v>
      </c>
      <c r="D531" s="64">
        <f>(34.49+0.6*(2.75+2.75)+0.75*2.4)*10.764</f>
        <v>426.14675999999992</v>
      </c>
      <c r="E531" s="64">
        <v>0</v>
      </c>
      <c r="F531" s="19">
        <f t="shared" si="166"/>
        <v>639.2201399999999</v>
      </c>
      <c r="G531" s="88" t="str">
        <f>A530</f>
        <v>8th, 12th, 16th &amp; 20th Floor (Part Refuge Area)</v>
      </c>
      <c r="H531" s="89"/>
      <c r="I531" s="36"/>
      <c r="N531" s="36"/>
    </row>
    <row r="532" spans="1:14" s="2" customFormat="1" x14ac:dyDescent="0.25">
      <c r="A532" s="87">
        <v>2</v>
      </c>
      <c r="B532" s="87"/>
      <c r="C532" s="19" t="s">
        <v>190</v>
      </c>
      <c r="D532" s="64">
        <f>(34.49+0.6*(2.75+2.75)+0.75*2.4)*10.764</f>
        <v>426.14675999999992</v>
      </c>
      <c r="E532" s="64">
        <v>0</v>
      </c>
      <c r="F532" s="19">
        <f t="shared" si="166"/>
        <v>639.2201399999999</v>
      </c>
      <c r="G532" s="90"/>
      <c r="H532" s="91"/>
      <c r="I532" s="36"/>
      <c r="N532" s="36"/>
    </row>
    <row r="533" spans="1:14" s="2" customFormat="1" x14ac:dyDescent="0.25">
      <c r="A533" s="87">
        <v>3</v>
      </c>
      <c r="B533" s="87"/>
      <c r="C533" s="19" t="s">
        <v>190</v>
      </c>
      <c r="D533" s="64">
        <f>(35.07+0.6*(2.9+2.9)+0.75*2.4)*10.764</f>
        <v>434.3273999999999</v>
      </c>
      <c r="E533" s="64">
        <v>0</v>
      </c>
      <c r="F533" s="19">
        <f t="shared" si="166"/>
        <v>651.49109999999985</v>
      </c>
      <c r="G533" s="90"/>
      <c r="H533" s="91"/>
      <c r="I533" s="36"/>
      <c r="N533" s="36"/>
    </row>
    <row r="534" spans="1:14" s="2" customFormat="1" x14ac:dyDescent="0.25">
      <c r="A534" s="87">
        <v>4</v>
      </c>
      <c r="B534" s="87"/>
      <c r="C534" s="19" t="s">
        <v>284</v>
      </c>
      <c r="D534" s="64">
        <f>(51.46+0.6*(2.9+2.9+2.9)+0.75*2.4)*10.764</f>
        <v>629.47871999999995</v>
      </c>
      <c r="E534" s="64">
        <v>0</v>
      </c>
      <c r="F534" s="19">
        <f t="shared" si="166"/>
        <v>944.21807999999987</v>
      </c>
      <c r="G534" s="90"/>
      <c r="H534" s="91"/>
      <c r="I534" s="36"/>
      <c r="N534" s="36"/>
    </row>
    <row r="535" spans="1:14" s="2" customFormat="1" x14ac:dyDescent="0.25">
      <c r="A535" s="87">
        <v>5</v>
      </c>
      <c r="B535" s="87"/>
      <c r="C535" s="19" t="s">
        <v>190</v>
      </c>
      <c r="D535" s="64">
        <f>(35.04+0.6*(2.9+2.9)+0.75*2.4)*10.764</f>
        <v>434.00447999999989</v>
      </c>
      <c r="E535" s="64">
        <v>0</v>
      </c>
      <c r="F535" s="19">
        <f t="shared" si="166"/>
        <v>651.00671999999986</v>
      </c>
      <c r="G535" s="90"/>
      <c r="H535" s="91"/>
      <c r="I535" s="36"/>
      <c r="N535" s="36"/>
    </row>
    <row r="536" spans="1:14" s="2" customFormat="1" x14ac:dyDescent="0.25">
      <c r="A536" s="87">
        <v>6</v>
      </c>
      <c r="B536" s="87"/>
      <c r="C536" s="19" t="s">
        <v>190</v>
      </c>
      <c r="D536" s="64">
        <f>(37.1+0.6*(2.9+2.9)+0.75*2.4)*10.764</f>
        <v>456.17831999999993</v>
      </c>
      <c r="E536" s="64">
        <v>0</v>
      </c>
      <c r="F536" s="19">
        <f t="shared" si="166"/>
        <v>684.26747999999986</v>
      </c>
      <c r="G536" s="90"/>
      <c r="H536" s="91"/>
      <c r="I536" s="36"/>
      <c r="N536" s="36"/>
    </row>
    <row r="537" spans="1:14" s="2" customFormat="1" x14ac:dyDescent="0.25">
      <c r="A537" s="87">
        <v>7</v>
      </c>
      <c r="B537" s="87"/>
      <c r="C537" s="19" t="s">
        <v>190</v>
      </c>
      <c r="D537" s="64">
        <f>(35.07+0.6*(2.9+2.9)+0.75*2.4)*10.764</f>
        <v>434.3273999999999</v>
      </c>
      <c r="E537" s="64">
        <v>0</v>
      </c>
      <c r="F537" s="19">
        <f t="shared" si="166"/>
        <v>651.49109999999985</v>
      </c>
      <c r="G537" s="95"/>
      <c r="H537" s="96"/>
      <c r="I537" s="36"/>
      <c r="N537" s="36"/>
    </row>
    <row r="538" spans="1:14" s="2" customFormat="1" x14ac:dyDescent="0.25">
      <c r="A538" s="99" t="s">
        <v>285</v>
      </c>
      <c r="B538" s="99"/>
      <c r="C538" s="99"/>
      <c r="D538" s="99"/>
      <c r="E538" s="99"/>
      <c r="F538" s="99"/>
      <c r="G538" s="99"/>
      <c r="H538" s="99"/>
      <c r="I538" s="36"/>
      <c r="J538" s="68"/>
      <c r="K538" s="68"/>
      <c r="L538" s="101"/>
      <c r="M538" s="101"/>
    </row>
    <row r="539" spans="1:14" s="2" customFormat="1" x14ac:dyDescent="0.25">
      <c r="A539" s="100" t="s">
        <v>225</v>
      </c>
      <c r="B539" s="100"/>
      <c r="C539" s="100"/>
      <c r="D539" s="100"/>
      <c r="E539" s="100"/>
      <c r="F539" s="100"/>
      <c r="G539" s="100"/>
      <c r="H539" s="100"/>
      <c r="I539" s="36"/>
      <c r="J539" s="68"/>
      <c r="K539" s="68"/>
      <c r="L539" s="101"/>
      <c r="M539" s="101"/>
    </row>
    <row r="540" spans="1:14" s="2" customFormat="1" x14ac:dyDescent="0.25">
      <c r="A540" s="100" t="s">
        <v>286</v>
      </c>
      <c r="B540" s="100"/>
      <c r="C540" s="100"/>
      <c r="D540" s="100"/>
      <c r="E540" s="100"/>
      <c r="F540" s="100"/>
      <c r="G540" s="100"/>
      <c r="H540" s="100"/>
      <c r="I540" s="36"/>
      <c r="L540" s="101"/>
      <c r="M540" s="101"/>
    </row>
    <row r="541" spans="1:14" s="2" customFormat="1" ht="15.75" customHeight="1" x14ac:dyDescent="0.25">
      <c r="A541" s="87">
        <v>1</v>
      </c>
      <c r="B541" s="87"/>
      <c r="C541" s="180" t="s">
        <v>283</v>
      </c>
      <c r="D541" s="181"/>
      <c r="E541" s="181"/>
      <c r="F541" s="182"/>
      <c r="G541" s="88" t="str">
        <f>A540</f>
        <v>1st Floor for Residential, Society Office &amp; Parking</v>
      </c>
      <c r="H541" s="89"/>
      <c r="I541" s="36"/>
      <c r="N541" s="36"/>
    </row>
    <row r="542" spans="1:14" s="2" customFormat="1" x14ac:dyDescent="0.25">
      <c r="A542" s="87">
        <v>2</v>
      </c>
      <c r="B542" s="87"/>
      <c r="C542" s="183"/>
      <c r="D542" s="184"/>
      <c r="E542" s="184"/>
      <c r="F542" s="185"/>
      <c r="G542" s="90"/>
      <c r="H542" s="91"/>
      <c r="I542" s="36"/>
      <c r="N542" s="36"/>
    </row>
    <row r="543" spans="1:14" s="2" customFormat="1" x14ac:dyDescent="0.25">
      <c r="A543" s="87">
        <v>3</v>
      </c>
      <c r="B543" s="87"/>
      <c r="C543" s="183"/>
      <c r="D543" s="184"/>
      <c r="E543" s="184"/>
      <c r="F543" s="185"/>
      <c r="G543" s="90"/>
      <c r="H543" s="91"/>
      <c r="I543" s="36"/>
      <c r="N543" s="36"/>
    </row>
    <row r="544" spans="1:14" s="2" customFormat="1" x14ac:dyDescent="0.25">
      <c r="A544" s="87">
        <v>4</v>
      </c>
      <c r="B544" s="87"/>
      <c r="C544" s="183"/>
      <c r="D544" s="184"/>
      <c r="E544" s="184"/>
      <c r="F544" s="185"/>
      <c r="G544" s="90"/>
      <c r="H544" s="91"/>
      <c r="I544" s="36"/>
      <c r="N544" s="36"/>
    </row>
    <row r="545" spans="1:14" s="2" customFormat="1" x14ac:dyDescent="0.25">
      <c r="A545" s="87">
        <v>5</v>
      </c>
      <c r="B545" s="87"/>
      <c r="C545" s="186"/>
      <c r="D545" s="187"/>
      <c r="E545" s="187"/>
      <c r="F545" s="188"/>
      <c r="G545" s="90"/>
      <c r="H545" s="91"/>
      <c r="I545" s="36"/>
      <c r="N545" s="36"/>
    </row>
    <row r="546" spans="1:14" s="2" customFormat="1" x14ac:dyDescent="0.25">
      <c r="A546" s="87">
        <v>6</v>
      </c>
      <c r="B546" s="87"/>
      <c r="C546" s="19" t="s">
        <v>191</v>
      </c>
      <c r="D546" s="64">
        <f>(42.93+1.7*2.9+1.3*2.9+1.25*2.4+1.1*2.9+0.6*(2.9+2.9+2.9)+0.75*2.4)*10.764</f>
        <v>697.93776000000003</v>
      </c>
      <c r="E546" s="64">
        <v>0</v>
      </c>
      <c r="F546" s="19">
        <f>D546*(($F$335)+1)+E546</f>
        <v>1046.9066400000002</v>
      </c>
      <c r="G546" s="90"/>
      <c r="H546" s="91"/>
      <c r="I546" s="36">
        <f>2.9*3.45+1.4*2.1+2.4*2.55+2.9*2.25+1.8*0.45+2.9*2.65+2.15*1.2+1.2*2.25</f>
        <v>39.364999999999995</v>
      </c>
      <c r="N546" s="36"/>
    </row>
    <row r="547" spans="1:14" s="2" customFormat="1" x14ac:dyDescent="0.25">
      <c r="A547" s="87">
        <v>7</v>
      </c>
      <c r="B547" s="87"/>
      <c r="C547" s="19" t="s">
        <v>191</v>
      </c>
      <c r="D547" s="64">
        <f>(42.93+1.85*2.9+1.2*(2.4+2.9)+1.3*2.9+0.6*(2.9+2.9+2.9)+0.75*2.4)*10.764</f>
        <v>704.44997999999998</v>
      </c>
      <c r="E547" s="64">
        <v>0</v>
      </c>
      <c r="F547" s="19">
        <f t="shared" ref="F547" si="167">D547*(($F$335)+1)+E547</f>
        <v>1056.67497</v>
      </c>
      <c r="G547" s="90"/>
      <c r="H547" s="91"/>
      <c r="I547" s="36"/>
      <c r="N547" s="36"/>
    </row>
    <row r="548" spans="1:14" s="2" customFormat="1" x14ac:dyDescent="0.25">
      <c r="A548" s="87">
        <v>8</v>
      </c>
      <c r="B548" s="87"/>
      <c r="C548" s="97" t="s">
        <v>287</v>
      </c>
      <c r="D548" s="134"/>
      <c r="E548" s="134"/>
      <c r="F548" s="98"/>
      <c r="G548" s="95"/>
      <c r="H548" s="96"/>
      <c r="I548" s="36"/>
      <c r="N548" s="36"/>
    </row>
    <row r="549" spans="1:14" s="2" customFormat="1" x14ac:dyDescent="0.25">
      <c r="A549" s="100" t="s">
        <v>300</v>
      </c>
      <c r="B549" s="100"/>
      <c r="C549" s="100"/>
      <c r="D549" s="100"/>
      <c r="E549" s="100"/>
      <c r="F549" s="100"/>
      <c r="G549" s="100"/>
      <c r="H549" s="100"/>
      <c r="I549" s="36"/>
      <c r="L549" s="101"/>
      <c r="M549" s="101"/>
    </row>
    <row r="550" spans="1:14" s="2" customFormat="1" ht="15.75" customHeight="1" x14ac:dyDescent="0.25">
      <c r="A550" s="87">
        <v>1</v>
      </c>
      <c r="B550" s="87"/>
      <c r="C550" s="180" t="s">
        <v>283</v>
      </c>
      <c r="D550" s="181"/>
      <c r="E550" s="181"/>
      <c r="F550" s="182"/>
      <c r="G550" s="88" t="str">
        <f>A549</f>
        <v>2nd Floor For Residential, Amenities &amp; Parking</v>
      </c>
      <c r="H550" s="89"/>
      <c r="I550" s="36"/>
      <c r="N550" s="36"/>
    </row>
    <row r="551" spans="1:14" s="2" customFormat="1" x14ac:dyDescent="0.25">
      <c r="A551" s="87">
        <v>2</v>
      </c>
      <c r="B551" s="87"/>
      <c r="C551" s="183"/>
      <c r="D551" s="184"/>
      <c r="E551" s="184"/>
      <c r="F551" s="185"/>
      <c r="G551" s="90"/>
      <c r="H551" s="91"/>
      <c r="I551" s="36"/>
      <c r="N551" s="36"/>
    </row>
    <row r="552" spans="1:14" s="2" customFormat="1" x14ac:dyDescent="0.25">
      <c r="A552" s="87">
        <v>3</v>
      </c>
      <c r="B552" s="87"/>
      <c r="C552" s="183"/>
      <c r="D552" s="184"/>
      <c r="E552" s="184"/>
      <c r="F552" s="185"/>
      <c r="G552" s="90"/>
      <c r="H552" s="91"/>
      <c r="I552" s="36"/>
      <c r="N552" s="36"/>
    </row>
    <row r="553" spans="1:14" s="2" customFormat="1" x14ac:dyDescent="0.25">
      <c r="A553" s="87">
        <v>4</v>
      </c>
      <c r="B553" s="87"/>
      <c r="C553" s="183"/>
      <c r="D553" s="184"/>
      <c r="E553" s="184"/>
      <c r="F553" s="185"/>
      <c r="G553" s="90"/>
      <c r="H553" s="91"/>
      <c r="I553" s="36"/>
      <c r="N553" s="36"/>
    </row>
    <row r="554" spans="1:14" s="2" customFormat="1" x14ac:dyDescent="0.25">
      <c r="A554" s="87">
        <v>5</v>
      </c>
      <c r="B554" s="87"/>
      <c r="C554" s="186"/>
      <c r="D554" s="187"/>
      <c r="E554" s="187"/>
      <c r="F554" s="188"/>
      <c r="G554" s="90"/>
      <c r="H554" s="91"/>
      <c r="I554" s="36"/>
      <c r="N554" s="36"/>
    </row>
    <row r="555" spans="1:14" s="2" customFormat="1" x14ac:dyDescent="0.25">
      <c r="A555" s="87">
        <v>6</v>
      </c>
      <c r="B555" s="87"/>
      <c r="C555" s="19" t="s">
        <v>191</v>
      </c>
      <c r="D555" s="64">
        <f>(42.93+1.7*2.9+1.3*2.9+1.25*2.4+1.1*2.9+0.6*(2.9+2.9+2.9)+0.75*2.4)*10.764</f>
        <v>697.93776000000003</v>
      </c>
      <c r="E555" s="64">
        <v>0</v>
      </c>
      <c r="F555" s="19">
        <f>D555*(($F$335)+1)+E555</f>
        <v>1046.9066400000002</v>
      </c>
      <c r="G555" s="90"/>
      <c r="H555" s="91"/>
      <c r="I555" s="36"/>
      <c r="N555" s="36"/>
    </row>
    <row r="556" spans="1:14" s="2" customFormat="1" x14ac:dyDescent="0.25">
      <c r="A556" s="87">
        <v>7</v>
      </c>
      <c r="B556" s="87"/>
      <c r="C556" s="19" t="s">
        <v>191</v>
      </c>
      <c r="D556" s="64">
        <f>(42.93+1.85*2.9+1.2*(2.4+2.9)+1.3*2.9+0.6*(2.9+2.9+2.9)+0.75*2.4)*10.764</f>
        <v>704.44997999999998</v>
      </c>
      <c r="E556" s="64">
        <v>0</v>
      </c>
      <c r="F556" s="19">
        <f>D556*(($F$335)+1)+E556</f>
        <v>1056.67497</v>
      </c>
      <c r="G556" s="90"/>
      <c r="H556" s="91"/>
      <c r="I556" s="36"/>
      <c r="N556" s="36"/>
    </row>
    <row r="557" spans="1:14" s="2" customFormat="1" x14ac:dyDescent="0.25">
      <c r="A557" s="87">
        <v>8</v>
      </c>
      <c r="B557" s="87"/>
      <c r="C557" s="97" t="s">
        <v>288</v>
      </c>
      <c r="D557" s="134"/>
      <c r="E557" s="134"/>
      <c r="F557" s="98"/>
      <c r="G557" s="95"/>
      <c r="H557" s="96"/>
      <c r="I557" s="36"/>
      <c r="N557" s="36"/>
    </row>
    <row r="558" spans="1:14" s="2" customFormat="1" x14ac:dyDescent="0.25">
      <c r="A558" s="191" t="s">
        <v>301</v>
      </c>
      <c r="B558" s="191"/>
      <c r="C558" s="191"/>
      <c r="D558" s="191"/>
      <c r="E558" s="191"/>
      <c r="F558" s="191"/>
      <c r="G558" s="191"/>
      <c r="H558" s="191"/>
      <c r="I558" s="36"/>
      <c r="L558" s="101"/>
      <c r="M558" s="101"/>
    </row>
    <row r="559" spans="1:14" s="2" customFormat="1" ht="15.75" customHeight="1" x14ac:dyDescent="0.25">
      <c r="A559" s="87">
        <v>1</v>
      </c>
      <c r="B559" s="87"/>
      <c r="C559" s="19" t="s">
        <v>191</v>
      </c>
      <c r="D559" s="64">
        <f>(46.9+1.9*3.05+1.3*2.4+1.3*2.9+0.6*(3.05+3.15+2.9)+0.75*2.4)*10.764</f>
        <v>719.51957999999991</v>
      </c>
      <c r="E559" s="64">
        <v>0</v>
      </c>
      <c r="F559" s="19">
        <f t="shared" ref="F559:F566" si="168">D559*(($F$335)+1)+E559</f>
        <v>1079.2793699999997</v>
      </c>
      <c r="G559" s="88" t="str">
        <f>A558</f>
        <v>3rd to 7th, 9th to 11th, 13th to 15th, 17th to 19th, 21st  &amp; 22nd Floor</v>
      </c>
      <c r="H559" s="89"/>
      <c r="I559" s="36"/>
      <c r="N559" s="36"/>
    </row>
    <row r="560" spans="1:14" s="2" customFormat="1" x14ac:dyDescent="0.25">
      <c r="A560" s="87">
        <v>2</v>
      </c>
      <c r="B560" s="87"/>
      <c r="C560" s="19" t="s">
        <v>243</v>
      </c>
      <c r="D560" s="64">
        <f>(60.84+2*2.9+1.25*2.4+1.25*2.9+1.3*2.9+0.6*(2.9+2.9+2.9+2.9)+0.75*2.4)*10.764</f>
        <v>923.49737999999979</v>
      </c>
      <c r="E560" s="64">
        <v>0</v>
      </c>
      <c r="F560" s="19">
        <f t="shared" si="168"/>
        <v>1385.2460699999997</v>
      </c>
      <c r="G560" s="90"/>
      <c r="H560" s="91"/>
      <c r="I560" s="36">
        <f>4*2.9+2.55*2.9+1.2*2.1+2.2*1.05+2.55*2.4+2.05*1.35+2.75*2.9+1*1.55+1.2*2.1+2.6*2.9+2.2*0.45+1.5*1.2</f>
        <v>55.087499999999991</v>
      </c>
      <c r="N560" s="36"/>
    </row>
    <row r="561" spans="1:14" s="2" customFormat="1" x14ac:dyDescent="0.25">
      <c r="A561" s="87">
        <v>3</v>
      </c>
      <c r="B561" s="87"/>
      <c r="C561" s="19" t="s">
        <v>243</v>
      </c>
      <c r="D561" s="64">
        <f>(57.83+1.65*2.9+1.25*2.4+1.25*2.9+1.15*2.9+0.6*(2.9+2.9+2.9+2.9)+0.75*2.4)*10.764</f>
        <v>875.48993999999971</v>
      </c>
      <c r="E561" s="64">
        <v>0</v>
      </c>
      <c r="F561" s="19">
        <f t="shared" si="168"/>
        <v>1313.2349099999997</v>
      </c>
      <c r="G561" s="90"/>
      <c r="H561" s="91"/>
      <c r="I561" s="36"/>
      <c r="N561" s="36"/>
    </row>
    <row r="562" spans="1:14" s="2" customFormat="1" x14ac:dyDescent="0.25">
      <c r="A562" s="87">
        <v>4</v>
      </c>
      <c r="B562" s="87"/>
      <c r="C562" s="19" t="s">
        <v>191</v>
      </c>
      <c r="D562" s="64">
        <f>(45.29+1.75*3.05+1.3*2.4+1.3*2.9+0.6*(3.05+3.15+2.9)+0.75*2.4)*10.764</f>
        <v>697.26500999999996</v>
      </c>
      <c r="E562" s="64">
        <v>0</v>
      </c>
      <c r="F562" s="19">
        <f t="shared" si="168"/>
        <v>1045.8975149999999</v>
      </c>
      <c r="G562" s="90"/>
      <c r="H562" s="91"/>
      <c r="I562" s="36"/>
      <c r="N562" s="36"/>
    </row>
    <row r="563" spans="1:14" s="2" customFormat="1" x14ac:dyDescent="0.25">
      <c r="A563" s="87">
        <v>5</v>
      </c>
      <c r="B563" s="87"/>
      <c r="C563" s="19" t="s">
        <v>190</v>
      </c>
      <c r="D563" s="64">
        <f>(29.96+1.5*2.9+1.15*(2.4+2.9)+0.6*(2.9+2.9)+0.75*2.4)*10.764</f>
        <v>491.75333999999992</v>
      </c>
      <c r="E563" s="64">
        <v>0</v>
      </c>
      <c r="F563" s="19">
        <f t="shared" si="168"/>
        <v>737.63000999999986</v>
      </c>
      <c r="G563" s="90"/>
      <c r="H563" s="91"/>
      <c r="I563" s="36"/>
      <c r="N563" s="36"/>
    </row>
    <row r="564" spans="1:14" s="2" customFormat="1" x14ac:dyDescent="0.25">
      <c r="A564" s="87">
        <v>6</v>
      </c>
      <c r="B564" s="87"/>
      <c r="C564" s="19" t="s">
        <v>191</v>
      </c>
      <c r="D564" s="64">
        <f>(42.93+1.7*2.9+1.25*2.4+1.3*2.9+1.1*2.9+0.6*(2.9+2.9+2.9)+0.75*2.4)*10.764</f>
        <v>697.93776000000003</v>
      </c>
      <c r="E564" s="64">
        <v>0</v>
      </c>
      <c r="F564" s="19">
        <f t="shared" si="168"/>
        <v>1046.9066400000002</v>
      </c>
      <c r="G564" s="90"/>
      <c r="H564" s="91"/>
      <c r="I564" s="36"/>
      <c r="N564" s="36"/>
    </row>
    <row r="565" spans="1:14" s="2" customFormat="1" x14ac:dyDescent="0.25">
      <c r="A565" s="87">
        <v>7</v>
      </c>
      <c r="B565" s="87"/>
      <c r="C565" s="19" t="s">
        <v>191</v>
      </c>
      <c r="D565" s="64">
        <f>(42.93+1.95*2.9+1.2*(2.4+2.9)+1.3*2.9+0.6*(2.9+2.9+2.9)+0.75*2.4)*10.764</f>
        <v>707.57153999999991</v>
      </c>
      <c r="E565" s="64">
        <v>0</v>
      </c>
      <c r="F565" s="19">
        <f t="shared" si="168"/>
        <v>1061.3573099999999</v>
      </c>
      <c r="G565" s="90"/>
      <c r="H565" s="91"/>
      <c r="I565" s="36"/>
      <c r="N565" s="36"/>
    </row>
    <row r="566" spans="1:14" s="2" customFormat="1" x14ac:dyDescent="0.25">
      <c r="A566" s="87">
        <v>8</v>
      </c>
      <c r="B566" s="87"/>
      <c r="C566" s="19" t="s">
        <v>191</v>
      </c>
      <c r="D566" s="64">
        <f>(52.55+1.6*3.05+1.15*3.05+1.25*(3.05+3.05)+0.6*(3.05+3.05+3.05)+0.75*3.05)*10.764</f>
        <v>821.72375999999986</v>
      </c>
      <c r="E566" s="64">
        <v>0</v>
      </c>
      <c r="F566" s="19">
        <f t="shared" si="168"/>
        <v>1232.5856399999998</v>
      </c>
      <c r="G566" s="95"/>
      <c r="H566" s="96"/>
      <c r="I566" s="36"/>
      <c r="N566" s="36"/>
    </row>
    <row r="567" spans="1:14" s="2" customFormat="1" x14ac:dyDescent="0.25">
      <c r="A567" s="100" t="s">
        <v>192</v>
      </c>
      <c r="B567" s="100"/>
      <c r="C567" s="100"/>
      <c r="D567" s="100"/>
      <c r="E567" s="100"/>
      <c r="F567" s="100"/>
      <c r="G567" s="100"/>
      <c r="H567" s="100"/>
      <c r="I567" s="36"/>
      <c r="L567" s="101"/>
      <c r="M567" s="101"/>
    </row>
    <row r="568" spans="1:14" s="2" customFormat="1" ht="15.75" customHeight="1" x14ac:dyDescent="0.25">
      <c r="A568" s="87">
        <v>1</v>
      </c>
      <c r="B568" s="87"/>
      <c r="C568" s="19" t="s">
        <v>191</v>
      </c>
      <c r="D568" s="64">
        <f>(46.9+1.9*3.05+1.3*2.4+1.3*2.9+0.6*(3.05+3.15+2.9)+0.75*2.4)*10.764</f>
        <v>719.51957999999991</v>
      </c>
      <c r="E568" s="64">
        <v>0</v>
      </c>
      <c r="F568" s="19">
        <f t="shared" ref="F568:F575" si="169">D568*(($F$335)+1)+E568</f>
        <v>1079.2793699999997</v>
      </c>
      <c r="G568" s="88" t="str">
        <f>A567</f>
        <v>8th, 12th, 16th &amp; 20th Floor (Part Refuge Area)</v>
      </c>
      <c r="H568" s="89"/>
      <c r="I568" s="36"/>
      <c r="N568" s="36"/>
    </row>
    <row r="569" spans="1:14" s="2" customFormat="1" x14ac:dyDescent="0.25">
      <c r="A569" s="87">
        <v>2</v>
      </c>
      <c r="B569" s="87"/>
      <c r="C569" s="19" t="s">
        <v>243</v>
      </c>
      <c r="D569" s="64">
        <f>(50.84+2*2.9+1.25*2.4+1.25*2.9+1.3*2.9+0.6*(2.9+2.9+2.9+2.9)+0.75*2.4)*10.764</f>
        <v>815.85737999999981</v>
      </c>
      <c r="E569" s="64">
        <v>0</v>
      </c>
      <c r="F569" s="19">
        <f t="shared" si="169"/>
        <v>1223.7860699999997</v>
      </c>
      <c r="G569" s="90"/>
      <c r="H569" s="91"/>
      <c r="I569" s="36"/>
      <c r="N569" s="36"/>
    </row>
    <row r="570" spans="1:14" s="2" customFormat="1" x14ac:dyDescent="0.25">
      <c r="A570" s="87">
        <v>3</v>
      </c>
      <c r="B570" s="87"/>
      <c r="C570" s="19" t="s">
        <v>243</v>
      </c>
      <c r="D570" s="64">
        <f>(57.83+1.65*2.9+1.25*2.4+1.25*2.9+1.15*2.9+0.6*(2.9+2.9+2.9+2.9)+0.75*2.4)*10.764</f>
        <v>875.48993999999971</v>
      </c>
      <c r="E570" s="64">
        <v>0</v>
      </c>
      <c r="F570" s="19">
        <f t="shared" si="169"/>
        <v>1313.2349099999997</v>
      </c>
      <c r="G570" s="90"/>
      <c r="H570" s="91"/>
      <c r="I570" s="36"/>
      <c r="N570" s="36"/>
    </row>
    <row r="571" spans="1:14" s="2" customFormat="1" x14ac:dyDescent="0.25">
      <c r="A571" s="87">
        <v>4</v>
      </c>
      <c r="B571" s="87"/>
      <c r="C571" s="19" t="s">
        <v>191</v>
      </c>
      <c r="D571" s="64">
        <f>(45.29+1.75*3.05+1.3*2.4+1.3*2.9+0.6*(3.05+3.15+2.9)+0.75*2.4)*10.764</f>
        <v>697.26500999999996</v>
      </c>
      <c r="E571" s="64">
        <v>0</v>
      </c>
      <c r="F571" s="19">
        <f t="shared" si="169"/>
        <v>1045.8975149999999</v>
      </c>
      <c r="G571" s="90"/>
      <c r="H571" s="91"/>
      <c r="I571" s="36"/>
      <c r="N571" s="36"/>
    </row>
    <row r="572" spans="1:14" s="2" customFormat="1" x14ac:dyDescent="0.25">
      <c r="A572" s="87">
        <v>5</v>
      </c>
      <c r="B572" s="87"/>
      <c r="C572" s="19" t="s">
        <v>190</v>
      </c>
      <c r="D572" s="64">
        <f>(29.96+1.5*2.9+1.15*(2.4+2.9)+0.6*(2.9+2.9)+0.75*2.4)*10.764</f>
        <v>491.75333999999992</v>
      </c>
      <c r="E572" s="64">
        <v>0</v>
      </c>
      <c r="F572" s="19">
        <f t="shared" si="169"/>
        <v>737.63000999999986</v>
      </c>
      <c r="G572" s="90"/>
      <c r="H572" s="91"/>
      <c r="I572" s="36"/>
      <c r="N572" s="36"/>
    </row>
    <row r="573" spans="1:14" s="2" customFormat="1" x14ac:dyDescent="0.25">
      <c r="A573" s="87">
        <v>6</v>
      </c>
      <c r="B573" s="87"/>
      <c r="C573" s="19" t="s">
        <v>190</v>
      </c>
      <c r="D573" s="64">
        <f>(31.36+1.7*2.9+1.25*2.4+1.1*2.9+0.6*(2.9+2.9)+0.75*2.4)*10.764</f>
        <v>514.08863999999983</v>
      </c>
      <c r="E573" s="64">
        <v>0</v>
      </c>
      <c r="F573" s="19">
        <f t="shared" si="169"/>
        <v>771.13295999999968</v>
      </c>
      <c r="G573" s="90"/>
      <c r="H573" s="91"/>
      <c r="I573" s="36"/>
      <c r="N573" s="36"/>
    </row>
    <row r="574" spans="1:14" s="2" customFormat="1" x14ac:dyDescent="0.25">
      <c r="A574" s="87">
        <v>7</v>
      </c>
      <c r="B574" s="87"/>
      <c r="C574" s="19" t="s">
        <v>190</v>
      </c>
      <c r="D574" s="64">
        <f>(35+1.95*2.9+1.2*2.4+1*2.9+0.6*(2.9+2.9)+0.75*2.4)*10.764</f>
        <v>556.66025999999988</v>
      </c>
      <c r="E574" s="64">
        <v>0</v>
      </c>
      <c r="F574" s="19">
        <f t="shared" si="169"/>
        <v>834.99038999999982</v>
      </c>
      <c r="G574" s="90"/>
      <c r="H574" s="91"/>
      <c r="I574" s="36"/>
      <c r="N574" s="36"/>
    </row>
    <row r="575" spans="1:14" s="2" customFormat="1" x14ac:dyDescent="0.25">
      <c r="A575" s="87">
        <v>8</v>
      </c>
      <c r="B575" s="87"/>
      <c r="C575" s="19" t="s">
        <v>191</v>
      </c>
      <c r="D575" s="64">
        <f>(52.55+1.6*3.05+1.15*3.05+1.25*(3.05+3.05)+0.6*(3.05+3.05+3.05)+0.75*3.05)*10.764</f>
        <v>821.72375999999986</v>
      </c>
      <c r="E575" s="64">
        <v>0</v>
      </c>
      <c r="F575" s="19">
        <f t="shared" si="169"/>
        <v>1232.5856399999998</v>
      </c>
      <c r="G575" s="95"/>
      <c r="H575" s="96"/>
      <c r="I575" s="36"/>
      <c r="N575" s="36"/>
    </row>
    <row r="576" spans="1:14" s="1" customFormat="1" x14ac:dyDescent="0.25">
      <c r="A576" s="161" t="s">
        <v>73</v>
      </c>
      <c r="B576" s="161"/>
      <c r="C576" s="161"/>
      <c r="D576" s="161"/>
      <c r="E576" s="161"/>
      <c r="F576" s="161"/>
      <c r="G576" s="161"/>
      <c r="H576" s="161"/>
      <c r="J576" s="68"/>
      <c r="K576" s="68"/>
    </row>
    <row r="577" spans="1:15" s="1" customFormat="1" ht="35.1" customHeight="1" x14ac:dyDescent="0.25">
      <c r="A577" s="62">
        <v>1</v>
      </c>
      <c r="B577" s="82" t="s">
        <v>313</v>
      </c>
      <c r="C577" s="82"/>
      <c r="D577" s="82"/>
      <c r="E577" s="82"/>
      <c r="F577" s="82"/>
      <c r="G577" s="82"/>
      <c r="H577" s="82"/>
      <c r="J577" s="68"/>
      <c r="K577" s="68"/>
    </row>
    <row r="578" spans="1:15" s="1" customFormat="1" x14ac:dyDescent="0.25">
      <c r="A578" s="62">
        <f>A577+1</f>
        <v>2</v>
      </c>
      <c r="B578" s="82" t="s">
        <v>211</v>
      </c>
      <c r="C578" s="82"/>
      <c r="D578" s="82"/>
      <c r="E578" s="82"/>
      <c r="F578" s="82"/>
      <c r="G578" s="82"/>
      <c r="H578" s="82"/>
    </row>
    <row r="579" spans="1:15" s="1" customFormat="1" x14ac:dyDescent="0.25">
      <c r="A579" s="62">
        <f t="shared" ref="A579:A589" si="170">A578+1</f>
        <v>3</v>
      </c>
      <c r="B579" s="82" t="s">
        <v>160</v>
      </c>
      <c r="C579" s="82"/>
      <c r="D579" s="82"/>
      <c r="E579" s="82"/>
      <c r="F579" s="82"/>
      <c r="G579" s="82"/>
      <c r="H579" s="82"/>
    </row>
    <row r="580" spans="1:15" s="1" customFormat="1" x14ac:dyDescent="0.25">
      <c r="A580" s="62">
        <f t="shared" si="170"/>
        <v>4</v>
      </c>
      <c r="B580" s="82" t="s">
        <v>212</v>
      </c>
      <c r="C580" s="82"/>
      <c r="D580" s="82"/>
      <c r="E580" s="82"/>
      <c r="F580" s="82"/>
      <c r="G580" s="82"/>
      <c r="H580" s="82"/>
    </row>
    <row r="581" spans="1:15" s="1" customFormat="1" x14ac:dyDescent="0.25">
      <c r="A581" s="62">
        <f t="shared" si="170"/>
        <v>5</v>
      </c>
      <c r="B581" s="82" t="s">
        <v>161</v>
      </c>
      <c r="C581" s="82"/>
      <c r="D581" s="82"/>
      <c r="E581" s="82"/>
      <c r="F581" s="82"/>
      <c r="G581" s="82"/>
      <c r="H581" s="82"/>
    </row>
    <row r="582" spans="1:15" s="1" customFormat="1" ht="31.5" customHeight="1" x14ac:dyDescent="0.25">
      <c r="A582" s="62">
        <f t="shared" si="170"/>
        <v>6</v>
      </c>
      <c r="B582" s="82" t="s">
        <v>231</v>
      </c>
      <c r="C582" s="82"/>
      <c r="D582" s="82"/>
      <c r="E582" s="82"/>
      <c r="F582" s="82"/>
      <c r="G582" s="82"/>
      <c r="H582" s="82"/>
    </row>
    <row r="583" spans="1:15" s="1" customFormat="1" x14ac:dyDescent="0.25">
      <c r="A583" s="62">
        <v>7</v>
      </c>
      <c r="B583" s="82" t="s">
        <v>162</v>
      </c>
      <c r="C583" s="82"/>
      <c r="D583" s="82"/>
      <c r="E583" s="82"/>
      <c r="F583" s="82"/>
      <c r="G583" s="82"/>
      <c r="H583" s="82"/>
    </row>
    <row r="584" spans="1:15" s="1" customFormat="1" x14ac:dyDescent="0.25">
      <c r="A584" s="62">
        <v>8</v>
      </c>
      <c r="B584" s="73" t="s">
        <v>324</v>
      </c>
      <c r="C584" s="74"/>
      <c r="D584" s="74"/>
      <c r="E584" s="74"/>
      <c r="F584" s="74"/>
      <c r="G584" s="74"/>
      <c r="H584" s="75"/>
      <c r="I584" s="73" t="s">
        <v>234</v>
      </c>
      <c r="J584" s="74"/>
      <c r="K584" s="74"/>
      <c r="L584" s="74"/>
      <c r="M584" s="74"/>
      <c r="N584" s="74"/>
      <c r="O584" s="75"/>
    </row>
    <row r="585" spans="1:15" s="1" customFormat="1" x14ac:dyDescent="0.25">
      <c r="A585" s="62">
        <f t="shared" si="170"/>
        <v>9</v>
      </c>
      <c r="B585" s="73" t="s">
        <v>261</v>
      </c>
      <c r="C585" s="74"/>
      <c r="D585" s="74"/>
      <c r="E585" s="74"/>
      <c r="F585" s="74"/>
      <c r="G585" s="74"/>
      <c r="H585" s="75"/>
    </row>
    <row r="586" spans="1:15" s="1" customFormat="1" x14ac:dyDescent="0.25">
      <c r="A586" s="62">
        <f t="shared" si="170"/>
        <v>10</v>
      </c>
      <c r="B586" s="73" t="s">
        <v>256</v>
      </c>
      <c r="C586" s="74"/>
      <c r="D586" s="74"/>
      <c r="E586" s="74"/>
      <c r="F586" s="74"/>
      <c r="G586" s="74"/>
      <c r="H586" s="75"/>
    </row>
    <row r="587" spans="1:15" s="1" customFormat="1" x14ac:dyDescent="0.25">
      <c r="A587" s="62">
        <f t="shared" si="170"/>
        <v>11</v>
      </c>
      <c r="B587" s="73" t="s">
        <v>302</v>
      </c>
      <c r="C587" s="74"/>
      <c r="D587" s="74"/>
      <c r="E587" s="74"/>
      <c r="F587" s="74"/>
      <c r="G587" s="74"/>
      <c r="H587" s="75"/>
    </row>
    <row r="588" spans="1:15" s="1" customFormat="1" ht="32.25" customHeight="1" x14ac:dyDescent="0.25">
      <c r="A588" s="62">
        <f t="shared" si="170"/>
        <v>12</v>
      </c>
      <c r="B588" s="73" t="s">
        <v>303</v>
      </c>
      <c r="C588" s="74"/>
      <c r="D588" s="74"/>
      <c r="E588" s="74"/>
      <c r="F588" s="74"/>
      <c r="G588" s="74"/>
      <c r="H588" s="75"/>
    </row>
    <row r="589" spans="1:15" s="1" customFormat="1" hidden="1" x14ac:dyDescent="0.25">
      <c r="A589" s="62">
        <f t="shared" si="170"/>
        <v>13</v>
      </c>
      <c r="B589" s="73" t="s">
        <v>234</v>
      </c>
      <c r="C589" s="74"/>
      <c r="D589" s="74"/>
      <c r="E589" s="74"/>
      <c r="F589" s="74"/>
      <c r="G589" s="74"/>
      <c r="H589" s="75"/>
    </row>
    <row r="590" spans="1:15" s="1" customFormat="1" ht="33.950000000000003" customHeight="1" x14ac:dyDescent="0.25">
      <c r="A590" s="62">
        <v>13</v>
      </c>
      <c r="B590" s="73" t="s">
        <v>298</v>
      </c>
      <c r="C590" s="74"/>
      <c r="D590" s="74"/>
      <c r="E590" s="74"/>
      <c r="F590" s="74"/>
      <c r="G590" s="74"/>
      <c r="H590" s="75"/>
    </row>
    <row r="591" spans="1:15" s="1" customFormat="1" x14ac:dyDescent="0.25">
      <c r="A591" s="62">
        <v>14</v>
      </c>
      <c r="B591" s="73" t="s">
        <v>307</v>
      </c>
      <c r="C591" s="74"/>
      <c r="D591" s="74"/>
      <c r="E591" s="74"/>
      <c r="F591" s="74"/>
      <c r="G591" s="74"/>
      <c r="H591" s="75"/>
    </row>
    <row r="592" spans="1:15" s="1" customFormat="1" x14ac:dyDescent="0.25">
      <c r="A592" s="62">
        <v>15</v>
      </c>
      <c r="B592" s="73" t="s">
        <v>308</v>
      </c>
      <c r="C592" s="74"/>
      <c r="D592" s="74"/>
      <c r="E592" s="74"/>
      <c r="F592" s="74"/>
      <c r="G592" s="74"/>
      <c r="H592" s="75"/>
    </row>
    <row r="593" spans="1:15" s="1" customFormat="1" x14ac:dyDescent="0.25">
      <c r="A593" s="62">
        <v>16</v>
      </c>
      <c r="B593" s="73" t="s">
        <v>311</v>
      </c>
      <c r="C593" s="74"/>
      <c r="D593" s="74"/>
      <c r="E593" s="74"/>
      <c r="F593" s="74"/>
      <c r="G593" s="74"/>
      <c r="H593" s="75"/>
    </row>
    <row r="594" spans="1:15" s="1" customFormat="1" x14ac:dyDescent="0.25">
      <c r="A594" s="62">
        <v>17</v>
      </c>
      <c r="B594" s="73" t="s">
        <v>323</v>
      </c>
      <c r="C594" s="74"/>
      <c r="D594" s="74"/>
      <c r="E594" s="74"/>
      <c r="F594" s="74"/>
      <c r="G594" s="74"/>
      <c r="H594" s="75"/>
      <c r="I594" s="73"/>
      <c r="J594" s="74"/>
      <c r="K594" s="74"/>
      <c r="L594" s="74"/>
      <c r="M594" s="74"/>
      <c r="N594" s="74"/>
      <c r="O594" s="75"/>
    </row>
    <row r="595" spans="1:15" x14ac:dyDescent="0.25">
      <c r="A595" s="162" t="s">
        <v>66</v>
      </c>
      <c r="B595" s="162"/>
      <c r="C595" s="162"/>
      <c r="D595" s="162"/>
      <c r="E595" s="162"/>
      <c r="F595" s="162"/>
      <c r="G595" s="162"/>
      <c r="H595" s="162"/>
    </row>
    <row r="596" spans="1:15" x14ac:dyDescent="0.25">
      <c r="A596" s="76" t="s">
        <v>67</v>
      </c>
      <c r="B596" s="76"/>
      <c r="C596" s="76"/>
      <c r="D596" s="76"/>
      <c r="E596" s="76"/>
      <c r="F596" s="76"/>
      <c r="G596" s="76"/>
      <c r="H596" s="76"/>
    </row>
    <row r="597" spans="1:15" ht="15.75" customHeight="1" x14ac:dyDescent="0.25">
      <c r="A597" s="154" t="s">
        <v>68</v>
      </c>
      <c r="B597" s="154"/>
      <c r="C597" s="154"/>
      <c r="D597" s="154"/>
      <c r="E597" s="154"/>
      <c r="F597" s="154"/>
      <c r="G597" s="154"/>
      <c r="H597" s="154"/>
    </row>
    <row r="598" spans="1:15" x14ac:dyDescent="0.25">
      <c r="A598" s="76" t="s">
        <v>69</v>
      </c>
      <c r="B598" s="76"/>
      <c r="C598" s="76"/>
      <c r="D598" s="76"/>
      <c r="E598" s="76"/>
      <c r="F598" s="76"/>
      <c r="G598" s="76"/>
      <c r="H598" s="76"/>
    </row>
    <row r="599" spans="1:15" x14ac:dyDescent="0.25">
      <c r="A599" s="76" t="s">
        <v>70</v>
      </c>
      <c r="B599" s="76"/>
      <c r="C599" s="76"/>
      <c r="D599" s="76"/>
      <c r="E599" s="76"/>
      <c r="F599" s="76"/>
      <c r="G599" s="76"/>
      <c r="H599" s="76"/>
    </row>
    <row r="600" spans="1:15" x14ac:dyDescent="0.25">
      <c r="A600" s="76" t="s">
        <v>163</v>
      </c>
      <c r="B600" s="76"/>
      <c r="C600" s="76"/>
      <c r="D600" s="76"/>
      <c r="E600" s="76"/>
      <c r="F600" s="76"/>
      <c r="G600" s="76"/>
      <c r="H600" s="76"/>
    </row>
    <row r="601" spans="1:15" ht="35.25" customHeight="1" x14ac:dyDescent="0.25">
      <c r="A601" s="144" t="s">
        <v>164</v>
      </c>
      <c r="B601" s="144"/>
      <c r="C601" s="144"/>
      <c r="D601" s="144"/>
      <c r="E601" s="144"/>
      <c r="F601" s="144"/>
      <c r="G601" s="144"/>
      <c r="H601" s="144"/>
    </row>
    <row r="602" spans="1:15" x14ac:dyDescent="0.25">
      <c r="A602" s="163" t="s">
        <v>104</v>
      </c>
      <c r="B602" s="163"/>
      <c r="C602" s="163" t="s">
        <v>262</v>
      </c>
      <c r="D602" s="163"/>
      <c r="E602" s="163" t="s">
        <v>140</v>
      </c>
      <c r="F602" s="163"/>
      <c r="G602" s="163" t="s">
        <v>267</v>
      </c>
      <c r="H602" s="163"/>
    </row>
    <row r="603" spans="1:15" x14ac:dyDescent="0.25">
      <c r="A603" s="85" t="s">
        <v>106</v>
      </c>
      <c r="B603" s="85"/>
      <c r="C603" s="85"/>
      <c r="D603" s="85"/>
      <c r="E603" s="85"/>
      <c r="F603" s="85"/>
      <c r="G603" s="85"/>
      <c r="H603" s="85"/>
    </row>
    <row r="604" spans="1:15" x14ac:dyDescent="0.25">
      <c r="A604" s="85"/>
      <c r="B604" s="85"/>
      <c r="C604" s="85"/>
      <c r="D604" s="85"/>
      <c r="E604" s="85"/>
      <c r="F604" s="85"/>
      <c r="G604" s="85"/>
      <c r="H604" s="85"/>
    </row>
    <row r="605" spans="1:15" x14ac:dyDescent="0.25">
      <c r="A605" s="85"/>
      <c r="B605" s="85"/>
      <c r="C605" s="85"/>
      <c r="D605" s="85"/>
      <c r="E605" s="85"/>
      <c r="F605" s="85"/>
      <c r="G605" s="85"/>
      <c r="H605" s="85"/>
    </row>
    <row r="606" spans="1:15" x14ac:dyDescent="0.25">
      <c r="A606" s="85"/>
      <c r="B606" s="85"/>
      <c r="C606" s="85"/>
      <c r="D606" s="85"/>
      <c r="E606" s="85"/>
      <c r="F606" s="85"/>
      <c r="G606" s="85"/>
      <c r="H606" s="85"/>
    </row>
    <row r="607" spans="1:15" x14ac:dyDescent="0.25">
      <c r="A607" s="14" t="s">
        <v>71</v>
      </c>
      <c r="B607" s="15"/>
      <c r="C607" s="15"/>
      <c r="D607" s="14" t="str">
        <f>E8</f>
        <v>Imperial Splendora</v>
      </c>
      <c r="F607" s="15"/>
      <c r="G607" s="15"/>
      <c r="H607" s="15"/>
    </row>
    <row r="608" spans="1:15" x14ac:dyDescent="0.25">
      <c r="A608" s="15"/>
      <c r="B608" s="15"/>
      <c r="C608" s="15"/>
      <c r="D608" s="15"/>
      <c r="E608" s="15"/>
      <c r="F608" s="15"/>
      <c r="G608" s="15"/>
      <c r="H608" s="15"/>
    </row>
    <row r="609" spans="1:8" x14ac:dyDescent="0.25">
      <c r="A609" s="15"/>
      <c r="B609" s="15"/>
      <c r="C609" s="15"/>
      <c r="D609" s="15"/>
      <c r="E609" s="15"/>
      <c r="F609" s="15"/>
      <c r="G609" s="15"/>
      <c r="H609" s="15"/>
    </row>
    <row r="610" spans="1:8" ht="15" customHeight="1" x14ac:dyDescent="0.25"/>
    <row r="652" spans="1:1" x14ac:dyDescent="0.25">
      <c r="A652" s="17" t="s">
        <v>264</v>
      </c>
    </row>
    <row r="685" spans="1:1" x14ac:dyDescent="0.25">
      <c r="A685" s="17" t="s">
        <v>299</v>
      </c>
    </row>
    <row r="730" spans="1:1" x14ac:dyDescent="0.25">
      <c r="A730" s="17" t="s">
        <v>72</v>
      </c>
    </row>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sheetData>
  <mergeCells count="989">
    <mergeCell ref="B594:H594"/>
    <mergeCell ref="I594:O594"/>
    <mergeCell ref="A51:H51"/>
    <mergeCell ref="A52:B52"/>
    <mergeCell ref="C52:E52"/>
    <mergeCell ref="G52:H52"/>
    <mergeCell ref="A53:B54"/>
    <mergeCell ref="C53:E53"/>
    <mergeCell ref="G53:H53"/>
    <mergeCell ref="C54:H54"/>
    <mergeCell ref="A84:B85"/>
    <mergeCell ref="C84:D85"/>
    <mergeCell ref="E84:F85"/>
    <mergeCell ref="G84:H85"/>
    <mergeCell ref="B592:H592"/>
    <mergeCell ref="B591:H591"/>
    <mergeCell ref="B590:H590"/>
    <mergeCell ref="A170:B170"/>
    <mergeCell ref="C170:H170"/>
    <mergeCell ref="A172:B172"/>
    <mergeCell ref="C172:H172"/>
    <mergeCell ref="A173:B173"/>
    <mergeCell ref="E173:F173"/>
    <mergeCell ref="G173:H173"/>
    <mergeCell ref="A174:B174"/>
    <mergeCell ref="E174:F183"/>
    <mergeCell ref="G174:H183"/>
    <mergeCell ref="A175:B175"/>
    <mergeCell ref="A176:B176"/>
    <mergeCell ref="A177:B177"/>
    <mergeCell ref="A178:B178"/>
    <mergeCell ref="A179:B179"/>
    <mergeCell ref="A180:B180"/>
    <mergeCell ref="A181:B181"/>
    <mergeCell ref="A182:B182"/>
    <mergeCell ref="A183:B183"/>
    <mergeCell ref="A567:H567"/>
    <mergeCell ref="A558:H558"/>
    <mergeCell ref="L514:M514"/>
    <mergeCell ref="G515:H521"/>
    <mergeCell ref="A521:B521"/>
    <mergeCell ref="A549:H549"/>
    <mergeCell ref="C507:F509"/>
    <mergeCell ref="A160:B160"/>
    <mergeCell ref="E160:F169"/>
    <mergeCell ref="G160:H169"/>
    <mergeCell ref="A161:B161"/>
    <mergeCell ref="A162:B162"/>
    <mergeCell ref="A163:B163"/>
    <mergeCell ref="A164:B164"/>
    <mergeCell ref="A165:B165"/>
    <mergeCell ref="A166:B166"/>
    <mergeCell ref="A167:B167"/>
    <mergeCell ref="A168:B168"/>
    <mergeCell ref="A169:B169"/>
    <mergeCell ref="A504:H504"/>
    <mergeCell ref="A486:B486"/>
    <mergeCell ref="A487:B487"/>
    <mergeCell ref="A488:B488"/>
    <mergeCell ref="A489:B489"/>
    <mergeCell ref="G484:H489"/>
    <mergeCell ref="A373:B373"/>
    <mergeCell ref="L558:M558"/>
    <mergeCell ref="A559:B559"/>
    <mergeCell ref="G559:H566"/>
    <mergeCell ref="A560:B560"/>
    <mergeCell ref="A561:B561"/>
    <mergeCell ref="A562:B562"/>
    <mergeCell ref="A563:B563"/>
    <mergeCell ref="A564:B564"/>
    <mergeCell ref="A565:B565"/>
    <mergeCell ref="A566:B566"/>
    <mergeCell ref="L567:M567"/>
    <mergeCell ref="A568:B568"/>
    <mergeCell ref="G568:H575"/>
    <mergeCell ref="A569:B569"/>
    <mergeCell ref="A570:B570"/>
    <mergeCell ref="A571:B571"/>
    <mergeCell ref="A572:B572"/>
    <mergeCell ref="A573:B573"/>
    <mergeCell ref="A574:B574"/>
    <mergeCell ref="A575:B575"/>
    <mergeCell ref="L522:M522"/>
    <mergeCell ref="L549:M549"/>
    <mergeCell ref="A550:B550"/>
    <mergeCell ref="G550:H557"/>
    <mergeCell ref="A551:B551"/>
    <mergeCell ref="A552:B552"/>
    <mergeCell ref="A553:B553"/>
    <mergeCell ref="A554:B554"/>
    <mergeCell ref="A555:B555"/>
    <mergeCell ref="A556:B556"/>
    <mergeCell ref="A557:B557"/>
    <mergeCell ref="C557:F557"/>
    <mergeCell ref="C550:F554"/>
    <mergeCell ref="A538:H538"/>
    <mergeCell ref="L538:M538"/>
    <mergeCell ref="A539:H539"/>
    <mergeCell ref="L539:M539"/>
    <mergeCell ref="A540:H540"/>
    <mergeCell ref="L540:M540"/>
    <mergeCell ref="A530:H530"/>
    <mergeCell ref="L530:M530"/>
    <mergeCell ref="A531:B531"/>
    <mergeCell ref="G531:H537"/>
    <mergeCell ref="A536:B536"/>
    <mergeCell ref="A537:B537"/>
    <mergeCell ref="A541:B541"/>
    <mergeCell ref="G541:H548"/>
    <mergeCell ref="A542:B542"/>
    <mergeCell ref="A543:B543"/>
    <mergeCell ref="A544:B544"/>
    <mergeCell ref="A545:B545"/>
    <mergeCell ref="A546:B546"/>
    <mergeCell ref="A548:B548"/>
    <mergeCell ref="A547:B547"/>
    <mergeCell ref="C548:F548"/>
    <mergeCell ref="C541:F545"/>
    <mergeCell ref="C513:F513"/>
    <mergeCell ref="C521:F521"/>
    <mergeCell ref="A159:B159"/>
    <mergeCell ref="E159:F159"/>
    <mergeCell ref="G159:H159"/>
    <mergeCell ref="A532:B532"/>
    <mergeCell ref="A533:B533"/>
    <mergeCell ref="A534:B534"/>
    <mergeCell ref="A535:B535"/>
    <mergeCell ref="A522:H522"/>
    <mergeCell ref="C464:F465"/>
    <mergeCell ref="A219:B219"/>
    <mergeCell ref="C219:D219"/>
    <mergeCell ref="E219:F219"/>
    <mergeCell ref="G219:H219"/>
    <mergeCell ref="A220:H220"/>
    <mergeCell ref="A221:B221"/>
    <mergeCell ref="C221:D221"/>
    <mergeCell ref="E221:F221"/>
    <mergeCell ref="G221:H221"/>
    <mergeCell ref="A523:B523"/>
    <mergeCell ref="G523:H529"/>
    <mergeCell ref="A524:B524"/>
    <mergeCell ref="A525:B525"/>
    <mergeCell ref="A526:B526"/>
    <mergeCell ref="A527:B527"/>
    <mergeCell ref="A528:B528"/>
    <mergeCell ref="A529:B529"/>
    <mergeCell ref="A515:B515"/>
    <mergeCell ref="A516:B516"/>
    <mergeCell ref="A517:B517"/>
    <mergeCell ref="A518:B518"/>
    <mergeCell ref="A519:B519"/>
    <mergeCell ref="A520:B520"/>
    <mergeCell ref="C515:F517"/>
    <mergeCell ref="A491:B491"/>
    <mergeCell ref="A494:B494"/>
    <mergeCell ref="A495:B495"/>
    <mergeCell ref="A496:B496"/>
    <mergeCell ref="L483:M483"/>
    <mergeCell ref="A484:B484"/>
    <mergeCell ref="A485:B485"/>
    <mergeCell ref="L480:M480"/>
    <mergeCell ref="A71:C76"/>
    <mergeCell ref="A156:B156"/>
    <mergeCell ref="C156:H156"/>
    <mergeCell ref="A158:B158"/>
    <mergeCell ref="B588:H588"/>
    <mergeCell ref="B585:H585"/>
    <mergeCell ref="A142:B142"/>
    <mergeCell ref="C142:H142"/>
    <mergeCell ref="A144:B144"/>
    <mergeCell ref="C144:H144"/>
    <mergeCell ref="A145:B145"/>
    <mergeCell ref="E145:F145"/>
    <mergeCell ref="G145:H145"/>
    <mergeCell ref="A146:B146"/>
    <mergeCell ref="E146:F155"/>
    <mergeCell ref="G146:H155"/>
    <mergeCell ref="A147:B147"/>
    <mergeCell ref="A148:B148"/>
    <mergeCell ref="A149:B149"/>
    <mergeCell ref="A150:B150"/>
    <mergeCell ref="A151:B151"/>
    <mergeCell ref="A152:B152"/>
    <mergeCell ref="A153:B153"/>
    <mergeCell ref="A154:B154"/>
    <mergeCell ref="A155:B155"/>
    <mergeCell ref="A497:H497"/>
    <mergeCell ref="A483:H483"/>
    <mergeCell ref="A505:H505"/>
    <mergeCell ref="A512:B512"/>
    <mergeCell ref="A513:B513"/>
    <mergeCell ref="A514:H514"/>
    <mergeCell ref="B581:H581"/>
    <mergeCell ref="B577:H577"/>
    <mergeCell ref="B578:H578"/>
    <mergeCell ref="B579:H579"/>
    <mergeCell ref="L504:M504"/>
    <mergeCell ref="C158:H158"/>
    <mergeCell ref="L505:M505"/>
    <mergeCell ref="A506:H506"/>
    <mergeCell ref="L506:M506"/>
    <mergeCell ref="A217:B217"/>
    <mergeCell ref="C217:D217"/>
    <mergeCell ref="E217:F217"/>
    <mergeCell ref="G217:H217"/>
    <mergeCell ref="A218:B218"/>
    <mergeCell ref="C218:D218"/>
    <mergeCell ref="E218:F218"/>
    <mergeCell ref="G218:H218"/>
    <mergeCell ref="L477:M477"/>
    <mergeCell ref="A478:H478"/>
    <mergeCell ref="L478:M478"/>
    <mergeCell ref="L490:M490"/>
    <mergeCell ref="L330:M330"/>
    <mergeCell ref="A331:B331"/>
    <mergeCell ref="L426:M426"/>
    <mergeCell ref="A394:H394"/>
    <mergeCell ref="A395:B395"/>
    <mergeCell ref="A396:B396"/>
    <mergeCell ref="A477:H477"/>
    <mergeCell ref="L331:M331"/>
    <mergeCell ref="B584:H584"/>
    <mergeCell ref="L497:M497"/>
    <mergeCell ref="A498:B498"/>
    <mergeCell ref="G498:H503"/>
    <mergeCell ref="A499:B499"/>
    <mergeCell ref="A500:B500"/>
    <mergeCell ref="A501:B501"/>
    <mergeCell ref="A502:B502"/>
    <mergeCell ref="A503:B503"/>
    <mergeCell ref="B583:H583"/>
    <mergeCell ref="I584:O584"/>
    <mergeCell ref="A507:B507"/>
    <mergeCell ref="A508:B508"/>
    <mergeCell ref="A509:B509"/>
    <mergeCell ref="A510:B510"/>
    <mergeCell ref="A511:B511"/>
    <mergeCell ref="L332:M332"/>
    <mergeCell ref="L318:M318"/>
    <mergeCell ref="A319:B319"/>
    <mergeCell ref="L319:M319"/>
    <mergeCell ref="A320:B320"/>
    <mergeCell ref="A322:B322"/>
    <mergeCell ref="L322:M322"/>
    <mergeCell ref="A323:B323"/>
    <mergeCell ref="G481:H482"/>
    <mergeCell ref="L323:M323"/>
    <mergeCell ref="A324:B324"/>
    <mergeCell ref="L324:M324"/>
    <mergeCell ref="A325:B325"/>
    <mergeCell ref="L325:M325"/>
    <mergeCell ref="G318:H325"/>
    <mergeCell ref="A326:H326"/>
    <mergeCell ref="A327:B327"/>
    <mergeCell ref="G327:H332"/>
    <mergeCell ref="L327:M327"/>
    <mergeCell ref="A328:B328"/>
    <mergeCell ref="L328:M328"/>
    <mergeCell ref="A329:B329"/>
    <mergeCell ref="L329:M329"/>
    <mergeCell ref="A330:B330"/>
    <mergeCell ref="A48:B49"/>
    <mergeCell ref="C48:E48"/>
    <mergeCell ref="G48:H48"/>
    <mergeCell ref="C49:H49"/>
    <mergeCell ref="D73:H73"/>
    <mergeCell ref="A316:H316"/>
    <mergeCell ref="A317:H317"/>
    <mergeCell ref="A318:B318"/>
    <mergeCell ref="A207:B207"/>
    <mergeCell ref="C207:D207"/>
    <mergeCell ref="E207:F207"/>
    <mergeCell ref="G207:H207"/>
    <mergeCell ref="A216:B216"/>
    <mergeCell ref="C216:D216"/>
    <mergeCell ref="E216:F216"/>
    <mergeCell ref="G216:H216"/>
    <mergeCell ref="A130:B130"/>
    <mergeCell ref="C130:H130"/>
    <mergeCell ref="A131:B131"/>
    <mergeCell ref="A89:B89"/>
    <mergeCell ref="A92:B92"/>
    <mergeCell ref="A91:B91"/>
    <mergeCell ref="A103:B103"/>
    <mergeCell ref="E103:F103"/>
    <mergeCell ref="G103:H103"/>
    <mergeCell ref="A112:B112"/>
    <mergeCell ref="L320:M320"/>
    <mergeCell ref="A321:B321"/>
    <mergeCell ref="L321:M321"/>
    <mergeCell ref="A136:B136"/>
    <mergeCell ref="A137:B137"/>
    <mergeCell ref="A138:B138"/>
    <mergeCell ref="A139:B139"/>
    <mergeCell ref="A140:B140"/>
    <mergeCell ref="A141:B141"/>
    <mergeCell ref="A263:B263"/>
    <mergeCell ref="A272:B272"/>
    <mergeCell ref="A278:H278"/>
    <mergeCell ref="A279:H279"/>
    <mergeCell ref="G234:H243"/>
    <mergeCell ref="A239:B239"/>
    <mergeCell ref="A240:B240"/>
    <mergeCell ref="A234:B234"/>
    <mergeCell ref="A235:B235"/>
    <mergeCell ref="A236:B236"/>
    <mergeCell ref="A237:B237"/>
    <mergeCell ref="A238:B238"/>
    <mergeCell ref="A233:H233"/>
    <mergeCell ref="A98:B98"/>
    <mergeCell ref="A99:B99"/>
    <mergeCell ref="A97:B97"/>
    <mergeCell ref="A231:H231"/>
    <mergeCell ref="A222:B222"/>
    <mergeCell ref="C222:D222"/>
    <mergeCell ref="E222:F222"/>
    <mergeCell ref="G222:H222"/>
    <mergeCell ref="A223:B223"/>
    <mergeCell ref="C223:D223"/>
    <mergeCell ref="E223:F223"/>
    <mergeCell ref="G223:H223"/>
    <mergeCell ref="A225:B225"/>
    <mergeCell ref="C225:D225"/>
    <mergeCell ref="E225:F225"/>
    <mergeCell ref="G225:H225"/>
    <mergeCell ref="A229:A230"/>
    <mergeCell ref="A228:H228"/>
    <mergeCell ref="E229:E230"/>
    <mergeCell ref="A125:B125"/>
    <mergeCell ref="E104:F113"/>
    <mergeCell ref="G104:H113"/>
    <mergeCell ref="A105:B105"/>
    <mergeCell ref="A106:B106"/>
    <mergeCell ref="A96:B96"/>
    <mergeCell ref="A188:E188"/>
    <mergeCell ref="A202:B202"/>
    <mergeCell ref="A102:B102"/>
    <mergeCell ref="A70:C70"/>
    <mergeCell ref="A57:B58"/>
    <mergeCell ref="A108:B108"/>
    <mergeCell ref="A67:H67"/>
    <mergeCell ref="A68:C68"/>
    <mergeCell ref="A69:C69"/>
    <mergeCell ref="D69:H69"/>
    <mergeCell ref="D70:H70"/>
    <mergeCell ref="A81:B81"/>
    <mergeCell ref="C81:H81"/>
    <mergeCell ref="A83:B83"/>
    <mergeCell ref="C83:H83"/>
    <mergeCell ref="G131:H131"/>
    <mergeCell ref="A132:B132"/>
    <mergeCell ref="E132:F141"/>
    <mergeCell ref="G132:H141"/>
    <mergeCell ref="A77:C77"/>
    <mergeCell ref="A78:C78"/>
    <mergeCell ref="D77:H77"/>
    <mergeCell ref="C57:E57"/>
    <mergeCell ref="D72:H72"/>
    <mergeCell ref="A59:H59"/>
    <mergeCell ref="C60:E60"/>
    <mergeCell ref="A60:B60"/>
    <mergeCell ref="A61:B62"/>
    <mergeCell ref="C61:E61"/>
    <mergeCell ref="G61:H61"/>
    <mergeCell ref="C62:H62"/>
    <mergeCell ref="A63:H63"/>
    <mergeCell ref="A64:B64"/>
    <mergeCell ref="C64:E64"/>
    <mergeCell ref="G64:H64"/>
    <mergeCell ref="A65:B66"/>
    <mergeCell ref="C65:E65"/>
    <mergeCell ref="G65:H65"/>
    <mergeCell ref="C66:H66"/>
    <mergeCell ref="D75:H75"/>
    <mergeCell ref="D76:H76"/>
    <mergeCell ref="A50:B50"/>
    <mergeCell ref="C50:E50"/>
    <mergeCell ref="G47:H47"/>
    <mergeCell ref="G211:H211"/>
    <mergeCell ref="C229:C230"/>
    <mergeCell ref="A193:E193"/>
    <mergeCell ref="F193:H193"/>
    <mergeCell ref="A194:E194"/>
    <mergeCell ref="F190:H190"/>
    <mergeCell ref="D78:H78"/>
    <mergeCell ref="A93:B93"/>
    <mergeCell ref="E89:F89"/>
    <mergeCell ref="A79:C79"/>
    <mergeCell ref="D79:H79"/>
    <mergeCell ref="F196:H196"/>
    <mergeCell ref="A39:D39"/>
    <mergeCell ref="A100:B100"/>
    <mergeCell ref="C100:H100"/>
    <mergeCell ref="A95:B95"/>
    <mergeCell ref="C202:D202"/>
    <mergeCell ref="E202:F202"/>
    <mergeCell ref="A184:E184"/>
    <mergeCell ref="F184:H184"/>
    <mergeCell ref="A45:B45"/>
    <mergeCell ref="C45:E45"/>
    <mergeCell ref="G45:H45"/>
    <mergeCell ref="D68:H68"/>
    <mergeCell ref="D71:H71"/>
    <mergeCell ref="A47:B47"/>
    <mergeCell ref="G57:H57"/>
    <mergeCell ref="C58:H58"/>
    <mergeCell ref="G60:H60"/>
    <mergeCell ref="G50:H50"/>
    <mergeCell ref="A43:D43"/>
    <mergeCell ref="A44:H44"/>
    <mergeCell ref="A40:D40"/>
    <mergeCell ref="E40:H40"/>
    <mergeCell ref="E41:H41"/>
    <mergeCell ref="C47:E47"/>
    <mergeCell ref="A603:H606"/>
    <mergeCell ref="A602:B602"/>
    <mergeCell ref="E602:F602"/>
    <mergeCell ref="C602:D602"/>
    <mergeCell ref="G602:H602"/>
    <mergeCell ref="A201:H201"/>
    <mergeCell ref="A199:E199"/>
    <mergeCell ref="F199:H199"/>
    <mergeCell ref="A200:E200"/>
    <mergeCell ref="F200:H200"/>
    <mergeCell ref="A337:H337"/>
    <mergeCell ref="A211:B211"/>
    <mergeCell ref="A348:B348"/>
    <mergeCell ref="A203:B203"/>
    <mergeCell ref="A598:H598"/>
    <mergeCell ref="A209:H209"/>
    <mergeCell ref="A601:H601"/>
    <mergeCell ref="A343:B343"/>
    <mergeCell ref="G229:H230"/>
    <mergeCell ref="A433:H433"/>
    <mergeCell ref="A434:B434"/>
    <mergeCell ref="A426:H426"/>
    <mergeCell ref="C334:C335"/>
    <mergeCell ref="A274:B274"/>
    <mergeCell ref="A600:H600"/>
    <mergeCell ref="A80:C80"/>
    <mergeCell ref="D80:H80"/>
    <mergeCell ref="A90:B90"/>
    <mergeCell ref="G89:H89"/>
    <mergeCell ref="A88:B88"/>
    <mergeCell ref="A86:B86"/>
    <mergeCell ref="C86:H86"/>
    <mergeCell ref="A94:B94"/>
    <mergeCell ref="C88:H88"/>
    <mergeCell ref="E90:F99"/>
    <mergeCell ref="G90:H99"/>
    <mergeCell ref="A597:H597"/>
    <mergeCell ref="A338:B338"/>
    <mergeCell ref="A210:B210"/>
    <mergeCell ref="D334:D335"/>
    <mergeCell ref="E334:E335"/>
    <mergeCell ref="G334:H335"/>
    <mergeCell ref="A599:H599"/>
    <mergeCell ref="A576:H576"/>
    <mergeCell ref="A595:H595"/>
    <mergeCell ref="A596:H596"/>
    <mergeCell ref="C102:H102"/>
    <mergeCell ref="B580:H580"/>
    <mergeCell ref="A1:H1"/>
    <mergeCell ref="A2:H2"/>
    <mergeCell ref="A3:D3"/>
    <mergeCell ref="E3:H3"/>
    <mergeCell ref="A4:D4"/>
    <mergeCell ref="A8:D8"/>
    <mergeCell ref="E8:H8"/>
    <mergeCell ref="A9:D9"/>
    <mergeCell ref="E9:H9"/>
    <mergeCell ref="E4:H4"/>
    <mergeCell ref="A10:D10"/>
    <mergeCell ref="E10:H10"/>
    <mergeCell ref="A5:D5"/>
    <mergeCell ref="E5:H5"/>
    <mergeCell ref="A6:D6"/>
    <mergeCell ref="E6:H6"/>
    <mergeCell ref="A7:D7"/>
    <mergeCell ref="E7:H7"/>
    <mergeCell ref="A14:B14"/>
    <mergeCell ref="A11:D11"/>
    <mergeCell ref="E11:H11"/>
    <mergeCell ref="A12:D12"/>
    <mergeCell ref="A19:D20"/>
    <mergeCell ref="E19:H20"/>
    <mergeCell ref="E12:H12"/>
    <mergeCell ref="A13:B13"/>
    <mergeCell ref="C13:H13"/>
    <mergeCell ref="C14:H14"/>
    <mergeCell ref="A21:D21"/>
    <mergeCell ref="E21:H21"/>
    <mergeCell ref="A15:B15"/>
    <mergeCell ref="C15:D15"/>
    <mergeCell ref="E15:F15"/>
    <mergeCell ref="G15:H15"/>
    <mergeCell ref="A16:B16"/>
    <mergeCell ref="C16:D16"/>
    <mergeCell ref="E16:F16"/>
    <mergeCell ref="G16:H16"/>
    <mergeCell ref="A17:B17"/>
    <mergeCell ref="C17:D17"/>
    <mergeCell ref="E17:F17"/>
    <mergeCell ref="G17:H17"/>
    <mergeCell ref="A18:B18"/>
    <mergeCell ref="C18:D18"/>
    <mergeCell ref="E18:F18"/>
    <mergeCell ref="G18:H18"/>
    <mergeCell ref="E23:H23"/>
    <mergeCell ref="A25:D25"/>
    <mergeCell ref="E25:H25"/>
    <mergeCell ref="A22:D22"/>
    <mergeCell ref="E22:H22"/>
    <mergeCell ref="A26:D26"/>
    <mergeCell ref="E26:H26"/>
    <mergeCell ref="A23:D23"/>
    <mergeCell ref="A32:B32"/>
    <mergeCell ref="C32:E32"/>
    <mergeCell ref="A27:D27"/>
    <mergeCell ref="E27:H27"/>
    <mergeCell ref="A28:D28"/>
    <mergeCell ref="E28:H28"/>
    <mergeCell ref="A24:D24"/>
    <mergeCell ref="E24:H24"/>
    <mergeCell ref="E42:H42"/>
    <mergeCell ref="E43:H43"/>
    <mergeCell ref="A41:D41"/>
    <mergeCell ref="A42:D42"/>
    <mergeCell ref="A38:D38"/>
    <mergeCell ref="E38:H38"/>
    <mergeCell ref="F30:H30"/>
    <mergeCell ref="F31:H31"/>
    <mergeCell ref="C29:E29"/>
    <mergeCell ref="F32:H32"/>
    <mergeCell ref="F33:H33"/>
    <mergeCell ref="A35:B35"/>
    <mergeCell ref="F29:H29"/>
    <mergeCell ref="A30:B30"/>
    <mergeCell ref="A29:B29"/>
    <mergeCell ref="C30:E30"/>
    <mergeCell ref="A31:B31"/>
    <mergeCell ref="C31:E31"/>
    <mergeCell ref="A34:H34"/>
    <mergeCell ref="A33:B33"/>
    <mergeCell ref="A37:H37"/>
    <mergeCell ref="C33:E33"/>
    <mergeCell ref="C35:H35"/>
    <mergeCell ref="E39:H39"/>
    <mergeCell ref="A490:H490"/>
    <mergeCell ref="A479:B479"/>
    <mergeCell ref="G479:H479"/>
    <mergeCell ref="A481:B481"/>
    <mergeCell ref="A482:B482"/>
    <mergeCell ref="A480:H480"/>
    <mergeCell ref="G507:H513"/>
    <mergeCell ref="A450:B450"/>
    <mergeCell ref="A192:E192"/>
    <mergeCell ref="A367:B367"/>
    <mergeCell ref="A365:B365"/>
    <mergeCell ref="G362:H368"/>
    <mergeCell ref="A242:B242"/>
    <mergeCell ref="B229:B230"/>
    <mergeCell ref="A197:E197"/>
    <mergeCell ref="C203:D203"/>
    <mergeCell ref="C210:D210"/>
    <mergeCell ref="E210:F210"/>
    <mergeCell ref="G214:H214"/>
    <mergeCell ref="A226:B226"/>
    <mergeCell ref="C226:D226"/>
    <mergeCell ref="E226:F226"/>
    <mergeCell ref="G226:H226"/>
    <mergeCell ref="G491:H496"/>
    <mergeCell ref="A492:B492"/>
    <mergeCell ref="A493:B493"/>
    <mergeCell ref="A128:B128"/>
    <mergeCell ref="G210:H210"/>
    <mergeCell ref="C211:D211"/>
    <mergeCell ref="E211:F211"/>
    <mergeCell ref="A339:B339"/>
    <mergeCell ref="A333:H333"/>
    <mergeCell ref="A291:H291"/>
    <mergeCell ref="A292:B292"/>
    <mergeCell ref="A300:B300"/>
    <mergeCell ref="A301:B301"/>
    <mergeCell ref="A227:H227"/>
    <mergeCell ref="A451:B451"/>
    <mergeCell ref="A452:B452"/>
    <mergeCell ref="A453:B453"/>
    <mergeCell ref="A446:B446"/>
    <mergeCell ref="A439:B439"/>
    <mergeCell ref="A305:B305"/>
    <mergeCell ref="G305:H309"/>
    <mergeCell ref="A232:H232"/>
    <mergeCell ref="A241:B241"/>
    <mergeCell ref="A251:B251"/>
    <mergeCell ref="A267:H267"/>
    <mergeCell ref="A268:B268"/>
    <mergeCell ref="A255:H255"/>
    <mergeCell ref="A256:H256"/>
    <mergeCell ref="A257:B257"/>
    <mergeCell ref="A261:B261"/>
    <mergeCell ref="A265:B265"/>
    <mergeCell ref="A244:H244"/>
    <mergeCell ref="A245:B245"/>
    <mergeCell ref="A121:B121"/>
    <mergeCell ref="A122:B122"/>
    <mergeCell ref="A123:B123"/>
    <mergeCell ref="A127:B127"/>
    <mergeCell ref="A107:B107"/>
    <mergeCell ref="F197:H197"/>
    <mergeCell ref="F198:H198"/>
    <mergeCell ref="E203:F203"/>
    <mergeCell ref="C128:H128"/>
    <mergeCell ref="E131:F131"/>
    <mergeCell ref="G202:H202"/>
    <mergeCell ref="G203:H203"/>
    <mergeCell ref="A113:B113"/>
    <mergeCell ref="C186:H186"/>
    <mergeCell ref="F189:H189"/>
    <mergeCell ref="A189:E189"/>
    <mergeCell ref="A198:E198"/>
    <mergeCell ref="A195:E195"/>
    <mergeCell ref="G117:H117"/>
    <mergeCell ref="A118:B118"/>
    <mergeCell ref="E118:F127"/>
    <mergeCell ref="G118:H127"/>
    <mergeCell ref="A119:B119"/>
    <mergeCell ref="A120:B120"/>
    <mergeCell ref="A104:B104"/>
    <mergeCell ref="A109:B109"/>
    <mergeCell ref="A110:B110"/>
    <mergeCell ref="F188:H188"/>
    <mergeCell ref="A185:H185"/>
    <mergeCell ref="A186:B186"/>
    <mergeCell ref="A196:E196"/>
    <mergeCell ref="A111:B111"/>
    <mergeCell ref="A133:B133"/>
    <mergeCell ref="A134:B134"/>
    <mergeCell ref="A135:B135"/>
    <mergeCell ref="A126:B126"/>
    <mergeCell ref="A116:B116"/>
    <mergeCell ref="C116:H116"/>
    <mergeCell ref="A117:B117"/>
    <mergeCell ref="F192:H192"/>
    <mergeCell ref="F194:H194"/>
    <mergeCell ref="E117:F117"/>
    <mergeCell ref="A190:E190"/>
    <mergeCell ref="A187:H187"/>
    <mergeCell ref="F195:H195"/>
    <mergeCell ref="A191:E191"/>
    <mergeCell ref="F191:H191"/>
    <mergeCell ref="A124:B124"/>
    <mergeCell ref="L241:M241"/>
    <mergeCell ref="E206:F206"/>
    <mergeCell ref="G206:H206"/>
    <mergeCell ref="A213:B213"/>
    <mergeCell ref="C213:D213"/>
    <mergeCell ref="E213:F213"/>
    <mergeCell ref="G213:H213"/>
    <mergeCell ref="A215:B215"/>
    <mergeCell ref="C215:D215"/>
    <mergeCell ref="E215:F215"/>
    <mergeCell ref="G215:H215"/>
    <mergeCell ref="A224:B224"/>
    <mergeCell ref="C224:D224"/>
    <mergeCell ref="E224:F224"/>
    <mergeCell ref="G224:H224"/>
    <mergeCell ref="D229:D230"/>
    <mergeCell ref="A212:B212"/>
    <mergeCell ref="C212:D212"/>
    <mergeCell ref="E212:F212"/>
    <mergeCell ref="G212:H212"/>
    <mergeCell ref="A214:B214"/>
    <mergeCell ref="C214:D214"/>
    <mergeCell ref="E214:F214"/>
    <mergeCell ref="L242:M242"/>
    <mergeCell ref="A243:B243"/>
    <mergeCell ref="L243:M243"/>
    <mergeCell ref="A204:B204"/>
    <mergeCell ref="C204:D204"/>
    <mergeCell ref="E204:F204"/>
    <mergeCell ref="G204:H204"/>
    <mergeCell ref="A205:B205"/>
    <mergeCell ref="C205:D205"/>
    <mergeCell ref="E205:F205"/>
    <mergeCell ref="G205:H205"/>
    <mergeCell ref="A208:B208"/>
    <mergeCell ref="C208:D208"/>
    <mergeCell ref="E208:F208"/>
    <mergeCell ref="G208:H208"/>
    <mergeCell ref="L240:M240"/>
    <mergeCell ref="L239:M239"/>
    <mergeCell ref="L238:M238"/>
    <mergeCell ref="L237:M237"/>
    <mergeCell ref="L236:M236"/>
    <mergeCell ref="L235:M235"/>
    <mergeCell ref="L234:M234"/>
    <mergeCell ref="A206:B206"/>
    <mergeCell ref="C206:D206"/>
    <mergeCell ref="L245:M245"/>
    <mergeCell ref="A246:B246"/>
    <mergeCell ref="L246:M246"/>
    <mergeCell ref="A247:B247"/>
    <mergeCell ref="L247:M247"/>
    <mergeCell ref="A248:B248"/>
    <mergeCell ref="L248:M248"/>
    <mergeCell ref="L249:M249"/>
    <mergeCell ref="A250:B250"/>
    <mergeCell ref="L250:M250"/>
    <mergeCell ref="G245:H254"/>
    <mergeCell ref="L251:M251"/>
    <mergeCell ref="A252:B252"/>
    <mergeCell ref="L252:M252"/>
    <mergeCell ref="L253:M253"/>
    <mergeCell ref="A254:B254"/>
    <mergeCell ref="L254:M254"/>
    <mergeCell ref="A253:B253"/>
    <mergeCell ref="A249:B249"/>
    <mergeCell ref="L263:M263"/>
    <mergeCell ref="A264:B264"/>
    <mergeCell ref="L264:M264"/>
    <mergeCell ref="L265:M265"/>
    <mergeCell ref="A266:B266"/>
    <mergeCell ref="L266:M266"/>
    <mergeCell ref="G257:H266"/>
    <mergeCell ref="L280:M280"/>
    <mergeCell ref="L257:M257"/>
    <mergeCell ref="A258:B258"/>
    <mergeCell ref="L258:M258"/>
    <mergeCell ref="A259:B259"/>
    <mergeCell ref="L259:M259"/>
    <mergeCell ref="A260:B260"/>
    <mergeCell ref="L260:M260"/>
    <mergeCell ref="L261:M261"/>
    <mergeCell ref="A262:B262"/>
    <mergeCell ref="L262:M262"/>
    <mergeCell ref="L268:M268"/>
    <mergeCell ref="A269:B269"/>
    <mergeCell ref="L269:M269"/>
    <mergeCell ref="L270:M270"/>
    <mergeCell ref="A273:B273"/>
    <mergeCell ref="L273:M273"/>
    <mergeCell ref="L274:M274"/>
    <mergeCell ref="A275:B275"/>
    <mergeCell ref="L275:M275"/>
    <mergeCell ref="A276:B276"/>
    <mergeCell ref="L276:M276"/>
    <mergeCell ref="A277:B277"/>
    <mergeCell ref="L277:M277"/>
    <mergeCell ref="A270:B270"/>
    <mergeCell ref="A271:B271"/>
    <mergeCell ref="L271:M271"/>
    <mergeCell ref="L272:M272"/>
    <mergeCell ref="G268:H277"/>
    <mergeCell ref="L337:M337"/>
    <mergeCell ref="G346:H352"/>
    <mergeCell ref="G354:H360"/>
    <mergeCell ref="A366:B366"/>
    <mergeCell ref="L281:M281"/>
    <mergeCell ref="A282:B282"/>
    <mergeCell ref="L282:M282"/>
    <mergeCell ref="G280:H290"/>
    <mergeCell ref="L286:M286"/>
    <mergeCell ref="A287:B287"/>
    <mergeCell ref="L287:M287"/>
    <mergeCell ref="A288:B288"/>
    <mergeCell ref="L288:M288"/>
    <mergeCell ref="A289:B289"/>
    <mergeCell ref="L289:M289"/>
    <mergeCell ref="A290:B290"/>
    <mergeCell ref="L290:M290"/>
    <mergeCell ref="A283:B283"/>
    <mergeCell ref="L283:M283"/>
    <mergeCell ref="A284:B284"/>
    <mergeCell ref="L284:M284"/>
    <mergeCell ref="A280:B280"/>
    <mergeCell ref="A281:B281"/>
    <mergeCell ref="A332:B332"/>
    <mergeCell ref="A374:B374"/>
    <mergeCell ref="A375:B375"/>
    <mergeCell ref="A376:B376"/>
    <mergeCell ref="A380:B380"/>
    <mergeCell ref="L336:M336"/>
    <mergeCell ref="A369:H369"/>
    <mergeCell ref="L369:M369"/>
    <mergeCell ref="A356:B356"/>
    <mergeCell ref="A357:B357"/>
    <mergeCell ref="A358:B358"/>
    <mergeCell ref="A359:B359"/>
    <mergeCell ref="A360:B360"/>
    <mergeCell ref="A351:B351"/>
    <mergeCell ref="A350:B350"/>
    <mergeCell ref="A349:B349"/>
    <mergeCell ref="A346:B346"/>
    <mergeCell ref="A347:B347"/>
    <mergeCell ref="A336:H336"/>
    <mergeCell ref="G338:H344"/>
    <mergeCell ref="A342:B342"/>
    <mergeCell ref="A364:B364"/>
    <mergeCell ref="A361:H361"/>
    <mergeCell ref="A362:B362"/>
    <mergeCell ref="A363:B363"/>
    <mergeCell ref="A386:H386"/>
    <mergeCell ref="A387:B387"/>
    <mergeCell ref="A402:H402"/>
    <mergeCell ref="A397:B397"/>
    <mergeCell ref="A391:B391"/>
    <mergeCell ref="A403:H403"/>
    <mergeCell ref="L370:M370"/>
    <mergeCell ref="A371:B371"/>
    <mergeCell ref="A372:B372"/>
    <mergeCell ref="A381:B381"/>
    <mergeCell ref="A382:B382"/>
    <mergeCell ref="A383:B383"/>
    <mergeCell ref="G379:H385"/>
    <mergeCell ref="A392:B392"/>
    <mergeCell ref="A393:B393"/>
    <mergeCell ref="A384:B384"/>
    <mergeCell ref="A385:B385"/>
    <mergeCell ref="A388:B388"/>
    <mergeCell ref="G387:H393"/>
    <mergeCell ref="A370:H370"/>
    <mergeCell ref="A389:B389"/>
    <mergeCell ref="A390:B390"/>
    <mergeCell ref="A378:H378"/>
    <mergeCell ref="A377:B377"/>
    <mergeCell ref="A423:B423"/>
    <mergeCell ref="A424:B424"/>
    <mergeCell ref="L402:M402"/>
    <mergeCell ref="A405:H405"/>
    <mergeCell ref="A409:B409"/>
    <mergeCell ref="A410:H410"/>
    <mergeCell ref="A411:B411"/>
    <mergeCell ref="G411:H414"/>
    <mergeCell ref="A412:B412"/>
    <mergeCell ref="A404:H404"/>
    <mergeCell ref="L404:M404"/>
    <mergeCell ref="A406:B406"/>
    <mergeCell ref="G406:H409"/>
    <mergeCell ref="A407:B407"/>
    <mergeCell ref="A408:B408"/>
    <mergeCell ref="L403:M403"/>
    <mergeCell ref="L298:M298"/>
    <mergeCell ref="A296:B296"/>
    <mergeCell ref="A303:H303"/>
    <mergeCell ref="A304:H304"/>
    <mergeCell ref="A299:B299"/>
    <mergeCell ref="A344:B344"/>
    <mergeCell ref="A308:B308"/>
    <mergeCell ref="A352:B352"/>
    <mergeCell ref="A398:B398"/>
    <mergeCell ref="A340:B340"/>
    <mergeCell ref="A341:B341"/>
    <mergeCell ref="A345:H345"/>
    <mergeCell ref="A309:B309"/>
    <mergeCell ref="A310:H310"/>
    <mergeCell ref="A311:B311"/>
    <mergeCell ref="G395:H401"/>
    <mergeCell ref="A379:B379"/>
    <mergeCell ref="A353:H353"/>
    <mergeCell ref="A354:B354"/>
    <mergeCell ref="A355:B355"/>
    <mergeCell ref="A368:B368"/>
    <mergeCell ref="A399:B399"/>
    <mergeCell ref="A400:B400"/>
    <mergeCell ref="A401:B401"/>
    <mergeCell ref="A468:B468"/>
    <mergeCell ref="G468:H471"/>
    <mergeCell ref="A469:B469"/>
    <mergeCell ref="A302:B302"/>
    <mergeCell ref="A285:B285"/>
    <mergeCell ref="L285:M285"/>
    <mergeCell ref="L292:M292"/>
    <mergeCell ref="A293:B293"/>
    <mergeCell ref="L293:M293"/>
    <mergeCell ref="A294:B294"/>
    <mergeCell ref="L294:M294"/>
    <mergeCell ref="A295:B295"/>
    <mergeCell ref="L295:M295"/>
    <mergeCell ref="G292:H302"/>
    <mergeCell ref="L296:M296"/>
    <mergeCell ref="A297:B297"/>
    <mergeCell ref="L297:M297"/>
    <mergeCell ref="A298:B298"/>
    <mergeCell ref="L299:M299"/>
    <mergeCell ref="L300:M300"/>
    <mergeCell ref="L301:M301"/>
    <mergeCell ref="L302:M302"/>
    <mergeCell ref="A286:B286"/>
    <mergeCell ref="L461:M461"/>
    <mergeCell ref="A462:H462"/>
    <mergeCell ref="L462:M462"/>
    <mergeCell ref="A463:B463"/>
    <mergeCell ref="G463:H466"/>
    <mergeCell ref="A464:B464"/>
    <mergeCell ref="A465:B465"/>
    <mergeCell ref="A466:B466"/>
    <mergeCell ref="A473:B473"/>
    <mergeCell ref="G473:H476"/>
    <mergeCell ref="A474:B474"/>
    <mergeCell ref="A475:B475"/>
    <mergeCell ref="A476:B476"/>
    <mergeCell ref="A461:H461"/>
    <mergeCell ref="A472:H472"/>
    <mergeCell ref="L305:M305"/>
    <mergeCell ref="A306:B306"/>
    <mergeCell ref="L306:M306"/>
    <mergeCell ref="A307:B307"/>
    <mergeCell ref="L307:M307"/>
    <mergeCell ref="A470:B470"/>
    <mergeCell ref="A471:B471"/>
    <mergeCell ref="A459:B459"/>
    <mergeCell ref="L308:M308"/>
    <mergeCell ref="L309:M309"/>
    <mergeCell ref="A427:B427"/>
    <mergeCell ref="A428:B428"/>
    <mergeCell ref="A429:B429"/>
    <mergeCell ref="A430:B430"/>
    <mergeCell ref="B334:B335"/>
    <mergeCell ref="A334:A335"/>
    <mergeCell ref="L447:M447"/>
    <mergeCell ref="A448:B448"/>
    <mergeCell ref="A441:B441"/>
    <mergeCell ref="A442:B442"/>
    <mergeCell ref="A443:B443"/>
    <mergeCell ref="A444:B444"/>
    <mergeCell ref="A445:B445"/>
    <mergeCell ref="G441:H446"/>
    <mergeCell ref="A435:B435"/>
    <mergeCell ref="A436:B436"/>
    <mergeCell ref="L311:M311"/>
    <mergeCell ref="A312:B312"/>
    <mergeCell ref="L312:M312"/>
    <mergeCell ref="A313:B313"/>
    <mergeCell ref="L313:M313"/>
    <mergeCell ref="A314:B314"/>
    <mergeCell ref="L314:M314"/>
    <mergeCell ref="A315:B315"/>
    <mergeCell ref="L315:M315"/>
    <mergeCell ref="G311:H315"/>
    <mergeCell ref="L425:M425"/>
    <mergeCell ref="A413:B413"/>
    <mergeCell ref="A414:B414"/>
    <mergeCell ref="A415:H415"/>
    <mergeCell ref="A416:B416"/>
    <mergeCell ref="G416:H419"/>
    <mergeCell ref="A417:B417"/>
    <mergeCell ref="A418:B418"/>
    <mergeCell ref="A419:B419"/>
    <mergeCell ref="A421:B421"/>
    <mergeCell ref="G421:H424"/>
    <mergeCell ref="A422:B422"/>
    <mergeCell ref="A425:H425"/>
    <mergeCell ref="A449:B449"/>
    <mergeCell ref="A455:B455"/>
    <mergeCell ref="G427:H432"/>
    <mergeCell ref="A432:B432"/>
    <mergeCell ref="B589:H589"/>
    <mergeCell ref="B587:H587"/>
    <mergeCell ref="B586:H586"/>
    <mergeCell ref="A456:B456"/>
    <mergeCell ref="A457:B457"/>
    <mergeCell ref="A458:B458"/>
    <mergeCell ref="A447:H447"/>
    <mergeCell ref="A437:B437"/>
    <mergeCell ref="A438:B438"/>
    <mergeCell ref="G448:H453"/>
    <mergeCell ref="G455:H460"/>
    <mergeCell ref="A454:H454"/>
    <mergeCell ref="A440:H440"/>
    <mergeCell ref="G434:H439"/>
    <mergeCell ref="I78:M78"/>
    <mergeCell ref="B593:H593"/>
    <mergeCell ref="A36:B36"/>
    <mergeCell ref="C36:H36"/>
    <mergeCell ref="A56:B56"/>
    <mergeCell ref="C56:E56"/>
    <mergeCell ref="G56:H56"/>
    <mergeCell ref="A46:H46"/>
    <mergeCell ref="A55:H55"/>
    <mergeCell ref="B582:H582"/>
    <mergeCell ref="D74:H74"/>
    <mergeCell ref="A114:B114"/>
    <mergeCell ref="C114:H114"/>
    <mergeCell ref="A467:H467"/>
    <mergeCell ref="G371:H377"/>
    <mergeCell ref="A460:B460"/>
    <mergeCell ref="A420:H420"/>
    <mergeCell ref="A431:B431"/>
  </mergeCells>
  <hyperlinks>
    <hyperlink ref="C36" r:id="rId1" xr:uid="{00000000-0004-0000-0000-000000000000}"/>
  </hyperlinks>
  <printOptions horizontalCentered="1"/>
  <pageMargins left="0.39370078740157483" right="0.39370078740157483" top="0.78740157480314965" bottom="0.78740157480314965" header="0.19685039370078741" footer="0.19685039370078741"/>
  <pageSetup paperSize="2" scale="95" fitToHeight="0" orientation="portrait" r:id="rId2"/>
  <headerFooter>
    <oddHeader>&amp;C&amp;G</oddHeader>
    <oddFooter>&amp;L&amp;"Times New Roman,Bold"&amp;12Ref No: &amp;F&amp;C&amp;G&amp;R&amp;"Times New Roman,Bold"&amp;12                                                       &amp;P</oddFooter>
  </headerFooter>
  <rowBreaks count="5" manualBreakCount="5">
    <brk id="127" max="16383" man="1"/>
    <brk id="606" max="16383" man="1"/>
    <brk id="651" max="16383" man="1"/>
    <brk id="684" max="16383" man="1"/>
    <brk id="729"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L36"/>
  <sheetViews>
    <sheetView topLeftCell="A4" workbookViewId="0">
      <selection activeCell="D28" sqref="D28"/>
    </sheetView>
  </sheetViews>
  <sheetFormatPr defaultRowHeight="15" x14ac:dyDescent="0.25"/>
  <cols>
    <col min="2" max="2" width="12.28515625" customWidth="1"/>
  </cols>
  <sheetData>
    <row r="2" spans="1:12" x14ac:dyDescent="0.25">
      <c r="B2" s="3" t="s">
        <v>74</v>
      </c>
      <c r="C2" s="192"/>
      <c r="D2" s="192"/>
    </row>
    <row r="3" spans="1:12" x14ac:dyDescent="0.25">
      <c r="D3" s="4"/>
      <c r="E3" s="4"/>
      <c r="F3" s="4"/>
      <c r="G3" s="4"/>
      <c r="H3" s="4"/>
      <c r="I3" s="4"/>
    </row>
    <row r="4" spans="1:12" x14ac:dyDescent="0.25">
      <c r="A4" s="3" t="s">
        <v>75</v>
      </c>
      <c r="B4" s="5" t="s">
        <v>76</v>
      </c>
      <c r="C4" s="193" t="s">
        <v>77</v>
      </c>
      <c r="D4" s="193"/>
      <c r="E4" s="193"/>
      <c r="F4" s="6"/>
      <c r="G4" s="193" t="s">
        <v>78</v>
      </c>
      <c r="H4" s="193"/>
      <c r="I4" s="193"/>
      <c r="J4" s="193" t="s">
        <v>79</v>
      </c>
      <c r="K4" s="193"/>
      <c r="L4" s="193"/>
    </row>
    <row r="5" spans="1:12" x14ac:dyDescent="0.25">
      <c r="A5" s="3">
        <v>202</v>
      </c>
      <c r="B5" s="5"/>
      <c r="C5" s="5" t="s">
        <v>80</v>
      </c>
      <c r="D5" s="5" t="s">
        <v>81</v>
      </c>
      <c r="E5" s="5" t="s">
        <v>58</v>
      </c>
      <c r="F5" s="5"/>
      <c r="G5" s="5" t="s">
        <v>80</v>
      </c>
      <c r="H5" s="5" t="s">
        <v>81</v>
      </c>
      <c r="I5" s="5" t="s">
        <v>58</v>
      </c>
      <c r="J5" s="5" t="s">
        <v>80</v>
      </c>
      <c r="K5" s="5" t="s">
        <v>81</v>
      </c>
      <c r="L5" s="5" t="s">
        <v>58</v>
      </c>
    </row>
    <row r="6" spans="1:12" x14ac:dyDescent="0.25">
      <c r="B6" s="7" t="s">
        <v>82</v>
      </c>
      <c r="C6" s="7">
        <v>3.5</v>
      </c>
      <c r="D6" s="7">
        <v>2.75</v>
      </c>
      <c r="E6" s="7">
        <f>C6*D6</f>
        <v>9.625</v>
      </c>
      <c r="F6" s="7" t="s">
        <v>83</v>
      </c>
      <c r="G6" s="7"/>
      <c r="H6" s="7"/>
      <c r="I6" s="7">
        <f>G6*H6</f>
        <v>0</v>
      </c>
      <c r="J6" s="7"/>
      <c r="K6" s="7"/>
      <c r="L6" s="7">
        <f>J6*K6</f>
        <v>0</v>
      </c>
    </row>
    <row r="7" spans="1:12" x14ac:dyDescent="0.25">
      <c r="B7" s="7"/>
      <c r="C7" s="7"/>
      <c r="D7" s="7"/>
      <c r="E7" s="7">
        <f t="shared" ref="E7:E33" si="0">C7*D7</f>
        <v>0</v>
      </c>
      <c r="F7" s="7" t="s">
        <v>84</v>
      </c>
      <c r="G7" s="7"/>
      <c r="H7" s="7"/>
      <c r="I7" s="7">
        <f t="shared" ref="I7:I29" si="1">G7*H7</f>
        <v>0</v>
      </c>
      <c r="J7" s="7"/>
      <c r="K7" s="7"/>
      <c r="L7" s="7">
        <f t="shared" ref="L7:L29" si="2">J7*K7</f>
        <v>0</v>
      </c>
    </row>
    <row r="8" spans="1:12" x14ac:dyDescent="0.25">
      <c r="B8" s="7"/>
      <c r="C8" s="7"/>
      <c r="D8" s="7"/>
      <c r="E8" s="7">
        <f t="shared" si="0"/>
        <v>0</v>
      </c>
      <c r="F8" s="7"/>
      <c r="G8" s="7"/>
      <c r="H8" s="7"/>
      <c r="I8" s="7">
        <f t="shared" si="1"/>
        <v>0</v>
      </c>
      <c r="J8" s="7"/>
      <c r="K8" s="7"/>
      <c r="L8" s="7">
        <f t="shared" si="2"/>
        <v>0</v>
      </c>
    </row>
    <row r="9" spans="1:12" x14ac:dyDescent="0.25">
      <c r="B9" s="7" t="s">
        <v>85</v>
      </c>
      <c r="C9" s="7">
        <v>2.2999999999999998</v>
      </c>
      <c r="D9" s="7">
        <v>2.4</v>
      </c>
      <c r="E9" s="7">
        <f t="shared" si="0"/>
        <v>5.52</v>
      </c>
      <c r="F9" s="7" t="s">
        <v>83</v>
      </c>
      <c r="G9" s="7"/>
      <c r="H9" s="7"/>
      <c r="I9" s="7">
        <f t="shared" si="1"/>
        <v>0</v>
      </c>
      <c r="J9" s="7"/>
      <c r="K9" s="7"/>
      <c r="L9" s="7">
        <f t="shared" si="2"/>
        <v>0</v>
      </c>
    </row>
    <row r="10" spans="1:12" x14ac:dyDescent="0.25">
      <c r="B10" s="7"/>
      <c r="C10" s="7"/>
      <c r="D10" s="7"/>
      <c r="E10" s="7">
        <f t="shared" si="0"/>
        <v>0</v>
      </c>
      <c r="F10" s="7" t="s">
        <v>84</v>
      </c>
      <c r="G10" s="7"/>
      <c r="H10" s="7"/>
      <c r="I10" s="7">
        <f t="shared" si="1"/>
        <v>0</v>
      </c>
      <c r="J10" s="7"/>
      <c r="K10" s="7"/>
      <c r="L10" s="7">
        <f t="shared" si="2"/>
        <v>0</v>
      </c>
    </row>
    <row r="11" spans="1:12" x14ac:dyDescent="0.25">
      <c r="B11" s="7"/>
      <c r="C11" s="7"/>
      <c r="D11" s="7"/>
      <c r="E11" s="7">
        <f t="shared" si="0"/>
        <v>0</v>
      </c>
      <c r="F11" s="7"/>
      <c r="G11" s="7"/>
      <c r="H11" s="7"/>
      <c r="I11" s="7">
        <f t="shared" si="1"/>
        <v>0</v>
      </c>
      <c r="J11" s="7"/>
      <c r="K11" s="7"/>
      <c r="L11" s="7">
        <f t="shared" si="2"/>
        <v>0</v>
      </c>
    </row>
    <row r="12" spans="1:12" x14ac:dyDescent="0.25">
      <c r="B12" s="7"/>
      <c r="C12" s="7"/>
      <c r="D12" s="7"/>
      <c r="E12" s="7">
        <f t="shared" si="0"/>
        <v>0</v>
      </c>
      <c r="F12" s="7"/>
      <c r="G12" s="7"/>
      <c r="H12" s="7"/>
      <c r="I12" s="7">
        <f t="shared" si="1"/>
        <v>0</v>
      </c>
      <c r="J12" s="7"/>
      <c r="K12" s="7"/>
      <c r="L12" s="7">
        <f t="shared" si="2"/>
        <v>0</v>
      </c>
    </row>
    <row r="13" spans="1:12" x14ac:dyDescent="0.25">
      <c r="B13" s="7" t="s">
        <v>86</v>
      </c>
      <c r="C13" s="7">
        <v>3.05</v>
      </c>
      <c r="D13" s="7">
        <v>2.75</v>
      </c>
      <c r="E13" s="7">
        <f t="shared" si="0"/>
        <v>8.3874999999999993</v>
      </c>
      <c r="F13" s="7" t="s">
        <v>83</v>
      </c>
      <c r="G13" s="7"/>
      <c r="H13" s="7"/>
      <c r="I13" s="7">
        <f t="shared" si="1"/>
        <v>0</v>
      </c>
      <c r="J13" s="7"/>
      <c r="K13" s="7"/>
      <c r="L13" s="7">
        <f t="shared" si="2"/>
        <v>0</v>
      </c>
    </row>
    <row r="14" spans="1:12" x14ac:dyDescent="0.25">
      <c r="B14" s="7"/>
      <c r="C14" s="7"/>
      <c r="D14" s="7"/>
      <c r="E14" s="7">
        <f t="shared" si="0"/>
        <v>0</v>
      </c>
      <c r="F14" s="7" t="s">
        <v>84</v>
      </c>
      <c r="G14" s="7"/>
      <c r="H14" s="7"/>
      <c r="I14" s="7">
        <f t="shared" si="1"/>
        <v>0</v>
      </c>
      <c r="J14" s="7"/>
      <c r="K14" s="7"/>
      <c r="L14" s="7">
        <f t="shared" si="2"/>
        <v>0</v>
      </c>
    </row>
    <row r="15" spans="1:12" x14ac:dyDescent="0.25">
      <c r="B15" s="7"/>
      <c r="C15" s="7"/>
      <c r="D15" s="7"/>
      <c r="E15" s="7">
        <f t="shared" si="0"/>
        <v>0</v>
      </c>
      <c r="F15" s="7"/>
      <c r="G15" s="7"/>
      <c r="H15" s="7"/>
      <c r="I15" s="7">
        <f t="shared" si="1"/>
        <v>0</v>
      </c>
      <c r="J15" s="7"/>
      <c r="K15" s="7"/>
      <c r="L15" s="7">
        <f t="shared" si="2"/>
        <v>0</v>
      </c>
    </row>
    <row r="16" spans="1:12" x14ac:dyDescent="0.25">
      <c r="B16" s="7"/>
      <c r="C16" s="7"/>
      <c r="D16" s="7"/>
      <c r="E16" s="7">
        <f t="shared" si="0"/>
        <v>0</v>
      </c>
      <c r="F16" s="7"/>
      <c r="G16" s="7"/>
      <c r="H16" s="7"/>
      <c r="I16" s="7">
        <f t="shared" si="1"/>
        <v>0</v>
      </c>
      <c r="J16" s="7"/>
      <c r="K16" s="7"/>
      <c r="L16" s="7">
        <f t="shared" si="2"/>
        <v>0</v>
      </c>
    </row>
    <row r="17" spans="2:12" x14ac:dyDescent="0.25">
      <c r="B17" s="7" t="s">
        <v>87</v>
      </c>
      <c r="C17" s="7"/>
      <c r="D17" s="7"/>
      <c r="E17" s="7">
        <f t="shared" si="0"/>
        <v>0</v>
      </c>
      <c r="F17" s="7" t="s">
        <v>83</v>
      </c>
      <c r="G17" s="7"/>
      <c r="H17" s="7"/>
      <c r="I17" s="7">
        <f t="shared" si="1"/>
        <v>0</v>
      </c>
      <c r="J17" s="7"/>
      <c r="K17" s="7"/>
      <c r="L17" s="7">
        <f t="shared" si="2"/>
        <v>0</v>
      </c>
    </row>
    <row r="18" spans="2:12" x14ac:dyDescent="0.25">
      <c r="B18" s="7"/>
      <c r="C18" s="7"/>
      <c r="D18" s="7"/>
      <c r="E18" s="7">
        <f t="shared" si="0"/>
        <v>0</v>
      </c>
      <c r="F18" s="7" t="s">
        <v>84</v>
      </c>
      <c r="G18" s="7"/>
      <c r="H18" s="7"/>
      <c r="I18" s="7">
        <f t="shared" si="1"/>
        <v>0</v>
      </c>
      <c r="J18" s="7"/>
      <c r="K18" s="7"/>
      <c r="L18" s="7">
        <f t="shared" si="2"/>
        <v>0</v>
      </c>
    </row>
    <row r="19" spans="2:12" x14ac:dyDescent="0.25">
      <c r="B19" s="7"/>
      <c r="C19" s="7"/>
      <c r="D19" s="7"/>
      <c r="E19" s="7">
        <f t="shared" si="0"/>
        <v>0</v>
      </c>
      <c r="F19" s="7"/>
      <c r="G19" s="7"/>
      <c r="H19" s="7"/>
      <c r="I19" s="7">
        <f t="shared" si="1"/>
        <v>0</v>
      </c>
      <c r="J19" s="7"/>
      <c r="K19" s="7"/>
      <c r="L19" s="7">
        <f t="shared" si="2"/>
        <v>0</v>
      </c>
    </row>
    <row r="20" spans="2:12" x14ac:dyDescent="0.25">
      <c r="B20" s="7" t="s">
        <v>87</v>
      </c>
      <c r="C20" s="7"/>
      <c r="D20" s="7"/>
      <c r="E20" s="7">
        <f t="shared" si="0"/>
        <v>0</v>
      </c>
      <c r="F20" s="7" t="s">
        <v>83</v>
      </c>
      <c r="G20" s="7"/>
      <c r="H20" s="7"/>
      <c r="I20" s="7">
        <f t="shared" si="1"/>
        <v>0</v>
      </c>
      <c r="J20" s="7"/>
      <c r="K20" s="7"/>
      <c r="L20" s="7">
        <f t="shared" si="2"/>
        <v>0</v>
      </c>
    </row>
    <row r="21" spans="2:12" x14ac:dyDescent="0.25">
      <c r="B21" s="7"/>
      <c r="C21" s="7"/>
      <c r="D21" s="7"/>
      <c r="E21" s="7">
        <f t="shared" si="0"/>
        <v>0</v>
      </c>
      <c r="F21" s="7" t="s">
        <v>84</v>
      </c>
      <c r="G21" s="7"/>
      <c r="H21" s="7"/>
      <c r="I21" s="7">
        <f t="shared" si="1"/>
        <v>0</v>
      </c>
      <c r="J21" s="7"/>
      <c r="K21" s="7"/>
      <c r="L21" s="7">
        <f t="shared" si="2"/>
        <v>0</v>
      </c>
    </row>
    <row r="22" spans="2:12" x14ac:dyDescent="0.25">
      <c r="B22" s="7"/>
      <c r="C22" s="7"/>
      <c r="D22" s="7"/>
      <c r="E22" s="7">
        <f t="shared" si="0"/>
        <v>0</v>
      </c>
      <c r="F22" s="7"/>
      <c r="G22" s="7"/>
      <c r="H22" s="7"/>
      <c r="I22" s="7">
        <f t="shared" si="1"/>
        <v>0</v>
      </c>
      <c r="J22" s="7"/>
      <c r="K22" s="7"/>
      <c r="L22" s="7">
        <f t="shared" si="2"/>
        <v>0</v>
      </c>
    </row>
    <row r="23" spans="2:12" x14ac:dyDescent="0.25">
      <c r="B23" s="7" t="s">
        <v>88</v>
      </c>
      <c r="C23" s="7"/>
      <c r="D23" s="7"/>
      <c r="E23" s="7">
        <f t="shared" si="0"/>
        <v>0</v>
      </c>
      <c r="F23" s="7" t="s">
        <v>89</v>
      </c>
      <c r="G23" s="7"/>
      <c r="H23" s="7"/>
      <c r="I23" s="7">
        <f t="shared" si="1"/>
        <v>0</v>
      </c>
      <c r="J23" s="7"/>
      <c r="K23" s="7"/>
      <c r="L23" s="7">
        <f t="shared" si="2"/>
        <v>0</v>
      </c>
    </row>
    <row r="24" spans="2:12" x14ac:dyDescent="0.25">
      <c r="B24" s="7" t="s">
        <v>90</v>
      </c>
      <c r="C24" s="7"/>
      <c r="D24" s="7"/>
      <c r="E24" s="7">
        <f t="shared" si="0"/>
        <v>0</v>
      </c>
      <c r="F24" s="7" t="s">
        <v>89</v>
      </c>
      <c r="G24" s="7"/>
      <c r="H24" s="7"/>
      <c r="I24" s="7">
        <f t="shared" si="1"/>
        <v>0</v>
      </c>
      <c r="J24" s="7"/>
      <c r="K24" s="7"/>
      <c r="L24" s="7">
        <f t="shared" si="2"/>
        <v>0</v>
      </c>
    </row>
    <row r="25" spans="2:12" x14ac:dyDescent="0.25">
      <c r="B25" s="7" t="s">
        <v>91</v>
      </c>
      <c r="C25" s="7"/>
      <c r="D25" s="7"/>
      <c r="E25" s="7">
        <f t="shared" si="0"/>
        <v>0</v>
      </c>
      <c r="F25" s="7" t="s">
        <v>89</v>
      </c>
      <c r="G25" s="7"/>
      <c r="H25" s="7"/>
      <c r="I25" s="7">
        <f t="shared" si="1"/>
        <v>0</v>
      </c>
      <c r="J25" s="7"/>
      <c r="K25" s="7"/>
      <c r="L25" s="7">
        <f t="shared" si="2"/>
        <v>0</v>
      </c>
    </row>
    <row r="26" spans="2:12" x14ac:dyDescent="0.25">
      <c r="B26" s="7"/>
      <c r="C26" s="7"/>
      <c r="D26" s="7"/>
      <c r="E26" s="7">
        <f t="shared" si="0"/>
        <v>0</v>
      </c>
      <c r="F26" s="7"/>
      <c r="G26" s="7"/>
      <c r="H26" s="7"/>
      <c r="I26" s="7">
        <f t="shared" si="1"/>
        <v>0</v>
      </c>
      <c r="J26" s="7"/>
      <c r="K26" s="7"/>
      <c r="L26" s="7">
        <f t="shared" si="2"/>
        <v>0</v>
      </c>
    </row>
    <row r="27" spans="2:12" x14ac:dyDescent="0.25">
      <c r="B27" s="7" t="s">
        <v>92</v>
      </c>
      <c r="C27" s="7">
        <v>1.2</v>
      </c>
      <c r="D27" s="7">
        <v>2</v>
      </c>
      <c r="E27" s="7">
        <f t="shared" si="0"/>
        <v>2.4</v>
      </c>
      <c r="F27" s="7"/>
      <c r="G27" s="7"/>
      <c r="H27" s="7"/>
      <c r="I27" s="7">
        <f t="shared" si="1"/>
        <v>0</v>
      </c>
      <c r="J27" s="7"/>
      <c r="K27" s="7"/>
      <c r="L27" s="7">
        <f t="shared" si="2"/>
        <v>0</v>
      </c>
    </row>
    <row r="28" spans="2:12" x14ac:dyDescent="0.25">
      <c r="B28" s="7" t="s">
        <v>93</v>
      </c>
      <c r="C28" s="7">
        <v>2</v>
      </c>
      <c r="D28" s="7">
        <v>1.2</v>
      </c>
      <c r="E28" s="7">
        <f t="shared" si="0"/>
        <v>2.4</v>
      </c>
      <c r="F28" s="7"/>
      <c r="G28" s="7"/>
      <c r="H28" s="7"/>
      <c r="I28" s="7">
        <f t="shared" si="1"/>
        <v>0</v>
      </c>
      <c r="J28" s="7"/>
      <c r="K28" s="7"/>
      <c r="L28" s="7">
        <f t="shared" si="2"/>
        <v>0</v>
      </c>
    </row>
    <row r="29" spans="2:12" x14ac:dyDescent="0.25">
      <c r="B29" s="7" t="s">
        <v>94</v>
      </c>
      <c r="C29" s="7">
        <v>1</v>
      </c>
      <c r="D29" s="7">
        <v>2.4</v>
      </c>
      <c r="E29" s="7">
        <f t="shared" si="0"/>
        <v>2.4</v>
      </c>
      <c r="F29" s="7"/>
      <c r="G29" s="7"/>
      <c r="H29" s="7"/>
      <c r="I29" s="7">
        <f t="shared" si="1"/>
        <v>0</v>
      </c>
      <c r="J29" s="7"/>
      <c r="K29" s="7"/>
      <c r="L29" s="7">
        <f t="shared" si="2"/>
        <v>0</v>
      </c>
    </row>
    <row r="30" spans="2:12" x14ac:dyDescent="0.25">
      <c r="B30" s="7" t="s">
        <v>95</v>
      </c>
      <c r="C30" s="7"/>
      <c r="D30" s="7"/>
      <c r="E30" s="7">
        <f t="shared" si="0"/>
        <v>0</v>
      </c>
      <c r="F30" s="7"/>
      <c r="G30" s="7"/>
      <c r="H30" s="7"/>
      <c r="I30" s="7">
        <f>G30*H30</f>
        <v>0</v>
      </c>
      <c r="J30" s="7"/>
      <c r="K30" s="7"/>
      <c r="L30" s="7">
        <f>J30*K30</f>
        <v>0</v>
      </c>
    </row>
    <row r="31" spans="2:12" x14ac:dyDescent="0.25">
      <c r="B31" s="7"/>
      <c r="C31" s="7"/>
      <c r="D31" s="7"/>
      <c r="E31" s="7">
        <f t="shared" si="0"/>
        <v>0</v>
      </c>
      <c r="F31" s="7"/>
      <c r="G31" s="7"/>
      <c r="H31" s="7"/>
      <c r="I31" s="7">
        <f>G31*H31</f>
        <v>0</v>
      </c>
      <c r="J31" s="7"/>
      <c r="K31" s="7"/>
      <c r="L31" s="7">
        <f>J31*K31</f>
        <v>0</v>
      </c>
    </row>
    <row r="32" spans="2:12" x14ac:dyDescent="0.25">
      <c r="B32" s="7"/>
      <c r="C32" s="7"/>
      <c r="D32" s="7"/>
      <c r="E32" s="7">
        <f t="shared" si="0"/>
        <v>0</v>
      </c>
      <c r="F32" s="7"/>
      <c r="G32" s="7"/>
      <c r="H32" s="7"/>
      <c r="I32" s="7">
        <f>G32*H32</f>
        <v>0</v>
      </c>
      <c r="J32" s="7"/>
      <c r="K32" s="7"/>
      <c r="L32" s="7">
        <f>J32*K32</f>
        <v>0</v>
      </c>
    </row>
    <row r="33" spans="2:12" x14ac:dyDescent="0.25">
      <c r="B33" s="7"/>
      <c r="C33" s="7"/>
      <c r="D33" s="7"/>
      <c r="E33" s="7">
        <f t="shared" si="0"/>
        <v>0</v>
      </c>
      <c r="F33" s="7"/>
      <c r="G33" s="7"/>
      <c r="H33" s="7"/>
      <c r="I33" s="7">
        <f>G33*H33</f>
        <v>0</v>
      </c>
      <c r="J33" s="7"/>
      <c r="K33" s="7"/>
      <c r="L33" s="7">
        <f>J33*K33</f>
        <v>0</v>
      </c>
    </row>
    <row r="34" spans="2:12" x14ac:dyDescent="0.25">
      <c r="B34" s="7" t="s">
        <v>59</v>
      </c>
      <c r="C34" s="7"/>
      <c r="D34" s="7">
        <f>E34*10.764</f>
        <v>330.80462999999992</v>
      </c>
      <c r="E34" s="7">
        <f>SUM(E6:E33)</f>
        <v>30.732499999999995</v>
      </c>
      <c r="F34" s="7"/>
      <c r="G34" s="7"/>
      <c r="H34" s="7">
        <f>I34*10.764</f>
        <v>0</v>
      </c>
      <c r="I34" s="7">
        <f>SUM(I6:I33)</f>
        <v>0</v>
      </c>
      <c r="J34" s="7"/>
      <c r="K34" s="7">
        <f>L34*10.764</f>
        <v>0</v>
      </c>
      <c r="L34" s="7">
        <f>SUM(L6:L33)</f>
        <v>0</v>
      </c>
    </row>
    <row r="36" spans="2:12" x14ac:dyDescent="0.25">
      <c r="D36">
        <f>D34+H34</f>
        <v>330.80462999999992</v>
      </c>
      <c r="E36">
        <f>E34+I34</f>
        <v>30.732499999999995</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I11"/>
  <sheetViews>
    <sheetView topLeftCell="D1" zoomScale="115" zoomScaleNormal="115" workbookViewId="0">
      <selection activeCell="G9" sqref="G9"/>
    </sheetView>
  </sheetViews>
  <sheetFormatPr defaultColWidth="8.7109375" defaultRowHeight="15" x14ac:dyDescent="0.25"/>
  <cols>
    <col min="1" max="1" width="8.7109375" style="25"/>
    <col min="2" max="2" width="22.140625" style="25" customWidth="1"/>
    <col min="3" max="3" width="37" style="25" customWidth="1"/>
    <col min="4" max="5" width="11.42578125" style="25" customWidth="1"/>
    <col min="6" max="6" width="14" style="25" customWidth="1"/>
    <col min="7" max="7" width="20" style="25" customWidth="1"/>
    <col min="8" max="8" width="16.42578125" style="25" customWidth="1"/>
    <col min="9" max="16384" width="8.7109375" style="25"/>
  </cols>
  <sheetData>
    <row r="1" spans="1:9" ht="15" customHeight="1" x14ac:dyDescent="0.25"/>
    <row r="2" spans="1:9" ht="15" customHeight="1" x14ac:dyDescent="0.25">
      <c r="A2" s="26"/>
      <c r="B2" s="26"/>
      <c r="C2" s="26"/>
      <c r="D2" s="26"/>
      <c r="E2" s="26"/>
      <c r="F2" s="26"/>
      <c r="G2" s="26"/>
      <c r="H2" s="26"/>
    </row>
    <row r="3" spans="1:9" ht="15.75" customHeight="1" x14ac:dyDescent="0.25">
      <c r="A3" s="26"/>
      <c r="B3" s="194" t="s">
        <v>141</v>
      </c>
      <c r="C3" s="194"/>
      <c r="D3" s="194"/>
      <c r="E3" s="194"/>
      <c r="F3" s="194"/>
      <c r="G3" s="194"/>
      <c r="H3" s="194"/>
    </row>
    <row r="4" spans="1:9" x14ac:dyDescent="0.25">
      <c r="A4" s="26"/>
      <c r="B4" s="27" t="s">
        <v>142</v>
      </c>
      <c r="C4" s="27" t="s">
        <v>143</v>
      </c>
      <c r="D4" s="27" t="s">
        <v>75</v>
      </c>
      <c r="E4" s="27" t="s">
        <v>144</v>
      </c>
      <c r="F4" s="27" t="s">
        <v>148</v>
      </c>
      <c r="G4" s="27" t="s">
        <v>149</v>
      </c>
      <c r="H4" s="27" t="s">
        <v>145</v>
      </c>
    </row>
    <row r="5" spans="1:9" ht="15" customHeight="1" x14ac:dyDescent="0.25">
      <c r="A5" s="26"/>
      <c r="B5" s="57" t="s">
        <v>214</v>
      </c>
      <c r="C5" s="58" t="s">
        <v>185</v>
      </c>
      <c r="D5" s="57" t="s">
        <v>190</v>
      </c>
      <c r="E5" s="29">
        <v>351</v>
      </c>
      <c r="F5" s="30">
        <f>E5*1.6</f>
        <v>561.6</v>
      </c>
      <c r="G5" s="30">
        <f>H5/F5</f>
        <v>4738.2478632478633</v>
      </c>
      <c r="H5" s="31">
        <v>2661000</v>
      </c>
    </row>
    <row r="6" spans="1:9" x14ac:dyDescent="0.25">
      <c r="A6" s="26"/>
      <c r="B6" s="57" t="s">
        <v>214</v>
      </c>
      <c r="C6" s="58" t="s">
        <v>185</v>
      </c>
      <c r="D6" s="57" t="s">
        <v>190</v>
      </c>
      <c r="E6" s="29">
        <v>366</v>
      </c>
      <c r="F6" s="30">
        <f t="shared" ref="F6" si="0">E6*1.6</f>
        <v>585.6</v>
      </c>
      <c r="G6" s="30">
        <f t="shared" ref="G6" si="1">H6/F6</f>
        <v>4737.021857923497</v>
      </c>
      <c r="H6" s="31">
        <v>2774000</v>
      </c>
    </row>
    <row r="7" spans="1:9" ht="15" customHeight="1" x14ac:dyDescent="0.25">
      <c r="A7" s="26"/>
      <c r="B7" s="32" t="s">
        <v>146</v>
      </c>
      <c r="C7" s="29"/>
      <c r="D7" s="29"/>
      <c r="E7" s="29"/>
      <c r="F7" s="29"/>
      <c r="G7" s="33">
        <f>AVERAGE(G5:G6)</f>
        <v>4737.6348605856801</v>
      </c>
      <c r="H7" s="29"/>
    </row>
    <row r="8" spans="1:9" ht="15" customHeight="1" x14ac:dyDescent="0.25">
      <c r="B8" s="32" t="s">
        <v>147</v>
      </c>
      <c r="C8" s="29"/>
      <c r="D8" s="29"/>
      <c r="E8" s="29"/>
      <c r="F8" s="34"/>
      <c r="G8" s="32">
        <v>4700</v>
      </c>
      <c r="H8" s="32"/>
      <c r="I8" s="28"/>
    </row>
    <row r="9" spans="1:9" ht="15" customHeight="1" x14ac:dyDescent="0.25"/>
    <row r="10" spans="1:9" ht="15" customHeight="1" x14ac:dyDescent="0.25"/>
    <row r="11"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
  <sheetViews>
    <sheetView workbookViewId="0">
      <selection activeCell="E16" sqref="E1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Flat detail</vt:lpstr>
      <vt:lpstr>valuation</vt:lpstr>
      <vt:lpstr>Note</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SACHIN</cp:lastModifiedBy>
  <cp:lastPrinted>2025-08-26T12:27:50Z</cp:lastPrinted>
  <dcterms:created xsi:type="dcterms:W3CDTF">2019-07-16T09:29:46Z</dcterms:created>
  <dcterms:modified xsi:type="dcterms:W3CDTF">2025-08-26T12:29:58Z</dcterms:modified>
</cp:coreProperties>
</file>