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23-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5" i="1" l="1"/>
  <c r="E298" i="1"/>
  <c r="E296" i="1"/>
  <c r="D298" i="1"/>
  <c r="D296" i="1"/>
  <c r="E294" i="1"/>
  <c r="D294" i="1"/>
  <c r="E292" i="1"/>
  <c r="D292" i="1"/>
  <c r="E280" i="1"/>
  <c r="E278" i="1"/>
  <c r="D280" i="1"/>
  <c r="D278" i="1"/>
  <c r="E276" i="1"/>
  <c r="E269" i="1"/>
  <c r="D276" i="1"/>
  <c r="E274" i="1"/>
  <c r="D274" i="1"/>
  <c r="E253" i="1"/>
  <c r="E251" i="1"/>
  <c r="E249" i="1"/>
  <c r="D253" i="1"/>
  <c r="D251" i="1"/>
  <c r="E244" i="1"/>
  <c r="D244" i="1"/>
  <c r="D242" i="1"/>
  <c r="E232" i="1"/>
  <c r="D232" i="1"/>
  <c r="E215" i="1"/>
  <c r="D215" i="1"/>
  <c r="E213" i="1"/>
  <c r="D211" i="1"/>
  <c r="E198" i="1"/>
  <c r="D197" i="1"/>
  <c r="E196" i="1"/>
  <c r="D195" i="1"/>
  <c r="E191" i="1"/>
  <c r="D191" i="1"/>
  <c r="E166" i="1"/>
  <c r="D169" i="1"/>
  <c r="D166" i="1"/>
  <c r="D160" i="1"/>
  <c r="D159" i="1"/>
  <c r="C51" i="1" l="1"/>
  <c r="I315" i="1" l="1"/>
  <c r="E317" i="1"/>
  <c r="D317" i="1"/>
  <c r="E316" i="1"/>
  <c r="D316" i="1"/>
  <c r="F316" i="1" s="1"/>
  <c r="H316" i="1" s="1"/>
  <c r="D315" i="1"/>
  <c r="F315" i="1" s="1"/>
  <c r="H315" i="1" s="1"/>
  <c r="E313" i="1"/>
  <c r="D313" i="1"/>
  <c r="E312" i="1"/>
  <c r="D312" i="1"/>
  <c r="E311" i="1"/>
  <c r="F311" i="1" s="1"/>
  <c r="H311" i="1" s="1"/>
  <c r="D311" i="1"/>
  <c r="E310" i="1"/>
  <c r="D310" i="1"/>
  <c r="E308" i="1"/>
  <c r="D308" i="1"/>
  <c r="E307" i="1"/>
  <c r="D307" i="1"/>
  <c r="F307" i="1" s="1"/>
  <c r="H307" i="1" s="1"/>
  <c r="E304" i="1"/>
  <c r="D304" i="1"/>
  <c r="E303" i="1"/>
  <c r="D303" i="1"/>
  <c r="E302" i="1"/>
  <c r="D302" i="1"/>
  <c r="E301" i="1"/>
  <c r="D301" i="1"/>
  <c r="E299" i="1"/>
  <c r="D299" i="1"/>
  <c r="F298" i="1"/>
  <c r="H298" i="1" s="1"/>
  <c r="E297" i="1"/>
  <c r="D297" i="1"/>
  <c r="F297" i="1" s="1"/>
  <c r="H297" i="1" s="1"/>
  <c r="E295" i="1"/>
  <c r="D295" i="1"/>
  <c r="F294" i="1"/>
  <c r="H294" i="1" s="1"/>
  <c r="E293" i="1"/>
  <c r="D293" i="1"/>
  <c r="E290" i="1"/>
  <c r="D290" i="1"/>
  <c r="E289" i="1"/>
  <c r="D289" i="1"/>
  <c r="E286" i="1"/>
  <c r="D286" i="1"/>
  <c r="E285" i="1"/>
  <c r="D285" i="1"/>
  <c r="E284" i="1"/>
  <c r="D284" i="1"/>
  <c r="E283" i="1"/>
  <c r="D283" i="1"/>
  <c r="E281" i="1"/>
  <c r="D281" i="1"/>
  <c r="E279" i="1"/>
  <c r="D279" i="1"/>
  <c r="F278" i="1"/>
  <c r="H278" i="1" s="1"/>
  <c r="E277" i="1"/>
  <c r="D277" i="1"/>
  <c r="E275" i="1"/>
  <c r="D275" i="1"/>
  <c r="F274" i="1"/>
  <c r="H274" i="1" s="1"/>
  <c r="E272" i="1"/>
  <c r="D272" i="1"/>
  <c r="E271" i="1"/>
  <c r="D271" i="1"/>
  <c r="E270" i="1"/>
  <c r="D270" i="1"/>
  <c r="D269" i="1"/>
  <c r="F269" i="1" s="1"/>
  <c r="H269" i="1" s="1"/>
  <c r="E268" i="1"/>
  <c r="D268" i="1"/>
  <c r="E267" i="1"/>
  <c r="D267" i="1"/>
  <c r="F267" i="1" s="1"/>
  <c r="H267" i="1" s="1"/>
  <c r="E263" i="1"/>
  <c r="D263" i="1"/>
  <c r="E262" i="1"/>
  <c r="D262" i="1"/>
  <c r="E259" i="1"/>
  <c r="D259" i="1"/>
  <c r="E258" i="1"/>
  <c r="D258" i="1"/>
  <c r="E254" i="1"/>
  <c r="D254" i="1"/>
  <c r="F253" i="1"/>
  <c r="H253" i="1" s="1"/>
  <c r="E252" i="1"/>
  <c r="D252" i="1"/>
  <c r="E250" i="1"/>
  <c r="D250" i="1"/>
  <c r="D249" i="1"/>
  <c r="E245" i="1"/>
  <c r="D245" i="1"/>
  <c r="E243" i="1"/>
  <c r="D243" i="1"/>
  <c r="E242" i="1"/>
  <c r="E234" i="1"/>
  <c r="D234" i="1"/>
  <c r="E233" i="1"/>
  <c r="D233" i="1"/>
  <c r="E230" i="1"/>
  <c r="D230" i="1"/>
  <c r="E229" i="1"/>
  <c r="D229" i="1"/>
  <c r="E228" i="1"/>
  <c r="D228" i="1"/>
  <c r="E227" i="1"/>
  <c r="D227" i="1"/>
  <c r="E225" i="1"/>
  <c r="D225" i="1"/>
  <c r="E224" i="1"/>
  <c r="D224" i="1"/>
  <c r="E221" i="1"/>
  <c r="D221" i="1"/>
  <c r="E220" i="1"/>
  <c r="D220" i="1"/>
  <c r="E219" i="1"/>
  <c r="D219" i="1"/>
  <c r="E218" i="1"/>
  <c r="D218" i="1"/>
  <c r="E216" i="1"/>
  <c r="D216" i="1"/>
  <c r="E214" i="1"/>
  <c r="D214" i="1"/>
  <c r="D213" i="1"/>
  <c r="E212" i="1"/>
  <c r="D212" i="1"/>
  <c r="E211" i="1"/>
  <c r="E210" i="1"/>
  <c r="D210" i="1"/>
  <c r="E209" i="1"/>
  <c r="D209" i="1"/>
  <c r="E206" i="1"/>
  <c r="D206" i="1"/>
  <c r="E207" i="1"/>
  <c r="D207" i="1"/>
  <c r="E203" i="1"/>
  <c r="D203" i="1"/>
  <c r="E202" i="1"/>
  <c r="D202" i="1"/>
  <c r="E201" i="1"/>
  <c r="D201" i="1"/>
  <c r="E200" i="1"/>
  <c r="D200" i="1"/>
  <c r="D198" i="1"/>
  <c r="E197" i="1"/>
  <c r="D196" i="1"/>
  <c r="E195" i="1"/>
  <c r="E194" i="1"/>
  <c r="D194" i="1"/>
  <c r="E193" i="1"/>
  <c r="D193" i="1"/>
  <c r="E192" i="1"/>
  <c r="D192" i="1"/>
  <c r="E187" i="1"/>
  <c r="D187" i="1"/>
  <c r="E186" i="1"/>
  <c r="D186" i="1"/>
  <c r="E185" i="1"/>
  <c r="D185" i="1"/>
  <c r="E184" i="1"/>
  <c r="D184" i="1"/>
  <c r="E176" i="1"/>
  <c r="D176" i="1"/>
  <c r="E175" i="1"/>
  <c r="D175" i="1"/>
  <c r="E169" i="1"/>
  <c r="E168" i="1"/>
  <c r="D168" i="1"/>
  <c r="E167" i="1"/>
  <c r="D167" i="1"/>
  <c r="E160" i="1"/>
  <c r="E159" i="1"/>
  <c r="J151" i="1"/>
  <c r="I299" i="1"/>
  <c r="I294" i="1"/>
  <c r="I263" i="1"/>
  <c r="I252" i="1"/>
  <c r="I249" i="1"/>
  <c r="F292" i="1"/>
  <c r="H292" i="1" s="1"/>
  <c r="F280" i="1"/>
  <c r="H280" i="1" s="1"/>
  <c r="F276" i="1"/>
  <c r="H276" i="1" s="1"/>
  <c r="F252" i="1"/>
  <c r="H252" i="1" s="1"/>
  <c r="I189" i="1"/>
  <c r="I188" i="1"/>
  <c r="I183" i="1"/>
  <c r="I182" i="1"/>
  <c r="I180" i="1"/>
  <c r="I179" i="1"/>
  <c r="I174" i="1"/>
  <c r="I173" i="1"/>
  <c r="I171" i="1"/>
  <c r="I170" i="1"/>
  <c r="I165" i="1"/>
  <c r="I164" i="1"/>
  <c r="I162" i="1"/>
  <c r="I161" i="1"/>
  <c r="I156" i="1"/>
  <c r="I155" i="1"/>
  <c r="I158" i="1"/>
  <c r="I157" i="1"/>
  <c r="A311" i="1"/>
  <c r="A312" i="1" s="1"/>
  <c r="A313" i="1" s="1"/>
  <c r="A314" i="1" s="1"/>
  <c r="A315" i="1" s="1"/>
  <c r="A316" i="1" s="1"/>
  <c r="A317" i="1" s="1"/>
  <c r="A302" i="1"/>
  <c r="A303" i="1" s="1"/>
  <c r="A304" i="1" s="1"/>
  <c r="A305" i="1" s="1"/>
  <c r="A306" i="1" s="1"/>
  <c r="A307" i="1" s="1"/>
  <c r="A308" i="1" s="1"/>
  <c r="F296" i="1"/>
  <c r="H296" i="1" s="1"/>
  <c r="A293" i="1"/>
  <c r="A294" i="1" s="1"/>
  <c r="A295" i="1" s="1"/>
  <c r="A296" i="1" s="1"/>
  <c r="A297" i="1" s="1"/>
  <c r="A298" i="1" s="1"/>
  <c r="A299" i="1" s="1"/>
  <c r="A284" i="1"/>
  <c r="A285" i="1" s="1"/>
  <c r="A286" i="1" s="1"/>
  <c r="A287" i="1" s="1"/>
  <c r="A288" i="1" s="1"/>
  <c r="A289" i="1" s="1"/>
  <c r="A290" i="1" s="1"/>
  <c r="A275" i="1"/>
  <c r="A276" i="1" s="1"/>
  <c r="A277" i="1" s="1"/>
  <c r="A278" i="1" s="1"/>
  <c r="A279" i="1" s="1"/>
  <c r="A280" i="1" s="1"/>
  <c r="A281" i="1" s="1"/>
  <c r="A266" i="1"/>
  <c r="A267" i="1" s="1"/>
  <c r="A268" i="1" s="1"/>
  <c r="A269" i="1" s="1"/>
  <c r="A270" i="1" s="1"/>
  <c r="A271" i="1" s="1"/>
  <c r="A272" i="1" s="1"/>
  <c r="F258" i="1"/>
  <c r="H258" i="1" s="1"/>
  <c r="A257" i="1"/>
  <c r="A258" i="1" s="1"/>
  <c r="A259" i="1" s="1"/>
  <c r="A260" i="1" s="1"/>
  <c r="A261" i="1" s="1"/>
  <c r="A262" i="1" s="1"/>
  <c r="A263" i="1" s="1"/>
  <c r="A248" i="1"/>
  <c r="A249" i="1" s="1"/>
  <c r="A250" i="1" s="1"/>
  <c r="A251" i="1" s="1"/>
  <c r="A252" i="1" s="1"/>
  <c r="A253" i="1" s="1"/>
  <c r="A254" i="1" s="1"/>
  <c r="F251" i="1"/>
  <c r="H251" i="1" s="1"/>
  <c r="F259" i="1" l="1"/>
  <c r="H259" i="1" s="1"/>
  <c r="F268" i="1"/>
  <c r="H268" i="1" s="1"/>
  <c r="F270" i="1"/>
  <c r="H270" i="1" s="1"/>
  <c r="F283" i="1"/>
  <c r="H283" i="1" s="1"/>
  <c r="F289" i="1"/>
  <c r="H289" i="1" s="1"/>
  <c r="F302" i="1"/>
  <c r="H302" i="1" s="1"/>
  <c r="F308" i="1"/>
  <c r="H308" i="1" s="1"/>
  <c r="F313" i="1"/>
  <c r="H313" i="1" s="1"/>
  <c r="F272" i="1"/>
  <c r="H272" i="1" s="1"/>
  <c r="F279" i="1"/>
  <c r="H279" i="1" s="1"/>
  <c r="F285" i="1"/>
  <c r="H285" i="1" s="1"/>
  <c r="F299" i="1"/>
  <c r="H299" i="1" s="1"/>
  <c r="F304" i="1"/>
  <c r="H304" i="1" s="1"/>
  <c r="F290" i="1"/>
  <c r="H290" i="1" s="1"/>
  <c r="F271" i="1"/>
  <c r="H271" i="1" s="1"/>
  <c r="F284" i="1"/>
  <c r="H284" i="1" s="1"/>
  <c r="F254" i="1"/>
  <c r="H254" i="1" s="1"/>
  <c r="F277" i="1"/>
  <c r="H277" i="1" s="1"/>
  <c r="F275" i="1"/>
  <c r="H275" i="1" s="1"/>
  <c r="F281" i="1"/>
  <c r="H281" i="1" s="1"/>
  <c r="F301" i="1"/>
  <c r="H301" i="1" s="1"/>
  <c r="F312" i="1"/>
  <c r="H312" i="1" s="1"/>
  <c r="F303" i="1"/>
  <c r="H303" i="1" s="1"/>
  <c r="F310" i="1"/>
  <c r="H310" i="1" s="1"/>
  <c r="F317" i="1"/>
  <c r="H317" i="1" s="1"/>
  <c r="C136" i="1"/>
  <c r="C137" i="1"/>
  <c r="F262" i="1"/>
  <c r="H262" i="1" s="1"/>
  <c r="F295" i="1"/>
  <c r="H295" i="1" s="1"/>
  <c r="F293" i="1"/>
  <c r="H293" i="1" s="1"/>
  <c r="F286" i="1"/>
  <c r="H286" i="1" s="1"/>
  <c r="F263" i="1"/>
  <c r="H263" i="1" s="1"/>
  <c r="F250" i="1"/>
  <c r="H250" i="1" s="1"/>
  <c r="F249" i="1"/>
  <c r="H249" i="1" s="1"/>
  <c r="I242" i="1"/>
  <c r="F245" i="1"/>
  <c r="H245" i="1" s="1"/>
  <c r="F244" i="1"/>
  <c r="H244" i="1" s="1"/>
  <c r="F243" i="1"/>
  <c r="H243" i="1" s="1"/>
  <c r="F242" i="1"/>
  <c r="A239" i="1"/>
  <c r="A240" i="1" s="1"/>
  <c r="A241" i="1" s="1"/>
  <c r="A242" i="1" s="1"/>
  <c r="A243" i="1" s="1"/>
  <c r="A244" i="1" s="1"/>
  <c r="A245" i="1" s="1"/>
  <c r="C138" i="1" l="1"/>
  <c r="H242" i="1"/>
  <c r="G137" i="1" s="1"/>
  <c r="E137" i="1"/>
  <c r="I198" i="1"/>
  <c r="I191" i="1"/>
  <c r="I159" i="1"/>
  <c r="I160" i="1"/>
  <c r="F184" i="1"/>
  <c r="H184" i="1" s="1"/>
  <c r="F176" i="1"/>
  <c r="H176" i="1" s="1"/>
  <c r="F175" i="1"/>
  <c r="H175" i="1" s="1"/>
  <c r="F167" i="1"/>
  <c r="H167" i="1" s="1"/>
  <c r="F166" i="1"/>
  <c r="H166" i="1" s="1"/>
  <c r="F168" i="1"/>
  <c r="H168" i="1" s="1"/>
  <c r="F198" i="1"/>
  <c r="H198" i="1" s="1"/>
  <c r="F197" i="1"/>
  <c r="H197" i="1" s="1"/>
  <c r="F195" i="1"/>
  <c r="H195" i="1" s="1"/>
  <c r="F194" i="1"/>
  <c r="H194" i="1" s="1"/>
  <c r="F193" i="1"/>
  <c r="H193" i="1" s="1"/>
  <c r="F234" i="1"/>
  <c r="H234" i="1" s="1"/>
  <c r="F233" i="1"/>
  <c r="H233" i="1" s="1"/>
  <c r="F232" i="1"/>
  <c r="H232" i="1" s="1"/>
  <c r="F230" i="1"/>
  <c r="H230" i="1" s="1"/>
  <c r="F229" i="1"/>
  <c r="H229" i="1" s="1"/>
  <c r="F228" i="1"/>
  <c r="H228" i="1" s="1"/>
  <c r="F227" i="1"/>
  <c r="H227" i="1" s="1"/>
  <c r="A228" i="1"/>
  <c r="A229" i="1" s="1"/>
  <c r="A230" i="1" s="1"/>
  <c r="A231" i="1" s="1"/>
  <c r="A232" i="1" s="1"/>
  <c r="A233" i="1" s="1"/>
  <c r="A234" i="1" s="1"/>
  <c r="F207" i="1"/>
  <c r="H207" i="1" s="1"/>
  <c r="F206" i="1"/>
  <c r="H206" i="1" s="1"/>
  <c r="F203" i="1"/>
  <c r="H203" i="1" s="1"/>
  <c r="F202" i="1"/>
  <c r="H202" i="1" s="1"/>
  <c r="F201" i="1"/>
  <c r="H201" i="1" s="1"/>
  <c r="F200" i="1"/>
  <c r="H200" i="1" s="1"/>
  <c r="A201" i="1"/>
  <c r="A202" i="1" s="1"/>
  <c r="A203" i="1" s="1"/>
  <c r="A204" i="1" s="1"/>
  <c r="A205" i="1" s="1"/>
  <c r="A206" i="1" s="1"/>
  <c r="A207" i="1" s="1"/>
  <c r="A219" i="1"/>
  <c r="A220" i="1" s="1"/>
  <c r="A221" i="1" s="1"/>
  <c r="A222" i="1" s="1"/>
  <c r="A223" i="1" s="1"/>
  <c r="A224" i="1" s="1"/>
  <c r="A225" i="1" s="1"/>
  <c r="F225" i="1"/>
  <c r="H225" i="1" s="1"/>
  <c r="F224" i="1"/>
  <c r="H224" i="1" s="1"/>
  <c r="F221" i="1"/>
  <c r="H221" i="1" s="1"/>
  <c r="F220" i="1"/>
  <c r="H220" i="1" s="1"/>
  <c r="F219" i="1"/>
  <c r="H219" i="1" s="1"/>
  <c r="F218" i="1"/>
  <c r="H218" i="1" s="1"/>
  <c r="F216" i="1"/>
  <c r="H216" i="1" s="1"/>
  <c r="F215" i="1"/>
  <c r="H215" i="1" s="1"/>
  <c r="F214" i="1"/>
  <c r="H214" i="1" s="1"/>
  <c r="F213" i="1"/>
  <c r="H213" i="1" s="1"/>
  <c r="F212" i="1"/>
  <c r="H212" i="1" s="1"/>
  <c r="F211" i="1"/>
  <c r="H211" i="1" s="1"/>
  <c r="F210" i="1"/>
  <c r="H210" i="1" s="1"/>
  <c r="A210" i="1"/>
  <c r="A211" i="1" s="1"/>
  <c r="A212" i="1" s="1"/>
  <c r="A213" i="1" s="1"/>
  <c r="A214" i="1" s="1"/>
  <c r="A215" i="1" s="1"/>
  <c r="A216" i="1" s="1"/>
  <c r="F209" i="1"/>
  <c r="H209" i="1" s="1"/>
  <c r="A192" i="1"/>
  <c r="A193" i="1" s="1"/>
  <c r="A194" i="1" s="1"/>
  <c r="A195" i="1" s="1"/>
  <c r="A196" i="1" s="1"/>
  <c r="A197" i="1" s="1"/>
  <c r="A198" i="1" s="1"/>
  <c r="F191" i="1"/>
  <c r="H191" i="1" s="1"/>
  <c r="A185" i="1"/>
  <c r="A186" i="1" s="1"/>
  <c r="A187" i="1" s="1"/>
  <c r="A167" i="1"/>
  <c r="A168" i="1" s="1"/>
  <c r="A169" i="1" s="1"/>
  <c r="F159" i="1"/>
  <c r="F160" i="1"/>
  <c r="H160" i="1" s="1"/>
  <c r="E43" i="1"/>
  <c r="H159" i="1" l="1"/>
  <c r="F185" i="1"/>
  <c r="H185" i="1" s="1"/>
  <c r="F187" i="1"/>
  <c r="H187" i="1" s="1"/>
  <c r="F192" i="1"/>
  <c r="H192" i="1" s="1"/>
  <c r="F196" i="1"/>
  <c r="H196" i="1" s="1"/>
  <c r="F169" i="1"/>
  <c r="H169" i="1" s="1"/>
  <c r="F186" i="1"/>
  <c r="H186" i="1" s="1"/>
  <c r="C102" i="1"/>
  <c r="C88" i="1"/>
  <c r="E136" i="1" l="1"/>
  <c r="E138" i="1" s="1"/>
  <c r="G136" i="1"/>
  <c r="G138" i="1" s="1"/>
  <c r="F145" i="1"/>
  <c r="H145" i="1" s="1"/>
  <c r="E31" i="1" l="1"/>
  <c r="E26" i="1"/>
  <c r="F319" i="1" l="1"/>
  <c r="H319" i="1" s="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I42" i="7" l="1"/>
  <c r="H42" i="7" s="1"/>
  <c r="E42" i="7"/>
  <c r="D42" i="7" s="1"/>
  <c r="D44" i="7" s="1"/>
  <c r="L42" i="7"/>
  <c r="K42" i="7" s="1"/>
  <c r="E44" i="7"/>
  <c r="B349" i="1" l="1"/>
  <c r="F146" i="1" l="1"/>
  <c r="H146" i="1" s="1"/>
  <c r="F147" i="1"/>
  <c r="H147" i="1" s="1"/>
  <c r="F148" i="1"/>
  <c r="H148" i="1" s="1"/>
  <c r="S33" i="1" l="1"/>
  <c r="F11" i="5" l="1"/>
  <c r="G11" i="5" s="1"/>
  <c r="F10" i="5"/>
  <c r="G10" i="5" s="1"/>
  <c r="F9" i="5"/>
  <c r="G9" i="5" s="1"/>
  <c r="G8" i="5"/>
  <c r="F8" i="5"/>
  <c r="F7" i="5"/>
  <c r="G7" i="5" s="1"/>
  <c r="F6" i="5"/>
  <c r="G6" i="5" s="1"/>
  <c r="F5" i="5"/>
  <c r="G5" i="5" s="1"/>
  <c r="G12" i="5" s="1"/>
  <c r="D372" i="1"/>
  <c r="B350" i="1"/>
  <c r="F346" i="1"/>
  <c r="H346" i="1" s="1"/>
  <c r="F345" i="1"/>
  <c r="H345" i="1" s="1"/>
  <c r="F344" i="1"/>
  <c r="H344" i="1" s="1"/>
  <c r="F343" i="1"/>
  <c r="H343" i="1" s="1"/>
  <c r="F342" i="1"/>
  <c r="H342" i="1" s="1"/>
  <c r="F340" i="1"/>
  <c r="H340" i="1" s="1"/>
  <c r="F339" i="1"/>
  <c r="H339" i="1" s="1"/>
  <c r="F338" i="1"/>
  <c r="H338" i="1" s="1"/>
  <c r="F337" i="1"/>
  <c r="H337" i="1" s="1"/>
  <c r="F336" i="1"/>
  <c r="H336" i="1" s="1"/>
  <c r="F334" i="1"/>
  <c r="H334" i="1" s="1"/>
  <c r="F333" i="1"/>
  <c r="H333" i="1" s="1"/>
  <c r="F332" i="1"/>
  <c r="H332" i="1" s="1"/>
  <c r="F331" i="1"/>
  <c r="H331" i="1" s="1"/>
  <c r="F330" i="1"/>
  <c r="H330" i="1" s="1"/>
  <c r="F328" i="1"/>
  <c r="H328" i="1" s="1"/>
  <c r="F327" i="1"/>
  <c r="H327" i="1" s="1"/>
  <c r="F326" i="1"/>
  <c r="H326" i="1" s="1"/>
  <c r="F325" i="1"/>
  <c r="H325" i="1" s="1"/>
  <c r="F324" i="1"/>
  <c r="H324" i="1" s="1"/>
  <c r="A324" i="1"/>
  <c r="A325" i="1" s="1"/>
  <c r="A326" i="1" s="1"/>
  <c r="A327" i="1" s="1"/>
  <c r="A328" i="1" s="1"/>
  <c r="F322" i="1"/>
  <c r="H322" i="1" s="1"/>
  <c r="F321" i="1"/>
  <c r="H321" i="1" s="1"/>
  <c r="F320" i="1"/>
  <c r="H320" i="1" s="1"/>
  <c r="A320" i="1"/>
  <c r="A321" i="1" s="1"/>
  <c r="A322" i="1" s="1"/>
  <c r="A146" i="1"/>
  <c r="A147" i="1" s="1"/>
  <c r="A148" i="1" s="1"/>
  <c r="G139" i="1"/>
  <c r="E139" i="1"/>
  <c r="C139" i="1"/>
  <c r="F128" i="1"/>
  <c r="C74" i="1"/>
  <c r="B75" i="1" s="1"/>
  <c r="D62" i="1"/>
  <c r="G51" i="1"/>
  <c r="E44" i="1"/>
  <c r="E45" i="1" s="1"/>
  <c r="E28" i="1"/>
  <c r="C16" i="1"/>
  <c r="I15" i="1"/>
  <c r="Z13" i="1"/>
  <c r="E8" i="1"/>
  <c r="E3" i="1"/>
  <c r="D68" i="1" s="1"/>
  <c r="H75" i="1"/>
  <c r="A330" i="1"/>
  <c r="A342" i="1"/>
  <c r="A336" i="1"/>
  <c r="J74" i="1" l="1"/>
  <c r="J76" i="1" s="1"/>
  <c r="J77" i="1"/>
  <c r="C78" i="1" s="1"/>
  <c r="J78" i="1"/>
  <c r="J79" i="1"/>
  <c r="D82" i="1"/>
  <c r="D84" i="1"/>
  <c r="D83" i="1"/>
  <c r="D87" i="1"/>
  <c r="D81" i="1"/>
  <c r="D86" i="1"/>
  <c r="D80" i="1"/>
  <c r="D85" i="1"/>
  <c r="J80" i="1"/>
  <c r="A331" i="1"/>
  <c r="A337" i="1"/>
  <c r="A343" i="1"/>
  <c r="D78" i="1" l="1"/>
  <c r="J84" i="1"/>
  <c r="J82" i="1"/>
  <c r="J83" i="1"/>
  <c r="J81" i="1"/>
  <c r="J86" i="1" s="1"/>
  <c r="J87" i="1" s="1"/>
  <c r="J85" i="1"/>
  <c r="A332" i="1"/>
  <c r="A344" i="1"/>
  <c r="A338" i="1"/>
  <c r="B89" i="1" l="1"/>
  <c r="J75" i="1"/>
  <c r="E78" i="1"/>
  <c r="D79" i="1"/>
  <c r="G78" i="1"/>
  <c r="A339" i="1"/>
  <c r="A345" i="1"/>
  <c r="A333" i="1"/>
  <c r="H89" i="1"/>
  <c r="I75" i="1" l="1"/>
  <c r="I76" i="1" s="1"/>
  <c r="I74" i="1" s="1"/>
  <c r="C76" i="1" s="1"/>
  <c r="J91" i="1"/>
  <c r="D101" i="1"/>
  <c r="D95" i="1"/>
  <c r="J93" i="1"/>
  <c r="D99" i="1"/>
  <c r="J88" i="1"/>
  <c r="J90" i="1" s="1"/>
  <c r="D96" i="1"/>
  <c r="D100" i="1"/>
  <c r="D94" i="1"/>
  <c r="D98" i="1"/>
  <c r="J92" i="1"/>
  <c r="C92" i="1" s="1"/>
  <c r="D97" i="1"/>
  <c r="J94" i="1"/>
  <c r="J95" i="1" s="1"/>
  <c r="J100" i="1" s="1"/>
  <c r="J101" i="1" s="1"/>
  <c r="J99" i="1"/>
  <c r="J98" i="1"/>
  <c r="J97" i="1"/>
  <c r="J96" i="1"/>
  <c r="A334" i="1"/>
  <c r="A340" i="1"/>
  <c r="A346" i="1"/>
  <c r="B103" i="1" l="1"/>
  <c r="E92" i="1"/>
  <c r="D93" i="1"/>
  <c r="G92" i="1"/>
  <c r="D72" i="1" s="1"/>
  <c r="D92" i="1"/>
  <c r="H103" i="1"/>
  <c r="D73" i="1" l="1"/>
  <c r="F73" i="1"/>
  <c r="J105" i="1"/>
  <c r="D114" i="1"/>
  <c r="J107" i="1"/>
  <c r="C106" i="1" s="1"/>
  <c r="D106" i="1" s="1"/>
  <c r="D113" i="1"/>
  <c r="D112" i="1"/>
  <c r="J106" i="1"/>
  <c r="J102" i="1"/>
  <c r="J104" i="1" s="1"/>
  <c r="D110" i="1"/>
  <c r="D115" i="1"/>
  <c r="D109" i="1"/>
  <c r="D108" i="1"/>
  <c r="D111" i="1"/>
  <c r="I89" i="1"/>
  <c r="I90" i="1" s="1"/>
  <c r="J112" i="1"/>
  <c r="J110" i="1"/>
  <c r="J108" i="1"/>
  <c r="J109" i="1" s="1"/>
  <c r="J114" i="1" s="1"/>
  <c r="J115" i="1" s="1"/>
  <c r="C107" i="1" s="1"/>
  <c r="J113" i="1"/>
  <c r="J111" i="1"/>
  <c r="J89" i="1"/>
  <c r="I88" i="1" l="1"/>
  <c r="C90" i="1" s="1"/>
  <c r="E106" i="1"/>
  <c r="D107" i="1"/>
  <c r="I103" i="1" s="1"/>
  <c r="I104" i="1" s="1"/>
  <c r="J103" i="1"/>
  <c r="G106" i="1"/>
  <c r="I102" i="1" l="1"/>
  <c r="C104"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1"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<sst xmlns="http://schemas.openxmlformats.org/spreadsheetml/2006/main" count="817" uniqueCount="422">
  <si>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</si>
  <si>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</si>
  <si>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</si>
  <si>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</si>
  <si>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</si>
  <si>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</si>
  <si>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</si>
  <si>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</si>
  <si>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</si>
  <si>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</si>
  <si>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</si>
  <si>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</si>
  <si>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</si>
  <si>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</si>
  <si>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</si>
  <si>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</si>
  <si>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</si>
  <si>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</si>
  <si>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</si>
  <si>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</si>
  <si>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</si>
  <si>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</si>
  <si>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</si>
  <si>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</si>
  <si>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</si>
  <si>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</si>
  <si>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</si>
  <si>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</si>
  <si>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</si>
  <si>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</si>
  <si>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</si>
  <si>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</si>
  <si>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</si>
  <si>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</si>
  <si>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</si>
  <si>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</si>
  <si>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</si>
  <si>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</si>
  <si>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</si>
  <si>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</si>
  <si>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</si>
  <si>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</si>
  <si>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</si>
  <si>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</si>
  <si>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</si>
  <si>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</si>
  <si>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</si>
  <si>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</si>
  <si>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</si>
  <si>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</si>
  <si>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</si>
  <si>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</si>
  <si>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</si>
  <si>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</si>
  <si>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</si>
  <si>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</si>
  <si>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</si>
  <si>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</si>
  <si>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</si>
  <si>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</si>
  <si>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</si>
  <si>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</si>
  <si>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</si>
  <si>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</si>
  <si>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</si>
  <si>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</si>
  <si>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</si>
  <si>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</si>
  <si>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</si>
  <si>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</si>
  <si>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</si>
  <si>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</si>
  <si>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</si>
  <si>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</si>
  <si>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</si>
  <si>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</si>
  <si>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</si>
  <si>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</si>
  <si>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</si>
  <si>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</si>
  <si>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</si>
  <si>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</si>
  <si>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</si>
  <si>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</si>
  <si>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</si>
  <si>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</si>
  <si>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</si>
  <si>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</si>
  <si>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</si>
  <si>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</si>
  <si>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</si>
  <si>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</si>
  <si>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</si>
  <si>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</si>
  <si>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</si>
  <si>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</si>
  <si>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</si>
  <si>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</si>
  <si>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</si>
  <si>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</si>
  <si>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</si>
  <si>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</si>
  <si>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</si>
  <si>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</si>
  <si>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</si>
  <si>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</si>
  <si>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</si>
  <si>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</si>
  <si>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</si>
  <si>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</si>
  <si>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</si>
  <si>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</si>
  <si>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</si>
  <si>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</si>
  <si>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</si>
  <si>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</si>
  <si>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</si>
  <si>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</si>
  <si>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</si>
  <si>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Valid Upto 
Date</t>
  </si>
  <si>
    <t>Nearby Landmark</t>
  </si>
  <si>
    <t>We considered Carpet area as per Approved Plan.</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</si>
  <si>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</si>
  <si>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</si>
  <si>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</si>
  <si>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</si>
  <si>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</si>
  <si>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</si>
  <si>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</si>
  <si>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</si>
  <si>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</si>
  <si>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</si>
  <si>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</si>
  <si>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</si>
  <si>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</si>
  <si>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</si>
  <si>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</si>
  <si>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</si>
  <si>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</si>
  <si>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</si>
  <si>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</si>
  <si>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</si>
  <si>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</si>
  <si>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</si>
  <si>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</si>
  <si>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</si>
  <si>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</si>
  <si>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</si>
  <si>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</si>
  <si>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</si>
  <si>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</si>
  <si>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</si>
  <si>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</si>
  <si>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</si>
  <si>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</si>
  <si>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</si>
  <si>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</si>
  <si>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</si>
  <si>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</si>
  <si>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</si>
  <si>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</si>
  <si>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</si>
  <si>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</si>
  <si>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</si>
  <si>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</si>
  <si>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</si>
  <si>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</si>
  <si>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</si>
  <si>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</si>
  <si>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</si>
  <si>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</si>
  <si>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</si>
  <si>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</si>
  <si>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</si>
  <si>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</si>
  <si>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</si>
  <si>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</si>
  <si>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</si>
  <si>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</si>
  <si>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</si>
  <si>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</si>
  <si>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</si>
  <si>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</si>
  <si>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</si>
  <si>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</si>
  <si>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</si>
  <si>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</si>
  <si>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</si>
  <si>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</si>
  <si>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</si>
  <si>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</si>
  <si>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</si>
  <si>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</si>
  <si>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</si>
  <si>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</si>
  <si>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</si>
  <si>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</si>
  <si>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</si>
  <si>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</si>
  <si>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</si>
  <si>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</si>
  <si>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</si>
  <si>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</si>
  <si>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</si>
  <si>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</si>
  <si>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</si>
  <si>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</si>
  <si>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</si>
  <si>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</si>
  <si>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</si>
  <si>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</si>
  <si>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</si>
  <si>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</si>
  <si>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</si>
  <si>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</si>
  <si>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</si>
  <si>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</si>
  <si>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</si>
  <si>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</si>
  <si>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</si>
  <si>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</si>
  <si>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</si>
  <si>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</si>
  <si>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</si>
  <si>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</si>
  <si>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</si>
  <si>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</si>
  <si>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</si>
  <si>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</si>
  <si>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</si>
  <si>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</si>
  <si>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</si>
  <si>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</si>
  <si>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</si>
  <si>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</si>
  <si>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</si>
  <si>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</si>
  <si>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</si>
  <si>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</si>
  <si>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</si>
  <si>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</si>
  <si>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</si>
  <si>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</si>
  <si>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</si>
  <si>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</si>
  <si>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</si>
  <si>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</si>
  <si>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</si>
  <si>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</si>
  <si>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</si>
  <si>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</si>
  <si>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</si>
  <si>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</si>
  <si>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</si>
  <si>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</si>
  <si>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</si>
  <si>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</si>
  <si>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</si>
  <si>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</si>
  <si>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</si>
  <si>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</si>
  <si>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</si>
  <si>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</si>
  <si>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</si>
  <si>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</si>
  <si>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</si>
  <si>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</si>
  <si>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</si>
  <si>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</si>
  <si>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</si>
  <si>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</si>
  <si>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</si>
  <si>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</si>
  <si>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</si>
  <si>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</si>
  <si>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</si>
  <si>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</si>
  <si>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</si>
  <si>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</si>
  <si>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</si>
  <si>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</si>
  <si>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</si>
  <si>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</si>
  <si>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</si>
  <si>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</si>
  <si>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</si>
  <si>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</si>
  <si>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</si>
  <si>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</si>
  <si>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</si>
  <si>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</si>
  <si>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</si>
  <si>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</si>
  <si>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</si>
  <si>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</si>
  <si>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</si>
  <si>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</si>
  <si>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</si>
  <si>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</si>
  <si>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</si>
  <si>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</si>
  <si>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</si>
  <si>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</si>
  <si>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</si>
  <si>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</si>
  <si>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</si>
  <si>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</si>
  <si>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</si>
  <si>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</si>
  <si>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</si>
  <si>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</si>
  <si>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</si>
  <si>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</si>
  <si>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</si>
  <si>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</si>
  <si>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</si>
  <si>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</si>
  <si>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</si>
  <si>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</si>
  <si>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</si>
  <si>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</si>
  <si>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</si>
  <si>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</si>
  <si>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</si>
  <si>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</si>
  <si>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</si>
  <si>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</si>
  <si>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</si>
  <si>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</si>
  <si>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</si>
  <si>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</si>
  <si>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</si>
  <si>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</si>
  <si>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</si>
  <si>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</si>
  <si>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</si>
  <si>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</si>
  <si>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</si>
  <si>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</si>
  <si>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</si>
  <si>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</si>
  <si>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</si>
  <si>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</si>
  <si>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</si>
  <si>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</si>
  <si>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</si>
  <si>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</si>
  <si>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</si>
  <si>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</si>
  <si>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</si>
  <si>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</si>
  <si>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</si>
  <si>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</si>
  <si>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Godrej Properties Limited</t>
  </si>
  <si>
    <t>Godrej Nurture</t>
  </si>
  <si>
    <t>Tower 2 &amp; 3</t>
  </si>
  <si>
    <t>Tower 2 = P51800077080
Tower 3 = P51800077085</t>
  </si>
  <si>
    <t>Bhandup</t>
  </si>
  <si>
    <t>Sonapur</t>
  </si>
  <si>
    <t>LBS Marg</t>
  </si>
  <si>
    <t>Nahur West</t>
  </si>
  <si>
    <t>2.5 KM from Nahur Railway Station</t>
  </si>
  <si>
    <t>Filix Tower</t>
  </si>
  <si>
    <t>30.5 M W Road</t>
  </si>
  <si>
    <t>18.3 M W Road</t>
  </si>
  <si>
    <t>Plot EO1.3 (Pt)</t>
  </si>
  <si>
    <t>Nalla</t>
  </si>
  <si>
    <t>Lake Road</t>
  </si>
  <si>
    <t>19.1604667,72.9368963</t>
  </si>
  <si>
    <t>https://maps.app.goo.gl/LSM9BWKtLC7513cF6</t>
  </si>
  <si>
    <t>02 Buildings</t>
  </si>
  <si>
    <t>CE/1068/BPES/AS</t>
  </si>
  <si>
    <t>As per RERA - 31/03/2031</t>
  </si>
  <si>
    <t xml:space="preserve">Tower 2 = G + 1st to 44th Floor
Tower 3 = G + 1st to 43rd Floor
</t>
  </si>
  <si>
    <t>Tower 2 = G + 1st to 44th Floor</t>
  </si>
  <si>
    <t>Tower 3 = G + 1st to 43rd Floor</t>
  </si>
  <si>
    <t>Tower 2</t>
  </si>
  <si>
    <t>Ground Floor For Meter Room, Society Office, BMS Room, Entrance Lobby &amp; Parking</t>
  </si>
  <si>
    <t>3BHK</t>
  </si>
  <si>
    <t>2BHK</t>
  </si>
  <si>
    <t>8th Podium Floor For Residential &amp; Voids (Part Refuge Area)</t>
  </si>
  <si>
    <t>Refuge Area</t>
  </si>
  <si>
    <t>10th to 14th, 16th to 20th For Residential</t>
  </si>
  <si>
    <t>21st, 23rd to 28th, 30th to 35th, 37th to 42nd &amp; 44th For Residential</t>
  </si>
  <si>
    <t>22nd, 29th &amp; 36th Floor (Part Refuge Area)</t>
  </si>
  <si>
    <t>15th Floor (Part Refuge Area)</t>
  </si>
  <si>
    <t>43rd Floor (Part Refuge Area)</t>
  </si>
  <si>
    <t>Tower 3</t>
  </si>
  <si>
    <t>1st Podium Floor For Residential, Voids &amp; Parking</t>
  </si>
  <si>
    <t>Parking</t>
  </si>
  <si>
    <t>Voids</t>
  </si>
  <si>
    <t>2nd to 7th Podium Floor For Residential &amp; Parking</t>
  </si>
  <si>
    <t>Entrance Lobby</t>
  </si>
  <si>
    <t>10th to 14th &amp; 16th to 20th Floor For Residential</t>
  </si>
  <si>
    <t>21st, 23rd to 28th, 30th to 35th &amp; 37th to 42nd Floor For Residential</t>
  </si>
  <si>
    <t>9th Podium Floor For Residential, Entrance Lobby &amp; Parking</t>
  </si>
  <si>
    <t xml:space="preserve">Details of Residential in Building   </t>
  </si>
  <si>
    <t>FB/HRC/R-VI/28</t>
  </si>
  <si>
    <t>Flats - 616</t>
  </si>
  <si>
    <t>SNCR/WEST/B/122123/860671</t>
  </si>
  <si>
    <t>Swimming Pool, Kids Pool, Reading Room, Yoga Room, Fitness Center, etc.</t>
  </si>
  <si>
    <t>Mr. Nainesh Tambe</t>
  </si>
  <si>
    <t>We considered Gross carpet area = Net carpet + Balcony + Utility</t>
  </si>
  <si>
    <t>Approved Plans, CC, Airport Noc, Fire Noc</t>
  </si>
  <si>
    <t>Site Elevation AMSL = 15.96 M
Permissible Top Elevation AMSL = 196.53 M</t>
  </si>
  <si>
    <t>9th Podium Floor For Residential &amp; Entrance Lobby</t>
  </si>
  <si>
    <t>216A &amp; 216C (Pt)</t>
  </si>
  <si>
    <r>
      <t xml:space="preserve">Proposed Amenities :                                                                                                                                                                                                                         </t>
    </r>
    <r>
      <rPr>
        <b/>
        <sz val="12"/>
        <rFont val="Times New Roman"/>
        <family val="1"/>
      </rPr>
      <t xml:space="preserve">                                               </t>
    </r>
  </si>
  <si>
    <r>
      <t xml:space="preserve">Shop No.
</t>
    </r>
    <r>
      <rPr>
        <b/>
        <sz val="11"/>
        <rFont val="Times New Roman"/>
        <family val="1"/>
      </rPr>
      <t>(Approved Plan)</t>
    </r>
  </si>
  <si>
    <r>
      <t xml:space="preserve">Flat No.
</t>
    </r>
    <r>
      <rPr>
        <b/>
        <sz val="11"/>
        <rFont val="Times New Roman"/>
        <family val="1"/>
      </rPr>
      <t>(Approved Plan)</t>
    </r>
  </si>
  <si>
    <r>
      <rPr>
        <b/>
        <sz val="12"/>
        <rFont val="Times New Roman"/>
        <family val="1"/>
      </rPr>
      <t>Tower 2</t>
    </r>
    <r>
      <rPr>
        <sz val="12"/>
        <rFont val="Times New Roman"/>
        <family val="1"/>
      </rPr>
      <t xml:space="preserve">  = Ground/Stilt + P1 to P8 + 9th floor + 10th podium floor + 11th to 44th upper residential floors with a (total height of 138.25mtrs).
</t>
    </r>
    <r>
      <rPr>
        <b/>
        <sz val="12"/>
        <rFont val="Times New Roman"/>
        <family val="1"/>
      </rPr>
      <t>Tower 3</t>
    </r>
    <r>
      <rPr>
        <sz val="12"/>
        <rFont val="Times New Roman"/>
        <family val="1"/>
      </rPr>
      <t xml:space="preserve"> = Ground + 1st to 8th Podium floors + 9th floor + 10th podium floor top + 11th to 43rd floors (total height of 135.20 mtrs).</t>
    </r>
  </si>
  <si>
    <t>Not Provided</t>
  </si>
  <si>
    <t>We have considered rate by verifying it from market inquire and reference with builder person.</t>
  </si>
  <si>
    <t>Government of India
Ministry of Environment, Forests &amp; Climate Change</t>
  </si>
  <si>
    <t>CTS No.216A &amp; 216C (Pt)</t>
  </si>
  <si>
    <t>21-98/2014-IA.I1I</t>
  </si>
  <si>
    <t>Pooja Kawale</t>
  </si>
  <si>
    <t>Mr. Alex CRM 9819803277
Ms Riya CRM 8655769885</t>
  </si>
  <si>
    <t>CE/1068/BPES/AS/CC/3/Amend</t>
  </si>
  <si>
    <t>CC for shore piling activity only, subject to strict implementation Air Pollution Mitigation Guidelines. (CC Valid upto 17.06.2025)</t>
  </si>
  <si>
    <t>We have updated latest CC from MCGM site (On 23/07/2025).</t>
  </si>
  <si>
    <t>Construction work is in process at the time of Visit. Internal visit was not allowed.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</si>
</sst>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
      <sz val="1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69">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4" fillId="0" borderId="1" xfId="1" applyFont="1" applyBorder="1" applyAlignment="1" applyProtection="1">
      <alignment horizontal="center" vertical="top"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1" fillId="0" borderId="1" xfId="1" applyFont="1" applyBorder="1"/>
    <xf numFmtId="0" fontId="6" fillId="0" borderId="1" xfId="1" applyFont="1" applyBorder="1"/>
    <xf numFmtId="0" fontId="6" fillId="0" borderId="7"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6" fillId="0" borderId="1" xfId="1" applyNumberFormat="1" applyFont="1" applyBorder="1" applyAlignment="1">
      <alignment horizontal="center" vertical="center"/>
    </xf>
    <xf numFmtId="1" fontId="5" fillId="0" borderId="1" xfId="0" applyNumberFormat="1" applyFont="1" applyFill="1" applyBorder="1" applyAlignment="1" applyProtection="1">
      <alignment horizontal="center" vertical="center" wrapText="1"/>
      <protection locked="0"/>
    </xf>
    <xf numFmtId="0" fontId="11" fillId="0" borderId="1" xfId="1" applyFont="1" applyBorder="1" applyAlignment="1" applyProtection="1">
      <alignment vertical="top"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1" fontId="5" fillId="5" borderId="1" xfId="0" applyNumberFormat="1" applyFont="1" applyFill="1" applyBorder="1" applyAlignment="1" applyProtection="1">
      <alignment horizontal="center" vertical="center" wrapText="1"/>
      <protection locked="0"/>
    </xf>
    <xf numFmtId="0" fontId="30" fillId="0" borderId="0" xfId="1" applyFont="1" applyAlignment="1">
      <alignment wrapText="1"/>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6" fillId="0" borderId="5" xfId="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11" fillId="0" borderId="8" xfId="1" applyFont="1" applyBorder="1" applyAlignment="1" applyProtection="1">
      <alignment vertical="top" wrapText="1"/>
      <protection locked="0"/>
    </xf>
    <xf numFmtId="0" fontId="11" fillId="0" borderId="21" xfId="1" applyFont="1" applyBorder="1" applyAlignment="1" applyProtection="1">
      <alignment vertical="top" wrapText="1"/>
      <protection locked="0"/>
    </xf>
    <xf numFmtId="0" fontId="11" fillId="0" borderId="9" xfId="1" applyFont="1" applyBorder="1" applyAlignment="1" applyProtection="1">
      <alignment vertical="top" wrapText="1"/>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67" fontId="11" fillId="0" borderId="1" xfId="9" applyNumberFormat="1" applyFont="1" applyFill="1" applyBorder="1" applyAlignment="1" applyProtection="1">
      <alignment horizontal="left" vertical="top"/>
      <protection locked="0"/>
    </xf>
    <xf numFmtId="0" fontId="11"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8"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14" fontId="11" fillId="0" borderId="8" xfId="1" applyNumberFormat="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14" fontId="11" fillId="0" borderId="9" xfId="1" applyNumberFormat="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11" fillId="0" borderId="1" xfId="1" applyFont="1" applyFill="1" applyBorder="1" applyAlignment="1" applyProtection="1">
      <alignment horizontal="left" vertical="top"/>
      <protection locked="0"/>
    </xf>
    <xf numFmtId="0" fontId="5" fillId="0" borderId="1" xfId="1" applyFont="1" applyFill="1" applyBorder="1" applyAlignment="1" applyProtection="1">
      <alignment horizontal="left" vertical="top"/>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7" fillId="0" borderId="16" xfId="1" applyFont="1" applyBorder="1" applyAlignment="1" applyProtection="1">
      <alignment horizontal="center" vertical="top"/>
      <protection locked="0"/>
    </xf>
    <xf numFmtId="1" fontId="11" fillId="0" borderId="8"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0" fontId="12" fillId="0" borderId="16" xfId="1" applyFont="1" applyBorder="1" applyAlignment="1" applyProtection="1">
      <alignment horizontal="center" vertical="top"/>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1" fontId="7" fillId="5" borderId="8" xfId="0" applyNumberFormat="1" applyFont="1" applyFill="1" applyBorder="1" applyAlignment="1" applyProtection="1">
      <alignment vertical="top" wrapText="1"/>
      <protection locked="0"/>
    </xf>
    <xf numFmtId="1" fontId="7" fillId="5" borderId="21" xfId="0" applyNumberFormat="1" applyFont="1" applyFill="1" applyBorder="1" applyAlignment="1" applyProtection="1">
      <alignment vertical="top" wrapText="1"/>
      <protection locked="0"/>
    </xf>
    <xf numFmtId="1" fontId="7" fillId="5" borderId="9" xfId="0" applyNumberFormat="1" applyFont="1" applyFill="1" applyBorder="1" applyAlignment="1" applyProtection="1">
      <alignment vertical="top" wrapText="1"/>
      <protection locked="0"/>
    </xf>
    <xf numFmtId="0" fontId="5" fillId="0" borderId="1" xfId="1" applyFont="1" applyBorder="1" applyAlignment="1" applyProtection="1">
      <alignment vertical="top"/>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1" fillId="0" borderId="17"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19" xfId="1" applyFont="1" applyFill="1" applyBorder="1" applyAlignment="1" applyProtection="1">
      <alignment horizontal="left" vertical="top" wrapText="1"/>
      <protection locked="0"/>
    </xf>
    <xf numFmtId="0" fontId="11" fillId="0" borderId="20" xfId="1" applyFont="1" applyFill="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0" fontId="11" fillId="0" borderId="5" xfId="1" applyFont="1" applyBorder="1" applyAlignment="1" applyProtection="1">
      <alignment horizontal="center" vertical="top" wrapText="1"/>
      <protection locked="0"/>
    </xf>
    <xf numFmtId="0" fontId="7" fillId="0" borderId="16"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1" fontId="11"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1" fontId="5" fillId="0" borderId="21"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11" fillId="0" borderId="1" xfId="1" applyFont="1" applyBorder="1" applyAlignment="1" applyProtection="1">
      <alignment horizontal="center" vertical="top"/>
      <protection locked="0"/>
    </xf>
    <xf numFmtId="0" fontId="23" fillId="2" borderId="15" xfId="0" applyFont="1" applyFill="1" applyBorder="1"/>
    <xf numFmtId="0" fontId="24" fillId="0" borderId="9" xfId="0" applyFont="1" applyBorder="1"/>
    <xf numFmtId="0" fontId="12" fillId="0" borderId="1" xfId="1" applyFont="1" applyFill="1" applyBorder="1" applyAlignment="1" applyProtection="1">
      <alignment horizontal="lef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520E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133</xdr:row>
      <xdr:rowOff>171450</xdr:rowOff>
    </xdr:from>
    <xdr:to>
      <xdr:col>14</xdr:col>
      <xdr:colOff>123227</xdr:colOff>
      <xdr:row>140</xdr:row>
      <xdr:rowOff>114130</xdr:rowOff>
    </xdr:to>
    <xdr:pic>
      <xdr:nvPicPr>
        <xdr:cNvPr id="2" name="Picture 1"/>
        <xdr:cNvPicPr>
          <a:picLocks noChangeAspect="1"/>
        </xdr:cNvPicPr>
      </xdr:nvPicPr>
      <xdr:blipFill>
        <a:blip xmlns:r="http://schemas.openxmlformats.org/officeDocument/2006/relationships" r:embed="rId1"/>
        <a:stretch>
          <a:fillRect/>
        </a:stretch>
      </xdr:blipFill>
      <xdr:spPr>
        <a:xfrm>
          <a:off x="6838950" y="25698450"/>
          <a:ext cx="4780952" cy="1361905"/>
        </a:xfrm>
        <a:prstGeom prst="rect">
          <a:avLst/>
        </a:prstGeom>
      </xdr:spPr>
    </xdr:pic>
    <xdr:clientData/>
  </xdr:twoCellAnchor>
  <xdr:twoCellAnchor editAs="oneCell">
    <xdr:from>
      <xdr:col>1</xdr:col>
      <xdr:colOff>358625</xdr:colOff>
      <xdr:row>458</xdr:row>
      <xdr:rowOff>66675</xdr:rowOff>
    </xdr:from>
    <xdr:to>
      <xdr:col>6</xdr:col>
      <xdr:colOff>600060</xdr:colOff>
      <xdr:row>476</xdr:row>
      <xdr:rowOff>66224</xdr:rowOff>
    </xdr:to>
    <xdr:pic>
      <xdr:nvPicPr>
        <xdr:cNvPr id="3" name="Picture 2"/>
        <xdr:cNvPicPr>
          <a:picLocks noChangeAspect="1"/>
        </xdr:cNvPicPr>
      </xdr:nvPicPr>
      <xdr:blipFill>
        <a:blip xmlns:r="http://schemas.openxmlformats.org/officeDocument/2006/relationships" r:embed="rId2"/>
        <a:stretch>
          <a:fillRect/>
        </a:stretch>
      </xdr:blipFill>
      <xdr:spPr>
        <a:xfrm>
          <a:off x="1120625" y="85496400"/>
          <a:ext cx="4327660" cy="3600000"/>
        </a:xfrm>
        <a:prstGeom prst="rect">
          <a:avLst/>
        </a:prstGeom>
        <a:ln>
          <a:solidFill>
            <a:schemeClr val="tx1"/>
          </a:solidFill>
        </a:ln>
      </xdr:spPr>
    </xdr:pic>
    <xdr:clientData/>
  </xdr:twoCellAnchor>
  <xdr:twoCellAnchor>
    <xdr:from>
      <xdr:col>1</xdr:col>
      <xdr:colOff>180975</xdr:colOff>
      <xdr:row>476</xdr:row>
      <xdr:rowOff>194993</xdr:rowOff>
    </xdr:from>
    <xdr:to>
      <xdr:col>7</xdr:col>
      <xdr:colOff>27892</xdr:colOff>
      <xdr:row>498</xdr:row>
      <xdr:rowOff>114443</xdr:rowOff>
    </xdr:to>
    <xdr:grpSp>
      <xdr:nvGrpSpPr>
        <xdr:cNvPr id="7" name="Group 6"/>
        <xdr:cNvGrpSpPr/>
      </xdr:nvGrpSpPr>
      <xdr:grpSpPr>
        <a:xfrm>
          <a:off x="981075" y="86002543"/>
          <a:ext cx="4901517" cy="4250150"/>
          <a:chOff x="923925" y="89225168"/>
          <a:chExt cx="4666567" cy="4320000"/>
        </a:xfrm>
      </xdr:grpSpPr>
      <xdr:pic>
        <xdr:nvPicPr>
          <xdr:cNvPr id="4" name="Picture 3"/>
          <xdr:cNvPicPr>
            <a:picLocks noChangeAspect="1"/>
          </xdr:cNvPicPr>
        </xdr:nvPicPr>
        <xdr:blipFill>
          <a:blip xmlns:r="http://schemas.openxmlformats.org/officeDocument/2006/relationships" r:embed="rId3"/>
          <a:stretch>
            <a:fillRect/>
          </a:stretch>
        </xdr:blipFill>
        <xdr:spPr>
          <a:xfrm>
            <a:off x="923925" y="89225168"/>
            <a:ext cx="4666567" cy="4320000"/>
          </a:xfrm>
          <a:prstGeom prst="rect">
            <a:avLst/>
          </a:prstGeom>
          <a:ln>
            <a:solidFill>
              <a:schemeClr val="tx1"/>
            </a:solidFill>
          </a:ln>
        </xdr:spPr>
      </xdr:pic>
      <xdr:sp macro="" textlink="">
        <xdr:nvSpPr>
          <xdr:cNvPr id="6" name="Freeform 5"/>
          <xdr:cNvSpPr/>
        </xdr:nvSpPr>
        <xdr:spPr>
          <a:xfrm>
            <a:off x="1933575" y="90249375"/>
            <a:ext cx="1905000" cy="1781175"/>
          </a:xfrm>
          <a:custGeom>
            <a:avLst/>
            <a:gdLst>
              <a:gd name="connsiteX0" fmla="*/ 1476375 w 1905000"/>
              <a:gd name="connsiteY0" fmla="*/ 0 h 1781175"/>
              <a:gd name="connsiteX1" fmla="*/ 1905000 w 1905000"/>
              <a:gd name="connsiteY1" fmla="*/ 9525 h 1781175"/>
              <a:gd name="connsiteX2" fmla="*/ 1847850 w 1905000"/>
              <a:gd name="connsiteY2" fmla="*/ 1257300 h 1781175"/>
              <a:gd name="connsiteX3" fmla="*/ 790575 w 1905000"/>
              <a:gd name="connsiteY3" fmla="*/ 1238250 h 1781175"/>
              <a:gd name="connsiteX4" fmla="*/ 809625 w 1905000"/>
              <a:gd name="connsiteY4" fmla="*/ 1781175 h 1781175"/>
              <a:gd name="connsiteX5" fmla="*/ 0 w 1905000"/>
              <a:gd name="connsiteY5" fmla="*/ 1743075 h 1781175"/>
              <a:gd name="connsiteX6" fmla="*/ 390525 w 1905000"/>
              <a:gd name="connsiteY6" fmla="*/ 285750 h 1781175"/>
              <a:gd name="connsiteX7" fmla="*/ 1466850 w 1905000"/>
              <a:gd name="connsiteY7" fmla="*/ 276225 h 1781175"/>
              <a:gd name="connsiteX8" fmla="*/ 1476375 w 1905000"/>
              <a:gd name="connsiteY8" fmla="*/ 0 h 17811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905000" h="1781175">
                <a:moveTo>
                  <a:pt x="1476375" y="0"/>
                </a:moveTo>
                <a:lnTo>
                  <a:pt x="1905000" y="9525"/>
                </a:lnTo>
                <a:lnTo>
                  <a:pt x="1847850" y="1257300"/>
                </a:lnTo>
                <a:lnTo>
                  <a:pt x="790575" y="1238250"/>
                </a:lnTo>
                <a:lnTo>
                  <a:pt x="809625" y="1781175"/>
                </a:lnTo>
                <a:lnTo>
                  <a:pt x="0" y="1743075"/>
                </a:lnTo>
                <a:lnTo>
                  <a:pt x="390525" y="285750"/>
                </a:lnTo>
                <a:lnTo>
                  <a:pt x="1466850" y="276225"/>
                </a:lnTo>
                <a:lnTo>
                  <a:pt x="1476375" y="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2</xdr:col>
      <xdr:colOff>47625</xdr:colOff>
      <xdr:row>415</xdr:row>
      <xdr:rowOff>38100</xdr:rowOff>
    </xdr:from>
    <xdr:to>
      <xdr:col>5</xdr:col>
      <xdr:colOff>579257</xdr:colOff>
      <xdr:row>432</xdr:row>
      <xdr:rowOff>47625</xdr:rowOff>
    </xdr:to>
    <xdr:pic>
      <xdr:nvPicPr>
        <xdr:cNvPr id="8" name="Picture 7"/>
        <xdr:cNvPicPr>
          <a:picLocks noChangeAspect="1"/>
        </xdr:cNvPicPr>
      </xdr:nvPicPr>
      <xdr:blipFill>
        <a:blip xmlns:r="http://schemas.openxmlformats.org/officeDocument/2006/relationships" r:embed="rId4"/>
        <a:stretch>
          <a:fillRect/>
        </a:stretch>
      </xdr:blipFill>
      <xdr:spPr>
        <a:xfrm>
          <a:off x="1609725" y="76666725"/>
          <a:ext cx="3074807" cy="3409950"/>
        </a:xfrm>
        <a:prstGeom prst="rect">
          <a:avLst/>
        </a:prstGeom>
        <a:ln>
          <a:solidFill>
            <a:schemeClr val="tx1"/>
          </a:solidFill>
        </a:ln>
      </xdr:spPr>
    </xdr:pic>
    <xdr:clientData/>
  </xdr:twoCellAnchor>
  <xdr:twoCellAnchor>
    <xdr:from>
      <xdr:col>1</xdr:col>
      <xdr:colOff>68273</xdr:colOff>
      <xdr:row>433</xdr:row>
      <xdr:rowOff>0</xdr:rowOff>
    </xdr:from>
    <xdr:to>
      <xdr:col>7</xdr:col>
      <xdr:colOff>140072</xdr:colOff>
      <xdr:row>455</xdr:row>
      <xdr:rowOff>152400</xdr:rowOff>
    </xdr:to>
    <xdr:grpSp>
      <xdr:nvGrpSpPr>
        <xdr:cNvPr id="14" name="Group 13"/>
        <xdr:cNvGrpSpPr/>
      </xdr:nvGrpSpPr>
      <xdr:grpSpPr>
        <a:xfrm>
          <a:off x="868373" y="77343000"/>
          <a:ext cx="5126399" cy="4483100"/>
          <a:chOff x="671150" y="80229075"/>
          <a:chExt cx="4891449" cy="4832399"/>
        </a:xfrm>
      </xdr:grpSpPr>
      <xdr:pic>
        <xdr:nvPicPr>
          <xdr:cNvPr id="9" name="Picture 8"/>
          <xdr:cNvPicPr>
            <a:picLocks noChangeAspect="1"/>
          </xdr:cNvPicPr>
        </xdr:nvPicPr>
        <xdr:blipFill>
          <a:blip xmlns:r="http://schemas.openxmlformats.org/officeDocument/2006/relationships" r:embed="rId5"/>
          <a:stretch>
            <a:fillRect/>
          </a:stretch>
        </xdr:blipFill>
        <xdr:spPr>
          <a:xfrm>
            <a:off x="671150" y="80229075"/>
            <a:ext cx="4891449" cy="4832399"/>
          </a:xfrm>
          <a:prstGeom prst="rect">
            <a:avLst/>
          </a:prstGeom>
          <a:ln>
            <a:solidFill>
              <a:schemeClr val="tx1"/>
            </a:solidFill>
          </a:ln>
        </xdr:spPr>
      </xdr:pic>
      <xdr:sp macro="" textlink="">
        <xdr:nvSpPr>
          <xdr:cNvPr id="10" name="Rectangle 9"/>
          <xdr:cNvSpPr/>
        </xdr:nvSpPr>
        <xdr:spPr>
          <a:xfrm>
            <a:off x="2076450" y="82038825"/>
            <a:ext cx="781050" cy="1085850"/>
          </a:xfrm>
          <a:prstGeom prst="rect">
            <a:avLst/>
          </a:prstGeom>
          <a:no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1" name="TextBox 10"/>
          <xdr:cNvSpPr txBox="1"/>
        </xdr:nvSpPr>
        <xdr:spPr>
          <a:xfrm>
            <a:off x="2809876" y="82591276"/>
            <a:ext cx="8382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002060"/>
                </a:solidFill>
              </a:rPr>
              <a:t>Tower 2</a:t>
            </a:r>
          </a:p>
        </xdr:txBody>
      </xdr:sp>
      <xdr:sp macro="" textlink="">
        <xdr:nvSpPr>
          <xdr:cNvPr id="12" name="TextBox 11"/>
          <xdr:cNvSpPr txBox="1"/>
        </xdr:nvSpPr>
        <xdr:spPr>
          <a:xfrm>
            <a:off x="2076450" y="83781900"/>
            <a:ext cx="8382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Tower 3</a:t>
            </a:r>
          </a:p>
        </xdr:txBody>
      </xdr:sp>
      <xdr:sp macro="" textlink="">
        <xdr:nvSpPr>
          <xdr:cNvPr id="13" name="Rectangle 12"/>
          <xdr:cNvSpPr/>
        </xdr:nvSpPr>
        <xdr:spPr>
          <a:xfrm>
            <a:off x="1299799" y="83124675"/>
            <a:ext cx="843325" cy="9906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1</xdr:col>
      <xdr:colOff>6350</xdr:colOff>
      <xdr:row>372</xdr:row>
      <xdr:rowOff>120650</xdr:rowOff>
    </xdr:from>
    <xdr:to>
      <xdr:col>6</xdr:col>
      <xdr:colOff>751857</xdr:colOff>
      <xdr:row>406</xdr:row>
      <xdr:rowOff>53365</xdr:rowOff>
    </xdr:to>
    <xdr:grpSp>
      <xdr:nvGrpSpPr>
        <xdr:cNvPr id="5" name="Group 4"/>
        <xdr:cNvGrpSpPr/>
      </xdr:nvGrpSpPr>
      <xdr:grpSpPr>
        <a:xfrm>
          <a:off x="806450" y="65462150"/>
          <a:ext cx="5031757" cy="6619265"/>
          <a:chOff x="806450" y="65544700"/>
          <a:chExt cx="5031757" cy="6619265"/>
        </a:xfrm>
      </xdr:grpSpPr>
      <xdr:pic>
        <xdr:nvPicPr>
          <xdr:cNvPr id="20" name="Picture 19"/>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401428" y="68923965"/>
            <a:ext cx="2436779" cy="324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806451" y="65544700"/>
            <a:ext cx="2436779" cy="3240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401428" y="65544700"/>
            <a:ext cx="2436779" cy="324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806450" y="68923965"/>
            <a:ext cx="2436779" cy="324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LSM9BWKtLC7513cF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458"/>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216" t="s">
        <v>165</v>
      </c>
      <c r="B1" s="216"/>
      <c r="C1" s="216"/>
      <c r="D1" s="216"/>
      <c r="E1" s="216"/>
      <c r="F1" s="216"/>
      <c r="G1" s="216"/>
      <c r="H1" s="216"/>
    </row>
    <row r="2" spans="1:26" ht="16.5" customHeight="1" x14ac:dyDescent="0.35">
      <c r="A2" s="217" t="s">
        <v>0</v>
      </c>
      <c r="B2" s="217"/>
      <c r="C2" s="217"/>
      <c r="D2" s="217"/>
      <c r="E2" s="217"/>
      <c r="F2" s="217"/>
      <c r="G2" s="217"/>
      <c r="H2" s="217"/>
    </row>
    <row r="3" spans="1:26" x14ac:dyDescent="0.35">
      <c r="A3" s="193" t="s">
        <v>1</v>
      </c>
      <c r="B3" s="193"/>
      <c r="C3" s="193"/>
      <c r="D3" s="193"/>
      <c r="E3" s="193" t="str">
        <f ca="1">TEXT(TODAY(),"DD/MM/YYYY")</f>
        <v>23/07/2025</v>
      </c>
      <c r="F3" s="193"/>
      <c r="G3" s="193"/>
      <c r="H3" s="193"/>
      <c r="K3" s="56" t="s">
        <v>239</v>
      </c>
      <c r="L3" s="53" t="s">
        <v>237</v>
      </c>
      <c r="M3" s="53" t="s">
        <v>242</v>
      </c>
      <c r="N3" s="53" t="s">
        <v>240</v>
      </c>
      <c r="O3" s="53" t="s">
        <v>345</v>
      </c>
      <c r="P3" s="53" t="s">
        <v>243</v>
      </c>
    </row>
    <row r="4" spans="1:26" ht="15" customHeight="1" x14ac:dyDescent="0.35">
      <c r="A4" s="193" t="s">
        <v>236</v>
      </c>
      <c r="B4" s="193"/>
      <c r="C4" s="193"/>
      <c r="D4" s="193"/>
      <c r="E4" s="193" t="s">
        <v>237</v>
      </c>
      <c r="F4" s="193"/>
      <c r="G4" s="193"/>
      <c r="H4" s="193"/>
      <c r="K4" s="52" t="s">
        <v>238</v>
      </c>
      <c r="L4" s="53" t="s">
        <v>171</v>
      </c>
      <c r="M4" s="53" t="s">
        <v>247</v>
      </c>
      <c r="N4" s="53" t="s">
        <v>249</v>
      </c>
      <c r="O4" s="53" t="s">
        <v>346</v>
      </c>
      <c r="P4" s="53"/>
    </row>
    <row r="5" spans="1:26" ht="15" customHeight="1" x14ac:dyDescent="0.35">
      <c r="A5" s="193" t="s">
        <v>2</v>
      </c>
      <c r="B5" s="193"/>
      <c r="C5" s="193"/>
      <c r="D5" s="193"/>
      <c r="E5" s="193" t="s">
        <v>171</v>
      </c>
      <c r="F5" s="193"/>
      <c r="G5" s="193"/>
      <c r="H5" s="193"/>
      <c r="K5" s="52"/>
      <c r="L5" s="53" t="s">
        <v>244</v>
      </c>
      <c r="M5" s="53" t="s">
        <v>248</v>
      </c>
      <c r="N5" s="53" t="s">
        <v>250</v>
      </c>
      <c r="O5" s="53" t="s">
        <v>347</v>
      </c>
      <c r="P5" s="53"/>
    </row>
    <row r="6" spans="1:26" x14ac:dyDescent="0.35">
      <c r="A6" s="214" t="s">
        <v>3</v>
      </c>
      <c r="B6" s="214"/>
      <c r="C6" s="214"/>
      <c r="D6" s="214"/>
      <c r="E6" s="218">
        <v>45861</v>
      </c>
      <c r="F6" s="193"/>
      <c r="G6" s="193"/>
      <c r="H6" s="193"/>
      <c r="K6" s="52"/>
      <c r="L6" s="53" t="s">
        <v>245</v>
      </c>
      <c r="M6" s="53"/>
      <c r="N6" s="53"/>
      <c r="O6" s="53" t="s">
        <v>348</v>
      </c>
      <c r="P6" s="53"/>
    </row>
    <row r="7" spans="1:26" ht="16.5" customHeight="1" x14ac:dyDescent="0.35">
      <c r="A7" s="214" t="s">
        <v>4</v>
      </c>
      <c r="B7" s="214"/>
      <c r="C7" s="214"/>
      <c r="D7" s="214"/>
      <c r="E7" s="193" t="s">
        <v>353</v>
      </c>
      <c r="F7" s="193"/>
      <c r="G7" s="193"/>
      <c r="H7" s="193"/>
      <c r="K7" s="52"/>
      <c r="L7" s="53" t="s">
        <v>246</v>
      </c>
      <c r="M7" s="53"/>
      <c r="N7" s="53"/>
      <c r="O7" s="53" t="s">
        <v>348</v>
      </c>
      <c r="P7" s="53"/>
    </row>
    <row r="8" spans="1:26" ht="15" customHeight="1" x14ac:dyDescent="0.35">
      <c r="A8" s="214" t="s">
        <v>5</v>
      </c>
      <c r="B8" s="214"/>
      <c r="C8" s="214"/>
      <c r="D8" s="214"/>
      <c r="E8" s="193" t="str">
        <f>E7</f>
        <v>Godrej Properties Limited</v>
      </c>
      <c r="F8" s="193"/>
      <c r="G8" s="193"/>
      <c r="H8" s="193"/>
      <c r="K8" s="52"/>
      <c r="L8" s="53"/>
      <c r="M8" s="53"/>
      <c r="N8" s="53"/>
      <c r="O8" s="53" t="s">
        <v>349</v>
      </c>
      <c r="P8" s="53"/>
    </row>
    <row r="9" spans="1:26" x14ac:dyDescent="0.35">
      <c r="A9" s="214" t="s">
        <v>6</v>
      </c>
      <c r="B9" s="214"/>
      <c r="C9" s="214"/>
      <c r="D9" s="214"/>
      <c r="E9" s="136" t="s">
        <v>354</v>
      </c>
      <c r="F9" s="136"/>
      <c r="G9" s="136"/>
      <c r="H9" s="136"/>
      <c r="K9" s="52"/>
      <c r="L9" s="53"/>
      <c r="M9" s="53"/>
      <c r="N9" s="53"/>
      <c r="O9" s="53" t="s">
        <v>350</v>
      </c>
      <c r="P9" s="53"/>
    </row>
    <row r="10" spans="1:26" x14ac:dyDescent="0.35">
      <c r="A10" s="214" t="s">
        <v>168</v>
      </c>
      <c r="B10" s="214"/>
      <c r="C10" s="214"/>
      <c r="D10" s="214"/>
      <c r="E10" s="193" t="s">
        <v>411</v>
      </c>
      <c r="F10" s="193"/>
      <c r="G10" s="193"/>
      <c r="H10" s="193"/>
      <c r="K10" s="52"/>
      <c r="L10" s="53"/>
      <c r="M10" s="53"/>
      <c r="N10" s="53"/>
      <c r="O10" s="53" t="s">
        <v>351</v>
      </c>
      <c r="P10" s="53"/>
    </row>
    <row r="11" spans="1:26" ht="31.5" customHeight="1" x14ac:dyDescent="0.35">
      <c r="A11" s="214" t="s">
        <v>169</v>
      </c>
      <c r="B11" s="214"/>
      <c r="C11" s="214"/>
      <c r="D11" s="214"/>
      <c r="E11" s="175" t="s">
        <v>417</v>
      </c>
      <c r="F11" s="193"/>
      <c r="G11" s="193"/>
      <c r="H11" s="193"/>
      <c r="O11" s="53" t="s">
        <v>352</v>
      </c>
    </row>
    <row r="12" spans="1:26" x14ac:dyDescent="0.35">
      <c r="A12" s="193" t="s">
        <v>7</v>
      </c>
      <c r="B12" s="193"/>
      <c r="C12" s="193"/>
      <c r="D12" s="193"/>
      <c r="E12" s="193" t="s">
        <v>355</v>
      </c>
      <c r="F12" s="193"/>
      <c r="G12" s="193"/>
      <c r="H12" s="193"/>
    </row>
    <row r="13" spans="1:26" x14ac:dyDescent="0.35">
      <c r="A13" s="193" t="s">
        <v>172</v>
      </c>
      <c r="B13" s="193"/>
      <c r="C13" s="193"/>
      <c r="D13" s="193"/>
      <c r="E13" s="193" t="s">
        <v>28</v>
      </c>
      <c r="F13" s="193"/>
      <c r="G13" s="193"/>
      <c r="H13" s="193"/>
      <c r="S13" s="53" t="s">
        <v>181</v>
      </c>
      <c r="T13" s="53" t="s">
        <v>190</v>
      </c>
      <c r="U13" s="53" t="s">
        <v>173</v>
      </c>
      <c r="V13" s="53" t="s">
        <v>195</v>
      </c>
      <c r="W13" s="53" t="s">
        <v>213</v>
      </c>
      <c r="X13"/>
      <c r="Y13" t="s">
        <v>195</v>
      </c>
      <c r="Z13" t="e">
        <f ca="1">OFFSET($S$13,1,MATCH($G20,$S$13:$W$13,0)-1,15,1)</f>
        <v>#VALUE!</v>
      </c>
    </row>
    <row r="14" spans="1:26" x14ac:dyDescent="0.35">
      <c r="A14" s="215" t="s">
        <v>282</v>
      </c>
      <c r="B14" s="215"/>
      <c r="C14" s="215"/>
      <c r="D14" s="215"/>
      <c r="E14" s="175" t="s">
        <v>403</v>
      </c>
      <c r="F14" s="175"/>
      <c r="G14" s="175"/>
      <c r="H14" s="175"/>
      <c r="S14" s="53" t="s">
        <v>181</v>
      </c>
      <c r="T14" s="53" t="s">
        <v>188</v>
      </c>
      <c r="U14" s="53" t="s">
        <v>210</v>
      </c>
      <c r="V14" s="53" t="s">
        <v>196</v>
      </c>
      <c r="W14" s="53" t="s">
        <v>214</v>
      </c>
      <c r="X14"/>
      <c r="Y14"/>
      <c r="Z14"/>
    </row>
    <row r="15" spans="1:26" ht="31.5" customHeight="1" x14ac:dyDescent="0.35">
      <c r="A15" s="158" t="s">
        <v>8</v>
      </c>
      <c r="B15" s="158"/>
      <c r="C15" s="158"/>
      <c r="D15" s="158"/>
      <c r="E15" s="175" t="s">
        <v>356</v>
      </c>
      <c r="F15" s="193"/>
      <c r="G15" s="193"/>
      <c r="H15" s="193"/>
      <c r="I15" s="241" t="e">
        <f ca="1">OFFSET($D$5,1,MATCH($J13,$D$5:$H$5,0)-1,15,1)</f>
        <v>#N/A</v>
      </c>
      <c r="J15" s="242"/>
      <c r="K15" s="242"/>
      <c r="L15" s="242"/>
      <c r="M15" s="242"/>
      <c r="N15" s="242"/>
      <c r="O15" s="242"/>
      <c r="P15" s="242"/>
      <c r="S15" s="53" t="s">
        <v>182</v>
      </c>
      <c r="T15" s="53" t="s">
        <v>189</v>
      </c>
      <c r="U15" s="53" t="s">
        <v>211</v>
      </c>
      <c r="V15" s="53" t="s">
        <v>197</v>
      </c>
      <c r="W15" s="53" t="s">
        <v>227</v>
      </c>
      <c r="X15"/>
      <c r="Y15"/>
      <c r="Z15"/>
    </row>
    <row r="16" spans="1:26" ht="33" customHeight="1" x14ac:dyDescent="0.35">
      <c r="A16" s="211" t="s">
        <v>9</v>
      </c>
      <c r="B16" s="211"/>
      <c r="C16" s="211" t="str">
        <f>CONCATENATE((IF(OR(E9="",E9="NA"),"",E9)),", ",(IF(OR(A17="",A17="NA"),"",A17)),".",(IF(OR(C17="",C17="NA"),"",C17)),", near ",(IF(OR(C22="",C22="NA"),"",C22)),", ",(IF(OR(C19="",C19="NA"),"",C19)),", ",(IF(OR(C18="",C18="NA"),"",C18)),", ",(IF(OR(G19="",G19="NA"),"",G19)),", ",(IF(OR(C20="",C20="NA"),"",C20)),", ",(IF(OR(C21="",C21="NA"),"",C21)),", ",(IF(OR(G20="",G20="NA"),"",G20))," - ",(IF(OR(G21="",G21="NA"),"",G21)),".")</f>
        <v>Godrej Nurture, CTS No.216A &amp; 216C (Pt), near Filix Tower, LBS Marg, Sonapur, Bhandup, Nahur West, Mumbai, Mumbai - 400078.</v>
      </c>
      <c r="D16" s="211"/>
      <c r="E16" s="211"/>
      <c r="F16" s="211"/>
      <c r="G16" s="211"/>
      <c r="H16" s="211"/>
      <c r="S16" s="53" t="s">
        <v>183</v>
      </c>
      <c r="T16" s="53" t="s">
        <v>191</v>
      </c>
      <c r="U16" s="53" t="s">
        <v>212</v>
      </c>
      <c r="V16" s="53" t="s">
        <v>198</v>
      </c>
      <c r="W16" s="53" t="s">
        <v>215</v>
      </c>
      <c r="X16"/>
      <c r="Y16"/>
      <c r="Z16"/>
    </row>
    <row r="17" spans="1:26" x14ac:dyDescent="0.35">
      <c r="A17" s="175" t="s">
        <v>176</v>
      </c>
      <c r="B17" s="175"/>
      <c r="C17" s="175" t="s">
        <v>406</v>
      </c>
      <c r="D17" s="175"/>
      <c r="E17" s="175"/>
      <c r="F17" s="175"/>
      <c r="G17" s="175"/>
      <c r="H17" s="175"/>
      <c r="S17" s="53" t="s">
        <v>184</v>
      </c>
      <c r="T17" s="53" t="s">
        <v>192</v>
      </c>
      <c r="U17" s="53" t="s">
        <v>173</v>
      </c>
      <c r="V17" s="53" t="s">
        <v>199</v>
      </c>
      <c r="W17" s="53" t="s">
        <v>216</v>
      </c>
      <c r="X17"/>
      <c r="Y17"/>
      <c r="Z17"/>
    </row>
    <row r="18" spans="1:26" ht="15.75" customHeight="1" x14ac:dyDescent="0.35">
      <c r="A18" s="175" t="s">
        <v>163</v>
      </c>
      <c r="B18" s="175"/>
      <c r="C18" s="175" t="s">
        <v>358</v>
      </c>
      <c r="D18" s="175"/>
      <c r="E18" s="175"/>
      <c r="F18" s="175"/>
      <c r="G18" s="175"/>
      <c r="H18" s="175"/>
      <c r="S18" s="53" t="s">
        <v>185</v>
      </c>
      <c r="T18" s="53" t="s">
        <v>190</v>
      </c>
      <c r="U18" s="53"/>
      <c r="V18" s="53" t="s">
        <v>200</v>
      </c>
      <c r="W18" s="53" t="s">
        <v>217</v>
      </c>
      <c r="X18"/>
      <c r="Y18"/>
      <c r="Z18"/>
    </row>
    <row r="19" spans="1:26" ht="15.75" customHeight="1" x14ac:dyDescent="0.35">
      <c r="A19" s="175" t="s">
        <v>10</v>
      </c>
      <c r="B19" s="175"/>
      <c r="C19" s="193" t="s">
        <v>359</v>
      </c>
      <c r="D19" s="193"/>
      <c r="E19" s="175" t="s">
        <v>70</v>
      </c>
      <c r="F19" s="175"/>
      <c r="G19" s="175" t="s">
        <v>357</v>
      </c>
      <c r="H19" s="175"/>
      <c r="S19" s="53" t="s">
        <v>186</v>
      </c>
      <c r="T19" s="53" t="s">
        <v>193</v>
      </c>
      <c r="U19" s="53"/>
      <c r="V19" s="53" t="s">
        <v>201</v>
      </c>
      <c r="W19" s="53" t="s">
        <v>218</v>
      </c>
      <c r="X19"/>
      <c r="Y19"/>
      <c r="Z19"/>
    </row>
    <row r="20" spans="1:26" x14ac:dyDescent="0.35">
      <c r="A20" s="193" t="s">
        <v>12</v>
      </c>
      <c r="B20" s="193"/>
      <c r="C20" s="175" t="s">
        <v>360</v>
      </c>
      <c r="D20" s="175"/>
      <c r="E20" s="175" t="s">
        <v>11</v>
      </c>
      <c r="F20" s="175"/>
      <c r="G20" s="213" t="s">
        <v>173</v>
      </c>
      <c r="H20" s="213"/>
      <c r="S20" s="53" t="s">
        <v>187</v>
      </c>
      <c r="T20" s="53" t="s">
        <v>194</v>
      </c>
      <c r="U20" s="53"/>
      <c r="V20" s="53" t="s">
        <v>202</v>
      </c>
      <c r="W20" s="53" t="s">
        <v>219</v>
      </c>
      <c r="X20"/>
      <c r="Y20"/>
      <c r="Z20"/>
    </row>
    <row r="21" spans="1:26" x14ac:dyDescent="0.35">
      <c r="A21" s="193" t="s">
        <v>71</v>
      </c>
      <c r="B21" s="193"/>
      <c r="C21" s="175" t="s">
        <v>173</v>
      </c>
      <c r="D21" s="175"/>
      <c r="E21" s="175" t="s">
        <v>13</v>
      </c>
      <c r="F21" s="175"/>
      <c r="G21" s="175">
        <v>400078</v>
      </c>
      <c r="H21" s="175"/>
      <c r="S21" s="53"/>
      <c r="T21" s="53"/>
      <c r="U21" s="53"/>
      <c r="V21" s="53" t="s">
        <v>203</v>
      </c>
      <c r="W21" s="53" t="s">
        <v>220</v>
      </c>
      <c r="X21"/>
      <c r="Y21"/>
      <c r="Z21"/>
    </row>
    <row r="22" spans="1:26" ht="32.25" customHeight="1" x14ac:dyDescent="0.35">
      <c r="A22" s="193" t="s">
        <v>120</v>
      </c>
      <c r="B22" s="193"/>
      <c r="C22" s="175" t="s">
        <v>362</v>
      </c>
      <c r="D22" s="175"/>
      <c r="E22" s="175" t="s">
        <v>14</v>
      </c>
      <c r="F22" s="175"/>
      <c r="G22" s="175" t="s">
        <v>361</v>
      </c>
      <c r="H22" s="175"/>
      <c r="S22" s="53"/>
      <c r="T22" s="53"/>
      <c r="U22" s="53"/>
      <c r="V22" s="53" t="s">
        <v>204</v>
      </c>
      <c r="W22" s="53" t="s">
        <v>221</v>
      </c>
      <c r="X22"/>
      <c r="Y22"/>
      <c r="Z22"/>
    </row>
    <row r="23" spans="1:26" ht="15" customHeight="1" x14ac:dyDescent="0.35">
      <c r="A23" s="211" t="s">
        <v>73</v>
      </c>
      <c r="B23" s="211"/>
      <c r="C23" s="211"/>
      <c r="D23" s="211"/>
      <c r="E23" s="193" t="s">
        <v>15</v>
      </c>
      <c r="F23" s="193"/>
      <c r="G23" s="193"/>
      <c r="H23" s="193"/>
      <c r="S23" s="53"/>
      <c r="T23" s="53"/>
      <c r="U23" s="53"/>
      <c r="V23" s="53" t="s">
        <v>205</v>
      </c>
      <c r="W23" s="53" t="s">
        <v>222</v>
      </c>
      <c r="X23"/>
      <c r="Y23"/>
      <c r="Z23"/>
    </row>
    <row r="24" spans="1:26" ht="18.75" customHeight="1" x14ac:dyDescent="0.35">
      <c r="A24" s="211"/>
      <c r="B24" s="211"/>
      <c r="C24" s="211"/>
      <c r="D24" s="211"/>
      <c r="E24" s="193"/>
      <c r="F24" s="193"/>
      <c r="G24" s="193"/>
      <c r="H24" s="193"/>
      <c r="S24" s="53"/>
      <c r="T24" s="53"/>
      <c r="U24" s="53"/>
      <c r="V24" s="53" t="s">
        <v>206</v>
      </c>
      <c r="W24" s="53" t="s">
        <v>223</v>
      </c>
      <c r="X24"/>
      <c r="Y24"/>
      <c r="Z24"/>
    </row>
    <row r="25" spans="1:26" ht="15" customHeight="1" x14ac:dyDescent="0.35">
      <c r="A25" s="211" t="s">
        <v>16</v>
      </c>
      <c r="B25" s="211"/>
      <c r="C25" s="211"/>
      <c r="D25" s="211"/>
      <c r="E25" s="175" t="s">
        <v>17</v>
      </c>
      <c r="F25" s="175"/>
      <c r="G25" s="175"/>
      <c r="H25" s="175"/>
      <c r="S25" s="53"/>
      <c r="T25" s="53"/>
      <c r="U25" s="53"/>
      <c r="V25" s="53" t="s">
        <v>207</v>
      </c>
      <c r="W25" s="53" t="s">
        <v>224</v>
      </c>
      <c r="X25"/>
      <c r="Y25"/>
      <c r="Z25"/>
    </row>
    <row r="26" spans="1:26" ht="15" customHeight="1" x14ac:dyDescent="0.35">
      <c r="A26" s="158" t="s">
        <v>18</v>
      </c>
      <c r="B26" s="158"/>
      <c r="C26" s="158"/>
      <c r="D26" s="158"/>
      <c r="E26" s="175" t="str">
        <f>IF(AND(G20="Mumbai"),"Upper Class","Middle Class")</f>
        <v>Upper Class</v>
      </c>
      <c r="F26" s="175"/>
      <c r="G26" s="175"/>
      <c r="H26" s="175"/>
      <c r="S26" s="53"/>
      <c r="T26" s="53"/>
      <c r="U26" s="53"/>
      <c r="V26" s="53" t="s">
        <v>208</v>
      </c>
      <c r="W26" s="53" t="s">
        <v>225</v>
      </c>
      <c r="X26"/>
      <c r="Y26"/>
      <c r="Z26"/>
    </row>
    <row r="27" spans="1:26" x14ac:dyDescent="0.35">
      <c r="A27" s="158" t="s">
        <v>19</v>
      </c>
      <c r="B27" s="158"/>
      <c r="C27" s="158"/>
      <c r="D27" s="158"/>
      <c r="E27" s="175" t="s">
        <v>20</v>
      </c>
      <c r="F27" s="175"/>
      <c r="G27" s="175"/>
      <c r="H27" s="175"/>
      <c r="S27" s="53"/>
      <c r="T27" s="53"/>
      <c r="U27" s="53"/>
      <c r="V27" s="53" t="s">
        <v>209</v>
      </c>
      <c r="W27" s="53" t="s">
        <v>226</v>
      </c>
      <c r="X27"/>
      <c r="Y27"/>
      <c r="Z27"/>
    </row>
    <row r="28" spans="1:26" ht="15.75" customHeight="1" x14ac:dyDescent="0.35">
      <c r="A28" s="158" t="s">
        <v>21</v>
      </c>
      <c r="B28" s="158"/>
      <c r="C28" s="158"/>
      <c r="D28" s="158"/>
      <c r="E28" s="175" t="str">
        <f>IF(AND(G20="Mumbai"),"Developed","Developing")</f>
        <v>Developed</v>
      </c>
      <c r="F28" s="175"/>
      <c r="G28" s="175"/>
      <c r="H28" s="175"/>
    </row>
    <row r="29" spans="1:26" x14ac:dyDescent="0.35">
      <c r="A29" s="158" t="s">
        <v>22</v>
      </c>
      <c r="B29" s="158"/>
      <c r="C29" s="158"/>
      <c r="D29" s="158"/>
      <c r="E29" s="175" t="s">
        <v>23</v>
      </c>
      <c r="F29" s="175"/>
      <c r="G29" s="175"/>
      <c r="H29" s="175"/>
    </row>
    <row r="30" spans="1:26" ht="15.75" customHeight="1" x14ac:dyDescent="0.35">
      <c r="A30" s="158" t="s">
        <v>78</v>
      </c>
      <c r="B30" s="158"/>
      <c r="C30" s="158"/>
      <c r="D30" s="158"/>
      <c r="E30" s="175" t="s">
        <v>79</v>
      </c>
      <c r="F30" s="175"/>
      <c r="G30" s="175"/>
      <c r="H30" s="175"/>
    </row>
    <row r="31" spans="1:26" ht="15" customHeight="1" x14ac:dyDescent="0.35">
      <c r="A31" s="158" t="s">
        <v>30</v>
      </c>
      <c r="B31" s="158"/>
      <c r="C31" s="158"/>
      <c r="D31" s="158"/>
      <c r="E31" s="17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75"/>
      <c r="G31" s="175"/>
      <c r="H31" s="175"/>
    </row>
    <row r="32" spans="1:26" ht="15.75" customHeight="1" x14ac:dyDescent="0.35">
      <c r="A32" s="158" t="s">
        <v>90</v>
      </c>
      <c r="B32" s="158"/>
      <c r="C32" s="158"/>
      <c r="D32" s="158"/>
      <c r="E32" s="175" t="s">
        <v>31</v>
      </c>
      <c r="F32" s="175"/>
      <c r="G32" s="175"/>
      <c r="H32" s="175"/>
    </row>
    <row r="33" spans="1:19" s="22" customFormat="1" x14ac:dyDescent="0.35">
      <c r="A33" s="212" t="s">
        <v>91</v>
      </c>
      <c r="B33" s="212"/>
      <c r="C33" s="243" t="s">
        <v>174</v>
      </c>
      <c r="D33" s="243"/>
      <c r="E33" s="243"/>
      <c r="F33" s="243" t="s">
        <v>29</v>
      </c>
      <c r="G33" s="243"/>
      <c r="H33" s="243"/>
      <c r="S33" s="22" t="e">
        <f ca="1">OFFSET($S$13,1,MATCH($G20,$S$13:$W$13,0)-1,15,1)</f>
        <v>#VALUE!</v>
      </c>
    </row>
    <row r="34" spans="1:19" s="22" customFormat="1" x14ac:dyDescent="0.35">
      <c r="A34" s="190" t="s">
        <v>24</v>
      </c>
      <c r="B34" s="190" t="s">
        <v>28</v>
      </c>
      <c r="C34" s="265" t="s">
        <v>363</v>
      </c>
      <c r="D34" s="265"/>
      <c r="E34" s="265"/>
      <c r="F34" s="265" t="s">
        <v>359</v>
      </c>
      <c r="G34" s="265"/>
      <c r="H34" s="265"/>
    </row>
    <row r="35" spans="1:19" x14ac:dyDescent="0.35">
      <c r="A35" s="190" t="s">
        <v>25</v>
      </c>
      <c r="B35" s="190" t="s">
        <v>28</v>
      </c>
      <c r="C35" s="265" t="s">
        <v>364</v>
      </c>
      <c r="D35" s="265"/>
      <c r="E35" s="265"/>
      <c r="F35" s="265" t="s">
        <v>367</v>
      </c>
      <c r="G35" s="265"/>
      <c r="H35" s="265"/>
    </row>
    <row r="36" spans="1:19" s="22" customFormat="1" x14ac:dyDescent="0.35">
      <c r="A36" s="190" t="s">
        <v>27</v>
      </c>
      <c r="B36" s="190" t="s">
        <v>28</v>
      </c>
      <c r="C36" s="265" t="s">
        <v>366</v>
      </c>
      <c r="D36" s="265"/>
      <c r="E36" s="265"/>
      <c r="F36" s="265" t="s">
        <v>366</v>
      </c>
      <c r="G36" s="265"/>
      <c r="H36" s="265"/>
    </row>
    <row r="37" spans="1:19" x14ac:dyDescent="0.35">
      <c r="A37" s="190" t="s">
        <v>26</v>
      </c>
      <c r="B37" s="190" t="s">
        <v>28</v>
      </c>
      <c r="C37" s="265" t="s">
        <v>365</v>
      </c>
      <c r="D37" s="265"/>
      <c r="E37" s="265"/>
      <c r="F37" s="265" t="s">
        <v>362</v>
      </c>
      <c r="G37" s="265"/>
      <c r="H37" s="265"/>
    </row>
    <row r="38" spans="1:19" x14ac:dyDescent="0.35">
      <c r="A38" s="158" t="s">
        <v>283</v>
      </c>
      <c r="B38" s="158"/>
      <c r="C38" s="158"/>
      <c r="D38" s="158"/>
      <c r="E38" s="158"/>
      <c r="F38" s="158"/>
      <c r="G38" s="158"/>
      <c r="H38" s="158"/>
    </row>
    <row r="39" spans="1:19" ht="15.75" customHeight="1" x14ac:dyDescent="0.35">
      <c r="A39" s="158" t="s">
        <v>166</v>
      </c>
      <c r="B39" s="158"/>
      <c r="C39" s="192" t="s">
        <v>368</v>
      </c>
      <c r="D39" s="192"/>
      <c r="E39" s="192"/>
      <c r="F39" s="192"/>
      <c r="G39" s="192"/>
      <c r="H39" s="192"/>
    </row>
    <row r="40" spans="1:19" x14ac:dyDescent="0.35">
      <c r="A40" s="158" t="s">
        <v>162</v>
      </c>
      <c r="B40" s="158"/>
      <c r="C40" s="174" t="s">
        <v>369</v>
      </c>
      <c r="D40" s="175"/>
      <c r="E40" s="175"/>
      <c r="F40" s="175"/>
      <c r="G40" s="175"/>
      <c r="H40" s="175"/>
    </row>
    <row r="41" spans="1:19" x14ac:dyDescent="0.35">
      <c r="A41" s="192" t="s">
        <v>32</v>
      </c>
      <c r="B41" s="192"/>
      <c r="C41" s="192"/>
      <c r="D41" s="192"/>
      <c r="E41" s="192"/>
      <c r="F41" s="192"/>
      <c r="G41" s="192"/>
      <c r="H41" s="192"/>
    </row>
    <row r="42" spans="1:19" x14ac:dyDescent="0.35">
      <c r="A42" s="158" t="s">
        <v>33</v>
      </c>
      <c r="B42" s="158"/>
      <c r="C42" s="158"/>
      <c r="D42" s="158"/>
      <c r="E42" s="191">
        <v>22268.49</v>
      </c>
      <c r="F42" s="191"/>
      <c r="G42" s="191"/>
      <c r="H42" s="191"/>
    </row>
    <row r="43" spans="1:19" x14ac:dyDescent="0.35">
      <c r="A43" s="158" t="s">
        <v>34</v>
      </c>
      <c r="B43" s="158"/>
      <c r="C43" s="158"/>
      <c r="D43" s="158"/>
      <c r="E43" s="256">
        <f>22268.49/E42</f>
        <v>1</v>
      </c>
      <c r="F43" s="256"/>
      <c r="G43" s="256"/>
      <c r="H43" s="256"/>
    </row>
    <row r="44" spans="1:19" x14ac:dyDescent="0.35">
      <c r="A44" s="158" t="s">
        <v>35</v>
      </c>
      <c r="B44" s="158"/>
      <c r="C44" s="158"/>
      <c r="D44" s="158"/>
      <c r="E44" s="256">
        <f>E46/E42-E43</f>
        <v>1.4046538404714464</v>
      </c>
      <c r="F44" s="256"/>
      <c r="G44" s="256"/>
      <c r="H44" s="256"/>
    </row>
    <row r="45" spans="1:19" x14ac:dyDescent="0.35">
      <c r="A45" s="158" t="s">
        <v>36</v>
      </c>
      <c r="B45" s="158"/>
      <c r="C45" s="158"/>
      <c r="D45" s="158"/>
      <c r="E45" s="256">
        <f>E43+E44</f>
        <v>2.4046538404714464</v>
      </c>
      <c r="F45" s="256"/>
      <c r="G45" s="256"/>
      <c r="H45" s="256"/>
    </row>
    <row r="46" spans="1:19" x14ac:dyDescent="0.35">
      <c r="A46" s="158" t="s">
        <v>89</v>
      </c>
      <c r="B46" s="158"/>
      <c r="C46" s="158"/>
      <c r="D46" s="158"/>
      <c r="E46" s="258">
        <v>53548.01</v>
      </c>
      <c r="F46" s="258"/>
      <c r="G46" s="258"/>
      <c r="H46" s="258"/>
    </row>
    <row r="47" spans="1:19" x14ac:dyDescent="0.35">
      <c r="A47" s="193" t="s">
        <v>37</v>
      </c>
      <c r="B47" s="193"/>
      <c r="C47" s="193"/>
      <c r="D47" s="193"/>
      <c r="E47" s="193" t="s">
        <v>370</v>
      </c>
      <c r="F47" s="193"/>
      <c r="G47" s="193"/>
      <c r="H47" s="193"/>
    </row>
    <row r="48" spans="1:19" x14ac:dyDescent="0.35">
      <c r="A48" s="136" t="s">
        <v>38</v>
      </c>
      <c r="B48" s="136"/>
      <c r="C48" s="136"/>
      <c r="D48" s="136"/>
      <c r="E48" s="136"/>
      <c r="F48" s="136"/>
      <c r="G48" s="136"/>
      <c r="H48" s="136"/>
    </row>
    <row r="49" spans="1:24" ht="33.75" customHeight="1" x14ac:dyDescent="0.35">
      <c r="A49" s="194" t="s">
        <v>151</v>
      </c>
      <c r="B49" s="196"/>
      <c r="C49" s="207" t="s">
        <v>258</v>
      </c>
      <c r="D49" s="208"/>
      <c r="E49" s="208"/>
      <c r="F49" s="208"/>
      <c r="G49" s="208"/>
      <c r="H49" s="209"/>
      <c r="R49" t="s">
        <v>256</v>
      </c>
      <c r="S49" s="57" t="s">
        <v>173</v>
      </c>
      <c r="T49" s="57" t="s">
        <v>181</v>
      </c>
      <c r="U49" s="57" t="s">
        <v>195</v>
      </c>
      <c r="V49" s="57" t="s">
        <v>190</v>
      </c>
    </row>
    <row r="50" spans="1:24" ht="15.75" customHeight="1" x14ac:dyDescent="0.35">
      <c r="A50" s="194" t="s">
        <v>39</v>
      </c>
      <c r="B50" s="196"/>
      <c r="C50" s="194" t="s">
        <v>371</v>
      </c>
      <c r="D50" s="195"/>
      <c r="E50" s="196"/>
      <c r="F50" s="91" t="s">
        <v>40</v>
      </c>
      <c r="G50" s="197">
        <v>45505</v>
      </c>
      <c r="H50" s="196"/>
      <c r="R50"/>
      <c r="S50" s="57" t="s">
        <v>257</v>
      </c>
      <c r="T50" s="57" t="s">
        <v>262</v>
      </c>
      <c r="U50" s="57" t="s">
        <v>273</v>
      </c>
      <c r="V50" s="57" t="s">
        <v>278</v>
      </c>
    </row>
    <row r="51" spans="1:24" x14ac:dyDescent="0.35">
      <c r="A51" s="194" t="s">
        <v>41</v>
      </c>
      <c r="B51" s="196"/>
      <c r="C51" s="194" t="str">
        <f>C50</f>
        <v>CE/1068/BPES/AS</v>
      </c>
      <c r="D51" s="195"/>
      <c r="E51" s="196"/>
      <c r="F51" s="91" t="s">
        <v>40</v>
      </c>
      <c r="G51" s="197">
        <f>G50</f>
        <v>45505</v>
      </c>
      <c r="H51" s="206"/>
      <c r="R51"/>
      <c r="S51" s="57" t="s">
        <v>258</v>
      </c>
      <c r="T51" s="57" t="s">
        <v>263</v>
      </c>
      <c r="U51" s="57" t="s">
        <v>271</v>
      </c>
      <c r="V51" s="57" t="s">
        <v>279</v>
      </c>
    </row>
    <row r="52" spans="1:24" s="23" customFormat="1" ht="15.75" customHeight="1" x14ac:dyDescent="0.35">
      <c r="A52" s="200" t="s">
        <v>155</v>
      </c>
      <c r="B52" s="201"/>
      <c r="C52" s="194" t="s">
        <v>418</v>
      </c>
      <c r="D52" s="195"/>
      <c r="E52" s="196"/>
      <c r="F52" s="91" t="s">
        <v>40</v>
      </c>
      <c r="G52" s="197">
        <v>45610</v>
      </c>
      <c r="H52" s="206"/>
      <c r="R52"/>
      <c r="S52" s="57" t="s">
        <v>259</v>
      </c>
      <c r="T52" s="57" t="s">
        <v>264</v>
      </c>
      <c r="U52" s="57" t="s">
        <v>261</v>
      </c>
      <c r="V52" s="57" t="s">
        <v>280</v>
      </c>
    </row>
    <row r="53" spans="1:24" s="23" customFormat="1" ht="63" customHeight="1" x14ac:dyDescent="0.35">
      <c r="A53" s="202"/>
      <c r="B53" s="203"/>
      <c r="C53" s="194" t="s">
        <v>419</v>
      </c>
      <c r="D53" s="195"/>
      <c r="E53" s="196"/>
      <c r="F53" s="91" t="s">
        <v>119</v>
      </c>
      <c r="G53" s="197">
        <v>45974</v>
      </c>
      <c r="H53" s="196"/>
      <c r="R53"/>
      <c r="S53" s="57" t="s">
        <v>260</v>
      </c>
      <c r="T53" s="57" t="s">
        <v>267</v>
      </c>
      <c r="U53" s="57" t="s">
        <v>274</v>
      </c>
      <c r="V53" s="76"/>
    </row>
    <row r="54" spans="1:24" s="23" customFormat="1" x14ac:dyDescent="0.35">
      <c r="A54" s="249" t="s">
        <v>284</v>
      </c>
      <c r="B54" s="250"/>
      <c r="C54" s="194" t="s">
        <v>397</v>
      </c>
      <c r="D54" s="195"/>
      <c r="E54" s="196"/>
      <c r="F54" s="91" t="s">
        <v>40</v>
      </c>
      <c r="G54" s="197">
        <v>45329</v>
      </c>
      <c r="H54" s="196"/>
      <c r="R54"/>
      <c r="S54" s="57" t="s">
        <v>259</v>
      </c>
      <c r="T54" s="57" t="s">
        <v>264</v>
      </c>
      <c r="U54" s="57" t="s">
        <v>261</v>
      </c>
      <c r="V54" s="57" t="s">
        <v>280</v>
      </c>
    </row>
    <row r="55" spans="1:24" s="23" customFormat="1" ht="67.5" customHeight="1" x14ac:dyDescent="0.35">
      <c r="A55" s="251"/>
      <c r="B55" s="252"/>
      <c r="C55" s="178" t="s">
        <v>410</v>
      </c>
      <c r="D55" s="179"/>
      <c r="E55" s="179"/>
      <c r="F55" s="179"/>
      <c r="G55" s="179"/>
      <c r="H55" s="180"/>
      <c r="R55"/>
      <c r="S55" s="57" t="s">
        <v>261</v>
      </c>
      <c r="T55" s="57" t="s">
        <v>265</v>
      </c>
      <c r="U55" s="57" t="s">
        <v>275</v>
      </c>
      <c r="V55" s="77"/>
      <c r="W55" s="21"/>
      <c r="X55" s="21"/>
    </row>
    <row r="56" spans="1:24" s="23" customFormat="1" ht="34.5" customHeight="1" x14ac:dyDescent="0.35">
      <c r="A56" s="249" t="s">
        <v>285</v>
      </c>
      <c r="B56" s="250"/>
      <c r="C56" s="204" t="s">
        <v>415</v>
      </c>
      <c r="D56" s="205"/>
      <c r="E56" s="199"/>
      <c r="F56" s="18" t="s">
        <v>40</v>
      </c>
      <c r="G56" s="198">
        <v>42173</v>
      </c>
      <c r="H56" s="199"/>
      <c r="I56" s="101" t="s">
        <v>413</v>
      </c>
      <c r="R56"/>
      <c r="S56" s="77"/>
      <c r="T56" s="57" t="s">
        <v>266</v>
      </c>
      <c r="U56" s="57" t="s">
        <v>276</v>
      </c>
      <c r="V56" s="77"/>
      <c r="W56" s="21"/>
      <c r="X56" s="21"/>
    </row>
    <row r="57" spans="1:24" s="23" customFormat="1" ht="40.5" customHeight="1" x14ac:dyDescent="0.35">
      <c r="A57" s="251"/>
      <c r="B57" s="252"/>
      <c r="C57" s="204" t="s">
        <v>414</v>
      </c>
      <c r="D57" s="205"/>
      <c r="E57" s="205"/>
      <c r="F57" s="205"/>
      <c r="G57" s="205"/>
      <c r="H57" s="199"/>
      <c r="R57"/>
      <c r="S57" s="77"/>
      <c r="T57" s="57" t="s">
        <v>268</v>
      </c>
      <c r="U57" s="57" t="s">
        <v>277</v>
      </c>
      <c r="V57" s="77"/>
      <c r="W57" s="21"/>
      <c r="X57" s="21"/>
    </row>
    <row r="58" spans="1:24" s="23" customFormat="1" ht="15.75" customHeight="1" x14ac:dyDescent="0.35">
      <c r="A58" s="200" t="s">
        <v>286</v>
      </c>
      <c r="B58" s="201"/>
      <c r="C58" s="204" t="s">
        <v>399</v>
      </c>
      <c r="D58" s="205"/>
      <c r="E58" s="199"/>
      <c r="F58" s="18" t="s">
        <v>40</v>
      </c>
      <c r="G58" s="198">
        <v>45314</v>
      </c>
      <c r="H58" s="199"/>
      <c r="R58"/>
      <c r="S58" s="77"/>
      <c r="T58" s="57" t="s">
        <v>269</v>
      </c>
      <c r="U58" s="77" t="s">
        <v>300</v>
      </c>
      <c r="V58" s="77"/>
      <c r="W58" s="21"/>
      <c r="X58" s="21"/>
    </row>
    <row r="59" spans="1:24" s="23" customFormat="1" ht="32.25" customHeight="1" x14ac:dyDescent="0.35">
      <c r="A59" s="202"/>
      <c r="B59" s="203"/>
      <c r="C59" s="204" t="s">
        <v>404</v>
      </c>
      <c r="D59" s="205"/>
      <c r="E59" s="205"/>
      <c r="F59" s="205"/>
      <c r="G59" s="205"/>
      <c r="H59" s="199"/>
      <c r="R59"/>
      <c r="S59" s="77"/>
      <c r="T59" s="57" t="s">
        <v>270</v>
      </c>
      <c r="U59" s="77"/>
      <c r="V59" s="77"/>
      <c r="W59" s="21"/>
      <c r="X59" s="21"/>
    </row>
    <row r="60" spans="1:24" x14ac:dyDescent="0.35">
      <c r="A60" s="244" t="s">
        <v>42</v>
      </c>
      <c r="B60" s="245"/>
      <c r="C60" s="244" t="s">
        <v>103</v>
      </c>
      <c r="D60" s="246"/>
      <c r="E60" s="245"/>
      <c r="F60" s="43" t="s">
        <v>40</v>
      </c>
      <c r="G60" s="247" t="s">
        <v>28</v>
      </c>
      <c r="H60" s="248"/>
      <c r="R60"/>
      <c r="S60" s="77"/>
      <c r="T60" s="57" t="s">
        <v>272</v>
      </c>
      <c r="U60" s="77"/>
      <c r="V60" s="77"/>
    </row>
    <row r="61" spans="1:24" x14ac:dyDescent="0.35">
      <c r="A61" s="210" t="s">
        <v>44</v>
      </c>
      <c r="B61" s="210"/>
      <c r="C61" s="210"/>
      <c r="D61" s="210"/>
      <c r="E61" s="210"/>
      <c r="F61" s="210"/>
      <c r="G61" s="210"/>
      <c r="H61" s="210"/>
      <c r="S61" s="77"/>
      <c r="T61" s="57" t="s">
        <v>281</v>
      </c>
      <c r="U61" s="77"/>
      <c r="V61" s="77"/>
    </row>
    <row r="62" spans="1:24" x14ac:dyDescent="0.35">
      <c r="A62" s="211" t="s">
        <v>88</v>
      </c>
      <c r="B62" s="211"/>
      <c r="C62" s="211"/>
      <c r="D62" s="158">
        <f>E46</f>
        <v>53548.01</v>
      </c>
      <c r="E62" s="158"/>
      <c r="F62" s="158"/>
      <c r="G62" s="158"/>
      <c r="H62" s="158"/>
      <c r="R62"/>
    </row>
    <row r="63" spans="1:24" x14ac:dyDescent="0.35">
      <c r="A63" s="175" t="s">
        <v>45</v>
      </c>
      <c r="B63" s="193"/>
      <c r="C63" s="193"/>
      <c r="D63" s="193" t="s">
        <v>398</v>
      </c>
      <c r="E63" s="193"/>
      <c r="F63" s="193"/>
      <c r="G63" s="193"/>
      <c r="H63" s="193"/>
      <c r="I63" s="24"/>
      <c r="R63"/>
    </row>
    <row r="64" spans="1:24" ht="33" customHeight="1" x14ac:dyDescent="0.35">
      <c r="A64" s="175" t="s">
        <v>46</v>
      </c>
      <c r="B64" s="175"/>
      <c r="C64" s="175"/>
      <c r="D64" s="175" t="s">
        <v>373</v>
      </c>
      <c r="E64" s="193"/>
      <c r="F64" s="193"/>
      <c r="G64" s="193"/>
      <c r="H64" s="193"/>
      <c r="R64"/>
    </row>
    <row r="65" spans="1:19" ht="15.75" customHeight="1" x14ac:dyDescent="0.35">
      <c r="A65" s="175" t="s">
        <v>86</v>
      </c>
      <c r="B65" s="175"/>
      <c r="C65" s="175"/>
      <c r="D65" s="193" t="s">
        <v>374</v>
      </c>
      <c r="E65" s="193"/>
      <c r="F65" s="193"/>
      <c r="G65" s="193"/>
      <c r="H65" s="193"/>
      <c r="R65"/>
    </row>
    <row r="66" spans="1:19" ht="15.75" customHeight="1" x14ac:dyDescent="0.35">
      <c r="A66" s="175"/>
      <c r="B66" s="175"/>
      <c r="C66" s="175"/>
      <c r="D66" s="193" t="s">
        <v>375</v>
      </c>
      <c r="E66" s="193"/>
      <c r="F66" s="193"/>
      <c r="G66" s="193"/>
      <c r="H66" s="193"/>
      <c r="R66"/>
    </row>
    <row r="67" spans="1:19" ht="15.75" customHeight="1" x14ac:dyDescent="0.35">
      <c r="A67" s="193" t="s">
        <v>43</v>
      </c>
      <c r="B67" s="193"/>
      <c r="C67" s="193"/>
      <c r="D67" s="175" t="s">
        <v>372</v>
      </c>
      <c r="E67" s="175"/>
      <c r="F67" s="175"/>
      <c r="G67" s="175"/>
      <c r="H67" s="175"/>
      <c r="J67" s="25"/>
      <c r="K67" s="24"/>
      <c r="N67" s="24"/>
      <c r="S67"/>
    </row>
    <row r="68" spans="1:19" ht="15.75" customHeight="1" x14ac:dyDescent="0.35">
      <c r="A68" s="193" t="s">
        <v>84</v>
      </c>
      <c r="B68" s="193"/>
      <c r="C68" s="193"/>
      <c r="D68" s="257" t="str">
        <f>(IF(G60="NA","60 Years After Completion",IF(G60&lt;&gt;"NA",""&amp;60-ROUNDDOWN((E3-G60)/360,0)&amp;" Years"," ")))</f>
        <v>60 Years After Completion</v>
      </c>
      <c r="E68" s="257"/>
      <c r="F68" s="257"/>
      <c r="G68" s="257"/>
      <c r="H68" s="257"/>
      <c r="N68" s="24"/>
      <c r="S68"/>
    </row>
    <row r="69" spans="1:19" ht="15.75" customHeight="1" x14ac:dyDescent="0.35">
      <c r="A69" s="193" t="s">
        <v>85</v>
      </c>
      <c r="B69" s="193"/>
      <c r="C69" s="193"/>
      <c r="D69" s="175" t="s">
        <v>23</v>
      </c>
      <c r="E69" s="175"/>
      <c r="F69" s="175"/>
      <c r="G69" s="175"/>
      <c r="H69" s="175"/>
      <c r="J69" s="26"/>
      <c r="K69" s="26"/>
      <c r="S69"/>
    </row>
    <row r="70" spans="1:19" ht="33" customHeight="1" x14ac:dyDescent="0.35">
      <c r="A70" s="214" t="s">
        <v>407</v>
      </c>
      <c r="B70" s="214"/>
      <c r="C70" s="214"/>
      <c r="D70" s="175" t="s">
        <v>400</v>
      </c>
      <c r="E70" s="175"/>
      <c r="F70" s="175"/>
      <c r="G70" s="175"/>
      <c r="H70" s="175"/>
      <c r="S70"/>
    </row>
    <row r="71" spans="1:19" x14ac:dyDescent="0.35">
      <c r="A71" s="175" t="s">
        <v>147</v>
      </c>
      <c r="B71" s="175"/>
      <c r="C71" s="175"/>
      <c r="D71" s="175" t="s">
        <v>28</v>
      </c>
      <c r="E71" s="175"/>
      <c r="F71" s="175"/>
      <c r="G71" s="175"/>
      <c r="H71" s="175"/>
      <c r="I71" s="27"/>
      <c r="J71" s="27"/>
      <c r="K71" s="27"/>
      <c r="L71" s="27"/>
      <c r="M71" s="27"/>
      <c r="N71" s="27"/>
    </row>
    <row r="72" spans="1:19" ht="15.75" customHeight="1" x14ac:dyDescent="0.35">
      <c r="A72" s="158" t="s">
        <v>83</v>
      </c>
      <c r="B72" s="158"/>
      <c r="C72" s="158"/>
      <c r="D72" s="175" t="str">
        <f ca="1">(IF(G92&gt;95%,"Nothing",IF(G92&gt;0%,"Cement, Aggregate, Steel, etc",IF(G92=0%,"Work not yet Started"))))</f>
        <v>Cement, Aggregate, Steel, etc</v>
      </c>
      <c r="E72" s="175"/>
      <c r="F72" s="175"/>
      <c r="G72" s="175"/>
      <c r="H72" s="175"/>
      <c r="J72" s="26"/>
      <c r="S72"/>
    </row>
    <row r="73" spans="1:19" ht="33.75" customHeight="1" thickBot="1" x14ac:dyDescent="0.4">
      <c r="A73" s="211" t="s">
        <v>116</v>
      </c>
      <c r="B73" s="211"/>
      <c r="C73" s="211"/>
      <c r="D73" s="175" t="str">
        <f ca="1">(IF(D72="Nothing","Yes",IF(D72="Cement, Aggregate, Steel, etc","Under Construction",IF(D72="Work not yet Started","Work not yet Started"))))</f>
        <v>Under Construction</v>
      </c>
      <c r="E73" s="175"/>
      <c r="F73" s="175" t="str">
        <f ca="1">(IF(D72="Nothing","Yes",IF(D72="Cement, Aggregate, Steel, etc","Under Construction",IF(D72="Work not yet Started","Work not yet Started"))))</f>
        <v>Under Construction</v>
      </c>
      <c r="G73" s="175"/>
      <c r="H73" s="175"/>
      <c r="S73"/>
    </row>
    <row r="74" spans="1:19" ht="15.75" customHeight="1" x14ac:dyDescent="0.35">
      <c r="A74" s="268" t="s">
        <v>137</v>
      </c>
      <c r="B74" s="268"/>
      <c r="C74" s="137" t="str">
        <f>D65</f>
        <v>Tower 2 = G + 1st to 44th Floor</v>
      </c>
      <c r="D74" s="137"/>
      <c r="E74" s="137"/>
      <c r="F74" s="137"/>
      <c r="G74" s="137"/>
      <c r="H74" s="137"/>
      <c r="I74" s="266" t="str">
        <f ca="1">IF(D87=100%,"All work Completed. Possession granted to the Building.",IF(D86=100%,"All work Completed, Waiting for OC",I75&amp;""&amp;I76&amp;""&amp;J75&amp;""&amp;J74&amp;" "&amp;J76))</f>
        <v xml:space="preserve">Piling work in process </v>
      </c>
      <c r="J74" s="47"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c>
      <c r="S74"/>
    </row>
    <row r="75" spans="1:19" x14ac:dyDescent="0.35">
      <c r="A75" s="50" t="s">
        <v>139</v>
      </c>
      <c r="B75" s="50">
        <f>IF(AND(ISNUMBER(SEARCH("1B",C74))),1,IF(AND(ISNUMBER(SEARCH("2B",C74))),2,IF(AND(ISNUMBER(SEARCH("3B",C74))),3,IF(AND(ISNUMBER(SEARCH("4B",C74))),4,IF(ISNUMBER(SEARCH("5B",C74)),5,0)))))</f>
        <v>0</v>
      </c>
      <c r="C75" s="50" t="s">
        <v>69</v>
      </c>
      <c r="D75" s="50">
        <v>1</v>
      </c>
      <c r="E75" s="50" t="s">
        <v>68</v>
      </c>
      <c r="F75" s="50">
        <v>0</v>
      </c>
      <c r="G75" s="50" t="s">
        <v>77</v>
      </c>
      <c r="H75" s="50">
        <f ca="1">--TRIM(RIGHT(SUBSTITUTE(LEFT(C74,_xlfn.AGGREGATE(16,6,FIND({0,1,2,3,4,5,6,7,8,9},C74,ROW(INDIRECT("1:"&amp;LEN(C74)))),1))," ",REPT(" ",LEN(C74))),LEN(C74)))</f>
        <v>44</v>
      </c>
      <c r="I75" s="267" t="str">
        <f ca="1">IF(D78=100%,"Excavation","")&amp;IF(D79=100%,", Plinth","")&amp;IF(D80=100%,", RCC Slab","")&amp;IF(D81=100%,", Brickwork","")&amp;IF(D82=100%,", Internal Plaster","")&amp;IF(D83=100%,", External Plaster","")&amp;IF(D84=100%,", Flooring","")&amp;IF(D85=100%,", Painting","")&amp;IF(D86=100%,", Building common Amenities","")</f>
        <v/>
      </c>
      <c r="J75" s="49"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Piling work in process</v>
      </c>
      <c r="S75"/>
    </row>
    <row r="76" spans="1:19" x14ac:dyDescent="0.35">
      <c r="A76" s="135" t="s">
        <v>87</v>
      </c>
      <c r="B76" s="136"/>
      <c r="C76" s="137" t="str">
        <f ca="1">I74</f>
        <v xml:space="preserve">Piling work in process </v>
      </c>
      <c r="D76" s="137"/>
      <c r="E76" s="137"/>
      <c r="F76" s="137"/>
      <c r="G76" s="137"/>
      <c r="H76" s="138"/>
      <c r="I76" s="48" t="str">
        <f ca="1">IF(I75&lt;&gt;""," Completed","")</f>
        <v/>
      </c>
      <c r="J76" s="49" t="str">
        <f ca="1">IF(J74&lt;&gt;"","Completed","")</f>
        <v/>
      </c>
      <c r="S76"/>
    </row>
    <row r="77" spans="1:19" ht="15.75" customHeight="1" x14ac:dyDescent="0.35">
      <c r="A77" s="122" t="s">
        <v>47</v>
      </c>
      <c r="B77" s="123"/>
      <c r="C77" s="92" t="s">
        <v>136</v>
      </c>
      <c r="D77" s="92" t="s">
        <v>80</v>
      </c>
      <c r="E77" s="123" t="s">
        <v>82</v>
      </c>
      <c r="F77" s="123"/>
      <c r="G77" s="123" t="s">
        <v>81</v>
      </c>
      <c r="H77" s="254"/>
      <c r="I77" s="13" t="s">
        <v>138</v>
      </c>
      <c r="J77" s="28">
        <f ca="1">H75*25%</f>
        <v>11</v>
      </c>
      <c r="S77"/>
    </row>
    <row r="78" spans="1:19" x14ac:dyDescent="0.35">
      <c r="A78" s="122" t="s">
        <v>125</v>
      </c>
      <c r="B78" s="123"/>
      <c r="C78" s="92">
        <f ca="1">J77</f>
        <v>11</v>
      </c>
      <c r="D78" s="93">
        <f ca="1">((100/H75)*C78)/100</f>
        <v>0.25000000000000006</v>
      </c>
      <c r="E78" s="124">
        <f ca="1">(((C79/H75*10)+(40/(D75+F75+H75)*C80)+(7.5/(H75)*C81)+(7.5/(H75)*C82)+(10/H75*C83)+(10/H75*C84)+(5/H75*C85)+(5/H75*C86)+(5/H75*C87))/100)</f>
        <v>0</v>
      </c>
      <c r="F78" s="125"/>
      <c r="G78" s="124">
        <f ca="1">((((C78/H75)*20)+((C79/H75)*25)+(30/(H75+F75+D75)*C80)+(5/H75*C81)+(5/H75*C82)+(5/H75*C83)+(5/H75*C84)+(0/H75*C85)+(0/H75*C86)+(5/H75*C87))/100)</f>
        <v>0.05</v>
      </c>
      <c r="H78" s="155"/>
      <c r="I78" s="13" t="s">
        <v>98</v>
      </c>
      <c r="J78" s="29">
        <f ca="1">H75*50%</f>
        <v>22</v>
      </c>
    </row>
    <row r="79" spans="1:19" x14ac:dyDescent="0.35">
      <c r="A79" s="122" t="s">
        <v>48</v>
      </c>
      <c r="B79" s="123"/>
      <c r="C79" s="92">
        <v>0</v>
      </c>
      <c r="D79" s="93">
        <f ca="1">((100/H75)*C79)/100</f>
        <v>0</v>
      </c>
      <c r="E79" s="126"/>
      <c r="F79" s="127"/>
      <c r="G79" s="126"/>
      <c r="H79" s="156"/>
      <c r="I79" s="13" t="s">
        <v>99</v>
      </c>
      <c r="J79" s="29">
        <f ca="1">H75</f>
        <v>44</v>
      </c>
      <c r="S79"/>
    </row>
    <row r="80" spans="1:19" ht="15.75" customHeight="1" x14ac:dyDescent="0.35">
      <c r="A80" s="122" t="s">
        <v>126</v>
      </c>
      <c r="B80" s="123"/>
      <c r="C80" s="92">
        <v>0</v>
      </c>
      <c r="D80" s="93">
        <f ca="1">((100/(D75+F75+H75))*C80)/100</f>
        <v>0</v>
      </c>
      <c r="E80" s="126"/>
      <c r="F80" s="127"/>
      <c r="G80" s="126"/>
      <c r="H80" s="156"/>
      <c r="I80" s="13" t="s">
        <v>100</v>
      </c>
      <c r="J80" s="30">
        <f ca="1">(IF(B75&gt;1,(H75/(B75+2)),H75/4))</f>
        <v>11</v>
      </c>
      <c r="S80"/>
    </row>
    <row r="81" spans="1:19" ht="15.75" customHeight="1" x14ac:dyDescent="0.35">
      <c r="A81" s="122" t="s">
        <v>133</v>
      </c>
      <c r="B81" s="123" t="s">
        <v>127</v>
      </c>
      <c r="C81" s="92">
        <v>0</v>
      </c>
      <c r="D81" s="93">
        <f ca="1">((100/H75)*C81)/100</f>
        <v>0</v>
      </c>
      <c r="E81" s="126"/>
      <c r="F81" s="127"/>
      <c r="G81" s="126"/>
      <c r="H81" s="156"/>
      <c r="I81" s="13" t="s">
        <v>101</v>
      </c>
      <c r="J81" s="30">
        <f ca="1">(IF(B75&gt;1,(H75/(B75+2)+J80),H75/4+J80))</f>
        <v>22</v>
      </c>
    </row>
    <row r="82" spans="1:19" ht="15.75" customHeight="1" x14ac:dyDescent="0.35">
      <c r="A82" s="122" t="s">
        <v>134</v>
      </c>
      <c r="B82" s="123" t="s">
        <v>127</v>
      </c>
      <c r="C82" s="92">
        <v>0</v>
      </c>
      <c r="D82" s="93">
        <f ca="1">((100/H75)*C82)/100</f>
        <v>0</v>
      </c>
      <c r="E82" s="126"/>
      <c r="F82" s="127"/>
      <c r="G82" s="126"/>
      <c r="H82" s="156"/>
      <c r="I82" s="13" t="s">
        <v>145</v>
      </c>
      <c r="J82" s="30">
        <f>(IF(B75&gt;1,(H75/(B75+2)+J81),0))</f>
        <v>0</v>
      </c>
    </row>
    <row r="83" spans="1:19" ht="15" customHeight="1" x14ac:dyDescent="0.35">
      <c r="A83" s="122" t="s">
        <v>132</v>
      </c>
      <c r="B83" s="123" t="s">
        <v>129</v>
      </c>
      <c r="C83" s="92">
        <v>0</v>
      </c>
      <c r="D83" s="93">
        <f ca="1">((100/(H75))*C83)/100</f>
        <v>0</v>
      </c>
      <c r="E83" s="126"/>
      <c r="F83" s="127"/>
      <c r="G83" s="126"/>
      <c r="H83" s="156"/>
      <c r="I83" s="13" t="s">
        <v>140</v>
      </c>
      <c r="J83" s="30">
        <f>(IF(B75&gt;2,(H75/(B75+2)+J82),0))</f>
        <v>0</v>
      </c>
    </row>
    <row r="84" spans="1:19" ht="15.75" customHeight="1" x14ac:dyDescent="0.35">
      <c r="A84" s="122" t="s">
        <v>128</v>
      </c>
      <c r="B84" s="123" t="s">
        <v>128</v>
      </c>
      <c r="C84" s="92">
        <v>0</v>
      </c>
      <c r="D84" s="93">
        <f ca="1">((100/H75)*C84)/100</f>
        <v>0</v>
      </c>
      <c r="E84" s="126"/>
      <c r="F84" s="127"/>
      <c r="G84" s="126"/>
      <c r="H84" s="156"/>
      <c r="I84" s="13" t="s">
        <v>141</v>
      </c>
      <c r="J84" s="31">
        <f>(IF(B75&gt;3,(H75/(B75+2)+J83),0))</f>
        <v>0</v>
      </c>
    </row>
    <row r="85" spans="1:19" ht="15.75" customHeight="1" x14ac:dyDescent="0.35">
      <c r="A85" s="122" t="s">
        <v>135</v>
      </c>
      <c r="B85" s="123"/>
      <c r="C85" s="92">
        <v>0</v>
      </c>
      <c r="D85" s="93">
        <f ca="1">((100/H75)*C85)/100</f>
        <v>0</v>
      </c>
      <c r="E85" s="126"/>
      <c r="F85" s="127"/>
      <c r="G85" s="126"/>
      <c r="H85" s="156"/>
      <c r="I85" s="13" t="s">
        <v>142</v>
      </c>
      <c r="J85" s="30">
        <f>(IF(B75&gt;4,(H75/(B75+2)+J84),0))</f>
        <v>0</v>
      </c>
    </row>
    <row r="86" spans="1:19" ht="15.75" customHeight="1" x14ac:dyDescent="0.35">
      <c r="A86" s="122" t="s">
        <v>130</v>
      </c>
      <c r="B86" s="123" t="s">
        <v>130</v>
      </c>
      <c r="C86" s="92">
        <v>0</v>
      </c>
      <c r="D86" s="93">
        <f ca="1">((100/(H75))*C86)/100</f>
        <v>0</v>
      </c>
      <c r="E86" s="126"/>
      <c r="F86" s="127"/>
      <c r="G86" s="126"/>
      <c r="H86" s="156"/>
      <c r="I86" s="13" t="s">
        <v>146</v>
      </c>
      <c r="J86" s="30">
        <f ca="1">(IF(B75=1,(H75/(B75+3)+J81),IF(B75=0,(H75/4+J81),IF(B75&gt;1,0))))</f>
        <v>33</v>
      </c>
    </row>
    <row r="87" spans="1:19" ht="16" thickBot="1" x14ac:dyDescent="0.4">
      <c r="A87" s="239" t="s">
        <v>131</v>
      </c>
      <c r="B87" s="240"/>
      <c r="C87" s="94">
        <v>0</v>
      </c>
      <c r="D87" s="95">
        <f ca="1">((100/(H75))*C87)/100</f>
        <v>0</v>
      </c>
      <c r="E87" s="128"/>
      <c r="F87" s="129"/>
      <c r="G87" s="128"/>
      <c r="H87" s="157"/>
      <c r="I87" s="15" t="s">
        <v>102</v>
      </c>
      <c r="J87" s="32">
        <f ca="1">(IF(B75&gt;1.5,(H75/(B75+2)+J81+MAX(0,J82-J81)+MAX(0,J83-J82)+MAX(0,J84-J83)+MAX(0,J85-J84)+MAX(0,J86-J85)),IF(B75=1,(H75/(B75+3)+J86),IF(B75=0,H75/4+J86))))</f>
        <v>44</v>
      </c>
    </row>
    <row r="88" spans="1:19" ht="15.75" customHeight="1" x14ac:dyDescent="0.35">
      <c r="A88" s="181" t="s">
        <v>137</v>
      </c>
      <c r="B88" s="182"/>
      <c r="C88" s="183" t="str">
        <f>D66</f>
        <v>Tower 3 = G + 1st to 43rd Floor</v>
      </c>
      <c r="D88" s="184"/>
      <c r="E88" s="184"/>
      <c r="F88" s="184"/>
      <c r="G88" s="184"/>
      <c r="H88" s="185"/>
      <c r="I88" s="46" t="str">
        <f ca="1">IF(D101=100%,"All work Completed. Possession granted to the Building.",IF(D100=100%,"All work Completed, Waiting for OC",I89&amp;""&amp;I90&amp;""&amp;J89&amp;""&amp;J88&amp;" "&amp;J90))</f>
        <v xml:space="preserve">Excavation work in process </v>
      </c>
      <c r="J88" s="47"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c>
      <c r="S88"/>
    </row>
    <row r="89" spans="1:19" x14ac:dyDescent="0.35">
      <c r="A89" s="16" t="s">
        <v>139</v>
      </c>
      <c r="B89" s="50">
        <f>IF(AND(ISNUMBER(SEARCH("1B",C88))),1,IF(AND(ISNUMBER(SEARCH("2B",C88))),2,IF(AND(ISNUMBER(SEARCH("3B",C88))),3,IF(AND(ISNUMBER(SEARCH("4B",C88))),4,IF(ISNUMBER(SEARCH("5B",C88)),5,0)))))</f>
        <v>0</v>
      </c>
      <c r="C89" s="50" t="s">
        <v>69</v>
      </c>
      <c r="D89" s="50">
        <v>1</v>
      </c>
      <c r="E89" s="50" t="s">
        <v>68</v>
      </c>
      <c r="F89" s="50">
        <v>0</v>
      </c>
      <c r="G89" s="50" t="s">
        <v>77</v>
      </c>
      <c r="H89" s="17">
        <f ca="1">--TRIM(RIGHT(SUBSTITUTE(LEFT(C88,_xlfn.AGGREGATE(16,6,FIND({0,1,2,3,4,5,6,7,8,9},C88,ROW(INDIRECT("1:"&amp;LEN(C88)))),1))," ",REPT(" ",LEN(C88))),LEN(C88)))</f>
        <v>43</v>
      </c>
      <c r="I89" s="48" t="str">
        <f ca="1">IF(D92=100%,"Excavation","")&amp;IF(D93=100%,", Plinth","")&amp;IF(D94=100%,", RCC Slab","")&amp;IF(D95=100%,", Brickwork","")&amp;IF(D96=100%,", Internal Plaster","")&amp;IF(D97=100%,", External Plaster","")&amp;IF(D98=100%,", Flooring","")&amp;IF(D99=100%,", Painting","")&amp;IF(D100=100%,", Building common Amenities","")</f>
        <v/>
      </c>
      <c r="J89" s="49"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Excavation work in process</v>
      </c>
      <c r="S89"/>
    </row>
    <row r="90" spans="1:19" x14ac:dyDescent="0.35">
      <c r="A90" s="135" t="s">
        <v>87</v>
      </c>
      <c r="B90" s="136"/>
      <c r="C90" s="137" t="str">
        <f ca="1">I88</f>
        <v xml:space="preserve">Excavation work in process </v>
      </c>
      <c r="D90" s="137"/>
      <c r="E90" s="137"/>
      <c r="F90" s="137"/>
      <c r="G90" s="137"/>
      <c r="H90" s="138"/>
      <c r="I90" s="48" t="str">
        <f ca="1">IF(I89&lt;&gt;""," Completed","")</f>
        <v/>
      </c>
      <c r="J90" s="49" t="str">
        <f ca="1">IF(J88&lt;&gt;"","Completed","")</f>
        <v/>
      </c>
      <c r="S90"/>
    </row>
    <row r="91" spans="1:19" ht="15.75" customHeight="1" x14ac:dyDescent="0.35">
      <c r="A91" s="122" t="s">
        <v>47</v>
      </c>
      <c r="B91" s="123"/>
      <c r="C91" s="92" t="s">
        <v>136</v>
      </c>
      <c r="D91" s="92" t="s">
        <v>80</v>
      </c>
      <c r="E91" s="123" t="s">
        <v>82</v>
      </c>
      <c r="F91" s="123"/>
      <c r="G91" s="123" t="s">
        <v>81</v>
      </c>
      <c r="H91" s="254"/>
      <c r="I91" s="13" t="s">
        <v>138</v>
      </c>
      <c r="J91" s="28">
        <f ca="1">H89*25%</f>
        <v>10.75</v>
      </c>
      <c r="S91"/>
    </row>
    <row r="92" spans="1:19" x14ac:dyDescent="0.35">
      <c r="A92" s="122" t="s">
        <v>125</v>
      </c>
      <c r="B92" s="123"/>
      <c r="C92" s="92">
        <f ca="1">J92</f>
        <v>21.5</v>
      </c>
      <c r="D92" s="93">
        <f ca="1">((100/H89)*C92)/100</f>
        <v>0.5</v>
      </c>
      <c r="E92" s="124">
        <f ca="1">(((C93/H89*10)+(40/(D89+F89+H89)*C94)+(7.5/(H89)*C95)+(7.5/(H89)*C96)+(10/H89*C97)+(10/H89*C98)+(5/H89*C99)+(5/H89*C100)+(5/H89*C101))/100)</f>
        <v>0</v>
      </c>
      <c r="F92" s="125"/>
      <c r="G92" s="124">
        <f ca="1">((((C92/H89)*20)+((C93/H89)*25)+(30/(H89+F89+D89)*C94)+(5/H89*C95)+(5/H89*C96)+(5/H89*C97)+(5/H89*C98)+(0/H89*C99)+(0/H89*C100)+(5/H89*C101))/100)</f>
        <v>0.1</v>
      </c>
      <c r="H92" s="155"/>
      <c r="I92" s="13" t="s">
        <v>98</v>
      </c>
      <c r="J92" s="29">
        <f ca="1">H89*50%</f>
        <v>21.5</v>
      </c>
    </row>
    <row r="93" spans="1:19" x14ac:dyDescent="0.35">
      <c r="A93" s="122" t="s">
        <v>48</v>
      </c>
      <c r="B93" s="123"/>
      <c r="C93" s="92">
        <v>0</v>
      </c>
      <c r="D93" s="93">
        <f ca="1">((100/H89)*C93)/100</f>
        <v>0</v>
      </c>
      <c r="E93" s="126"/>
      <c r="F93" s="127"/>
      <c r="G93" s="126"/>
      <c r="H93" s="156"/>
      <c r="I93" s="13" t="s">
        <v>99</v>
      </c>
      <c r="J93" s="29">
        <f ca="1">H89</f>
        <v>43</v>
      </c>
      <c r="S93"/>
    </row>
    <row r="94" spans="1:19" ht="15.75" customHeight="1" x14ac:dyDescent="0.35">
      <c r="A94" s="122" t="s">
        <v>126</v>
      </c>
      <c r="B94" s="123"/>
      <c r="C94" s="92">
        <v>0</v>
      </c>
      <c r="D94" s="93">
        <f ca="1">((100/(D89+F89+H89))*C94)/100</f>
        <v>0</v>
      </c>
      <c r="E94" s="126"/>
      <c r="F94" s="127"/>
      <c r="G94" s="126"/>
      <c r="H94" s="156"/>
      <c r="I94" s="13" t="s">
        <v>100</v>
      </c>
      <c r="J94" s="30">
        <f ca="1">(IF(B89&gt;1,(H89/(B89+2)),H89/4))</f>
        <v>10.75</v>
      </c>
      <c r="S94"/>
    </row>
    <row r="95" spans="1:19" ht="15.75" customHeight="1" x14ac:dyDescent="0.35">
      <c r="A95" s="122" t="s">
        <v>133</v>
      </c>
      <c r="B95" s="123" t="s">
        <v>127</v>
      </c>
      <c r="C95" s="92">
        <v>0</v>
      </c>
      <c r="D95" s="93">
        <f ca="1">((100/H89)*C95)/100</f>
        <v>0</v>
      </c>
      <c r="E95" s="126"/>
      <c r="F95" s="127"/>
      <c r="G95" s="126"/>
      <c r="H95" s="156"/>
      <c r="I95" s="13" t="s">
        <v>101</v>
      </c>
      <c r="J95" s="30">
        <f ca="1">(IF(B89&gt;1,(H89/(B89+2)+J94),H89/4+J94))</f>
        <v>21.5</v>
      </c>
    </row>
    <row r="96" spans="1:19" ht="15.75" customHeight="1" x14ac:dyDescent="0.35">
      <c r="A96" s="122" t="s">
        <v>134</v>
      </c>
      <c r="B96" s="123" t="s">
        <v>127</v>
      </c>
      <c r="C96" s="92">
        <v>0</v>
      </c>
      <c r="D96" s="93">
        <f ca="1">((100/H89)*C96)/100</f>
        <v>0</v>
      </c>
      <c r="E96" s="126"/>
      <c r="F96" s="127"/>
      <c r="G96" s="126"/>
      <c r="H96" s="156"/>
      <c r="I96" s="13" t="s">
        <v>145</v>
      </c>
      <c r="J96" s="30">
        <f>(IF(B89&gt;1,(H89/(B89+2)+J95),0))</f>
        <v>0</v>
      </c>
    </row>
    <row r="97" spans="1:19" ht="15" customHeight="1" x14ac:dyDescent="0.35">
      <c r="A97" s="122" t="s">
        <v>132</v>
      </c>
      <c r="B97" s="123" t="s">
        <v>129</v>
      </c>
      <c r="C97" s="92">
        <v>0</v>
      </c>
      <c r="D97" s="93">
        <f ca="1">((100/(H89))*C97)/100</f>
        <v>0</v>
      </c>
      <c r="E97" s="126"/>
      <c r="F97" s="127"/>
      <c r="G97" s="126"/>
      <c r="H97" s="156"/>
      <c r="I97" s="13" t="s">
        <v>140</v>
      </c>
      <c r="J97" s="30">
        <f>(IF(B89&gt;2,(H89/(B89+2)+J96),0))</f>
        <v>0</v>
      </c>
    </row>
    <row r="98" spans="1:19" ht="15.75" customHeight="1" x14ac:dyDescent="0.35">
      <c r="A98" s="122" t="s">
        <v>128</v>
      </c>
      <c r="B98" s="123" t="s">
        <v>128</v>
      </c>
      <c r="C98" s="92">
        <v>0</v>
      </c>
      <c r="D98" s="93">
        <f ca="1">((100/H89)*C98)/100</f>
        <v>0</v>
      </c>
      <c r="E98" s="126"/>
      <c r="F98" s="127"/>
      <c r="G98" s="126"/>
      <c r="H98" s="156"/>
      <c r="I98" s="13" t="s">
        <v>141</v>
      </c>
      <c r="J98" s="31">
        <f>(IF(B89&gt;3,(H89/(B89+2)+J97),0))</f>
        <v>0</v>
      </c>
    </row>
    <row r="99" spans="1:19" ht="15.75" customHeight="1" x14ac:dyDescent="0.35">
      <c r="A99" s="122" t="s">
        <v>135</v>
      </c>
      <c r="B99" s="123"/>
      <c r="C99" s="92">
        <v>0</v>
      </c>
      <c r="D99" s="93">
        <f ca="1">((100/H89)*C99)/100</f>
        <v>0</v>
      </c>
      <c r="E99" s="126"/>
      <c r="F99" s="127"/>
      <c r="G99" s="126"/>
      <c r="H99" s="156"/>
      <c r="I99" s="13" t="s">
        <v>142</v>
      </c>
      <c r="J99" s="30">
        <f>(IF(B89&gt;4,(H89/(B89+2)+J98),0))</f>
        <v>0</v>
      </c>
    </row>
    <row r="100" spans="1:19" ht="15.75" customHeight="1" x14ac:dyDescent="0.35">
      <c r="A100" s="122" t="s">
        <v>130</v>
      </c>
      <c r="B100" s="123" t="s">
        <v>130</v>
      </c>
      <c r="C100" s="92">
        <v>0</v>
      </c>
      <c r="D100" s="93">
        <f ca="1">((100/(H89))*C100)/100</f>
        <v>0</v>
      </c>
      <c r="E100" s="126"/>
      <c r="F100" s="127"/>
      <c r="G100" s="126"/>
      <c r="H100" s="156"/>
      <c r="I100" s="13" t="s">
        <v>146</v>
      </c>
      <c r="J100" s="30">
        <f ca="1">(IF(B89=1,(H89/(B89+3)+J95),IF(B89=0,(H89/4+J95),IF(B89&gt;1,0))))</f>
        <v>32.25</v>
      </c>
    </row>
    <row r="101" spans="1:19" ht="16" thickBot="1" x14ac:dyDescent="0.4">
      <c r="A101" s="239" t="s">
        <v>131</v>
      </c>
      <c r="B101" s="240"/>
      <c r="C101" s="94">
        <v>0</v>
      </c>
      <c r="D101" s="95">
        <f ca="1">((100/(H89))*C101)/100</f>
        <v>0</v>
      </c>
      <c r="E101" s="128"/>
      <c r="F101" s="129"/>
      <c r="G101" s="128"/>
      <c r="H101" s="157"/>
      <c r="I101" s="15" t="s">
        <v>102</v>
      </c>
      <c r="J101" s="32">
        <f ca="1">(IF(B89&gt;1.5,(H89/(B89+2)+J95+MAX(0,J96-J95)+MAX(0,J97-J96)+MAX(0,J98-J97)+MAX(0,J99-J98)+MAX(0,J100-J99)),IF(B89=1,(H89/(B89+3)+J100),IF(B89=0,H89/4+J100))))</f>
        <v>43</v>
      </c>
    </row>
    <row r="102" spans="1:19" ht="15.75" hidden="1" customHeight="1" x14ac:dyDescent="0.35">
      <c r="A102" s="130" t="s">
        <v>137</v>
      </c>
      <c r="B102" s="131"/>
      <c r="C102" s="132" t="e">
        <f>#REF!</f>
        <v>#REF!</v>
      </c>
      <c r="D102" s="133"/>
      <c r="E102" s="133"/>
      <c r="F102" s="133"/>
      <c r="G102" s="133"/>
      <c r="H102" s="134"/>
      <c r="I102" s="46" t="e">
        <f ca="1">IF(D115=100%,"All work Completed. Possession granted to the Building.",IF(D114=100%,"All work Completed, Waiting for OC",I103&amp;""&amp;I104&amp;""&amp;J103&amp;""&amp;J102&amp;" "&amp;J104))</f>
        <v>#REF!</v>
      </c>
      <c r="J102" s="47" t="e">
        <f ca="1">(IF(C108=(D103+F103+H103),"",IF(C108&gt;0,", RCC upto "&amp;C108&amp;" Slab","")))&amp;(IF(C109=H103,"",IF(C109&gt;0,", Brickwork upto "&amp;C109&amp;" Floor","")))&amp;(IF(C110=H103,"",IF(C110&gt;0,", Internal Plaster upto "&amp;C110&amp;" Floor","")))&amp;(IF(C111=H103,"",IF(C111&gt;0,", External Plaster upto "&amp;C111&amp;" Floor","")))&amp;(IF(C112=H103,"",IF(C112&gt;0,", Flooring upto "&amp;C112&amp;" Floor","")))&amp;(IF(C113=H103,"",IF(C113&gt;0,", Painting upto "&amp;C113&amp;" Floor","")))&amp;(IF(C114=H103,"",IF(C114&gt;0,", Finishing upto "&amp;C114&amp;" Floor","")))&amp;(IF(C115=H103,"",IF(C115&gt;0,", Possession upto "&amp;C115&amp;" Floor","")))</f>
        <v>#REF!</v>
      </c>
      <c r="S102"/>
    </row>
    <row r="103" spans="1:19" hidden="1" x14ac:dyDescent="0.35">
      <c r="A103" s="16" t="s">
        <v>139</v>
      </c>
      <c r="B103" s="50">
        <f>IF(AND(ISNUMBER(SEARCH("1B",C102))),1,IF(AND(ISNUMBER(SEARCH("2B",C102))),2,IF(AND(ISNUMBER(SEARCH("3B",C102))),3,IF(AND(ISNUMBER(SEARCH("4B",C102))),4,IF(ISNUMBER(SEARCH("5B",C102)),5,0)))))</f>
        <v>0</v>
      </c>
      <c r="C103" s="50" t="s">
        <v>69</v>
      </c>
      <c r="D103" s="50">
        <v>1</v>
      </c>
      <c r="E103" s="50" t="s">
        <v>68</v>
      </c>
      <c r="F103" s="14">
        <v>0</v>
      </c>
      <c r="G103" s="45" t="s">
        <v>77</v>
      </c>
      <c r="H103" s="17" t="e">
        <f ca="1">--TRIM(RIGHT(SUBSTITUTE(LEFT(C102,_xlfn.AGGREGATE(16,6,FIND({0,1,2,3,4,5,6,7,8,9},C102,ROW(INDIRECT("1:"&amp;LEN(C102)))),1))," ",REPT(" ",LEN(C102))),LEN(C102)))</f>
        <v>#REF!</v>
      </c>
      <c r="I103" s="48" t="e">
        <f ca="1">IF(D106=100%,"Excavation","")&amp;IF(D107=100%,", Plinth","")&amp;IF(D108=100%,", RCC Slab","")&amp;IF(D109=100%,", Brickwork","")&amp;IF(D110=100%,", Internal Plaster","")&amp;IF(D111=100%,", External Plaster","")&amp;IF(D112=100%,", Flooring","")&amp;IF(D113=100%,", Painting","")&amp;IF(D114=100%,", Building common Amenities","")</f>
        <v>#REF!</v>
      </c>
      <c r="J103" s="49" t="e">
        <f ca="1">(IF(C106=0,"Work not yet Started.",IF(D106=25%,"Piling work in process",IF(D106=50%,"Excavation work in process",IF(D106=100%,"","0")))))&amp;(IF(C107=0%,"",IF(C107=J108,", Footing work is process",IF(C107=J109,", Footing work Completed",IF(C107=J110,", 1st Basement Completed",IF(C107=J111,", 1st &amp; 2nd Basement Completed",IF(C107=J112,", 1st to 3rd Basement Completed",IF(C107=J113,", 1st to 4th Basement Completed",IF(C107=J114,", Plinth work is process",IF(C107=J115,"","0"))))))))))</f>
        <v>#REF!</v>
      </c>
      <c r="S103"/>
    </row>
    <row r="104" spans="1:19" ht="36.75" hidden="1" customHeight="1" x14ac:dyDescent="0.35">
      <c r="A104" s="135" t="s">
        <v>87</v>
      </c>
      <c r="B104" s="136"/>
      <c r="C104" s="137" t="e">
        <f ca="1">I102</f>
        <v>#REF!</v>
      </c>
      <c r="D104" s="137"/>
      <c r="E104" s="137"/>
      <c r="F104" s="137"/>
      <c r="G104" s="137"/>
      <c r="H104" s="138"/>
      <c r="I104" s="48" t="e">
        <f ca="1">IF(I103&lt;&gt;""," Completed","")</f>
        <v>#REF!</v>
      </c>
      <c r="J104" s="49" t="e">
        <f ca="1">IF(J102&lt;&gt;"","Completed","")</f>
        <v>#REF!</v>
      </c>
      <c r="S104"/>
    </row>
    <row r="105" spans="1:19" ht="15.75" hidden="1" customHeight="1" x14ac:dyDescent="0.35">
      <c r="A105" s="139" t="s">
        <v>47</v>
      </c>
      <c r="B105" s="140"/>
      <c r="C105" s="79" t="s">
        <v>136</v>
      </c>
      <c r="D105" s="79" t="s">
        <v>80</v>
      </c>
      <c r="E105" s="140" t="s">
        <v>82</v>
      </c>
      <c r="F105" s="140"/>
      <c r="G105" s="140" t="s">
        <v>81</v>
      </c>
      <c r="H105" s="141"/>
      <c r="I105" s="13" t="s">
        <v>138</v>
      </c>
      <c r="J105" s="28" t="e">
        <f ca="1">H103*25%</f>
        <v>#REF!</v>
      </c>
      <c r="S105"/>
    </row>
    <row r="106" spans="1:19" hidden="1" x14ac:dyDescent="0.35">
      <c r="A106" s="139" t="s">
        <v>125</v>
      </c>
      <c r="B106" s="140"/>
      <c r="C106" s="61" t="e">
        <f ca="1">J107</f>
        <v>#REF!</v>
      </c>
      <c r="D106" s="19" t="e">
        <f ca="1">((100/H103)*C106)/100</f>
        <v>#REF!</v>
      </c>
      <c r="E106" s="142" t="e">
        <f ca="1">(((C107/H103*10)+(40/(D103+F103+H103)*C108)+(7.5/(H103)*C109)+(7.5/(H103)*C110)+(10/H103*C111)+(10/H103*C112)+(5/H103*C113)+(5/H103*C114)+(5/H103*C115))/100)</f>
        <v>#REF!</v>
      </c>
      <c r="F106" s="143"/>
      <c r="G106" s="142" t="e">
        <f ca="1">((((C106/H103)*20)+((C107/H103)*25)+(30/(H103+F103+D103)*C108)+(5/H103*C109)+(5/H103*C110)+(5/H103*C111)+(5/H103*C112)+(0/H103*C113)+(0/H103*C114)+(5/H103*C115))/100)</f>
        <v>#REF!</v>
      </c>
      <c r="H106" s="148"/>
      <c r="I106" s="13" t="s">
        <v>98</v>
      </c>
      <c r="J106" s="29" t="e">
        <f ca="1">H103*50%</f>
        <v>#REF!</v>
      </c>
    </row>
    <row r="107" spans="1:19" hidden="1" x14ac:dyDescent="0.35">
      <c r="A107" s="139" t="s">
        <v>48</v>
      </c>
      <c r="B107" s="140"/>
      <c r="C107" s="79" t="e">
        <f ca="1">J115</f>
        <v>#REF!</v>
      </c>
      <c r="D107" s="19" t="e">
        <f ca="1">((100/H103)*C107)/100</f>
        <v>#REF!</v>
      </c>
      <c r="E107" s="144"/>
      <c r="F107" s="145"/>
      <c r="G107" s="144"/>
      <c r="H107" s="149"/>
      <c r="I107" s="13" t="s">
        <v>99</v>
      </c>
      <c r="J107" s="29" t="e">
        <f ca="1">H103</f>
        <v>#REF!</v>
      </c>
      <c r="S107"/>
    </row>
    <row r="108" spans="1:19" ht="15.75" hidden="1" customHeight="1" x14ac:dyDescent="0.35">
      <c r="A108" s="139" t="s">
        <v>126</v>
      </c>
      <c r="B108" s="140"/>
      <c r="C108" s="79">
        <v>0</v>
      </c>
      <c r="D108" s="19" t="e">
        <f ca="1">((100/(D103+F103+H103))*C108)/100</f>
        <v>#REF!</v>
      </c>
      <c r="E108" s="144"/>
      <c r="F108" s="145"/>
      <c r="G108" s="144"/>
      <c r="H108" s="149"/>
      <c r="I108" s="13" t="s">
        <v>100</v>
      </c>
      <c r="J108" s="30" t="e">
        <f ca="1">(IF(B103&gt;1,(H103/(B103+2)),H103/4))</f>
        <v>#REF!</v>
      </c>
      <c r="S108"/>
    </row>
    <row r="109" spans="1:19" ht="15.75" hidden="1" customHeight="1" x14ac:dyDescent="0.35">
      <c r="A109" s="139" t="s">
        <v>133</v>
      </c>
      <c r="B109" s="140" t="s">
        <v>127</v>
      </c>
      <c r="C109" s="79">
        <v>0</v>
      </c>
      <c r="D109" s="19" t="e">
        <f ca="1">((100/H103)*C109)/100</f>
        <v>#REF!</v>
      </c>
      <c r="E109" s="144"/>
      <c r="F109" s="145"/>
      <c r="G109" s="144"/>
      <c r="H109" s="149"/>
      <c r="I109" s="13" t="s">
        <v>101</v>
      </c>
      <c r="J109" s="30" t="e">
        <f ca="1">(IF(B103&gt;1,(H103/(B103+2)+J108),H103/4+J108))</f>
        <v>#REF!</v>
      </c>
    </row>
    <row r="110" spans="1:19" ht="15.75" hidden="1" customHeight="1" x14ac:dyDescent="0.35">
      <c r="A110" s="139" t="s">
        <v>134</v>
      </c>
      <c r="B110" s="140" t="s">
        <v>127</v>
      </c>
      <c r="C110" s="79">
        <v>0</v>
      </c>
      <c r="D110" s="19" t="e">
        <f ca="1">((100/H103)*C110)/100</f>
        <v>#REF!</v>
      </c>
      <c r="E110" s="144"/>
      <c r="F110" s="145"/>
      <c r="G110" s="144"/>
      <c r="H110" s="149"/>
      <c r="I110" s="13" t="s">
        <v>145</v>
      </c>
      <c r="J110" s="30">
        <f>(IF(B103&gt;1,(H103/(B103+2)+J109),0))</f>
        <v>0</v>
      </c>
    </row>
    <row r="111" spans="1:19" ht="15" hidden="1" customHeight="1" x14ac:dyDescent="0.35">
      <c r="A111" s="139" t="s">
        <v>132</v>
      </c>
      <c r="B111" s="140" t="s">
        <v>129</v>
      </c>
      <c r="C111" s="79">
        <v>0</v>
      </c>
      <c r="D111" s="19" t="e">
        <f ca="1">((100/(H103))*C111)/100</f>
        <v>#REF!</v>
      </c>
      <c r="E111" s="144"/>
      <c r="F111" s="145"/>
      <c r="G111" s="144"/>
      <c r="H111" s="149"/>
      <c r="I111" s="13" t="s">
        <v>140</v>
      </c>
      <c r="J111" s="30">
        <f>(IF(B103&gt;2,(H103/(B103+2)+J110),0))</f>
        <v>0</v>
      </c>
    </row>
    <row r="112" spans="1:19" ht="15.75" hidden="1" customHeight="1" x14ac:dyDescent="0.35">
      <c r="A112" s="139" t="s">
        <v>128</v>
      </c>
      <c r="B112" s="140" t="s">
        <v>128</v>
      </c>
      <c r="C112" s="79">
        <v>0</v>
      </c>
      <c r="D112" s="19" t="e">
        <f ca="1">((100/H103)*C112)/100</f>
        <v>#REF!</v>
      </c>
      <c r="E112" s="144"/>
      <c r="F112" s="145"/>
      <c r="G112" s="144"/>
      <c r="H112" s="149"/>
      <c r="I112" s="13" t="s">
        <v>141</v>
      </c>
      <c r="J112" s="31">
        <f>(IF(B103&gt;3,(H103/(B103+2)+J111),0))</f>
        <v>0</v>
      </c>
    </row>
    <row r="113" spans="1:22" ht="15.75" hidden="1" customHeight="1" x14ac:dyDescent="0.35">
      <c r="A113" s="139" t="s">
        <v>135</v>
      </c>
      <c r="B113" s="140"/>
      <c r="C113" s="79">
        <v>0</v>
      </c>
      <c r="D113" s="19" t="e">
        <f ca="1">((100/H103)*C113)/100</f>
        <v>#REF!</v>
      </c>
      <c r="E113" s="144"/>
      <c r="F113" s="145"/>
      <c r="G113" s="144"/>
      <c r="H113" s="149"/>
      <c r="I113" s="13" t="s">
        <v>142</v>
      </c>
      <c r="J113" s="30">
        <f>(IF(B103&gt;4,(H103/(B103+2)+J112),0))</f>
        <v>0</v>
      </c>
    </row>
    <row r="114" spans="1:22" ht="15.75" hidden="1" customHeight="1" x14ac:dyDescent="0.35">
      <c r="A114" s="139" t="s">
        <v>130</v>
      </c>
      <c r="B114" s="140" t="s">
        <v>130</v>
      </c>
      <c r="C114" s="79">
        <v>0</v>
      </c>
      <c r="D114" s="19" t="e">
        <f ca="1">((100/(H103))*C114)/100</f>
        <v>#REF!</v>
      </c>
      <c r="E114" s="144"/>
      <c r="F114" s="145"/>
      <c r="G114" s="144"/>
      <c r="H114" s="149"/>
      <c r="I114" s="13" t="s">
        <v>146</v>
      </c>
      <c r="J114" s="30" t="e">
        <f ca="1">(IF(B103=1,(H103/(B103+3)+J109),IF(B103=0,(H103/4+J109),IF(B103&gt;1,0))))</f>
        <v>#REF!</v>
      </c>
    </row>
    <row r="115" spans="1:22" ht="16" hidden="1" thickBot="1" x14ac:dyDescent="0.4">
      <c r="A115" s="115" t="s">
        <v>131</v>
      </c>
      <c r="B115" s="116"/>
      <c r="C115" s="78">
        <v>0</v>
      </c>
      <c r="D115" s="20" t="e">
        <f ca="1">((100/(H103))*C115)/100</f>
        <v>#REF!</v>
      </c>
      <c r="E115" s="146"/>
      <c r="F115" s="147"/>
      <c r="G115" s="146"/>
      <c r="H115" s="150"/>
      <c r="I115" s="15" t="s">
        <v>102</v>
      </c>
      <c r="J115" s="32" t="e">
        <f ca="1">(IF(B103&gt;1.5,(H103/(B103+2)+J109+MAX(0,J110-J109)+MAX(0,J111-J110)+MAX(0,J112-J111)+MAX(0,J113-J112)+MAX(0,J114-J113)),IF(B103=1,(H103/(B103+3)+J114),IF(B103=0,H103/4+J114))))</f>
        <v>#REF!</v>
      </c>
    </row>
    <row r="116" spans="1:22" x14ac:dyDescent="0.35">
      <c r="A116" s="255" t="s">
        <v>157</v>
      </c>
      <c r="B116" s="255"/>
      <c r="C116" s="255"/>
      <c r="D116" s="255"/>
      <c r="E116" s="255"/>
      <c r="F116" s="221" t="s">
        <v>161</v>
      </c>
      <c r="G116" s="221"/>
      <c r="H116" s="221"/>
      <c r="R116" t="s">
        <v>256</v>
      </c>
      <c r="S116" t="s">
        <v>173</v>
      </c>
      <c r="T116" t="s">
        <v>181</v>
      </c>
      <c r="U116" t="s">
        <v>195</v>
      </c>
      <c r="V116" t="s">
        <v>190</v>
      </c>
    </row>
    <row r="117" spans="1:22" x14ac:dyDescent="0.35">
      <c r="A117" s="158" t="s">
        <v>159</v>
      </c>
      <c r="B117" s="158"/>
      <c r="C117" s="158"/>
      <c r="D117" s="158"/>
      <c r="E117" s="158"/>
      <c r="F117" s="189">
        <v>18000</v>
      </c>
      <c r="G117" s="189"/>
      <c r="H117" s="189"/>
      <c r="R117"/>
      <c r="S117">
        <v>800000</v>
      </c>
      <c r="T117">
        <v>150000</v>
      </c>
      <c r="U117">
        <v>100000</v>
      </c>
      <c r="V117">
        <v>100000</v>
      </c>
    </row>
    <row r="118" spans="1:22" hidden="1" x14ac:dyDescent="0.35">
      <c r="A118" s="158" t="s">
        <v>158</v>
      </c>
      <c r="B118" s="158"/>
      <c r="C118" s="158"/>
      <c r="D118" s="158"/>
      <c r="E118" s="158"/>
      <c r="F118" s="189"/>
      <c r="G118" s="189"/>
      <c r="H118" s="189"/>
      <c r="R118"/>
      <c r="S118">
        <v>900000</v>
      </c>
      <c r="T118">
        <v>200000</v>
      </c>
      <c r="U118">
        <v>150000</v>
      </c>
      <c r="V118">
        <v>150000</v>
      </c>
    </row>
    <row r="119" spans="1:22" hidden="1" x14ac:dyDescent="0.35">
      <c r="A119" s="158" t="s">
        <v>160</v>
      </c>
      <c r="B119" s="158"/>
      <c r="C119" s="158"/>
      <c r="D119" s="158"/>
      <c r="E119" s="158"/>
      <c r="F119" s="189"/>
      <c r="G119" s="189"/>
      <c r="H119" s="189"/>
      <c r="R119"/>
      <c r="S119">
        <v>1000000</v>
      </c>
      <c r="T119">
        <v>250000</v>
      </c>
      <c r="U119">
        <v>200000</v>
      </c>
      <c r="V119">
        <v>200000</v>
      </c>
    </row>
    <row r="120" spans="1:22" s="33" customFormat="1" hidden="1" x14ac:dyDescent="0.35">
      <c r="A120" s="158" t="s">
        <v>175</v>
      </c>
      <c r="B120" s="158"/>
      <c r="C120" s="158"/>
      <c r="D120" s="158"/>
      <c r="E120" s="158"/>
      <c r="F120" s="189"/>
      <c r="G120" s="189"/>
      <c r="H120" s="189"/>
      <c r="R120"/>
      <c r="S120">
        <v>1100000</v>
      </c>
      <c r="T120">
        <v>300000</v>
      </c>
      <c r="U120">
        <v>250000</v>
      </c>
      <c r="V120" s="23">
        <v>250000</v>
      </c>
    </row>
    <row r="121" spans="1:22" s="33" customFormat="1" hidden="1" x14ac:dyDescent="0.35">
      <c r="A121" s="158" t="s">
        <v>92</v>
      </c>
      <c r="B121" s="158"/>
      <c r="C121" s="158"/>
      <c r="D121" s="158"/>
      <c r="E121" s="158"/>
      <c r="F121" s="189"/>
      <c r="G121" s="189"/>
      <c r="H121" s="189"/>
      <c r="R121"/>
      <c r="S121">
        <v>1200000</v>
      </c>
      <c r="T121">
        <v>350000</v>
      </c>
      <c r="U121">
        <v>300000</v>
      </c>
      <c r="V121">
        <v>300000</v>
      </c>
    </row>
    <row r="122" spans="1:22" s="33" customFormat="1" hidden="1" x14ac:dyDescent="0.35">
      <c r="A122" s="158" t="s">
        <v>93</v>
      </c>
      <c r="B122" s="158"/>
      <c r="C122" s="158"/>
      <c r="D122" s="158"/>
      <c r="E122" s="158"/>
      <c r="F122" s="189"/>
      <c r="G122" s="189"/>
      <c r="H122" s="189"/>
      <c r="R122"/>
      <c r="S122">
        <v>1300000</v>
      </c>
      <c r="T122">
        <v>400000</v>
      </c>
      <c r="U122">
        <v>350000</v>
      </c>
      <c r="V122" s="23">
        <v>400000</v>
      </c>
    </row>
    <row r="123" spans="1:22" s="33" customFormat="1" hidden="1" x14ac:dyDescent="0.35">
      <c r="A123" s="158" t="s">
        <v>94</v>
      </c>
      <c r="B123" s="158"/>
      <c r="C123" s="158"/>
      <c r="D123" s="158"/>
      <c r="E123" s="158"/>
      <c r="F123" s="189"/>
      <c r="G123" s="189"/>
      <c r="H123" s="189"/>
      <c r="R123"/>
      <c r="S123">
        <v>1400000</v>
      </c>
      <c r="T123">
        <v>500000</v>
      </c>
      <c r="U123">
        <v>400000</v>
      </c>
      <c r="V123"/>
    </row>
    <row r="124" spans="1:22" s="33" customFormat="1" hidden="1" x14ac:dyDescent="0.35">
      <c r="A124" s="158" t="s">
        <v>95</v>
      </c>
      <c r="B124" s="158"/>
      <c r="C124" s="158"/>
      <c r="D124" s="158"/>
      <c r="E124" s="158"/>
      <c r="F124" s="189"/>
      <c r="G124" s="189"/>
      <c r="H124" s="189"/>
      <c r="R124"/>
      <c r="S124">
        <v>1500000</v>
      </c>
      <c r="T124">
        <v>600000</v>
      </c>
      <c r="U124">
        <v>500000</v>
      </c>
      <c r="V124" s="23"/>
    </row>
    <row r="125" spans="1:22" s="33" customFormat="1" hidden="1" x14ac:dyDescent="0.35">
      <c r="A125" s="158" t="s">
        <v>96</v>
      </c>
      <c r="B125" s="158"/>
      <c r="C125" s="158"/>
      <c r="D125" s="158"/>
      <c r="E125" s="158"/>
      <c r="F125" s="189"/>
      <c r="G125" s="189"/>
      <c r="H125" s="189"/>
      <c r="R125"/>
      <c r="S125">
        <v>1600000</v>
      </c>
      <c r="T125">
        <v>700000</v>
      </c>
      <c r="U125">
        <v>600000</v>
      </c>
      <c r="V125"/>
    </row>
    <row r="126" spans="1:22" s="33" customFormat="1" hidden="1" x14ac:dyDescent="0.35">
      <c r="A126" s="158" t="s">
        <v>97</v>
      </c>
      <c r="B126" s="158"/>
      <c r="C126" s="158"/>
      <c r="D126" s="158"/>
      <c r="E126" s="158"/>
      <c r="F126" s="189"/>
      <c r="G126" s="189"/>
      <c r="H126" s="189"/>
      <c r="R126"/>
      <c r="S126">
        <v>1700000</v>
      </c>
      <c r="T126">
        <v>800000</v>
      </c>
      <c r="U126"/>
      <c r="V126" s="23"/>
    </row>
    <row r="127" spans="1:22" x14ac:dyDescent="0.35">
      <c r="A127" s="158" t="s">
        <v>49</v>
      </c>
      <c r="B127" s="158"/>
      <c r="C127" s="158"/>
      <c r="D127" s="158"/>
      <c r="E127" s="158"/>
      <c r="F127" s="189">
        <v>800000</v>
      </c>
      <c r="G127" s="189"/>
      <c r="H127" s="189"/>
      <c r="R127"/>
      <c r="S127">
        <v>1800000</v>
      </c>
      <c r="T127">
        <v>900000</v>
      </c>
      <c r="U127"/>
    </row>
    <row r="128" spans="1:22" s="34" customFormat="1" x14ac:dyDescent="0.35">
      <c r="A128" s="192" t="s">
        <v>50</v>
      </c>
      <c r="B128" s="192"/>
      <c r="C128" s="192"/>
      <c r="D128" s="192"/>
      <c r="E128" s="192"/>
      <c r="F128" s="189">
        <f>F117*0.8</f>
        <v>14400</v>
      </c>
      <c r="G128" s="189"/>
      <c r="H128" s="189"/>
      <c r="R128" s="21"/>
      <c r="S128" s="21"/>
      <c r="T128">
        <v>1000000</v>
      </c>
      <c r="U128"/>
      <c r="V128" s="21"/>
    </row>
    <row r="129" spans="1:22" s="35" customFormat="1" ht="15.75" hidden="1" customHeight="1" x14ac:dyDescent="0.35">
      <c r="A129" s="165" t="s">
        <v>72</v>
      </c>
      <c r="B129" s="165"/>
      <c r="C129" s="165"/>
      <c r="D129" s="165"/>
      <c r="E129" s="165"/>
      <c r="F129" s="165"/>
      <c r="G129" s="165"/>
      <c r="H129" s="165"/>
      <c r="R129"/>
      <c r="S129" s="21"/>
      <c r="T129"/>
      <c r="U129"/>
      <c r="V129" s="21"/>
    </row>
    <row r="130" spans="1:22" s="35" customFormat="1" ht="15.75" hidden="1" customHeight="1" x14ac:dyDescent="0.35">
      <c r="A130" s="168" t="s">
        <v>51</v>
      </c>
      <c r="B130" s="168"/>
      <c r="C130" s="166" t="s">
        <v>75</v>
      </c>
      <c r="D130" s="166"/>
      <c r="E130" s="167" t="s">
        <v>52</v>
      </c>
      <c r="F130" s="167"/>
      <c r="G130" s="168" t="s">
        <v>53</v>
      </c>
      <c r="H130" s="168"/>
      <c r="R130"/>
      <c r="S130" s="21"/>
      <c r="T130"/>
      <c r="U130" s="21"/>
      <c r="V130" s="21"/>
    </row>
    <row r="131" spans="1:22" s="35" customFormat="1" hidden="1" x14ac:dyDescent="0.35">
      <c r="A131" s="169"/>
      <c r="B131" s="169"/>
      <c r="C131" s="162"/>
      <c r="D131" s="162"/>
      <c r="E131" s="163"/>
      <c r="F131" s="163"/>
      <c r="G131" s="164"/>
      <c r="H131" s="164"/>
      <c r="R131"/>
      <c r="S131" s="21"/>
      <c r="T131"/>
      <c r="U131" s="21"/>
      <c r="V131" s="21"/>
    </row>
    <row r="132" spans="1:22" s="35" customFormat="1" hidden="1" x14ac:dyDescent="0.35">
      <c r="A132" s="169"/>
      <c r="B132" s="169"/>
      <c r="C132" s="162"/>
      <c r="D132" s="162"/>
      <c r="E132" s="163"/>
      <c r="F132" s="163"/>
      <c r="G132" s="164"/>
      <c r="H132" s="164"/>
      <c r="R132"/>
      <c r="S132" s="21"/>
      <c r="T132"/>
      <c r="U132" s="21"/>
      <c r="V132" s="21"/>
    </row>
    <row r="133" spans="1:22" s="35" customFormat="1" hidden="1" x14ac:dyDescent="0.35">
      <c r="A133" s="165" t="s">
        <v>150</v>
      </c>
      <c r="B133" s="165"/>
      <c r="C133" s="166"/>
      <c r="D133" s="166"/>
      <c r="E133" s="167"/>
      <c r="F133" s="167"/>
      <c r="G133" s="168"/>
      <c r="H133" s="168"/>
      <c r="R133"/>
      <c r="S133" s="21"/>
      <c r="T133"/>
      <c r="U133" s="21"/>
      <c r="V133" s="21"/>
    </row>
    <row r="134" spans="1:22" s="35" customFormat="1" x14ac:dyDescent="0.35">
      <c r="A134" s="165" t="s">
        <v>67</v>
      </c>
      <c r="B134" s="165"/>
      <c r="C134" s="165"/>
      <c r="D134" s="165"/>
      <c r="E134" s="165"/>
      <c r="F134" s="165"/>
      <c r="G134" s="165"/>
      <c r="H134" s="165"/>
      <c r="T134"/>
    </row>
    <row r="135" spans="1:22" s="35" customFormat="1" ht="15.75" customHeight="1" x14ac:dyDescent="0.35">
      <c r="A135" s="168" t="s">
        <v>51</v>
      </c>
      <c r="B135" s="168"/>
      <c r="C135" s="166" t="s">
        <v>75</v>
      </c>
      <c r="D135" s="166"/>
      <c r="E135" s="167" t="s">
        <v>52</v>
      </c>
      <c r="F135" s="167"/>
      <c r="G135" s="168" t="s">
        <v>53</v>
      </c>
      <c r="H135" s="168"/>
      <c r="T135"/>
    </row>
    <row r="136" spans="1:22" s="35" customFormat="1" x14ac:dyDescent="0.35">
      <c r="A136" s="169" t="s">
        <v>376</v>
      </c>
      <c r="B136" s="169"/>
      <c r="C136" s="170">
        <f>COUNT(D159:D160)+COUNT(D166:D169)*6+COUNT(D175:D176)+COUNT(D184:D187)+COUNT(D191:D198)*10+COUNT(D200:D203,D206:D207)+COUNT(D209:D216)*20+COUNT(D218:D221,D224:D225)*3+COUNT(D227:D230,D232:D234)</f>
        <v>303</v>
      </c>
      <c r="D136" s="170"/>
      <c r="E136" s="170">
        <f>SUM(F159:F160)+SUM(F166:F169)*6+SUM(F175:F176)+SUM(F184:F187)+SUM(F191:F198)*10+SUM(F200:F203,F206:F207)+SUM(F209:F216)*20+SUM(F218:F221,F224:F225)*3+SUM(F227:F230,F232:F234)</f>
        <v>249847.88095799999</v>
      </c>
      <c r="F136" s="170"/>
      <c r="G136" s="170">
        <f>SUM(H159:H160)+SUM(H166:H169)*6+SUM(H175:H176)+SUM(H184:H187)+SUM(H191:H198)*10+SUM(H200:H203,H206:H207)+SUM(H209:H216)*20+SUM(H218:H221,H224:H225)*3+SUM(H227:H230,H232:H234)</f>
        <v>374771.82143699995</v>
      </c>
      <c r="H136" s="170"/>
      <c r="T136"/>
    </row>
    <row r="137" spans="1:22" s="35" customFormat="1" x14ac:dyDescent="0.35">
      <c r="A137" s="169" t="s">
        <v>387</v>
      </c>
      <c r="B137" s="169"/>
      <c r="C137" s="170">
        <f>COUNT(D242:D245)+COUNT(D249:D254)*6+COUNT(D258:D259,D262:D263)+COUNT(D267:D272)+COUNT(D274:D281)*10+COUNT(D283:D286,D289:D290)+COUNT(D292:D299)*19+COUNT(D301:D304,D307:D308)*3+COUNT(D310:D313,D315:D317)</f>
        <v>313</v>
      </c>
      <c r="D137" s="170"/>
      <c r="E137" s="170">
        <f t="shared" ref="E137" si="0">SUM(F242:F245)+SUM(F249:F254)*6+SUM(F258:F259,F262:F263)+SUM(F267:F272)+SUM(F274:F281)*10+SUM(F283:F286,F289:F290)+SUM(F292:F299)*19+SUM(F301:F304,F307:F308)*3+SUM(F310:F313,F315:F317)</f>
        <v>200604.21708600002</v>
      </c>
      <c r="F137" s="170"/>
      <c r="G137" s="170">
        <f t="shared" ref="G137" si="1">SUM(H242:H245)+SUM(H249:H254)*6+SUM(H258:H259,H262:H263)+SUM(H267:H272)+SUM(H274:H281)*10+SUM(H283:H286,H289:H290)+SUM(H292:H299)*19+SUM(H301:H304,H307:H308)*3+SUM(H310:H313,H315:H317)</f>
        <v>300906.32562900003</v>
      </c>
      <c r="H137" s="170"/>
      <c r="T137"/>
    </row>
    <row r="138" spans="1:22" s="35" customFormat="1" ht="16" thickBot="1" x14ac:dyDescent="0.4">
      <c r="A138" s="159" t="s">
        <v>150</v>
      </c>
      <c r="B138" s="159"/>
      <c r="C138" s="160">
        <f>SUM(C136:D137)</f>
        <v>616</v>
      </c>
      <c r="D138" s="161"/>
      <c r="E138" s="160">
        <f t="shared" ref="E138" si="2">SUM(E136:F137)</f>
        <v>450452.09804399998</v>
      </c>
      <c r="F138" s="161"/>
      <c r="G138" s="160">
        <f t="shared" ref="G138" si="3">SUM(G136:H137)</f>
        <v>675678.14706599992</v>
      </c>
      <c r="H138" s="161"/>
      <c r="T138"/>
    </row>
    <row r="139" spans="1:22" s="35" customFormat="1" ht="16" thickBot="1" x14ac:dyDescent="0.4">
      <c r="A139" s="231" t="s">
        <v>167</v>
      </c>
      <c r="B139" s="232"/>
      <c r="C139" s="233">
        <f>C133+C138</f>
        <v>616</v>
      </c>
      <c r="D139" s="233"/>
      <c r="E139" s="234">
        <f>E133+E138</f>
        <v>450452.09804399998</v>
      </c>
      <c r="F139" s="234"/>
      <c r="G139" s="176">
        <f>G133+G138</f>
        <v>675678.14706599992</v>
      </c>
      <c r="H139" s="177"/>
      <c r="T139"/>
    </row>
    <row r="140" spans="1:22" s="34" customFormat="1" x14ac:dyDescent="0.35">
      <c r="A140" s="225" t="s">
        <v>54</v>
      </c>
      <c r="B140" s="225"/>
      <c r="C140" s="225"/>
      <c r="D140" s="225"/>
      <c r="E140" s="225"/>
      <c r="F140" s="225"/>
      <c r="G140" s="225"/>
      <c r="H140" s="225"/>
      <c r="T140" s="35"/>
    </row>
    <row r="141" spans="1:22" x14ac:dyDescent="0.35">
      <c r="A141" s="243" t="s">
        <v>396</v>
      </c>
      <c r="B141" s="243"/>
      <c r="C141" s="243"/>
      <c r="D141" s="243"/>
      <c r="E141" s="243"/>
      <c r="F141" s="243"/>
      <c r="G141" s="243"/>
      <c r="H141" s="243"/>
      <c r="T141" s="35"/>
    </row>
    <row r="142" spans="1:22" ht="47.25" hidden="1" customHeight="1" x14ac:dyDescent="0.35">
      <c r="A142" s="117" t="s">
        <v>408</v>
      </c>
      <c r="B142" s="117" t="s">
        <v>177</v>
      </c>
      <c r="C142" s="117" t="s">
        <v>55</v>
      </c>
      <c r="D142" s="117" t="s">
        <v>234</v>
      </c>
      <c r="E142" s="151" t="s">
        <v>156</v>
      </c>
      <c r="F142" s="117" t="s">
        <v>56</v>
      </c>
      <c r="G142" s="151" t="s">
        <v>57</v>
      </c>
      <c r="H142" s="96" t="s">
        <v>148</v>
      </c>
      <c r="T142" s="35"/>
    </row>
    <row r="143" spans="1:22" s="37" customFormat="1" hidden="1" x14ac:dyDescent="0.35">
      <c r="A143" s="118"/>
      <c r="B143" s="118"/>
      <c r="C143" s="118"/>
      <c r="D143" s="118"/>
      <c r="E143" s="152"/>
      <c r="F143" s="118"/>
      <c r="G143" s="152"/>
      <c r="H143" s="97">
        <v>0.45</v>
      </c>
      <c r="T143" s="35"/>
    </row>
    <row r="144" spans="1:22" s="37" customFormat="1" hidden="1" x14ac:dyDescent="0.35">
      <c r="A144" s="186" t="s">
        <v>117</v>
      </c>
      <c r="B144" s="187"/>
      <c r="C144" s="187"/>
      <c r="D144" s="187"/>
      <c r="E144" s="187"/>
      <c r="F144" s="187"/>
      <c r="G144" s="187"/>
      <c r="H144" s="188"/>
      <c r="J144" s="36"/>
      <c r="T144" s="35"/>
    </row>
    <row r="145" spans="1:20" s="37" customFormat="1" ht="15.75" hidden="1" customHeight="1" x14ac:dyDescent="0.35">
      <c r="A145" s="222">
        <v>1</v>
      </c>
      <c r="B145" s="223"/>
      <c r="C145" s="98"/>
      <c r="D145" s="98">
        <v>0</v>
      </c>
      <c r="E145" s="98">
        <v>0</v>
      </c>
      <c r="F145" s="98">
        <f>D145+(IF(E145&lt;201,E145,IF(E145&lt;301,E145/2,E145/3)))</f>
        <v>0</v>
      </c>
      <c r="G145" s="99">
        <v>0</v>
      </c>
      <c r="H145" s="98">
        <f>(F145+(IF(G145&lt;101,G145,IF(G145&lt;201,G145/2,IF(G145&lt;=301,G145/3,G145/4)))))*(($H$143)+1)</f>
        <v>0</v>
      </c>
      <c r="I145" s="36"/>
      <c r="L145" s="114"/>
      <c r="M145" s="114"/>
      <c r="N145" s="36"/>
      <c r="T145" s="35"/>
    </row>
    <row r="146" spans="1:20" s="37" customFormat="1" ht="15.75" hidden="1" customHeight="1" x14ac:dyDescent="0.35">
      <c r="A146" s="222">
        <f>A145+1</f>
        <v>2</v>
      </c>
      <c r="B146" s="223"/>
      <c r="C146" s="98"/>
      <c r="D146" s="98"/>
      <c r="E146" s="98">
        <v>0</v>
      </c>
      <c r="F146" s="98">
        <f t="shared" ref="F146:F148" si="4">D146+(IF(E146&lt;201,E146,IF(E146&lt;301,E146/2,E146/3)))</f>
        <v>0</v>
      </c>
      <c r="G146" s="98">
        <v>0</v>
      </c>
      <c r="H146" s="98">
        <f t="shared" ref="H146:H148" si="5">(F146+(IF(G146&lt;101,G146,IF(G146&lt;201,G146/2,IF(G146&lt;=301,G146/3,G146/4)))))*(($H$143)+1)</f>
        <v>0</v>
      </c>
      <c r="I146" s="36"/>
      <c r="L146" s="114"/>
      <c r="M146" s="114"/>
      <c r="N146" s="36"/>
      <c r="T146" s="34"/>
    </row>
    <row r="147" spans="1:20" s="37" customFormat="1" ht="15.75" hidden="1" customHeight="1" x14ac:dyDescent="0.35">
      <c r="A147" s="222">
        <f>A146+1</f>
        <v>3</v>
      </c>
      <c r="B147" s="223"/>
      <c r="C147" s="98"/>
      <c r="D147" s="98"/>
      <c r="E147" s="98">
        <v>0</v>
      </c>
      <c r="F147" s="98">
        <f t="shared" si="4"/>
        <v>0</v>
      </c>
      <c r="G147" s="98">
        <v>0</v>
      </c>
      <c r="H147" s="98">
        <f t="shared" si="5"/>
        <v>0</v>
      </c>
      <c r="I147" s="36"/>
      <c r="L147" s="114"/>
      <c r="M147" s="114"/>
      <c r="N147" s="36"/>
      <c r="T147" s="21"/>
    </row>
    <row r="148" spans="1:20" s="37" customFormat="1" ht="15.75" hidden="1" customHeight="1" x14ac:dyDescent="0.35">
      <c r="A148" s="222">
        <f>A147+1</f>
        <v>4</v>
      </c>
      <c r="B148" s="223"/>
      <c r="C148" s="98"/>
      <c r="D148" s="98"/>
      <c r="E148" s="98">
        <v>0</v>
      </c>
      <c r="F148" s="98">
        <f t="shared" si="4"/>
        <v>0</v>
      </c>
      <c r="G148" s="98">
        <v>0</v>
      </c>
      <c r="H148" s="98">
        <f t="shared" si="5"/>
        <v>0</v>
      </c>
      <c r="I148" s="36"/>
      <c r="L148" s="114"/>
      <c r="M148" s="114"/>
      <c r="N148" s="36"/>
      <c r="T148" s="21"/>
    </row>
    <row r="149" spans="1:20" s="37" customFormat="1" hidden="1" x14ac:dyDescent="0.35">
      <c r="A149" s="222"/>
      <c r="B149" s="224"/>
      <c r="C149" s="224"/>
      <c r="D149" s="224"/>
      <c r="E149" s="224"/>
      <c r="F149" s="224"/>
      <c r="G149" s="224"/>
      <c r="H149" s="223"/>
      <c r="I149" s="36"/>
      <c r="N149" s="36"/>
    </row>
    <row r="150" spans="1:20" ht="47.25" customHeight="1" x14ac:dyDescent="0.35">
      <c r="A150" s="226" t="s">
        <v>409</v>
      </c>
      <c r="B150" s="117" t="s">
        <v>178</v>
      </c>
      <c r="C150" s="117" t="s">
        <v>55</v>
      </c>
      <c r="D150" s="117" t="s">
        <v>234</v>
      </c>
      <c r="E150" s="117" t="s">
        <v>233</v>
      </c>
      <c r="F150" s="117" t="s">
        <v>56</v>
      </c>
      <c r="G150" s="151" t="s">
        <v>57</v>
      </c>
      <c r="H150" s="96" t="s">
        <v>148</v>
      </c>
      <c r="I150" s="36"/>
      <c r="T150" s="37"/>
    </row>
    <row r="151" spans="1:20" s="37" customFormat="1" x14ac:dyDescent="0.35">
      <c r="A151" s="227"/>
      <c r="B151" s="118"/>
      <c r="C151" s="118"/>
      <c r="D151" s="118"/>
      <c r="E151" s="118"/>
      <c r="F151" s="118"/>
      <c r="G151" s="152"/>
      <c r="H151" s="97">
        <v>0.5</v>
      </c>
      <c r="I151" s="36"/>
      <c r="J151" s="89">
        <f>10.764</f>
        <v>10.763999999999999</v>
      </c>
    </row>
    <row r="152" spans="1:20" s="84" customFormat="1" x14ac:dyDescent="0.35">
      <c r="A152" s="110" t="s">
        <v>376</v>
      </c>
      <c r="B152" s="111"/>
      <c r="C152" s="111"/>
      <c r="D152" s="111"/>
      <c r="E152" s="111"/>
      <c r="F152" s="111"/>
      <c r="G152" s="111"/>
      <c r="H152" s="112"/>
      <c r="J152" s="36"/>
    </row>
    <row r="153" spans="1:20" s="84" customFormat="1" x14ac:dyDescent="0.35">
      <c r="A153" s="110" t="s">
        <v>377</v>
      </c>
      <c r="B153" s="111"/>
      <c r="C153" s="111"/>
      <c r="D153" s="111"/>
      <c r="E153" s="111"/>
      <c r="F153" s="111"/>
      <c r="G153" s="111"/>
      <c r="H153" s="112"/>
      <c r="J153" s="36"/>
    </row>
    <row r="154" spans="1:20" s="84" customFormat="1" x14ac:dyDescent="0.35">
      <c r="A154" s="113" t="s">
        <v>388</v>
      </c>
      <c r="B154" s="113"/>
      <c r="C154" s="113"/>
      <c r="D154" s="113"/>
      <c r="E154" s="113"/>
      <c r="F154" s="113"/>
      <c r="G154" s="113"/>
      <c r="H154" s="113"/>
      <c r="I154" s="36"/>
      <c r="L154" s="114"/>
      <c r="M154" s="114"/>
    </row>
    <row r="155" spans="1:20" s="88" customFormat="1" x14ac:dyDescent="0.35">
      <c r="A155" s="103">
        <v>1</v>
      </c>
      <c r="B155" s="103"/>
      <c r="C155" s="104" t="s">
        <v>389</v>
      </c>
      <c r="D155" s="105"/>
      <c r="E155" s="105"/>
      <c r="F155" s="105"/>
      <c r="G155" s="105"/>
      <c r="H155" s="106"/>
      <c r="I155" s="36">
        <f>(3.35*5.8+1.15*2.23+1.13*2.73+3.05*2.13+3.05*3.35+3.05*4.27+3.65*3.15+1.05*0.93+1.38*2.28+1.55*2.44+2.28*1.38+3.25*0.93)</f>
        <v>80.388199999999983</v>
      </c>
      <c r="N155" s="36"/>
    </row>
    <row r="156" spans="1:20" s="88" customFormat="1" x14ac:dyDescent="0.35">
      <c r="A156" s="103">
        <v>2</v>
      </c>
      <c r="B156" s="103"/>
      <c r="C156" s="107"/>
      <c r="D156" s="108"/>
      <c r="E156" s="108"/>
      <c r="F156" s="108"/>
      <c r="G156" s="108"/>
      <c r="H156" s="109"/>
      <c r="I156" s="36">
        <f>(3.35*5.8+1.15*2.23+1.13*2.73+3.05*2.13+3.05*3.35+3.05*4.27+1.55*2.44+2.28*1.38+3.22*0.93)</f>
        <v>64.739900000000006</v>
      </c>
      <c r="N156" s="36"/>
    </row>
    <row r="157" spans="1:20" s="88" customFormat="1" x14ac:dyDescent="0.35">
      <c r="A157" s="103">
        <v>3</v>
      </c>
      <c r="B157" s="103"/>
      <c r="C157" s="104" t="s">
        <v>390</v>
      </c>
      <c r="D157" s="105"/>
      <c r="E157" s="105"/>
      <c r="F157" s="105"/>
      <c r="G157" s="105"/>
      <c r="H157" s="106"/>
      <c r="I157" s="36">
        <f>(3.35*5.8+1.15*2.23+1.13*2.73+3.05*2.13+3.05*3.35+3.05*4.27+3.65*3.15+1.05*0.93+1.38*2.28+1.55*2.44+2.28*1.38+3.25*0.93)</f>
        <v>80.388199999999983</v>
      </c>
      <c r="N157" s="36"/>
    </row>
    <row r="158" spans="1:20" s="88" customFormat="1" x14ac:dyDescent="0.35">
      <c r="A158" s="103">
        <v>4</v>
      </c>
      <c r="B158" s="103"/>
      <c r="C158" s="107"/>
      <c r="D158" s="108"/>
      <c r="E158" s="108"/>
      <c r="F158" s="108"/>
      <c r="G158" s="108"/>
      <c r="H158" s="109"/>
      <c r="I158" s="36">
        <f>(3.35*5.8+1.15*2.23+1.13*2.73+3.05*2.13+3.05*3.35+3.05*4.27+1.55*2.44+2.28*1.38+3.22*0.93)</f>
        <v>64.739900000000006</v>
      </c>
      <c r="N158" s="36"/>
    </row>
    <row r="159" spans="1:20" s="84" customFormat="1" x14ac:dyDescent="0.35">
      <c r="A159" s="103">
        <v>5</v>
      </c>
      <c r="B159" s="103"/>
      <c r="C159" s="83" t="s">
        <v>378</v>
      </c>
      <c r="D159" s="89">
        <f>(85.65)*(10.764)</f>
        <v>921.9366</v>
      </c>
      <c r="E159" s="89">
        <f>(1.23*3.25+1.08*1.55)*(10.764)</f>
        <v>61.048025999999993</v>
      </c>
      <c r="F159" s="83">
        <f>D159+E159</f>
        <v>982.98462599999993</v>
      </c>
      <c r="G159" s="83">
        <v>0</v>
      </c>
      <c r="H159" s="83">
        <f>F159*(($H$151)+1)+(IF(G159&lt;101,G159,IF(G159&lt;201,G159/2,IF(G159&lt;=301,G159/3,G159/4))))</f>
        <v>1474.4769389999999</v>
      </c>
      <c r="I159" s="36">
        <f>(3.35*5.8+1.15*2.23+1.13*2.73+3.05*2.13+3.05*3.35+3.05*4.27+3.65*3.15+1.05*0.93+1.38*2.28+1.55*2.44+2.28*1.38+3.25*0.93)</f>
        <v>80.388199999999983</v>
      </c>
      <c r="N159" s="36"/>
    </row>
    <row r="160" spans="1:20" s="84" customFormat="1" x14ac:dyDescent="0.35">
      <c r="A160" s="103">
        <v>6</v>
      </c>
      <c r="B160" s="103"/>
      <c r="C160" s="83" t="s">
        <v>379</v>
      </c>
      <c r="D160" s="89">
        <f>(69.08)*(10.764)</f>
        <v>743.57711999999992</v>
      </c>
      <c r="E160" s="89">
        <f>(1.23*3.25+1.08*1.55)*(10.764)</f>
        <v>61.048025999999993</v>
      </c>
      <c r="F160" s="83">
        <f>D160+E160</f>
        <v>804.62514599999986</v>
      </c>
      <c r="G160" s="83">
        <v>0</v>
      </c>
      <c r="H160" s="83">
        <f>F160*(($H$151)+1)+(IF(G160&lt;101,G160,IF(G160&lt;201,G160/2,IF(G160&lt;=301,G160/3,G160/4))))</f>
        <v>1206.9377189999998</v>
      </c>
      <c r="I160" s="36">
        <f>(3.35*5.8+1.15*2.23+1.13*2.73+3.05*2.13+3.05*3.35+3.05*4.27+1.55*2.44+2.28*1.38+3.22*0.93)</f>
        <v>64.739900000000006</v>
      </c>
      <c r="N160" s="36"/>
    </row>
    <row r="161" spans="1:14" s="88" customFormat="1" x14ac:dyDescent="0.35">
      <c r="A161" s="103">
        <v>7</v>
      </c>
      <c r="B161" s="103"/>
      <c r="C161" s="104" t="s">
        <v>389</v>
      </c>
      <c r="D161" s="105"/>
      <c r="E161" s="105"/>
      <c r="F161" s="105"/>
      <c r="G161" s="105"/>
      <c r="H161" s="106"/>
      <c r="I161" s="36">
        <f>(3.35*5.8+1.15*2.23+1.13*2.73+3.05*2.13+3.05*3.35+3.05*4.27+3.65*3.15+1.05*0.93+1.38*2.28+1.55*2.44+2.28*1.38+3.25*0.93)</f>
        <v>80.388199999999983</v>
      </c>
      <c r="N161" s="36"/>
    </row>
    <row r="162" spans="1:14" s="88" customFormat="1" x14ac:dyDescent="0.35">
      <c r="A162" s="103">
        <v>8</v>
      </c>
      <c r="B162" s="103"/>
      <c r="C162" s="107"/>
      <c r="D162" s="108"/>
      <c r="E162" s="108"/>
      <c r="F162" s="108"/>
      <c r="G162" s="108"/>
      <c r="H162" s="109"/>
      <c r="I162" s="36">
        <f>(3.35*5.8+1.15*2.23+1.13*2.73+3.05*2.13+3.05*3.35+3.05*4.27+1.55*2.44+2.28*1.38+3.22*0.93)</f>
        <v>64.739900000000006</v>
      </c>
      <c r="N162" s="36"/>
    </row>
    <row r="163" spans="1:14" s="84" customFormat="1" x14ac:dyDescent="0.35">
      <c r="A163" s="110" t="s">
        <v>391</v>
      </c>
      <c r="B163" s="111"/>
      <c r="C163" s="111"/>
      <c r="D163" s="111"/>
      <c r="E163" s="111"/>
      <c r="F163" s="111"/>
      <c r="G163" s="111"/>
      <c r="H163" s="112"/>
      <c r="I163" s="36"/>
    </row>
    <row r="164" spans="1:14" s="88" customFormat="1" x14ac:dyDescent="0.35">
      <c r="A164" s="103">
        <v>1</v>
      </c>
      <c r="B164" s="103"/>
      <c r="C164" s="104" t="s">
        <v>389</v>
      </c>
      <c r="D164" s="105"/>
      <c r="E164" s="105"/>
      <c r="F164" s="105"/>
      <c r="G164" s="105"/>
      <c r="H164" s="106"/>
      <c r="I164" s="36">
        <f>(3.35*5.8+1.15*2.23+1.13*2.73+3.05*2.13+3.05*3.35+3.05*4.27+3.65*3.15+1.05*0.93+1.38*2.28+1.55*2.44+2.28*1.38+3.25*0.93)</f>
        <v>80.388199999999983</v>
      </c>
      <c r="N164" s="36"/>
    </row>
    <row r="165" spans="1:14" s="88" customFormat="1" x14ac:dyDescent="0.35">
      <c r="A165" s="103">
        <v>2</v>
      </c>
      <c r="B165" s="103"/>
      <c r="C165" s="107"/>
      <c r="D165" s="108"/>
      <c r="E165" s="108"/>
      <c r="F165" s="108"/>
      <c r="G165" s="108"/>
      <c r="H165" s="109"/>
      <c r="I165" s="36">
        <f>(3.35*5.8+1.15*2.23+1.13*2.73+3.05*2.13+3.05*3.35+3.05*4.27+1.55*2.44+2.28*1.38+3.22*0.93)</f>
        <v>64.739900000000006</v>
      </c>
      <c r="N165" s="36"/>
    </row>
    <row r="166" spans="1:14" s="84" customFormat="1" ht="15.75" customHeight="1" x14ac:dyDescent="0.35">
      <c r="A166" s="153">
        <v>3</v>
      </c>
      <c r="B166" s="154"/>
      <c r="C166" s="83" t="s">
        <v>379</v>
      </c>
      <c r="D166" s="89">
        <f>(62.93)*(10.764)</f>
        <v>677.37851999999998</v>
      </c>
      <c r="E166" s="89">
        <f>(1.07*2.95+1.52*1)*(10.764)</f>
        <v>50.337846000000006</v>
      </c>
      <c r="F166" s="83">
        <f>D166+E166</f>
        <v>727.71636599999999</v>
      </c>
      <c r="G166" s="83">
        <v>0</v>
      </c>
      <c r="H166" s="83">
        <f>F166*(($H$151)+1)+(IF(G166&lt;101,G166,IF(G166&lt;201,G166/2,IF(G166&lt;=301,G166/3,G166/4))))</f>
        <v>1091.5745489999999</v>
      </c>
      <c r="I166" s="36"/>
    </row>
    <row r="167" spans="1:14" s="84" customFormat="1" ht="15.75" customHeight="1" x14ac:dyDescent="0.35">
      <c r="A167" s="153">
        <f>A166+1</f>
        <v>4</v>
      </c>
      <c r="B167" s="154"/>
      <c r="C167" s="83" t="s">
        <v>379</v>
      </c>
      <c r="D167" s="89">
        <f>(62.93)*(10.764)</f>
        <v>677.37851999999998</v>
      </c>
      <c r="E167" s="89">
        <f>(1.07*2.95+1.52*1)*(10.764)</f>
        <v>50.337846000000006</v>
      </c>
      <c r="F167" s="83">
        <f>D167+E167</f>
        <v>727.71636599999999</v>
      </c>
      <c r="G167" s="83">
        <v>0</v>
      </c>
      <c r="H167" s="83">
        <f>F167*(($H$151)+1)+(IF(G167&lt;101,G167,IF(G167&lt;201,G167/2,IF(G167&lt;=301,G167/3,G167/4))))</f>
        <v>1091.5745489999999</v>
      </c>
      <c r="I167" s="36"/>
    </row>
    <row r="168" spans="1:14" s="84" customFormat="1" ht="15.75" customHeight="1" x14ac:dyDescent="0.35">
      <c r="A168" s="153">
        <f t="shared" ref="A168:A169" si="6">A167+1</f>
        <v>5</v>
      </c>
      <c r="B168" s="154"/>
      <c r="C168" s="83" t="s">
        <v>378</v>
      </c>
      <c r="D168" s="89">
        <f>(85.65)*(10.764)</f>
        <v>921.9366</v>
      </c>
      <c r="E168" s="89">
        <f>(1.23*3.25+1.08*1.55)*(10.764)</f>
        <v>61.048025999999993</v>
      </c>
      <c r="F168" s="83">
        <f>D168+E168</f>
        <v>982.98462599999993</v>
      </c>
      <c r="G168" s="83">
        <v>0</v>
      </c>
      <c r="H168" s="83">
        <f>F168*(($H$151)+1)+(IF(G168&lt;101,G168,IF(G168&lt;201,G168/2,IF(G168&lt;=301,G168/3,G168/4))))</f>
        <v>1474.4769389999999</v>
      </c>
      <c r="I168" s="36"/>
    </row>
    <row r="169" spans="1:14" s="84" customFormat="1" ht="15.75" customHeight="1" x14ac:dyDescent="0.35">
      <c r="A169" s="153">
        <f t="shared" si="6"/>
        <v>6</v>
      </c>
      <c r="B169" s="154"/>
      <c r="C169" s="83" t="s">
        <v>379</v>
      </c>
      <c r="D169" s="89">
        <f>(69.08)*(10.764)</f>
        <v>743.57711999999992</v>
      </c>
      <c r="E169" s="89">
        <f>(1.23*3.25+1.08*1.55)*(10.764)</f>
        <v>61.048025999999993</v>
      </c>
      <c r="F169" s="83">
        <f>D169+E169</f>
        <v>804.62514599999986</v>
      </c>
      <c r="G169" s="83">
        <v>0</v>
      </c>
      <c r="H169" s="83">
        <f>F169*(($H$151)+1)+(IF(G169&lt;101,G169,IF(G169&lt;201,G169/2,IF(G169&lt;=301,G169/3,G169/4))))</f>
        <v>1206.9377189999998</v>
      </c>
      <c r="I169" s="36"/>
    </row>
    <row r="170" spans="1:14" s="88" customFormat="1" x14ac:dyDescent="0.35">
      <c r="A170" s="103">
        <v>7</v>
      </c>
      <c r="B170" s="103"/>
      <c r="C170" s="104" t="s">
        <v>389</v>
      </c>
      <c r="D170" s="105"/>
      <c r="E170" s="105"/>
      <c r="F170" s="105"/>
      <c r="G170" s="105"/>
      <c r="H170" s="106"/>
      <c r="I170" s="36">
        <f>(3.35*5.8+1.15*2.23+1.13*2.73+3.05*2.13+3.05*3.35+3.05*4.27+3.65*3.15+1.05*0.93+1.38*2.28+1.55*2.44+2.28*1.38+3.25*0.93)</f>
        <v>80.388199999999983</v>
      </c>
      <c r="N170" s="36"/>
    </row>
    <row r="171" spans="1:14" s="88" customFormat="1" x14ac:dyDescent="0.35">
      <c r="A171" s="103">
        <v>8</v>
      </c>
      <c r="B171" s="103"/>
      <c r="C171" s="107"/>
      <c r="D171" s="108"/>
      <c r="E171" s="108"/>
      <c r="F171" s="108"/>
      <c r="G171" s="108"/>
      <c r="H171" s="109"/>
      <c r="I171" s="36">
        <f>(3.35*5.8+1.15*2.23+1.13*2.73+3.05*2.13+3.05*3.35+3.05*4.27+1.55*2.44+2.28*1.38+3.22*0.93)</f>
        <v>64.739900000000006</v>
      </c>
      <c r="N171" s="36"/>
    </row>
    <row r="172" spans="1:14" s="84" customFormat="1" ht="15.75" customHeight="1" x14ac:dyDescent="0.35">
      <c r="A172" s="110" t="s">
        <v>380</v>
      </c>
      <c r="B172" s="111"/>
      <c r="C172" s="111"/>
      <c r="D172" s="111"/>
      <c r="E172" s="111"/>
      <c r="F172" s="111"/>
      <c r="G172" s="111"/>
      <c r="H172" s="112"/>
      <c r="I172" s="36"/>
      <c r="L172" s="114"/>
      <c r="M172" s="114"/>
    </row>
    <row r="173" spans="1:14" s="88" customFormat="1" x14ac:dyDescent="0.35">
      <c r="A173" s="103">
        <v>1</v>
      </c>
      <c r="B173" s="103"/>
      <c r="C173" s="104" t="s">
        <v>390</v>
      </c>
      <c r="D173" s="105"/>
      <c r="E173" s="105"/>
      <c r="F173" s="105"/>
      <c r="G173" s="105"/>
      <c r="H173" s="106"/>
      <c r="I173" s="36">
        <f>(3.35*5.8+1.15*2.23+1.13*2.73+3.05*2.13+3.05*3.35+3.05*4.27+3.65*3.15+1.05*0.93+1.38*2.28+1.55*2.44+2.28*1.38+3.25*0.93)</f>
        <v>80.388199999999983</v>
      </c>
      <c r="N173" s="36"/>
    </row>
    <row r="174" spans="1:14" s="88" customFormat="1" x14ac:dyDescent="0.35">
      <c r="A174" s="103">
        <v>2</v>
      </c>
      <c r="B174" s="103"/>
      <c r="C174" s="107"/>
      <c r="D174" s="108"/>
      <c r="E174" s="108"/>
      <c r="F174" s="108"/>
      <c r="G174" s="108"/>
      <c r="H174" s="109"/>
      <c r="I174" s="36">
        <f>(3.35*5.8+1.15*2.23+1.13*2.73+3.05*2.13+3.05*3.35+3.05*4.27+1.55*2.44+2.28*1.38+3.22*0.93)</f>
        <v>64.739900000000006</v>
      </c>
      <c r="N174" s="36"/>
    </row>
    <row r="175" spans="1:14" s="84" customFormat="1" x14ac:dyDescent="0.35">
      <c r="A175" s="103">
        <v>3</v>
      </c>
      <c r="B175" s="103"/>
      <c r="C175" s="83" t="s">
        <v>379</v>
      </c>
      <c r="D175" s="89">
        <f>(62.93)*(10.764)</f>
        <v>677.37851999999998</v>
      </c>
      <c r="E175" s="89">
        <f>(1.07*2.95+1.52*1)*(10.764)</f>
        <v>50.337846000000006</v>
      </c>
      <c r="F175" s="83">
        <f>D175+E175</f>
        <v>727.71636599999999</v>
      </c>
      <c r="G175" s="83">
        <v>0</v>
      </c>
      <c r="H175" s="83">
        <f>F175*(($H$151)+1)+(IF(G175&lt;101,G175,IF(G175&lt;201,G175/2,IF(G175&lt;=301,G175/3,G175/4))))</f>
        <v>1091.5745489999999</v>
      </c>
      <c r="I175" s="36"/>
      <c r="N175" s="36"/>
    </row>
    <row r="176" spans="1:14" s="84" customFormat="1" x14ac:dyDescent="0.35">
      <c r="A176" s="103">
        <v>4</v>
      </c>
      <c r="B176" s="103"/>
      <c r="C176" s="83" t="s">
        <v>379</v>
      </c>
      <c r="D176" s="89">
        <f>(62.93)*(10.764)</f>
        <v>677.37851999999998</v>
      </c>
      <c r="E176" s="89">
        <f>(1.07*2.95+1.52*1)*(10.764)</f>
        <v>50.337846000000006</v>
      </c>
      <c r="F176" s="83">
        <f>D176+E176</f>
        <v>727.71636599999999</v>
      </c>
      <c r="G176" s="83">
        <v>0</v>
      </c>
      <c r="H176" s="83">
        <f>F176*(($H$151)+1)+(IF(G176&lt;101,G176,IF(G176&lt;201,G176/2,IF(G176&lt;=301,G176/3,G176/4))))</f>
        <v>1091.5745489999999</v>
      </c>
      <c r="I176" s="36"/>
      <c r="N176" s="36"/>
    </row>
    <row r="177" spans="1:14" s="84" customFormat="1" x14ac:dyDescent="0.35">
      <c r="A177" s="103">
        <v>5</v>
      </c>
      <c r="B177" s="103"/>
      <c r="C177" s="104" t="s">
        <v>381</v>
      </c>
      <c r="D177" s="105"/>
      <c r="E177" s="105"/>
      <c r="F177" s="105"/>
      <c r="G177" s="105"/>
      <c r="H177" s="106"/>
      <c r="I177" s="36"/>
      <c r="N177" s="36"/>
    </row>
    <row r="178" spans="1:14" s="84" customFormat="1" x14ac:dyDescent="0.35">
      <c r="A178" s="103">
        <v>6</v>
      </c>
      <c r="B178" s="103"/>
      <c r="C178" s="107"/>
      <c r="D178" s="108"/>
      <c r="E178" s="108"/>
      <c r="F178" s="108"/>
      <c r="G178" s="108"/>
      <c r="H178" s="109"/>
      <c r="I178" s="36"/>
      <c r="N178" s="36"/>
    </row>
    <row r="179" spans="1:14" s="88" customFormat="1" x14ac:dyDescent="0.35">
      <c r="A179" s="103">
        <v>7</v>
      </c>
      <c r="B179" s="103"/>
      <c r="C179" s="104" t="s">
        <v>390</v>
      </c>
      <c r="D179" s="105"/>
      <c r="E179" s="105"/>
      <c r="F179" s="105"/>
      <c r="G179" s="105"/>
      <c r="H179" s="106"/>
      <c r="I179" s="36">
        <f>(3.35*5.8+1.15*2.23+1.13*2.73+3.05*2.13+3.05*3.35+3.05*4.27+3.65*3.15+1.05*0.93+1.38*2.28+1.55*2.44+2.28*1.38+3.25*0.93)</f>
        <v>80.388199999999983</v>
      </c>
      <c r="N179" s="36"/>
    </row>
    <row r="180" spans="1:14" s="88" customFormat="1" x14ac:dyDescent="0.35">
      <c r="A180" s="103">
        <v>8</v>
      </c>
      <c r="B180" s="103"/>
      <c r="C180" s="107"/>
      <c r="D180" s="108"/>
      <c r="E180" s="108"/>
      <c r="F180" s="108"/>
      <c r="G180" s="108"/>
      <c r="H180" s="109"/>
      <c r="I180" s="36">
        <f>(3.35*5.8+1.15*2.23+1.13*2.73+3.05*2.13+3.05*3.35+3.05*4.27+1.55*2.44+2.28*1.38+3.22*0.93)</f>
        <v>64.739900000000006</v>
      </c>
      <c r="N180" s="36"/>
    </row>
    <row r="181" spans="1:14" s="84" customFormat="1" x14ac:dyDescent="0.35">
      <c r="A181" s="113" t="s">
        <v>395</v>
      </c>
      <c r="B181" s="113"/>
      <c r="C181" s="113"/>
      <c r="D181" s="113"/>
      <c r="E181" s="113"/>
      <c r="F181" s="113"/>
      <c r="G181" s="113"/>
      <c r="H181" s="113"/>
      <c r="I181" s="36"/>
      <c r="L181" s="114"/>
      <c r="M181" s="114"/>
    </row>
    <row r="182" spans="1:14" s="88" customFormat="1" x14ac:dyDescent="0.35">
      <c r="A182" s="103">
        <v>1</v>
      </c>
      <c r="B182" s="103"/>
      <c r="C182" s="104" t="s">
        <v>389</v>
      </c>
      <c r="D182" s="105"/>
      <c r="E182" s="105"/>
      <c r="F182" s="105"/>
      <c r="G182" s="105"/>
      <c r="H182" s="106"/>
      <c r="I182" s="36">
        <f>(3.35*5.8+1.15*2.23+1.13*2.73+3.05*2.13+3.05*3.35+3.05*4.27+3.65*3.15+1.05*0.93+1.38*2.28+1.55*2.44+2.28*1.38+3.25*0.93)</f>
        <v>80.388199999999983</v>
      </c>
      <c r="N182" s="36"/>
    </row>
    <row r="183" spans="1:14" s="88" customFormat="1" x14ac:dyDescent="0.35">
      <c r="A183" s="103">
        <v>2</v>
      </c>
      <c r="B183" s="103"/>
      <c r="C183" s="107"/>
      <c r="D183" s="108"/>
      <c r="E183" s="108"/>
      <c r="F183" s="108"/>
      <c r="G183" s="108"/>
      <c r="H183" s="109"/>
      <c r="I183" s="36">
        <f>(3.35*5.8+1.15*2.23+1.13*2.73+3.05*2.13+3.05*3.35+3.05*4.27+1.55*2.44+2.28*1.38+3.22*0.93)</f>
        <v>64.739900000000006</v>
      </c>
      <c r="N183" s="36"/>
    </row>
    <row r="184" spans="1:14" s="84" customFormat="1" x14ac:dyDescent="0.35">
      <c r="A184" s="103">
        <v>3</v>
      </c>
      <c r="B184" s="103"/>
      <c r="C184" s="83" t="s">
        <v>379</v>
      </c>
      <c r="D184" s="89">
        <f>(62.93)*(10.764)</f>
        <v>677.37851999999998</v>
      </c>
      <c r="E184" s="89">
        <f>(1.07*2.95+1.52*1)*(10.764)</f>
        <v>50.337846000000006</v>
      </c>
      <c r="F184" s="83">
        <f>D184+E184</f>
        <v>727.71636599999999</v>
      </c>
      <c r="G184" s="83">
        <v>0</v>
      </c>
      <c r="H184" s="83">
        <f>F184*(($H$151)+1)+(IF(G184&lt;101,G184,IF(G184&lt;201,G184/2,IF(G184&lt;=301,G184/3,G184/4))))</f>
        <v>1091.5745489999999</v>
      </c>
      <c r="I184" s="36"/>
      <c r="N184" s="36"/>
    </row>
    <row r="185" spans="1:14" s="84" customFormat="1" x14ac:dyDescent="0.35">
      <c r="A185" s="103">
        <f>A184+1</f>
        <v>4</v>
      </c>
      <c r="B185" s="103"/>
      <c r="C185" s="83" t="s">
        <v>379</v>
      </c>
      <c r="D185" s="89">
        <f>(62.93)*(10.764)</f>
        <v>677.37851999999998</v>
      </c>
      <c r="E185" s="89">
        <f>(1.07*2.95+1.52*1)*(10.764)</f>
        <v>50.337846000000006</v>
      </c>
      <c r="F185" s="83">
        <f>D185+E185</f>
        <v>727.71636599999999</v>
      </c>
      <c r="G185" s="83">
        <v>0</v>
      </c>
      <c r="H185" s="83">
        <f>F185*(($H$151)+1)+(IF(G185&lt;101,G185,IF(G185&lt;201,G185/2,IF(G185&lt;=301,G185/3,G185/4))))</f>
        <v>1091.5745489999999</v>
      </c>
      <c r="I185" s="36"/>
      <c r="N185" s="36"/>
    </row>
    <row r="186" spans="1:14" s="84" customFormat="1" x14ac:dyDescent="0.35">
      <c r="A186" s="103">
        <f>A185+1</f>
        <v>5</v>
      </c>
      <c r="B186" s="103"/>
      <c r="C186" s="83" t="s">
        <v>378</v>
      </c>
      <c r="D186" s="89">
        <f>(85.65)*(10.764)</f>
        <v>921.9366</v>
      </c>
      <c r="E186" s="89">
        <f>(1.23*3.25+1.08*1.55)*(10.764)</f>
        <v>61.048025999999993</v>
      </c>
      <c r="F186" s="83">
        <f>D186+E186</f>
        <v>982.98462599999993</v>
      </c>
      <c r="G186" s="83">
        <v>0</v>
      </c>
      <c r="H186" s="83">
        <f>F186*(($H$151)+1)+(IF(G186&lt;101,G186,IF(G186&lt;201,G186/2,IF(G186&lt;=301,G186/3,G186/4))))</f>
        <v>1474.4769389999999</v>
      </c>
      <c r="I186" s="36"/>
      <c r="N186" s="36"/>
    </row>
    <row r="187" spans="1:14" s="84" customFormat="1" x14ac:dyDescent="0.35">
      <c r="A187" s="103">
        <f>A186+1</f>
        <v>6</v>
      </c>
      <c r="B187" s="103"/>
      <c r="C187" s="83" t="s">
        <v>379</v>
      </c>
      <c r="D187" s="89">
        <f>(69.08)*(10.764)</f>
        <v>743.57711999999992</v>
      </c>
      <c r="E187" s="89">
        <f>(1.23*3.25+1.08*1.55)*(10.764)</f>
        <v>61.048025999999993</v>
      </c>
      <c r="F187" s="83">
        <f>D187+E187</f>
        <v>804.62514599999986</v>
      </c>
      <c r="G187" s="83">
        <v>0</v>
      </c>
      <c r="H187" s="83">
        <f>F187*(($H$151)+1)+(IF(G187&lt;101,G187,IF(G187&lt;201,G187/2,IF(G187&lt;=301,G187/3,G187/4))))</f>
        <v>1206.9377189999998</v>
      </c>
      <c r="I187" s="36"/>
      <c r="N187" s="36"/>
    </row>
    <row r="188" spans="1:14" s="88" customFormat="1" x14ac:dyDescent="0.35">
      <c r="A188" s="103">
        <v>7</v>
      </c>
      <c r="B188" s="103"/>
      <c r="C188" s="104" t="s">
        <v>392</v>
      </c>
      <c r="D188" s="105"/>
      <c r="E188" s="105"/>
      <c r="F188" s="105"/>
      <c r="G188" s="105"/>
      <c r="H188" s="106"/>
      <c r="I188" s="36">
        <f>(3.35*5.8+1.15*2.23+1.13*2.73+3.05*2.13+3.05*3.35+3.05*4.27+3.65*3.15+1.05*0.93+1.38*2.28+1.55*2.44+2.28*1.38+3.25*0.93)</f>
        <v>80.388199999999983</v>
      </c>
      <c r="N188" s="36"/>
    </row>
    <row r="189" spans="1:14" s="88" customFormat="1" x14ac:dyDescent="0.35">
      <c r="A189" s="103">
        <v>8</v>
      </c>
      <c r="B189" s="103"/>
      <c r="C189" s="107"/>
      <c r="D189" s="108"/>
      <c r="E189" s="108"/>
      <c r="F189" s="108"/>
      <c r="G189" s="108"/>
      <c r="H189" s="109"/>
      <c r="I189" s="36">
        <f>(3.35*5.8+1.15*2.23+1.13*2.73+3.05*2.13+3.05*3.35+3.05*4.27+1.55*2.44+2.28*1.38+3.22*0.93)</f>
        <v>64.739900000000006</v>
      </c>
      <c r="N189" s="36"/>
    </row>
    <row r="190" spans="1:14" s="84" customFormat="1" ht="15.75" customHeight="1" x14ac:dyDescent="0.35">
      <c r="A190" s="110" t="s">
        <v>382</v>
      </c>
      <c r="B190" s="111"/>
      <c r="C190" s="111"/>
      <c r="D190" s="111"/>
      <c r="E190" s="111"/>
      <c r="F190" s="111"/>
      <c r="G190" s="111"/>
      <c r="H190" s="112"/>
      <c r="I190" s="36"/>
    </row>
    <row r="191" spans="1:14" s="84" customFormat="1" ht="15.75" customHeight="1" x14ac:dyDescent="0.35">
      <c r="A191" s="103">
        <v>1</v>
      </c>
      <c r="B191" s="103"/>
      <c r="C191" s="83" t="s">
        <v>378</v>
      </c>
      <c r="D191" s="89">
        <f>(78.3)*(10.764)</f>
        <v>842.82119999999986</v>
      </c>
      <c r="E191" s="89">
        <f>(3.05*1.23+1.08*1.53)*(10.764)</f>
        <v>58.167579599999996</v>
      </c>
      <c r="F191" s="83">
        <f t="shared" ref="F191:F198" si="7">D191+E191</f>
        <v>900.98877959999982</v>
      </c>
      <c r="G191" s="83">
        <v>0</v>
      </c>
      <c r="H191" s="83">
        <f t="shared" ref="H191:H198" si="8">F191*(($H$151)+1)+(IF(G191&lt;101,G191,IF(G191&lt;201,G191/2,IF(G191&lt;=301,G191/3,G191/4))))</f>
        <v>1351.4831693999997</v>
      </c>
      <c r="I191" s="36">
        <f>(3.05*5.48+1.15*2.23+2.75*2.12+3.05*3.35+3.05*3.95+3.35*3.15+1.53*2.45+1.38*2.28+2.28*1.38+1*0.93+4.38*0.93)</f>
        <v>72.970700000000008</v>
      </c>
    </row>
    <row r="192" spans="1:14" s="84" customFormat="1" ht="15.75" customHeight="1" x14ac:dyDescent="0.35">
      <c r="A192" s="103">
        <f>A191+1</f>
        <v>2</v>
      </c>
      <c r="B192" s="103"/>
      <c r="C192" s="83" t="s">
        <v>378</v>
      </c>
      <c r="D192" s="89">
        <f>(78.3)*(10.764)</f>
        <v>842.82119999999986</v>
      </c>
      <c r="E192" s="89">
        <f>(3.05*1.23+1.08*1.53)*(10.764)</f>
        <v>58.167579599999996</v>
      </c>
      <c r="F192" s="83">
        <f t="shared" si="7"/>
        <v>900.98877959999982</v>
      </c>
      <c r="G192" s="83">
        <v>0</v>
      </c>
      <c r="H192" s="83">
        <f t="shared" si="8"/>
        <v>1351.4831693999997</v>
      </c>
      <c r="I192" s="36"/>
    </row>
    <row r="193" spans="1:14" s="84" customFormat="1" ht="15.75" customHeight="1" x14ac:dyDescent="0.35">
      <c r="A193" s="103">
        <f t="shared" ref="A193:A198" si="9">A192+1</f>
        <v>3</v>
      </c>
      <c r="B193" s="103"/>
      <c r="C193" s="83" t="s">
        <v>379</v>
      </c>
      <c r="D193" s="89">
        <f>(62.93)*(10.764)</f>
        <v>677.37851999999998</v>
      </c>
      <c r="E193" s="89">
        <f>(1.07*2.95+1.52*1)*(10.764)</f>
        <v>50.337846000000006</v>
      </c>
      <c r="F193" s="83">
        <f t="shared" si="7"/>
        <v>727.71636599999999</v>
      </c>
      <c r="G193" s="83">
        <v>0</v>
      </c>
      <c r="H193" s="83">
        <f t="shared" si="8"/>
        <v>1091.5745489999999</v>
      </c>
      <c r="I193" s="36"/>
    </row>
    <row r="194" spans="1:14" s="84" customFormat="1" ht="15.75" customHeight="1" x14ac:dyDescent="0.35">
      <c r="A194" s="103">
        <f t="shared" si="9"/>
        <v>4</v>
      </c>
      <c r="B194" s="103"/>
      <c r="C194" s="83" t="s">
        <v>379</v>
      </c>
      <c r="D194" s="89">
        <f>(62.93)*(10.764)</f>
        <v>677.37851999999998</v>
      </c>
      <c r="E194" s="89">
        <f>(1.07*2.95+1.52*1)*(10.764)</f>
        <v>50.337846000000006</v>
      </c>
      <c r="F194" s="83">
        <f t="shared" si="7"/>
        <v>727.71636599999999</v>
      </c>
      <c r="G194" s="83">
        <v>0</v>
      </c>
      <c r="H194" s="83">
        <f t="shared" si="8"/>
        <v>1091.5745489999999</v>
      </c>
      <c r="I194" s="36"/>
    </row>
    <row r="195" spans="1:14" s="84" customFormat="1" ht="15.75" customHeight="1" x14ac:dyDescent="0.35">
      <c r="A195" s="103">
        <f t="shared" si="9"/>
        <v>5</v>
      </c>
      <c r="B195" s="103"/>
      <c r="C195" s="83" t="s">
        <v>378</v>
      </c>
      <c r="D195" s="89">
        <f>(85.65)*(10.764)</f>
        <v>921.9366</v>
      </c>
      <c r="E195" s="89">
        <f>(1.23*3.25+1.08*1.55)*(10.764)</f>
        <v>61.048025999999993</v>
      </c>
      <c r="F195" s="83">
        <f t="shared" si="7"/>
        <v>982.98462599999993</v>
      </c>
      <c r="G195" s="83">
        <v>0</v>
      </c>
      <c r="H195" s="83">
        <f t="shared" si="8"/>
        <v>1474.4769389999999</v>
      </c>
      <c r="I195" s="36"/>
    </row>
    <row r="196" spans="1:14" s="84" customFormat="1" ht="15.75" customHeight="1" x14ac:dyDescent="0.35">
      <c r="A196" s="103">
        <f t="shared" si="9"/>
        <v>6</v>
      </c>
      <c r="B196" s="103"/>
      <c r="C196" s="83" t="s">
        <v>378</v>
      </c>
      <c r="D196" s="89">
        <f>(85.65)*(10.764)</f>
        <v>921.9366</v>
      </c>
      <c r="E196" s="89">
        <f>(1.23*3.25+1.08*1.55)*(10.764)</f>
        <v>61.048025999999993</v>
      </c>
      <c r="F196" s="83">
        <f t="shared" si="7"/>
        <v>982.98462599999993</v>
      </c>
      <c r="G196" s="83">
        <v>0</v>
      </c>
      <c r="H196" s="83">
        <f t="shared" si="8"/>
        <v>1474.4769389999999</v>
      </c>
      <c r="I196" s="36"/>
    </row>
    <row r="197" spans="1:14" s="84" customFormat="1" ht="15.75" customHeight="1" x14ac:dyDescent="0.35">
      <c r="A197" s="103">
        <f t="shared" si="9"/>
        <v>7</v>
      </c>
      <c r="B197" s="103"/>
      <c r="C197" s="83" t="s">
        <v>379</v>
      </c>
      <c r="D197" s="89">
        <f>(60.72)*(10.764)</f>
        <v>653.59007999999994</v>
      </c>
      <c r="E197" s="89">
        <f>(1.07*2.95+1.52*1)*(10.764)</f>
        <v>50.337846000000006</v>
      </c>
      <c r="F197" s="83">
        <f t="shared" si="7"/>
        <v>703.92792599999996</v>
      </c>
      <c r="G197" s="83">
        <v>0</v>
      </c>
      <c r="H197" s="83">
        <f t="shared" si="8"/>
        <v>1055.891889</v>
      </c>
      <c r="I197" s="36"/>
    </row>
    <row r="198" spans="1:14" s="84" customFormat="1" ht="15.75" customHeight="1" x14ac:dyDescent="0.35">
      <c r="A198" s="103">
        <f t="shared" si="9"/>
        <v>8</v>
      </c>
      <c r="B198" s="103"/>
      <c r="C198" s="83" t="s">
        <v>379</v>
      </c>
      <c r="D198" s="89">
        <f>(60.72)*(10.764)</f>
        <v>653.59007999999994</v>
      </c>
      <c r="E198" s="89">
        <f>(1.07*2.95+1.52*1)*(10.764)</f>
        <v>50.337846000000006</v>
      </c>
      <c r="F198" s="83">
        <f t="shared" si="7"/>
        <v>703.92792599999996</v>
      </c>
      <c r="G198" s="83">
        <v>0</v>
      </c>
      <c r="H198" s="83">
        <f t="shared" si="8"/>
        <v>1055.891889</v>
      </c>
      <c r="I198" s="36">
        <f>(5.19*3.05+1.15*2.23+1.73*0.5+2.12*2.75+3.05*3.05+4.08*3.05+1.38*2.28+1.38*2.28+0.93*1.43+0.93*2.03)</f>
        <v>56.3461</v>
      </c>
    </row>
    <row r="199" spans="1:14" s="84" customFormat="1" x14ac:dyDescent="0.35">
      <c r="A199" s="113" t="s">
        <v>385</v>
      </c>
      <c r="B199" s="113"/>
      <c r="C199" s="113"/>
      <c r="D199" s="113"/>
      <c r="E199" s="113"/>
      <c r="F199" s="113"/>
      <c r="G199" s="113"/>
      <c r="H199" s="113"/>
      <c r="I199" s="36"/>
      <c r="L199" s="114"/>
      <c r="M199" s="114"/>
    </row>
    <row r="200" spans="1:14" s="84" customFormat="1" x14ac:dyDescent="0.35">
      <c r="A200" s="103">
        <v>1</v>
      </c>
      <c r="B200" s="103"/>
      <c r="C200" s="83" t="s">
        <v>378</v>
      </c>
      <c r="D200" s="89">
        <f>(78.3)*(10.764)</f>
        <v>842.82119999999986</v>
      </c>
      <c r="E200" s="89">
        <f>(3.05*1.23+1.08*1.53)*(10.764)</f>
        <v>58.167579599999996</v>
      </c>
      <c r="F200" s="83">
        <f>D200+E200</f>
        <v>900.98877959999982</v>
      </c>
      <c r="G200" s="83">
        <v>0</v>
      </c>
      <c r="H200" s="83">
        <f>F200*(($H$151)+1)+(IF(G200&lt;101,G200,IF(G200&lt;201,G200/2,IF(G200&lt;=301,G200/3,G200/4))))</f>
        <v>1351.4831693999997</v>
      </c>
      <c r="I200" s="36"/>
      <c r="N200" s="36"/>
    </row>
    <row r="201" spans="1:14" s="84" customFormat="1" x14ac:dyDescent="0.35">
      <c r="A201" s="103">
        <f t="shared" ref="A201:A207" si="10">A200+1</f>
        <v>2</v>
      </c>
      <c r="B201" s="103"/>
      <c r="C201" s="83" t="s">
        <v>378</v>
      </c>
      <c r="D201" s="89">
        <f>(78.3)*(10.764)</f>
        <v>842.82119999999986</v>
      </c>
      <c r="E201" s="89">
        <f>(3.05*1.23+1.08*1.53)*(10.764)</f>
        <v>58.167579599999996</v>
      </c>
      <c r="F201" s="83">
        <f>D201+E201</f>
        <v>900.98877959999982</v>
      </c>
      <c r="G201" s="83">
        <v>0</v>
      </c>
      <c r="H201" s="83">
        <f>F201*(($H$151)+1)+(IF(G201&lt;101,G201,IF(G201&lt;201,G201/2,IF(G201&lt;=301,G201/3,G201/4))))</f>
        <v>1351.4831693999997</v>
      </c>
      <c r="I201" s="36"/>
      <c r="N201" s="36"/>
    </row>
    <row r="202" spans="1:14" s="84" customFormat="1" x14ac:dyDescent="0.35">
      <c r="A202" s="103">
        <f t="shared" si="10"/>
        <v>3</v>
      </c>
      <c r="B202" s="103"/>
      <c r="C202" s="83" t="s">
        <v>379</v>
      </c>
      <c r="D202" s="89">
        <f>(62.93)*(10.764)</f>
        <v>677.37851999999998</v>
      </c>
      <c r="E202" s="89">
        <f>(1.07*2.95+1.52*1)*(10.764)</f>
        <v>50.337846000000006</v>
      </c>
      <c r="F202" s="83">
        <f>D202+E202</f>
        <v>727.71636599999999</v>
      </c>
      <c r="G202" s="83">
        <v>0</v>
      </c>
      <c r="H202" s="83">
        <f>F202*(($H$151)+1)+(IF(G202&lt;101,G202,IF(G202&lt;201,G202/2,IF(G202&lt;=301,G202/3,G202/4))))</f>
        <v>1091.5745489999999</v>
      </c>
      <c r="I202" s="36"/>
      <c r="N202" s="36"/>
    </row>
    <row r="203" spans="1:14" s="84" customFormat="1" x14ac:dyDescent="0.35">
      <c r="A203" s="103">
        <f t="shared" si="10"/>
        <v>4</v>
      </c>
      <c r="B203" s="103"/>
      <c r="C203" s="83" t="s">
        <v>379</v>
      </c>
      <c r="D203" s="89">
        <f>(62.93)*(10.764)</f>
        <v>677.37851999999998</v>
      </c>
      <c r="E203" s="89">
        <f>(1.07*2.95+1.52*1)*(10.764)</f>
        <v>50.337846000000006</v>
      </c>
      <c r="F203" s="83">
        <f>D203+E203</f>
        <v>727.71636599999999</v>
      </c>
      <c r="G203" s="83">
        <v>0</v>
      </c>
      <c r="H203" s="83">
        <f>F203*(($H$151)+1)+(IF(G203&lt;101,G203,IF(G203&lt;201,G203/2,IF(G203&lt;=301,G203/3,G203/4))))</f>
        <v>1091.5745489999999</v>
      </c>
      <c r="I203" s="36"/>
      <c r="N203" s="36"/>
    </row>
    <row r="204" spans="1:14" s="84" customFormat="1" x14ac:dyDescent="0.35">
      <c r="A204" s="103">
        <f t="shared" si="10"/>
        <v>5</v>
      </c>
      <c r="B204" s="103"/>
      <c r="C204" s="104" t="s">
        <v>381</v>
      </c>
      <c r="D204" s="105"/>
      <c r="E204" s="105"/>
      <c r="F204" s="105"/>
      <c r="G204" s="105"/>
      <c r="H204" s="106"/>
      <c r="I204" s="36"/>
      <c r="N204" s="36"/>
    </row>
    <row r="205" spans="1:14" s="84" customFormat="1" x14ac:dyDescent="0.35">
      <c r="A205" s="103">
        <f t="shared" si="10"/>
        <v>6</v>
      </c>
      <c r="B205" s="103"/>
      <c r="C205" s="107"/>
      <c r="D205" s="108"/>
      <c r="E205" s="108"/>
      <c r="F205" s="108"/>
      <c r="G205" s="108"/>
      <c r="H205" s="109"/>
      <c r="I205" s="36"/>
      <c r="N205" s="36"/>
    </row>
    <row r="206" spans="1:14" s="84" customFormat="1" x14ac:dyDescent="0.35">
      <c r="A206" s="103">
        <f t="shared" si="10"/>
        <v>7</v>
      </c>
      <c r="B206" s="103"/>
      <c r="C206" s="83" t="s">
        <v>379</v>
      </c>
      <c r="D206" s="89">
        <f>(60.72)*(10.764)</f>
        <v>653.59007999999994</v>
      </c>
      <c r="E206" s="89">
        <f>(1.07*2.95+1.52*1)*(10.764)</f>
        <v>50.337846000000006</v>
      </c>
      <c r="F206" s="83">
        <f>D206+E206</f>
        <v>703.92792599999996</v>
      </c>
      <c r="G206" s="83">
        <v>0</v>
      </c>
      <c r="H206" s="83">
        <f>F206*(($H$151)+1)+(IF(G206&lt;101,G206,IF(G206&lt;201,G206/2,IF(G206&lt;=301,G206/3,G206/4))))</f>
        <v>1055.891889</v>
      </c>
      <c r="I206" s="36"/>
      <c r="N206" s="36"/>
    </row>
    <row r="207" spans="1:14" s="84" customFormat="1" x14ac:dyDescent="0.35">
      <c r="A207" s="103">
        <f t="shared" si="10"/>
        <v>8</v>
      </c>
      <c r="B207" s="103"/>
      <c r="C207" s="83" t="s">
        <v>379</v>
      </c>
      <c r="D207" s="89">
        <f>(60.72)*(10.764)</f>
        <v>653.59007999999994</v>
      </c>
      <c r="E207" s="89">
        <f>(1.07*2.95+1.52*1)*(10.764)</f>
        <v>50.337846000000006</v>
      </c>
      <c r="F207" s="83">
        <f>D207+E207</f>
        <v>703.92792599999996</v>
      </c>
      <c r="G207" s="83">
        <v>0</v>
      </c>
      <c r="H207" s="83">
        <f>F207*(($H$151)+1)+(IF(G207&lt;101,G207,IF(G207&lt;201,G207/2,IF(G207&lt;=301,G207/3,G207/4))))</f>
        <v>1055.891889</v>
      </c>
      <c r="I207" s="36"/>
      <c r="N207" s="36"/>
    </row>
    <row r="208" spans="1:14" s="84" customFormat="1" ht="15.75" customHeight="1" x14ac:dyDescent="0.35">
      <c r="A208" s="110" t="s">
        <v>383</v>
      </c>
      <c r="B208" s="111"/>
      <c r="C208" s="111"/>
      <c r="D208" s="111"/>
      <c r="E208" s="111"/>
      <c r="F208" s="111"/>
      <c r="G208" s="111"/>
      <c r="H208" s="112"/>
      <c r="I208" s="36"/>
    </row>
    <row r="209" spans="1:9" s="84" customFormat="1" ht="15.75" customHeight="1" x14ac:dyDescent="0.35">
      <c r="A209" s="103">
        <v>1</v>
      </c>
      <c r="B209" s="103"/>
      <c r="C209" s="83" t="s">
        <v>378</v>
      </c>
      <c r="D209" s="89">
        <f>(78.3)*(10.764)</f>
        <v>842.82119999999986</v>
      </c>
      <c r="E209" s="89">
        <f>(3.05*1.23+1.08*1.53)*(10.764)</f>
        <v>58.167579599999996</v>
      </c>
      <c r="F209" s="83">
        <f t="shared" ref="F209:F216" si="11">D209+E209</f>
        <v>900.98877959999982</v>
      </c>
      <c r="G209" s="83">
        <v>0</v>
      </c>
      <c r="H209" s="83">
        <f t="shared" ref="H209:H216" si="12">F209*(($H$151)+1)+(IF(G209&lt;101,G209,IF(G209&lt;201,G209/2,IF(G209&lt;=301,G209/3,G209/4))))</f>
        <v>1351.4831693999997</v>
      </c>
      <c r="I209" s="36"/>
    </row>
    <row r="210" spans="1:9" s="84" customFormat="1" ht="15.75" customHeight="1" x14ac:dyDescent="0.35">
      <c r="A210" s="103">
        <f>A209+1</f>
        <v>2</v>
      </c>
      <c r="B210" s="103"/>
      <c r="C210" s="83" t="s">
        <v>378</v>
      </c>
      <c r="D210" s="89">
        <f>(78.3)*(10.764)</f>
        <v>842.82119999999986</v>
      </c>
      <c r="E210" s="89">
        <f>(3.05*1.23+1.08*1.53)*(10.764)</f>
        <v>58.167579599999996</v>
      </c>
      <c r="F210" s="83">
        <f t="shared" si="11"/>
        <v>900.98877959999982</v>
      </c>
      <c r="G210" s="83">
        <v>0</v>
      </c>
      <c r="H210" s="83">
        <f t="shared" si="12"/>
        <v>1351.4831693999997</v>
      </c>
      <c r="I210" s="36"/>
    </row>
    <row r="211" spans="1:9" s="84" customFormat="1" ht="15.75" customHeight="1" x14ac:dyDescent="0.35">
      <c r="A211" s="103">
        <f t="shared" ref="A211:A216" si="13">A210+1</f>
        <v>3</v>
      </c>
      <c r="B211" s="103"/>
      <c r="C211" s="83" t="s">
        <v>379</v>
      </c>
      <c r="D211" s="89">
        <f>(63.35)*(10.764)</f>
        <v>681.89940000000001</v>
      </c>
      <c r="E211" s="89">
        <f>(1.07*2.95+1.52*1)*(10.764)</f>
        <v>50.337846000000006</v>
      </c>
      <c r="F211" s="83">
        <f t="shared" si="11"/>
        <v>732.23724600000003</v>
      </c>
      <c r="G211" s="83">
        <v>0</v>
      </c>
      <c r="H211" s="83">
        <f t="shared" si="12"/>
        <v>1098.355869</v>
      </c>
      <c r="I211" s="36"/>
    </row>
    <row r="212" spans="1:9" s="84" customFormat="1" ht="15.75" customHeight="1" x14ac:dyDescent="0.35">
      <c r="A212" s="103">
        <f t="shared" si="13"/>
        <v>4</v>
      </c>
      <c r="B212" s="103"/>
      <c r="C212" s="83" t="s">
        <v>379</v>
      </c>
      <c r="D212" s="89">
        <f>(63.35)*(10.764)</f>
        <v>681.89940000000001</v>
      </c>
      <c r="E212" s="89">
        <f>(1.07*2.95+1.52*1)*(10.764)</f>
        <v>50.337846000000006</v>
      </c>
      <c r="F212" s="83">
        <f t="shared" si="11"/>
        <v>732.23724600000003</v>
      </c>
      <c r="G212" s="83">
        <v>0</v>
      </c>
      <c r="H212" s="83">
        <f t="shared" si="12"/>
        <v>1098.355869</v>
      </c>
      <c r="I212" s="36"/>
    </row>
    <row r="213" spans="1:9" s="84" customFormat="1" ht="15.75" customHeight="1" x14ac:dyDescent="0.35">
      <c r="A213" s="103">
        <f t="shared" si="13"/>
        <v>5</v>
      </c>
      <c r="B213" s="103"/>
      <c r="C213" s="83" t="s">
        <v>378</v>
      </c>
      <c r="D213" s="89">
        <f>(85.65)*(10.764)</f>
        <v>921.9366</v>
      </c>
      <c r="E213" s="89">
        <f>(1.23*3.25+1.08*1.55)*(10.764)</f>
        <v>61.048025999999993</v>
      </c>
      <c r="F213" s="83">
        <f t="shared" si="11"/>
        <v>982.98462599999993</v>
      </c>
      <c r="G213" s="83">
        <v>0</v>
      </c>
      <c r="H213" s="83">
        <f t="shared" si="12"/>
        <v>1474.4769389999999</v>
      </c>
      <c r="I213" s="36"/>
    </row>
    <row r="214" spans="1:9" s="84" customFormat="1" ht="15.75" customHeight="1" x14ac:dyDescent="0.35">
      <c r="A214" s="103">
        <f t="shared" si="13"/>
        <v>6</v>
      </c>
      <c r="B214" s="103"/>
      <c r="C214" s="83" t="s">
        <v>378</v>
      </c>
      <c r="D214" s="89">
        <f>(85.65)*(10.764)</f>
        <v>921.9366</v>
      </c>
      <c r="E214" s="89">
        <f>(1.23*3.25+1.08*1.55)*(10.764)</f>
        <v>61.048025999999993</v>
      </c>
      <c r="F214" s="83">
        <f t="shared" si="11"/>
        <v>982.98462599999993</v>
      </c>
      <c r="G214" s="83">
        <v>0</v>
      </c>
      <c r="H214" s="83">
        <f t="shared" si="12"/>
        <v>1474.4769389999999</v>
      </c>
      <c r="I214" s="36"/>
    </row>
    <row r="215" spans="1:9" s="84" customFormat="1" ht="15.75" customHeight="1" x14ac:dyDescent="0.35">
      <c r="A215" s="103">
        <f t="shared" si="13"/>
        <v>7</v>
      </c>
      <c r="B215" s="103"/>
      <c r="C215" s="83" t="s">
        <v>379</v>
      </c>
      <c r="D215" s="89">
        <f>(61.13)*(10.764)</f>
        <v>658.00332000000003</v>
      </c>
      <c r="E215" s="89">
        <f>(1.07*2.95+1.52*1)*(10.764)</f>
        <v>50.337846000000006</v>
      </c>
      <c r="F215" s="83">
        <f t="shared" si="11"/>
        <v>708.34116600000004</v>
      </c>
      <c r="G215" s="83">
        <v>0</v>
      </c>
      <c r="H215" s="83">
        <f t="shared" si="12"/>
        <v>1062.511749</v>
      </c>
      <c r="I215" s="36"/>
    </row>
    <row r="216" spans="1:9" s="84" customFormat="1" ht="15.75" customHeight="1" x14ac:dyDescent="0.35">
      <c r="A216" s="103">
        <f t="shared" si="13"/>
        <v>8</v>
      </c>
      <c r="B216" s="103"/>
      <c r="C216" s="83" t="s">
        <v>379</v>
      </c>
      <c r="D216" s="89">
        <f>(61.13)*(10.764)</f>
        <v>658.00332000000003</v>
      </c>
      <c r="E216" s="89">
        <f>(1.07*2.95+1.52*1)*(10.764)</f>
        <v>50.337846000000006</v>
      </c>
      <c r="F216" s="83">
        <f t="shared" si="11"/>
        <v>708.34116600000004</v>
      </c>
      <c r="G216" s="83">
        <v>0</v>
      </c>
      <c r="H216" s="83">
        <f t="shared" si="12"/>
        <v>1062.511749</v>
      </c>
      <c r="I216" s="36"/>
    </row>
    <row r="217" spans="1:9" s="84" customFormat="1" ht="15.75" customHeight="1" x14ac:dyDescent="0.35">
      <c r="A217" s="110" t="s">
        <v>384</v>
      </c>
      <c r="B217" s="111"/>
      <c r="C217" s="111"/>
      <c r="D217" s="111"/>
      <c r="E217" s="111"/>
      <c r="F217" s="111"/>
      <c r="G217" s="111"/>
      <c r="H217" s="112"/>
      <c r="I217" s="36"/>
    </row>
    <row r="218" spans="1:9" s="84" customFormat="1" ht="15.75" customHeight="1" x14ac:dyDescent="0.35">
      <c r="A218" s="103">
        <v>1</v>
      </c>
      <c r="B218" s="103"/>
      <c r="C218" s="83" t="s">
        <v>378</v>
      </c>
      <c r="D218" s="89">
        <f>(78.3)*(10.764)</f>
        <v>842.82119999999986</v>
      </c>
      <c r="E218" s="89">
        <f>(3.05*1.23+1.08*1.53)*(10.764)</f>
        <v>58.167579599999996</v>
      </c>
      <c r="F218" s="83">
        <f>D218+E218</f>
        <v>900.98877959999982</v>
      </c>
      <c r="G218" s="83">
        <v>0</v>
      </c>
      <c r="H218" s="83">
        <f>F218*(($H$151)+1)+(IF(G218&lt;101,G218,IF(G218&lt;201,G218/2,IF(G218&lt;=301,G218/3,G218/4))))</f>
        <v>1351.4831693999997</v>
      </c>
      <c r="I218" s="36"/>
    </row>
    <row r="219" spans="1:9" s="84" customFormat="1" ht="15.75" customHeight="1" x14ac:dyDescent="0.35">
      <c r="A219" s="103">
        <f>A218+1</f>
        <v>2</v>
      </c>
      <c r="B219" s="103"/>
      <c r="C219" s="83" t="s">
        <v>378</v>
      </c>
      <c r="D219" s="89">
        <f>(78.3)*(10.764)</f>
        <v>842.82119999999986</v>
      </c>
      <c r="E219" s="89">
        <f>(3.05*1.23+1.08*1.53)*(10.764)</f>
        <v>58.167579599999996</v>
      </c>
      <c r="F219" s="83">
        <f>D219+E219</f>
        <v>900.98877959999982</v>
      </c>
      <c r="G219" s="83">
        <v>0</v>
      </c>
      <c r="H219" s="83">
        <f>F219*(($H$151)+1)+(IF(G219&lt;101,G219,IF(G219&lt;201,G219/2,IF(G219&lt;=301,G219/3,G219/4))))</f>
        <v>1351.4831693999997</v>
      </c>
      <c r="I219" s="36"/>
    </row>
    <row r="220" spans="1:9" s="84" customFormat="1" ht="15.75" customHeight="1" x14ac:dyDescent="0.35">
      <c r="A220" s="103">
        <f t="shared" ref="A220:A225" si="14">A219+1</f>
        <v>3</v>
      </c>
      <c r="B220" s="103"/>
      <c r="C220" s="83" t="s">
        <v>379</v>
      </c>
      <c r="D220" s="89">
        <f>(63.35)*(10.764)</f>
        <v>681.89940000000001</v>
      </c>
      <c r="E220" s="89">
        <f>(1.07*2.95+1.52*1)*(10.764)</f>
        <v>50.337846000000006</v>
      </c>
      <c r="F220" s="83">
        <f>D220+E220</f>
        <v>732.23724600000003</v>
      </c>
      <c r="G220" s="83">
        <v>0</v>
      </c>
      <c r="H220" s="83">
        <f>F220*(($H$151)+1)+(IF(G220&lt;101,G220,IF(G220&lt;201,G220/2,IF(G220&lt;=301,G220/3,G220/4))))</f>
        <v>1098.355869</v>
      </c>
      <c r="I220" s="36"/>
    </row>
    <row r="221" spans="1:9" s="84" customFormat="1" ht="15.75" customHeight="1" x14ac:dyDescent="0.35">
      <c r="A221" s="103">
        <f t="shared" si="14"/>
        <v>4</v>
      </c>
      <c r="B221" s="103"/>
      <c r="C221" s="83" t="s">
        <v>379</v>
      </c>
      <c r="D221" s="89">
        <f>(63.35)*(10.764)</f>
        <v>681.89940000000001</v>
      </c>
      <c r="E221" s="89">
        <f>(1.07*2.95+1.52*1)*(10.764)</f>
        <v>50.337846000000006</v>
      </c>
      <c r="F221" s="83">
        <f>D221+E221</f>
        <v>732.23724600000003</v>
      </c>
      <c r="G221" s="83">
        <v>0</v>
      </c>
      <c r="H221" s="83">
        <f>F221*(($H$151)+1)+(IF(G221&lt;101,G221,IF(G221&lt;201,G221/2,IF(G221&lt;=301,G221/3,G221/4))))</f>
        <v>1098.355869</v>
      </c>
      <c r="I221" s="36"/>
    </row>
    <row r="222" spans="1:9" s="84" customFormat="1" ht="15.75" customHeight="1" x14ac:dyDescent="0.35">
      <c r="A222" s="103">
        <f t="shared" si="14"/>
        <v>5</v>
      </c>
      <c r="B222" s="103"/>
      <c r="C222" s="104" t="s">
        <v>381</v>
      </c>
      <c r="D222" s="105"/>
      <c r="E222" s="105"/>
      <c r="F222" s="105"/>
      <c r="G222" s="105"/>
      <c r="H222" s="106"/>
      <c r="I222" s="36"/>
    </row>
    <row r="223" spans="1:9" s="84" customFormat="1" ht="15.75" customHeight="1" x14ac:dyDescent="0.35">
      <c r="A223" s="103">
        <f t="shared" si="14"/>
        <v>6</v>
      </c>
      <c r="B223" s="103"/>
      <c r="C223" s="107"/>
      <c r="D223" s="108"/>
      <c r="E223" s="108"/>
      <c r="F223" s="108"/>
      <c r="G223" s="108"/>
      <c r="H223" s="109"/>
      <c r="I223" s="36"/>
    </row>
    <row r="224" spans="1:9" s="84" customFormat="1" ht="15.75" customHeight="1" x14ac:dyDescent="0.35">
      <c r="A224" s="103">
        <f t="shared" si="14"/>
        <v>7</v>
      </c>
      <c r="B224" s="103"/>
      <c r="C224" s="83" t="s">
        <v>379</v>
      </c>
      <c r="D224" s="89">
        <f>(61.13)*(10.764)</f>
        <v>658.00332000000003</v>
      </c>
      <c r="E224" s="89">
        <f>(1.07*2.95+1.52*1)*(10.764)</f>
        <v>50.337846000000006</v>
      </c>
      <c r="F224" s="83">
        <f>D224+E224</f>
        <v>708.34116600000004</v>
      </c>
      <c r="G224" s="83">
        <v>0</v>
      </c>
      <c r="H224" s="83">
        <f>F224*(($H$151)+1)+(IF(G224&lt;101,G224,IF(G224&lt;201,G224/2,IF(G224&lt;=301,G224/3,G224/4))))</f>
        <v>1062.511749</v>
      </c>
      <c r="I224" s="36"/>
    </row>
    <row r="225" spans="1:14" s="84" customFormat="1" ht="16.5" customHeight="1" x14ac:dyDescent="0.35">
      <c r="A225" s="103">
        <f t="shared" si="14"/>
        <v>8</v>
      </c>
      <c r="B225" s="103"/>
      <c r="C225" s="83" t="s">
        <v>379</v>
      </c>
      <c r="D225" s="89">
        <f>(61.13)*(10.764)</f>
        <v>658.00332000000003</v>
      </c>
      <c r="E225" s="89">
        <f>(1.07*2.95+1.52*1)*(10.764)</f>
        <v>50.337846000000006</v>
      </c>
      <c r="F225" s="83">
        <f>D225+E225</f>
        <v>708.34116600000004</v>
      </c>
      <c r="G225" s="83">
        <v>0</v>
      </c>
      <c r="H225" s="83">
        <f>F225*(($H$151)+1)+(IF(G225&lt;101,G225,IF(G225&lt;201,G225/2,IF(G225&lt;=301,G225/3,G225/4))))</f>
        <v>1062.511749</v>
      </c>
      <c r="I225" s="36"/>
    </row>
    <row r="226" spans="1:14" s="84" customFormat="1" x14ac:dyDescent="0.35">
      <c r="A226" s="113" t="s">
        <v>386</v>
      </c>
      <c r="B226" s="113"/>
      <c r="C226" s="113"/>
      <c r="D226" s="113"/>
      <c r="E226" s="113"/>
      <c r="F226" s="113"/>
      <c r="G226" s="113"/>
      <c r="H226" s="113"/>
      <c r="I226" s="36"/>
      <c r="L226" s="114"/>
      <c r="M226" s="114"/>
    </row>
    <row r="227" spans="1:14" s="84" customFormat="1" x14ac:dyDescent="0.35">
      <c r="A227" s="103">
        <v>1</v>
      </c>
      <c r="B227" s="103"/>
      <c r="C227" s="83" t="s">
        <v>378</v>
      </c>
      <c r="D227" s="89">
        <f>(78.3)*(10.764)</f>
        <v>842.82119999999986</v>
      </c>
      <c r="E227" s="89">
        <f>(3.05*1.23+1.08*1.53)*(10.764)</f>
        <v>58.167579599999996</v>
      </c>
      <c r="F227" s="83">
        <f>D227+E227</f>
        <v>900.98877959999982</v>
      </c>
      <c r="G227" s="83">
        <v>0</v>
      </c>
      <c r="H227" s="83">
        <f>F227*(($H$151)+1)+(IF(G227&lt;101,G227,IF(G227&lt;201,G227/2,IF(G227&lt;=301,G227/3,G227/4))))</f>
        <v>1351.4831693999997</v>
      </c>
      <c r="I227" s="36"/>
      <c r="N227" s="36"/>
    </row>
    <row r="228" spans="1:14" s="84" customFormat="1" x14ac:dyDescent="0.35">
      <c r="A228" s="103">
        <f t="shared" ref="A228:A234" si="15">A227+1</f>
        <v>2</v>
      </c>
      <c r="B228" s="103"/>
      <c r="C228" s="83" t="s">
        <v>378</v>
      </c>
      <c r="D228" s="89">
        <f>(78.3)*(10.764)</f>
        <v>842.82119999999986</v>
      </c>
      <c r="E228" s="89">
        <f>(3.05*1.23+1.08*1.53)*(10.764)</f>
        <v>58.167579599999996</v>
      </c>
      <c r="F228" s="83">
        <f>D228+E228</f>
        <v>900.98877959999982</v>
      </c>
      <c r="G228" s="83">
        <v>0</v>
      </c>
      <c r="H228" s="83">
        <f>F228*(($H$151)+1)+(IF(G228&lt;101,G228,IF(G228&lt;201,G228/2,IF(G228&lt;=301,G228/3,G228/4))))</f>
        <v>1351.4831693999997</v>
      </c>
      <c r="I228" s="36"/>
      <c r="N228" s="36"/>
    </row>
    <row r="229" spans="1:14" s="84" customFormat="1" x14ac:dyDescent="0.35">
      <c r="A229" s="103">
        <f t="shared" si="15"/>
        <v>3</v>
      </c>
      <c r="B229" s="103"/>
      <c r="C229" s="83" t="s">
        <v>379</v>
      </c>
      <c r="D229" s="89">
        <f>(63.35)*(10.764)</f>
        <v>681.89940000000001</v>
      </c>
      <c r="E229" s="89">
        <f>(1.07*2.95+1.52*1)*(10.764)</f>
        <v>50.337846000000006</v>
      </c>
      <c r="F229" s="83">
        <f>D229+E229</f>
        <v>732.23724600000003</v>
      </c>
      <c r="G229" s="83">
        <v>0</v>
      </c>
      <c r="H229" s="83">
        <f>F229*(($H$151)+1)+(IF(G229&lt;101,G229,IF(G229&lt;201,G229/2,IF(G229&lt;=301,G229/3,G229/4))))</f>
        <v>1098.355869</v>
      </c>
      <c r="I229" s="36"/>
      <c r="N229" s="36"/>
    </row>
    <row r="230" spans="1:14" s="84" customFormat="1" x14ac:dyDescent="0.35">
      <c r="A230" s="103">
        <f t="shared" si="15"/>
        <v>4</v>
      </c>
      <c r="B230" s="103"/>
      <c r="C230" s="83" t="s">
        <v>379</v>
      </c>
      <c r="D230" s="89">
        <f>(63.35)*(10.764)</f>
        <v>681.89940000000001</v>
      </c>
      <c r="E230" s="89">
        <f>(1.07*2.95+1.52*1)*(10.764)</f>
        <v>50.337846000000006</v>
      </c>
      <c r="F230" s="83">
        <f>D230+E230</f>
        <v>732.23724600000003</v>
      </c>
      <c r="G230" s="83">
        <v>0</v>
      </c>
      <c r="H230" s="83">
        <f>F230*(($H$151)+1)+(IF(G230&lt;101,G230,IF(G230&lt;201,G230/2,IF(G230&lt;=301,G230/3,G230/4))))</f>
        <v>1098.355869</v>
      </c>
      <c r="I230" s="36"/>
      <c r="N230" s="36"/>
    </row>
    <row r="231" spans="1:14" s="84" customFormat="1" x14ac:dyDescent="0.35">
      <c r="A231" s="103">
        <f t="shared" si="15"/>
        <v>5</v>
      </c>
      <c r="B231" s="103"/>
      <c r="C231" s="153" t="s">
        <v>381</v>
      </c>
      <c r="D231" s="259"/>
      <c r="E231" s="259"/>
      <c r="F231" s="259"/>
      <c r="G231" s="259"/>
      <c r="H231" s="154"/>
      <c r="I231" s="36"/>
      <c r="N231" s="36"/>
    </row>
    <row r="232" spans="1:14" s="84" customFormat="1" x14ac:dyDescent="0.35">
      <c r="A232" s="103">
        <f t="shared" si="15"/>
        <v>6</v>
      </c>
      <c r="B232" s="103"/>
      <c r="C232" s="83" t="s">
        <v>378</v>
      </c>
      <c r="D232" s="89">
        <f>(102.68)*(10.764)</f>
        <v>1105.2475199999999</v>
      </c>
      <c r="E232" s="89">
        <f>(6.65*1.23+1.08*1.55)*(10.764)</f>
        <v>106.063074</v>
      </c>
      <c r="F232" s="83">
        <f>D232+E232</f>
        <v>1211.3105939999998</v>
      </c>
      <c r="G232" s="83">
        <v>0</v>
      </c>
      <c r="H232" s="83">
        <f>F232*(($H$151)+1)+(IF(G232&lt;101,G232,IF(G232&lt;201,G232/2,IF(G232&lt;=301,G232/3,G232/4))))</f>
        <v>1816.9658909999998</v>
      </c>
      <c r="I232" s="36"/>
      <c r="N232" s="36"/>
    </row>
    <row r="233" spans="1:14" s="84" customFormat="1" x14ac:dyDescent="0.35">
      <c r="A233" s="103">
        <f t="shared" si="15"/>
        <v>7</v>
      </c>
      <c r="B233" s="103"/>
      <c r="C233" s="83" t="s">
        <v>379</v>
      </c>
      <c r="D233" s="89">
        <f>(61.13)*(10.764)</f>
        <v>658.00332000000003</v>
      </c>
      <c r="E233" s="89">
        <f>(1.07*2.95+1.52*1)*(10.764)</f>
        <v>50.337846000000006</v>
      </c>
      <c r="F233" s="83">
        <f>D233+E233</f>
        <v>708.34116600000004</v>
      </c>
      <c r="G233" s="83">
        <v>0</v>
      </c>
      <c r="H233" s="83">
        <f>F233*(($H$151)+1)+(IF(G233&lt;101,G233,IF(G233&lt;201,G233/2,IF(G233&lt;=301,G233/3,G233/4))))</f>
        <v>1062.511749</v>
      </c>
      <c r="I233" s="36"/>
      <c r="N233" s="36"/>
    </row>
    <row r="234" spans="1:14" s="84" customFormat="1" x14ac:dyDescent="0.35">
      <c r="A234" s="103">
        <f t="shared" si="15"/>
        <v>8</v>
      </c>
      <c r="B234" s="103"/>
      <c r="C234" s="83" t="s">
        <v>379</v>
      </c>
      <c r="D234" s="89">
        <f>(61.13)*(10.764)</f>
        <v>658.00332000000003</v>
      </c>
      <c r="E234" s="89">
        <f>(1.07*2.95+1.52*1)*(10.764)</f>
        <v>50.337846000000006</v>
      </c>
      <c r="F234" s="83">
        <f>D234+E234</f>
        <v>708.34116600000004</v>
      </c>
      <c r="G234" s="83">
        <v>0</v>
      </c>
      <c r="H234" s="83">
        <f>F234*(($H$151)+1)+(IF(G234&lt;101,G234,IF(G234&lt;201,G234/2,IF(G234&lt;=301,G234/3,G234/4))))</f>
        <v>1062.511749</v>
      </c>
      <c r="I234" s="36"/>
      <c r="N234" s="36"/>
    </row>
    <row r="235" spans="1:14" s="85" customFormat="1" x14ac:dyDescent="0.35">
      <c r="A235" s="110" t="s">
        <v>387</v>
      </c>
      <c r="B235" s="111"/>
      <c r="C235" s="111"/>
      <c r="D235" s="111"/>
      <c r="E235" s="111"/>
      <c r="F235" s="111"/>
      <c r="G235" s="111"/>
      <c r="H235" s="112"/>
      <c r="J235" s="36"/>
    </row>
    <row r="236" spans="1:14" s="85" customFormat="1" x14ac:dyDescent="0.35">
      <c r="A236" s="110" t="s">
        <v>377</v>
      </c>
      <c r="B236" s="111"/>
      <c r="C236" s="111"/>
      <c r="D236" s="111"/>
      <c r="E236" s="111"/>
      <c r="F236" s="111"/>
      <c r="G236" s="111"/>
      <c r="H236" s="112"/>
      <c r="J236" s="36"/>
    </row>
    <row r="237" spans="1:14" s="85" customFormat="1" x14ac:dyDescent="0.35">
      <c r="A237" s="113" t="s">
        <v>388</v>
      </c>
      <c r="B237" s="113"/>
      <c r="C237" s="113"/>
      <c r="D237" s="113"/>
      <c r="E237" s="113"/>
      <c r="F237" s="113"/>
      <c r="G237" s="113"/>
      <c r="H237" s="113"/>
      <c r="I237" s="36"/>
      <c r="L237" s="114"/>
      <c r="M237" s="114"/>
    </row>
    <row r="238" spans="1:14" s="85" customFormat="1" x14ac:dyDescent="0.35">
      <c r="A238" s="103">
        <v>1</v>
      </c>
      <c r="B238" s="103"/>
      <c r="C238" s="104" t="s">
        <v>389</v>
      </c>
      <c r="D238" s="105"/>
      <c r="E238" s="105"/>
      <c r="F238" s="105"/>
      <c r="G238" s="105"/>
      <c r="H238" s="106"/>
      <c r="I238" s="36"/>
      <c r="N238" s="36"/>
    </row>
    <row r="239" spans="1:14" s="85" customFormat="1" x14ac:dyDescent="0.35">
      <c r="A239" s="103">
        <f t="shared" ref="A239:A245" si="16">A238+1</f>
        <v>2</v>
      </c>
      <c r="B239" s="103"/>
      <c r="C239" s="107"/>
      <c r="D239" s="108"/>
      <c r="E239" s="108"/>
      <c r="F239" s="108"/>
      <c r="G239" s="108"/>
      <c r="H239" s="109"/>
      <c r="I239" s="36"/>
      <c r="N239" s="36"/>
    </row>
    <row r="240" spans="1:14" s="85" customFormat="1" x14ac:dyDescent="0.35">
      <c r="A240" s="103">
        <f t="shared" si="16"/>
        <v>3</v>
      </c>
      <c r="B240" s="103"/>
      <c r="C240" s="104" t="s">
        <v>390</v>
      </c>
      <c r="D240" s="105"/>
      <c r="E240" s="105"/>
      <c r="F240" s="105"/>
      <c r="G240" s="105"/>
      <c r="H240" s="106"/>
      <c r="I240" s="36"/>
      <c r="N240" s="36"/>
    </row>
    <row r="241" spans="1:14" s="85" customFormat="1" x14ac:dyDescent="0.35">
      <c r="A241" s="103">
        <f t="shared" si="16"/>
        <v>4</v>
      </c>
      <c r="B241" s="103"/>
      <c r="C241" s="107"/>
      <c r="D241" s="108"/>
      <c r="E241" s="108"/>
      <c r="F241" s="108"/>
      <c r="G241" s="108"/>
      <c r="H241" s="109"/>
      <c r="I241" s="36"/>
      <c r="N241" s="36"/>
    </row>
    <row r="242" spans="1:14" s="85" customFormat="1" x14ac:dyDescent="0.35">
      <c r="A242" s="103">
        <f t="shared" si="16"/>
        <v>5</v>
      </c>
      <c r="B242" s="103"/>
      <c r="C242" s="86" t="s">
        <v>379</v>
      </c>
      <c r="D242" s="89">
        <f>(56.47)*(10.764)</f>
        <v>607.84307999999999</v>
      </c>
      <c r="E242" s="89">
        <f>(3.05*0.93+1*1.53)*(10.764)</f>
        <v>47.001005999999997</v>
      </c>
      <c r="F242" s="86">
        <f>D242+E242</f>
        <v>654.84408599999995</v>
      </c>
      <c r="G242" s="86">
        <v>0</v>
      </c>
      <c r="H242" s="86">
        <f>F242*(($H$151)+1)+(IF(G242&lt;101,G242,IF(G242&lt;201,G242/2,IF(G242&lt;=301,G242/3,G242/4))))</f>
        <v>982.26612899999986</v>
      </c>
      <c r="I242" s="36">
        <f>(3.05*4.58+1.15*2.23+1.68*0.5+2.75*2.13+3.05*3.05+3.05*3.35+2.28*1.38+2.28*1.38+2.45*0.92+1*0.92)</f>
        <v>52.217800000000004</v>
      </c>
      <c r="N242" s="36"/>
    </row>
    <row r="243" spans="1:14" s="85" customFormat="1" x14ac:dyDescent="0.35">
      <c r="A243" s="103">
        <f t="shared" si="16"/>
        <v>6</v>
      </c>
      <c r="B243" s="103"/>
      <c r="C243" s="86" t="s">
        <v>379</v>
      </c>
      <c r="D243" s="89">
        <f>(56.47)*(10.764)</f>
        <v>607.84307999999999</v>
      </c>
      <c r="E243" s="89">
        <f>(3.05*0.93+1*1.53)*(10.764)</f>
        <v>47.001005999999997</v>
      </c>
      <c r="F243" s="86">
        <f>D243+E243</f>
        <v>654.84408599999995</v>
      </c>
      <c r="G243" s="86">
        <v>0</v>
      </c>
      <c r="H243" s="86">
        <f>F243*(($H$151)+1)+(IF(G243&lt;101,G243,IF(G243&lt;201,G243/2,IF(G243&lt;=301,G243/3,G243/4))))</f>
        <v>982.26612899999986</v>
      </c>
      <c r="I243" s="36"/>
      <c r="N243" s="36"/>
    </row>
    <row r="244" spans="1:14" s="85" customFormat="1" x14ac:dyDescent="0.35">
      <c r="A244" s="103">
        <f t="shared" si="16"/>
        <v>7</v>
      </c>
      <c r="B244" s="103"/>
      <c r="C244" s="86" t="s">
        <v>379</v>
      </c>
      <c r="D244" s="89">
        <f>(49.4)*(10.764)</f>
        <v>531.74159999999995</v>
      </c>
      <c r="E244" s="89">
        <f>(1.4*0.93)*(10.764)</f>
        <v>14.014728</v>
      </c>
      <c r="F244" s="86">
        <f>D244+E244</f>
        <v>545.75632799999994</v>
      </c>
      <c r="G244" s="86">
        <v>0</v>
      </c>
      <c r="H244" s="86">
        <f>F244*(($H$151)+1)+(IF(G244&lt;101,G244,IF(G244&lt;201,G244/2,IF(G244&lt;=301,G244/3,G244/4))))</f>
        <v>818.63449199999991</v>
      </c>
      <c r="I244" s="36"/>
      <c r="N244" s="36"/>
    </row>
    <row r="245" spans="1:14" s="85" customFormat="1" x14ac:dyDescent="0.35">
      <c r="A245" s="103">
        <f t="shared" si="16"/>
        <v>8</v>
      </c>
      <c r="B245" s="103"/>
      <c r="C245" s="86" t="s">
        <v>379</v>
      </c>
      <c r="D245" s="89">
        <f>(49.4)*(10.764)</f>
        <v>531.74159999999995</v>
      </c>
      <c r="E245" s="89">
        <f>(1.4*0.93)*(10.764)</f>
        <v>14.014728</v>
      </c>
      <c r="F245" s="86">
        <f>D245+E245</f>
        <v>545.75632799999994</v>
      </c>
      <c r="G245" s="86">
        <v>0</v>
      </c>
      <c r="H245" s="86">
        <f>F245*(($H$151)+1)+(IF(G245&lt;101,G245,IF(G245&lt;201,G245/2,IF(G245&lt;=301,G245/3,G245/4))))</f>
        <v>818.63449199999991</v>
      </c>
      <c r="I245" s="36"/>
      <c r="N245" s="36"/>
    </row>
    <row r="246" spans="1:14" s="88" customFormat="1" x14ac:dyDescent="0.35">
      <c r="A246" s="110" t="s">
        <v>391</v>
      </c>
      <c r="B246" s="111"/>
      <c r="C246" s="111"/>
      <c r="D246" s="111"/>
      <c r="E246" s="111"/>
      <c r="F246" s="111"/>
      <c r="G246" s="111"/>
      <c r="H246" s="112"/>
      <c r="I246" s="36"/>
    </row>
    <row r="247" spans="1:14" s="88" customFormat="1" ht="15.75" customHeight="1" x14ac:dyDescent="0.35">
      <c r="A247" s="153">
        <v>1</v>
      </c>
      <c r="B247" s="154"/>
      <c r="C247" s="104" t="s">
        <v>389</v>
      </c>
      <c r="D247" s="105"/>
      <c r="E247" s="105"/>
      <c r="F247" s="105"/>
      <c r="G247" s="105"/>
      <c r="H247" s="106"/>
      <c r="I247" s="36"/>
    </row>
    <row r="248" spans="1:14" s="88" customFormat="1" ht="15.75" customHeight="1" x14ac:dyDescent="0.35">
      <c r="A248" s="153">
        <f>A247+1</f>
        <v>2</v>
      </c>
      <c r="B248" s="154"/>
      <c r="C248" s="107"/>
      <c r="D248" s="108"/>
      <c r="E248" s="108"/>
      <c r="F248" s="108"/>
      <c r="G248" s="108"/>
      <c r="H248" s="109"/>
      <c r="I248" s="36"/>
    </row>
    <row r="249" spans="1:14" s="88" customFormat="1" ht="15.75" customHeight="1" x14ac:dyDescent="0.35">
      <c r="A249" s="153">
        <f t="shared" ref="A249:A254" si="17">A248+1</f>
        <v>3</v>
      </c>
      <c r="B249" s="154"/>
      <c r="C249" s="87" t="s">
        <v>379</v>
      </c>
      <c r="D249" s="89">
        <f>(60.72)*(10.764)</f>
        <v>653.59007999999994</v>
      </c>
      <c r="E249" s="89">
        <f>(1.07*2.95+1.53*1)*(10.764)</f>
        <v>50.445486000000002</v>
      </c>
      <c r="F249" s="87">
        <f t="shared" ref="F249:F254" si="18">D249+E249</f>
        <v>704.0355659999999</v>
      </c>
      <c r="G249" s="87">
        <v>0</v>
      </c>
      <c r="H249" s="87">
        <f t="shared" ref="H249:H254" si="19">F249*(($H$151)+1)+(IF(G249&lt;101,G249,IF(G249&lt;201,G249/2,IF(G249&lt;=301,G249/3,G249/4))))</f>
        <v>1056.0533489999998</v>
      </c>
      <c r="I249" s="36">
        <f>(5.19*3.05+2.23*1.15+1.73*0.5+2.13*2.75+3.05*3.05+4.08*3.05+1.38*2.28+1.38*2.28+0.93*1.43+0.93*2.03)</f>
        <v>56.373600000000003</v>
      </c>
    </row>
    <row r="250" spans="1:14" s="88" customFormat="1" ht="15.75" customHeight="1" x14ac:dyDescent="0.35">
      <c r="A250" s="153">
        <f t="shared" si="17"/>
        <v>4</v>
      </c>
      <c r="B250" s="154"/>
      <c r="C250" s="87" t="s">
        <v>379</v>
      </c>
      <c r="D250" s="89">
        <f>(60.72)*(10.764)</f>
        <v>653.59007999999994</v>
      </c>
      <c r="E250" s="89">
        <f>(1.07*2.95+1.53*1)*(10.764)</f>
        <v>50.445486000000002</v>
      </c>
      <c r="F250" s="87">
        <f t="shared" si="18"/>
        <v>704.0355659999999</v>
      </c>
      <c r="G250" s="87">
        <v>0</v>
      </c>
      <c r="H250" s="87">
        <f t="shared" si="19"/>
        <v>1056.0533489999998</v>
      </c>
      <c r="I250" s="36"/>
    </row>
    <row r="251" spans="1:14" s="88" customFormat="1" ht="15.75" customHeight="1" x14ac:dyDescent="0.35">
      <c r="A251" s="153">
        <f t="shared" si="17"/>
        <v>5</v>
      </c>
      <c r="B251" s="154"/>
      <c r="C251" s="87" t="s">
        <v>379</v>
      </c>
      <c r="D251" s="89">
        <f>(56.47)*(10.764)</f>
        <v>607.84307999999999</v>
      </c>
      <c r="E251" s="89">
        <f>(3.05*0.93+1*1.53)*(10.764)</f>
        <v>47.001005999999997</v>
      </c>
      <c r="F251" s="87">
        <f t="shared" si="18"/>
        <v>654.84408599999995</v>
      </c>
      <c r="G251" s="87">
        <v>0</v>
      </c>
      <c r="H251" s="87">
        <f t="shared" si="19"/>
        <v>982.26612899999986</v>
      </c>
      <c r="I251" s="36"/>
    </row>
    <row r="252" spans="1:14" s="88" customFormat="1" ht="15.75" customHeight="1" x14ac:dyDescent="0.35">
      <c r="A252" s="153">
        <f t="shared" si="17"/>
        <v>6</v>
      </c>
      <c r="B252" s="154"/>
      <c r="C252" s="87" t="s">
        <v>379</v>
      </c>
      <c r="D252" s="89">
        <f>(56.47)*(10.764)</f>
        <v>607.84307999999999</v>
      </c>
      <c r="E252" s="89">
        <f>(3.05*0.93+1*1.53)*(10.764)</f>
        <v>47.001005999999997</v>
      </c>
      <c r="F252" s="87">
        <f t="shared" si="18"/>
        <v>654.84408599999995</v>
      </c>
      <c r="G252" s="87">
        <v>0</v>
      </c>
      <c r="H252" s="87">
        <f t="shared" si="19"/>
        <v>982.26612899999986</v>
      </c>
      <c r="I252" s="36">
        <f>(3.05*4.58+1.68*0.5+1.15*2.23+2.75*2.13+3.05*3.05+3.05*3.35+2.28*1.38+2.28*1.38+1*0.93+2.45*0.93)</f>
        <v>52.252300000000005</v>
      </c>
    </row>
    <row r="253" spans="1:14" s="88" customFormat="1" ht="15.75" customHeight="1" x14ac:dyDescent="0.35">
      <c r="A253" s="153">
        <f t="shared" si="17"/>
        <v>7</v>
      </c>
      <c r="B253" s="154"/>
      <c r="C253" s="87" t="s">
        <v>379</v>
      </c>
      <c r="D253" s="89">
        <f>(49.4)*(10.764)</f>
        <v>531.74159999999995</v>
      </c>
      <c r="E253" s="89">
        <f>(1.4*0.93)*(10.764)</f>
        <v>14.014728</v>
      </c>
      <c r="F253" s="87">
        <f t="shared" si="18"/>
        <v>545.75632799999994</v>
      </c>
      <c r="G253" s="87">
        <v>0</v>
      </c>
      <c r="H253" s="87">
        <f t="shared" si="19"/>
        <v>818.63449199999991</v>
      </c>
      <c r="I253" s="36"/>
    </row>
    <row r="254" spans="1:14" s="88" customFormat="1" ht="15.75" customHeight="1" x14ac:dyDescent="0.35">
      <c r="A254" s="153">
        <f t="shared" si="17"/>
        <v>8</v>
      </c>
      <c r="B254" s="154"/>
      <c r="C254" s="87" t="s">
        <v>379</v>
      </c>
      <c r="D254" s="89">
        <f>(49.4)*(10.764)</f>
        <v>531.74159999999995</v>
      </c>
      <c r="E254" s="89">
        <f>(1.4*0.93)*(10.764)</f>
        <v>14.014728</v>
      </c>
      <c r="F254" s="87">
        <f t="shared" si="18"/>
        <v>545.75632799999994</v>
      </c>
      <c r="G254" s="87">
        <v>0</v>
      </c>
      <c r="H254" s="87">
        <f t="shared" si="19"/>
        <v>818.63449199999991</v>
      </c>
      <c r="I254" s="36"/>
    </row>
    <row r="255" spans="1:14" s="88" customFormat="1" x14ac:dyDescent="0.35">
      <c r="A255" s="113" t="s">
        <v>380</v>
      </c>
      <c r="B255" s="113"/>
      <c r="C255" s="113"/>
      <c r="D255" s="113"/>
      <c r="E255" s="113"/>
      <c r="F255" s="113"/>
      <c r="G255" s="113"/>
      <c r="H255" s="113"/>
      <c r="I255" s="36"/>
      <c r="L255" s="114"/>
      <c r="M255" s="114"/>
    </row>
    <row r="256" spans="1:14" s="88" customFormat="1" x14ac:dyDescent="0.35">
      <c r="A256" s="103">
        <v>1</v>
      </c>
      <c r="B256" s="103"/>
      <c r="C256" s="104" t="s">
        <v>390</v>
      </c>
      <c r="D256" s="105"/>
      <c r="E256" s="105"/>
      <c r="F256" s="105"/>
      <c r="G256" s="105"/>
      <c r="H256" s="106"/>
      <c r="I256" s="36"/>
      <c r="N256" s="36"/>
    </row>
    <row r="257" spans="1:14" s="88" customFormat="1" x14ac:dyDescent="0.35">
      <c r="A257" s="103">
        <f t="shared" ref="A257:A263" si="20">A256+1</f>
        <v>2</v>
      </c>
      <c r="B257" s="103"/>
      <c r="C257" s="107"/>
      <c r="D257" s="108"/>
      <c r="E257" s="108"/>
      <c r="F257" s="108"/>
      <c r="G257" s="108"/>
      <c r="H257" s="109"/>
      <c r="I257" s="36"/>
      <c r="N257" s="36"/>
    </row>
    <row r="258" spans="1:14" s="88" customFormat="1" x14ac:dyDescent="0.35">
      <c r="A258" s="103">
        <f t="shared" si="20"/>
        <v>3</v>
      </c>
      <c r="B258" s="103"/>
      <c r="C258" s="87" t="s">
        <v>379</v>
      </c>
      <c r="D258" s="89">
        <f>(60.72)*(10.764)</f>
        <v>653.59007999999994</v>
      </c>
      <c r="E258" s="89">
        <f>(1.07*2.95+1.53*1)*(10.764)</f>
        <v>50.445486000000002</v>
      </c>
      <c r="F258" s="87">
        <f>D258+E258</f>
        <v>704.0355659999999</v>
      </c>
      <c r="G258" s="87">
        <v>0</v>
      </c>
      <c r="H258" s="87">
        <f>F258*(($H$151)+1)+(IF(G258&lt;101,G258,IF(G258&lt;201,G258/2,IF(G258&lt;=301,G258/3,G258/4))))</f>
        <v>1056.0533489999998</v>
      </c>
      <c r="I258" s="36"/>
      <c r="N258" s="36"/>
    </row>
    <row r="259" spans="1:14" s="88" customFormat="1" x14ac:dyDescent="0.35">
      <c r="A259" s="103">
        <f t="shared" si="20"/>
        <v>4</v>
      </c>
      <c r="B259" s="103"/>
      <c r="C259" s="87" t="s">
        <v>379</v>
      </c>
      <c r="D259" s="89">
        <f>(60.72)*(10.764)</f>
        <v>653.59007999999994</v>
      </c>
      <c r="E259" s="89">
        <f>(1.07*2.95+1.53*1)*(10.764)</f>
        <v>50.445486000000002</v>
      </c>
      <c r="F259" s="87">
        <f>D259+E259</f>
        <v>704.0355659999999</v>
      </c>
      <c r="G259" s="87">
        <v>0</v>
      </c>
      <c r="H259" s="87">
        <f>F259*(($H$151)+1)+(IF(G259&lt;101,G259,IF(G259&lt;201,G259/2,IF(G259&lt;=301,G259/3,G259/4))))</f>
        <v>1056.0533489999998</v>
      </c>
      <c r="I259" s="36"/>
      <c r="N259" s="36"/>
    </row>
    <row r="260" spans="1:14" s="88" customFormat="1" x14ac:dyDescent="0.35">
      <c r="A260" s="103">
        <f t="shared" si="20"/>
        <v>5</v>
      </c>
      <c r="B260" s="103"/>
      <c r="C260" s="104" t="s">
        <v>381</v>
      </c>
      <c r="D260" s="105"/>
      <c r="E260" s="105"/>
      <c r="F260" s="105"/>
      <c r="G260" s="105"/>
      <c r="H260" s="106"/>
      <c r="I260" s="36"/>
      <c r="N260" s="36"/>
    </row>
    <row r="261" spans="1:14" s="88" customFormat="1" x14ac:dyDescent="0.35">
      <c r="A261" s="103">
        <f t="shared" si="20"/>
        <v>6</v>
      </c>
      <c r="B261" s="103"/>
      <c r="C261" s="107"/>
      <c r="D261" s="108"/>
      <c r="E261" s="108"/>
      <c r="F261" s="108"/>
      <c r="G261" s="108"/>
      <c r="H261" s="109"/>
      <c r="I261" s="36"/>
      <c r="N261" s="36"/>
    </row>
    <row r="262" spans="1:14" s="88" customFormat="1" x14ac:dyDescent="0.35">
      <c r="A262" s="103">
        <f t="shared" si="20"/>
        <v>7</v>
      </c>
      <c r="B262" s="103"/>
      <c r="C262" s="87" t="s">
        <v>379</v>
      </c>
      <c r="D262" s="89">
        <f>(49.4)*(10.764)</f>
        <v>531.74159999999995</v>
      </c>
      <c r="E262" s="89">
        <f>(1.4*0.93)*(10.764)</f>
        <v>14.014728</v>
      </c>
      <c r="F262" s="87">
        <f>D262+E262</f>
        <v>545.75632799999994</v>
      </c>
      <c r="G262" s="87">
        <v>0</v>
      </c>
      <c r="H262" s="87">
        <f>F262*(($H$151)+1)+(IF(G262&lt;101,G262,IF(G262&lt;201,G262/2,IF(G262&lt;=301,G262/3,G262/4))))</f>
        <v>818.63449199999991</v>
      </c>
      <c r="I262" s="36"/>
      <c r="N262" s="36"/>
    </row>
    <row r="263" spans="1:14" s="88" customFormat="1" x14ac:dyDescent="0.35">
      <c r="A263" s="103">
        <f t="shared" si="20"/>
        <v>8</v>
      </c>
      <c r="B263" s="103"/>
      <c r="C263" s="87" t="s">
        <v>379</v>
      </c>
      <c r="D263" s="89">
        <f>(49.4)*(10.764)</f>
        <v>531.74159999999995</v>
      </c>
      <c r="E263" s="89">
        <f>(1.4*0.93)*(10.764)</f>
        <v>14.014728</v>
      </c>
      <c r="F263" s="87">
        <f>D263+E263</f>
        <v>545.75632799999994</v>
      </c>
      <c r="G263" s="87">
        <v>0</v>
      </c>
      <c r="H263" s="87">
        <f>F263*(($H$151)+1)+(IF(G263&lt;101,G263,IF(G263&lt;201,G263/2,IF(G263&lt;=301,G263/3,G263/4))))</f>
        <v>818.63449199999991</v>
      </c>
      <c r="I263" s="36">
        <f>(4.43*2.9+2.23*1.15+2.13*2.4+3.05*2.75+3.05*2.98+1.23*2.13+1.23*2.13+0.93*1.7+0.93*1.45)</f>
        <v>46.169300000000007</v>
      </c>
      <c r="N263" s="36"/>
    </row>
    <row r="264" spans="1:14" s="88" customFormat="1" x14ac:dyDescent="0.35">
      <c r="A264" s="113" t="s">
        <v>405</v>
      </c>
      <c r="B264" s="113"/>
      <c r="C264" s="113"/>
      <c r="D264" s="113"/>
      <c r="E264" s="113"/>
      <c r="F264" s="113"/>
      <c r="G264" s="113"/>
      <c r="H264" s="113"/>
      <c r="I264" s="36"/>
      <c r="L264" s="114"/>
      <c r="M264" s="114"/>
    </row>
    <row r="265" spans="1:14" s="88" customFormat="1" x14ac:dyDescent="0.35">
      <c r="A265" s="103">
        <v>1</v>
      </c>
      <c r="B265" s="103"/>
      <c r="C265" s="104" t="s">
        <v>392</v>
      </c>
      <c r="D265" s="105"/>
      <c r="E265" s="105"/>
      <c r="F265" s="105"/>
      <c r="G265" s="105"/>
      <c r="H265" s="106"/>
      <c r="I265" s="36"/>
      <c r="N265" s="36"/>
    </row>
    <row r="266" spans="1:14" s="88" customFormat="1" x14ac:dyDescent="0.35">
      <c r="A266" s="103">
        <f t="shared" ref="A266:A272" si="21">A265+1</f>
        <v>2</v>
      </c>
      <c r="B266" s="103"/>
      <c r="C266" s="107"/>
      <c r="D266" s="108"/>
      <c r="E266" s="108"/>
      <c r="F266" s="108"/>
      <c r="G266" s="108"/>
      <c r="H266" s="109"/>
      <c r="I266" s="36"/>
      <c r="N266" s="36"/>
    </row>
    <row r="267" spans="1:14" s="88" customFormat="1" x14ac:dyDescent="0.35">
      <c r="A267" s="103">
        <f t="shared" si="21"/>
        <v>3</v>
      </c>
      <c r="B267" s="103"/>
      <c r="C267" s="87" t="s">
        <v>379</v>
      </c>
      <c r="D267" s="89">
        <f>(60.72)*(10.764)</f>
        <v>653.59007999999994</v>
      </c>
      <c r="E267" s="89">
        <f>(1.07*2.95+1.53*1)*(10.764)</f>
        <v>50.445486000000002</v>
      </c>
      <c r="F267" s="87">
        <f>D267+E267</f>
        <v>704.0355659999999</v>
      </c>
      <c r="G267" s="87">
        <v>0</v>
      </c>
      <c r="H267" s="87">
        <f>F267*(($H$151)+1)+(IF(G267&lt;101,G267,IF(G267&lt;201,G267/2,IF(G267&lt;=301,G267/3,G267/4))))</f>
        <v>1056.0533489999998</v>
      </c>
      <c r="I267" s="36"/>
      <c r="N267" s="36"/>
    </row>
    <row r="268" spans="1:14" s="88" customFormat="1" x14ac:dyDescent="0.35">
      <c r="A268" s="103">
        <f t="shared" si="21"/>
        <v>4</v>
      </c>
      <c r="B268" s="103"/>
      <c r="C268" s="87" t="s">
        <v>379</v>
      </c>
      <c r="D268" s="89">
        <f>(60.72)*(10.764)</f>
        <v>653.59007999999994</v>
      </c>
      <c r="E268" s="89">
        <f>(1.07*2.95+1.53*1)*(10.764)</f>
        <v>50.445486000000002</v>
      </c>
      <c r="F268" s="87">
        <f>D268+E268</f>
        <v>704.0355659999999</v>
      </c>
      <c r="G268" s="87">
        <v>0</v>
      </c>
      <c r="H268" s="87">
        <f>F268*(($H$151)+1)+(IF(G268&lt;101,G268,IF(G268&lt;201,G268/2,IF(G268&lt;=301,G268/3,G268/4))))</f>
        <v>1056.0533489999998</v>
      </c>
      <c r="I268" s="36"/>
      <c r="N268" s="36"/>
    </row>
    <row r="269" spans="1:14" s="88" customFormat="1" x14ac:dyDescent="0.35">
      <c r="A269" s="103">
        <f t="shared" si="21"/>
        <v>5</v>
      </c>
      <c r="B269" s="103"/>
      <c r="C269" s="87" t="s">
        <v>379</v>
      </c>
      <c r="D269" s="89">
        <f>(56.47)*(10.764)</f>
        <v>607.84307999999999</v>
      </c>
      <c r="E269" s="89">
        <f>(3.05*0.93+1*1.53)*(10.764)</f>
        <v>47.001005999999997</v>
      </c>
      <c r="F269" s="87">
        <f t="shared" ref="F269:F270" si="22">D269+E269</f>
        <v>654.84408599999995</v>
      </c>
      <c r="G269" s="87">
        <v>0</v>
      </c>
      <c r="H269" s="87">
        <f t="shared" ref="H269:H270" si="23">F269*(($H$151)+1)+(IF(G269&lt;101,G269,IF(G269&lt;201,G269/2,IF(G269&lt;=301,G269/3,G269/4))))</f>
        <v>982.26612899999986</v>
      </c>
      <c r="I269" s="36"/>
      <c r="N269" s="36"/>
    </row>
    <row r="270" spans="1:14" s="88" customFormat="1" x14ac:dyDescent="0.35">
      <c r="A270" s="103">
        <f t="shared" si="21"/>
        <v>6</v>
      </c>
      <c r="B270" s="103"/>
      <c r="C270" s="87" t="s">
        <v>379</v>
      </c>
      <c r="D270" s="89">
        <f>(56.47)*(10.764)</f>
        <v>607.84307999999999</v>
      </c>
      <c r="E270" s="89">
        <f>(3.05*0.93+1*1.53)*(10.764)</f>
        <v>47.001005999999997</v>
      </c>
      <c r="F270" s="87">
        <f t="shared" si="22"/>
        <v>654.84408599999995</v>
      </c>
      <c r="G270" s="87">
        <v>0</v>
      </c>
      <c r="H270" s="87">
        <f t="shared" si="23"/>
        <v>982.26612899999986</v>
      </c>
      <c r="I270" s="36"/>
      <c r="N270" s="36"/>
    </row>
    <row r="271" spans="1:14" s="88" customFormat="1" x14ac:dyDescent="0.35">
      <c r="A271" s="103">
        <f t="shared" si="21"/>
        <v>7</v>
      </c>
      <c r="B271" s="103"/>
      <c r="C271" s="87" t="s">
        <v>379</v>
      </c>
      <c r="D271" s="89">
        <f>(49.4)*(10.764)</f>
        <v>531.74159999999995</v>
      </c>
      <c r="E271" s="89">
        <f>(1.43*0.93)*(10.764)</f>
        <v>14.315043599999999</v>
      </c>
      <c r="F271" s="87">
        <f>D271+E271</f>
        <v>546.05664359999992</v>
      </c>
      <c r="G271" s="87">
        <v>0</v>
      </c>
      <c r="H271" s="87">
        <f>F271*(($H$151)+1)+(IF(G271&lt;101,G271,IF(G271&lt;201,G271/2,IF(G271&lt;=301,G271/3,G271/4))))</f>
        <v>819.08496539999987</v>
      </c>
      <c r="I271" s="36"/>
      <c r="N271" s="36"/>
    </row>
    <row r="272" spans="1:14" s="88" customFormat="1" x14ac:dyDescent="0.35">
      <c r="A272" s="103">
        <f t="shared" si="21"/>
        <v>8</v>
      </c>
      <c r="B272" s="103"/>
      <c r="C272" s="87" t="s">
        <v>379</v>
      </c>
      <c r="D272" s="89">
        <f>(49.4)*(10.764)</f>
        <v>531.74159999999995</v>
      </c>
      <c r="E272" s="89">
        <f>(1.43*0.93)*(10.764)</f>
        <v>14.315043599999999</v>
      </c>
      <c r="F272" s="87">
        <f>D272+E272</f>
        <v>546.05664359999992</v>
      </c>
      <c r="G272" s="87">
        <v>0</v>
      </c>
      <c r="H272" s="87">
        <f>F272*(($H$151)+1)+(IF(G272&lt;101,G272,IF(G272&lt;201,G272/2,IF(G272&lt;=301,G272/3,G272/4))))</f>
        <v>819.08496539999987</v>
      </c>
      <c r="I272" s="36"/>
      <c r="N272" s="36"/>
    </row>
    <row r="273" spans="1:14" s="88" customFormat="1" ht="15.75" customHeight="1" x14ac:dyDescent="0.35">
      <c r="A273" s="110" t="s">
        <v>393</v>
      </c>
      <c r="B273" s="111"/>
      <c r="C273" s="111"/>
      <c r="D273" s="111"/>
      <c r="E273" s="111"/>
      <c r="F273" s="111"/>
      <c r="G273" s="111"/>
      <c r="H273" s="112"/>
      <c r="I273" s="36"/>
    </row>
    <row r="274" spans="1:14" s="88" customFormat="1" ht="15.75" customHeight="1" x14ac:dyDescent="0.35">
      <c r="A274" s="153">
        <v>1</v>
      </c>
      <c r="B274" s="154"/>
      <c r="C274" s="87" t="s">
        <v>379</v>
      </c>
      <c r="D274" s="89">
        <f>(56.47)*(10.764)</f>
        <v>607.84307999999999</v>
      </c>
      <c r="E274" s="89">
        <f>(3.05*0.93+1*1.53)*(10.764)</f>
        <v>47.001005999999997</v>
      </c>
      <c r="F274" s="87">
        <f t="shared" ref="F274:F281" si="24">D274+E274</f>
        <v>654.84408599999995</v>
      </c>
      <c r="G274" s="87">
        <v>0</v>
      </c>
      <c r="H274" s="87">
        <f t="shared" ref="H274:H281" si="25">F274*(($H$151)+1)+(IF(G274&lt;101,G274,IF(G274&lt;201,G274/2,IF(G274&lt;=301,G274/3,G274/4))))</f>
        <v>982.26612899999986</v>
      </c>
      <c r="I274" s="36"/>
    </row>
    <row r="275" spans="1:14" s="88" customFormat="1" ht="15.75" customHeight="1" x14ac:dyDescent="0.35">
      <c r="A275" s="153">
        <f>A274+1</f>
        <v>2</v>
      </c>
      <c r="B275" s="154"/>
      <c r="C275" s="87" t="s">
        <v>379</v>
      </c>
      <c r="D275" s="89">
        <f>(56.47)*(10.764)</f>
        <v>607.84307999999999</v>
      </c>
      <c r="E275" s="89">
        <f>(3.05*0.93+1*1.53)*(10.764)</f>
        <v>47.001005999999997</v>
      </c>
      <c r="F275" s="87">
        <f t="shared" si="24"/>
        <v>654.84408599999995</v>
      </c>
      <c r="G275" s="87">
        <v>0</v>
      </c>
      <c r="H275" s="87">
        <f t="shared" si="25"/>
        <v>982.26612899999986</v>
      </c>
      <c r="I275" s="36"/>
    </row>
    <row r="276" spans="1:14" s="88" customFormat="1" ht="15.75" customHeight="1" x14ac:dyDescent="0.35">
      <c r="A276" s="153">
        <f t="shared" ref="A276:A281" si="26">A275+1</f>
        <v>3</v>
      </c>
      <c r="B276" s="154"/>
      <c r="C276" s="87" t="s">
        <v>379</v>
      </c>
      <c r="D276" s="89">
        <f>(60.72)*(10.764)</f>
        <v>653.59007999999994</v>
      </c>
      <c r="E276" s="89">
        <f>(1.07*2.95+1.53*1)*(10.764)</f>
        <v>50.445486000000002</v>
      </c>
      <c r="F276" s="87">
        <f t="shared" si="24"/>
        <v>704.0355659999999</v>
      </c>
      <c r="G276" s="87">
        <v>0</v>
      </c>
      <c r="H276" s="87">
        <f t="shared" si="25"/>
        <v>1056.0533489999998</v>
      </c>
      <c r="I276" s="36"/>
    </row>
    <row r="277" spans="1:14" s="88" customFormat="1" ht="15.75" customHeight="1" x14ac:dyDescent="0.35">
      <c r="A277" s="153">
        <f t="shared" si="26"/>
        <v>4</v>
      </c>
      <c r="B277" s="154"/>
      <c r="C277" s="87" t="s">
        <v>379</v>
      </c>
      <c r="D277" s="89">
        <f>(60.72)*(10.764)</f>
        <v>653.59007999999994</v>
      </c>
      <c r="E277" s="89">
        <f>(1.07*2.95+1.53*1)*(10.764)</f>
        <v>50.445486000000002</v>
      </c>
      <c r="F277" s="87">
        <f t="shared" si="24"/>
        <v>704.0355659999999</v>
      </c>
      <c r="G277" s="87">
        <v>0</v>
      </c>
      <c r="H277" s="87">
        <f t="shared" si="25"/>
        <v>1056.0533489999998</v>
      </c>
      <c r="I277" s="36"/>
    </row>
    <row r="278" spans="1:14" s="88" customFormat="1" ht="15.75" customHeight="1" x14ac:dyDescent="0.35">
      <c r="A278" s="153">
        <f t="shared" si="26"/>
        <v>5</v>
      </c>
      <c r="B278" s="154"/>
      <c r="C278" s="87" t="s">
        <v>379</v>
      </c>
      <c r="D278" s="89">
        <f>(56.47)*(10.764)</f>
        <v>607.84307999999999</v>
      </c>
      <c r="E278" s="89">
        <f>(3.05*0.93+1*1.53)*(10.764)</f>
        <v>47.001005999999997</v>
      </c>
      <c r="F278" s="87">
        <f t="shared" si="24"/>
        <v>654.84408599999995</v>
      </c>
      <c r="G278" s="87">
        <v>0</v>
      </c>
      <c r="H278" s="87">
        <f t="shared" si="25"/>
        <v>982.26612899999986</v>
      </c>
      <c r="I278" s="36"/>
    </row>
    <row r="279" spans="1:14" s="88" customFormat="1" ht="15.75" customHeight="1" x14ac:dyDescent="0.35">
      <c r="A279" s="153">
        <f t="shared" si="26"/>
        <v>6</v>
      </c>
      <c r="B279" s="154"/>
      <c r="C279" s="87" t="s">
        <v>379</v>
      </c>
      <c r="D279" s="89">
        <f>(56.47)*(10.764)</f>
        <v>607.84307999999999</v>
      </c>
      <c r="E279" s="89">
        <f>(3.05*0.93+1*1.53)*(10.764)</f>
        <v>47.001005999999997</v>
      </c>
      <c r="F279" s="87">
        <f t="shared" si="24"/>
        <v>654.84408599999995</v>
      </c>
      <c r="G279" s="87">
        <v>0</v>
      </c>
      <c r="H279" s="87">
        <f t="shared" si="25"/>
        <v>982.26612899999986</v>
      </c>
      <c r="I279" s="36"/>
    </row>
    <row r="280" spans="1:14" s="88" customFormat="1" ht="15.75" customHeight="1" x14ac:dyDescent="0.35">
      <c r="A280" s="153">
        <f t="shared" si="26"/>
        <v>7</v>
      </c>
      <c r="B280" s="154"/>
      <c r="C280" s="87" t="s">
        <v>379</v>
      </c>
      <c r="D280" s="89">
        <f>(49.4)*(10.764)</f>
        <v>531.74159999999995</v>
      </c>
      <c r="E280" s="89">
        <f>(1.43*0.93)*(10.764)</f>
        <v>14.315043599999999</v>
      </c>
      <c r="F280" s="87">
        <f t="shared" si="24"/>
        <v>546.05664359999992</v>
      </c>
      <c r="G280" s="87">
        <v>0</v>
      </c>
      <c r="H280" s="87">
        <f t="shared" si="25"/>
        <v>819.08496539999987</v>
      </c>
      <c r="I280" s="36"/>
    </row>
    <row r="281" spans="1:14" s="88" customFormat="1" ht="15.75" customHeight="1" x14ac:dyDescent="0.35">
      <c r="A281" s="153">
        <f t="shared" si="26"/>
        <v>8</v>
      </c>
      <c r="B281" s="154"/>
      <c r="C281" s="87" t="s">
        <v>379</v>
      </c>
      <c r="D281" s="89">
        <f>(49.4)*(10.764)</f>
        <v>531.74159999999995</v>
      </c>
      <c r="E281" s="89">
        <f>(1.43*0.93)*(10.764)</f>
        <v>14.315043599999999</v>
      </c>
      <c r="F281" s="87">
        <f t="shared" si="24"/>
        <v>546.05664359999992</v>
      </c>
      <c r="G281" s="87">
        <v>0</v>
      </c>
      <c r="H281" s="87">
        <f t="shared" si="25"/>
        <v>819.08496539999987</v>
      </c>
      <c r="I281" s="36"/>
    </row>
    <row r="282" spans="1:14" s="88" customFormat="1" x14ac:dyDescent="0.35">
      <c r="A282" s="113" t="s">
        <v>385</v>
      </c>
      <c r="B282" s="113"/>
      <c r="C282" s="113"/>
      <c r="D282" s="113"/>
      <c r="E282" s="113"/>
      <c r="F282" s="113"/>
      <c r="G282" s="113"/>
      <c r="H282" s="113"/>
      <c r="I282" s="36"/>
      <c r="L282" s="114"/>
      <c r="M282" s="114"/>
    </row>
    <row r="283" spans="1:14" s="88" customFormat="1" x14ac:dyDescent="0.35">
      <c r="A283" s="103">
        <v>1</v>
      </c>
      <c r="B283" s="103"/>
      <c r="C283" s="87" t="s">
        <v>379</v>
      </c>
      <c r="D283" s="89">
        <f>(56.47)*(10.764)</f>
        <v>607.84307999999999</v>
      </c>
      <c r="E283" s="89">
        <f>(3.05*0.93+1*1.53)*(10.764)</f>
        <v>47.001005999999997</v>
      </c>
      <c r="F283" s="87">
        <f>D283+E283</f>
        <v>654.84408599999995</v>
      </c>
      <c r="G283" s="87">
        <v>0</v>
      </c>
      <c r="H283" s="87">
        <f>F283*(($H$151)+1)+(IF(G283&lt;101,G283,IF(G283&lt;201,G283/2,IF(G283&lt;=301,G283/3,G283/4))))</f>
        <v>982.26612899999986</v>
      </c>
      <c r="I283" s="36"/>
      <c r="N283" s="36"/>
    </row>
    <row r="284" spans="1:14" s="88" customFormat="1" x14ac:dyDescent="0.35">
      <c r="A284" s="103">
        <f t="shared" ref="A284:A290" si="27">A283+1</f>
        <v>2</v>
      </c>
      <c r="B284" s="103"/>
      <c r="C284" s="87" t="s">
        <v>379</v>
      </c>
      <c r="D284" s="89">
        <f>(56.47)*(10.764)</f>
        <v>607.84307999999999</v>
      </c>
      <c r="E284" s="89">
        <f>(3.05*0.93+1*1.53)*(10.764)</f>
        <v>47.001005999999997</v>
      </c>
      <c r="F284" s="87">
        <f>D284+E284</f>
        <v>654.84408599999995</v>
      </c>
      <c r="G284" s="87">
        <v>0</v>
      </c>
      <c r="H284" s="87">
        <f>F284*(($H$151)+1)+(IF(G284&lt;101,G284,IF(G284&lt;201,G284/2,IF(G284&lt;=301,G284/3,G284/4))))</f>
        <v>982.26612899999986</v>
      </c>
      <c r="I284" s="36"/>
      <c r="N284" s="36"/>
    </row>
    <row r="285" spans="1:14" s="88" customFormat="1" x14ac:dyDescent="0.35">
      <c r="A285" s="103">
        <f t="shared" si="27"/>
        <v>3</v>
      </c>
      <c r="B285" s="103"/>
      <c r="C285" s="87" t="s">
        <v>379</v>
      </c>
      <c r="D285" s="89">
        <f>(60.72)*(10.764)</f>
        <v>653.59007999999994</v>
      </c>
      <c r="E285" s="89">
        <f>(1.07*2.95+1.53*1)*(10.764)</f>
        <v>50.445486000000002</v>
      </c>
      <c r="F285" s="87">
        <f>D285+E285</f>
        <v>704.0355659999999</v>
      </c>
      <c r="G285" s="87">
        <v>0</v>
      </c>
      <c r="H285" s="87">
        <f>F285*(($H$151)+1)+(IF(G285&lt;101,G285,IF(G285&lt;201,G285/2,IF(G285&lt;=301,G285/3,G285/4))))</f>
        <v>1056.0533489999998</v>
      </c>
      <c r="I285" s="36"/>
      <c r="N285" s="36"/>
    </row>
    <row r="286" spans="1:14" s="88" customFormat="1" x14ac:dyDescent="0.35">
      <c r="A286" s="103">
        <f t="shared" si="27"/>
        <v>4</v>
      </c>
      <c r="B286" s="103"/>
      <c r="C286" s="87" t="s">
        <v>379</v>
      </c>
      <c r="D286" s="89">
        <f>(60.72)*(10.764)</f>
        <v>653.59007999999994</v>
      </c>
      <c r="E286" s="89">
        <f>(1.07*2.95+1.53*1)*(10.764)</f>
        <v>50.445486000000002</v>
      </c>
      <c r="F286" s="87">
        <f>D286+E286</f>
        <v>704.0355659999999</v>
      </c>
      <c r="G286" s="87">
        <v>0</v>
      </c>
      <c r="H286" s="87">
        <f>F286*(($H$151)+1)+(IF(G286&lt;101,G286,IF(G286&lt;201,G286/2,IF(G286&lt;=301,G286/3,G286/4))))</f>
        <v>1056.0533489999998</v>
      </c>
      <c r="I286" s="36"/>
      <c r="N286" s="36"/>
    </row>
    <row r="287" spans="1:14" s="88" customFormat="1" x14ac:dyDescent="0.35">
      <c r="A287" s="103">
        <f t="shared" si="27"/>
        <v>5</v>
      </c>
      <c r="B287" s="103"/>
      <c r="C287" s="104" t="s">
        <v>381</v>
      </c>
      <c r="D287" s="105"/>
      <c r="E287" s="105"/>
      <c r="F287" s="105"/>
      <c r="G287" s="105"/>
      <c r="H287" s="106"/>
      <c r="I287" s="36"/>
      <c r="N287" s="36"/>
    </row>
    <row r="288" spans="1:14" s="88" customFormat="1" x14ac:dyDescent="0.35">
      <c r="A288" s="103">
        <f t="shared" si="27"/>
        <v>6</v>
      </c>
      <c r="B288" s="103"/>
      <c r="C288" s="107"/>
      <c r="D288" s="108"/>
      <c r="E288" s="108"/>
      <c r="F288" s="108"/>
      <c r="G288" s="108"/>
      <c r="H288" s="109"/>
      <c r="I288" s="36"/>
      <c r="N288" s="36"/>
    </row>
    <row r="289" spans="1:14" s="88" customFormat="1" x14ac:dyDescent="0.35">
      <c r="A289" s="103">
        <f t="shared" si="27"/>
        <v>7</v>
      </c>
      <c r="B289" s="103"/>
      <c r="C289" s="87" t="s">
        <v>379</v>
      </c>
      <c r="D289" s="89">
        <f>(49.4)*(10.764)</f>
        <v>531.74159999999995</v>
      </c>
      <c r="E289" s="89">
        <f>(1.43*0.93)*(10.764)</f>
        <v>14.315043599999999</v>
      </c>
      <c r="F289" s="87">
        <f>D289+E289</f>
        <v>546.05664359999992</v>
      </c>
      <c r="G289" s="87">
        <v>0</v>
      </c>
      <c r="H289" s="87">
        <f>F289*(($H$151)+1)+(IF(G289&lt;101,G289,IF(G289&lt;201,G289/2,IF(G289&lt;=301,G289/3,G289/4))))</f>
        <v>819.08496539999987</v>
      </c>
      <c r="I289" s="36"/>
      <c r="N289" s="36"/>
    </row>
    <row r="290" spans="1:14" s="88" customFormat="1" x14ac:dyDescent="0.35">
      <c r="A290" s="103">
        <f t="shared" si="27"/>
        <v>8</v>
      </c>
      <c r="B290" s="103"/>
      <c r="C290" s="87" t="s">
        <v>379</v>
      </c>
      <c r="D290" s="89">
        <f>(49.4)*(10.764)</f>
        <v>531.74159999999995</v>
      </c>
      <c r="E290" s="89">
        <f>(1.43*0.93)*(10.764)</f>
        <v>14.315043599999999</v>
      </c>
      <c r="F290" s="87">
        <f>D290+E290</f>
        <v>546.05664359999992</v>
      </c>
      <c r="G290" s="87">
        <v>0</v>
      </c>
      <c r="H290" s="87">
        <f>F290*(($H$151)+1)+(IF(G290&lt;101,G290,IF(G290&lt;201,G290/2,IF(G290&lt;=301,G290/3,G290/4))))</f>
        <v>819.08496539999987</v>
      </c>
      <c r="I290" s="36"/>
      <c r="N290" s="36"/>
    </row>
    <row r="291" spans="1:14" s="88" customFormat="1" ht="15.75" customHeight="1" x14ac:dyDescent="0.35">
      <c r="A291" s="110" t="s">
        <v>394</v>
      </c>
      <c r="B291" s="111"/>
      <c r="C291" s="111"/>
      <c r="D291" s="111"/>
      <c r="E291" s="111"/>
      <c r="F291" s="111"/>
      <c r="G291" s="111"/>
      <c r="H291" s="112"/>
      <c r="I291" s="36"/>
    </row>
    <row r="292" spans="1:14" s="88" customFormat="1" ht="15.75" customHeight="1" x14ac:dyDescent="0.35">
      <c r="A292" s="153">
        <v>1</v>
      </c>
      <c r="B292" s="154"/>
      <c r="C292" s="87" t="s">
        <v>379</v>
      </c>
      <c r="D292" s="89">
        <f>(56.47)*(10.764)</f>
        <v>607.84307999999999</v>
      </c>
      <c r="E292" s="89">
        <f>(3.05*0.93+1*1.53)*(10.764)</f>
        <v>47.001005999999997</v>
      </c>
      <c r="F292" s="87">
        <f t="shared" ref="F292:F299" si="28">D292+E292</f>
        <v>654.84408599999995</v>
      </c>
      <c r="G292" s="87">
        <v>0</v>
      </c>
      <c r="H292" s="87">
        <f t="shared" ref="H292:H299" si="29">F292*(($H$151)+1)+(IF(G292&lt;101,G292,IF(G292&lt;201,G292/2,IF(G292&lt;=301,G292/3,G292/4))))</f>
        <v>982.26612899999986</v>
      </c>
      <c r="I292" s="36"/>
    </row>
    <row r="293" spans="1:14" s="88" customFormat="1" ht="15.75" customHeight="1" x14ac:dyDescent="0.35">
      <c r="A293" s="153">
        <f>A292+1</f>
        <v>2</v>
      </c>
      <c r="B293" s="154"/>
      <c r="C293" s="87" t="s">
        <v>379</v>
      </c>
      <c r="D293" s="89">
        <f>(56.47)*(10.764)</f>
        <v>607.84307999999999</v>
      </c>
      <c r="E293" s="89">
        <f>(3.05*0.93+1*1.53)*(10.764)</f>
        <v>47.001005999999997</v>
      </c>
      <c r="F293" s="87">
        <f t="shared" si="28"/>
        <v>654.84408599999995</v>
      </c>
      <c r="G293" s="87">
        <v>0</v>
      </c>
      <c r="H293" s="87">
        <f t="shared" si="29"/>
        <v>982.26612899999986</v>
      </c>
      <c r="I293" s="36"/>
    </row>
    <row r="294" spans="1:14" s="88" customFormat="1" ht="15.75" customHeight="1" x14ac:dyDescent="0.35">
      <c r="A294" s="153">
        <f t="shared" ref="A294:A299" si="30">A293+1</f>
        <v>3</v>
      </c>
      <c r="B294" s="154"/>
      <c r="C294" s="87" t="s">
        <v>379</v>
      </c>
      <c r="D294" s="89">
        <f>(61.54)*(10.764)</f>
        <v>662.41656</v>
      </c>
      <c r="E294" s="89">
        <f>(1.07*2.95+1.53*1)*(10.764)</f>
        <v>50.445486000000002</v>
      </c>
      <c r="F294" s="87">
        <f t="shared" si="28"/>
        <v>712.86204599999996</v>
      </c>
      <c r="G294" s="87">
        <v>0</v>
      </c>
      <c r="H294" s="87">
        <f t="shared" si="29"/>
        <v>1069.2930689999998</v>
      </c>
      <c r="I294" s="36">
        <f>(5.19*3.1+2.23*1.15+1.73*0.45+2.13*2.75+3.05*3.05+4.08*3.25+1.38*2.28+1.38*2.28+0.93*1.43+0.93*1.98)</f>
        <v>57.316099999999999</v>
      </c>
    </row>
    <row r="295" spans="1:14" s="88" customFormat="1" ht="15.75" customHeight="1" x14ac:dyDescent="0.35">
      <c r="A295" s="153">
        <f t="shared" si="30"/>
        <v>4</v>
      </c>
      <c r="B295" s="154"/>
      <c r="C295" s="87" t="s">
        <v>379</v>
      </c>
      <c r="D295" s="89">
        <f>(61.54)*(10.764)</f>
        <v>662.41656</v>
      </c>
      <c r="E295" s="89">
        <f>(1.07*2.95+1.53*1)*(10.764)</f>
        <v>50.445486000000002</v>
      </c>
      <c r="F295" s="87">
        <f t="shared" si="28"/>
        <v>712.86204599999996</v>
      </c>
      <c r="G295" s="87">
        <v>0</v>
      </c>
      <c r="H295" s="87">
        <f t="shared" si="29"/>
        <v>1069.2930689999998</v>
      </c>
      <c r="I295" s="36"/>
    </row>
    <row r="296" spans="1:14" s="88" customFormat="1" ht="15.75" customHeight="1" x14ac:dyDescent="0.35">
      <c r="A296" s="153">
        <f t="shared" si="30"/>
        <v>5</v>
      </c>
      <c r="B296" s="154"/>
      <c r="C296" s="87" t="s">
        <v>379</v>
      </c>
      <c r="D296" s="89">
        <f>(56.47)*(10.764)</f>
        <v>607.84307999999999</v>
      </c>
      <c r="E296" s="89">
        <f>(3.05*0.93+1*1.53)*(10.764)</f>
        <v>47.001005999999997</v>
      </c>
      <c r="F296" s="87">
        <f t="shared" si="28"/>
        <v>654.84408599999995</v>
      </c>
      <c r="G296" s="87">
        <v>0</v>
      </c>
      <c r="H296" s="87">
        <f t="shared" si="29"/>
        <v>982.26612899999986</v>
      </c>
      <c r="I296" s="36"/>
    </row>
    <row r="297" spans="1:14" s="88" customFormat="1" ht="15.75" customHeight="1" x14ac:dyDescent="0.35">
      <c r="A297" s="153">
        <f t="shared" si="30"/>
        <v>6</v>
      </c>
      <c r="B297" s="154"/>
      <c r="C297" s="87" t="s">
        <v>379</v>
      </c>
      <c r="D297" s="89">
        <f>(56.47)*(10.764)</f>
        <v>607.84307999999999</v>
      </c>
      <c r="E297" s="89">
        <f>(3.05*0.93+1*1.53)*(10.764)</f>
        <v>47.001005999999997</v>
      </c>
      <c r="F297" s="87">
        <f t="shared" si="28"/>
        <v>654.84408599999995</v>
      </c>
      <c r="G297" s="87">
        <v>0</v>
      </c>
      <c r="H297" s="87">
        <f t="shared" si="29"/>
        <v>982.26612899999986</v>
      </c>
      <c r="I297" s="36"/>
    </row>
    <row r="298" spans="1:14" s="88" customFormat="1" ht="15.75" customHeight="1" x14ac:dyDescent="0.35">
      <c r="A298" s="153">
        <f t="shared" si="30"/>
        <v>7</v>
      </c>
      <c r="B298" s="154"/>
      <c r="C298" s="87" t="s">
        <v>379</v>
      </c>
      <c r="D298" s="89">
        <f>(49.99)*(10.764)</f>
        <v>538.09235999999999</v>
      </c>
      <c r="E298" s="89">
        <f>(1.43*0.93)*(10.764)</f>
        <v>14.315043599999999</v>
      </c>
      <c r="F298" s="87">
        <f t="shared" si="28"/>
        <v>552.40740359999995</v>
      </c>
      <c r="G298" s="87">
        <v>0</v>
      </c>
      <c r="H298" s="87">
        <f t="shared" si="29"/>
        <v>828.61110539999993</v>
      </c>
      <c r="I298" s="36"/>
    </row>
    <row r="299" spans="1:14" s="88" customFormat="1" ht="15.75" customHeight="1" x14ac:dyDescent="0.35">
      <c r="A299" s="153">
        <f t="shared" si="30"/>
        <v>8</v>
      </c>
      <c r="B299" s="154"/>
      <c r="C299" s="87" t="s">
        <v>379</v>
      </c>
      <c r="D299" s="89">
        <f>(49.99)*(10.764)</f>
        <v>538.09235999999999</v>
      </c>
      <c r="E299" s="89">
        <f>(1.43*0.93)*(10.764)</f>
        <v>14.315043599999999</v>
      </c>
      <c r="F299" s="87">
        <f t="shared" si="28"/>
        <v>552.40740359999995</v>
      </c>
      <c r="G299" s="87">
        <v>0</v>
      </c>
      <c r="H299" s="87">
        <f t="shared" si="29"/>
        <v>828.61110539999993</v>
      </c>
      <c r="I299" s="36">
        <f>(4.43*2.9+2.23*1.15+2.13*2.4+3.05*2.8+3.05*3.15+1.23*2.13+1.23*2.13+0.93*1.7+0.93*1.45)</f>
        <v>46.840300000000006</v>
      </c>
    </row>
    <row r="300" spans="1:14" s="88" customFormat="1" x14ac:dyDescent="0.35">
      <c r="A300" s="113" t="s">
        <v>384</v>
      </c>
      <c r="B300" s="113"/>
      <c r="C300" s="113"/>
      <c r="D300" s="113"/>
      <c r="E300" s="113"/>
      <c r="F300" s="113"/>
      <c r="G300" s="113"/>
      <c r="H300" s="113"/>
      <c r="I300" s="36"/>
      <c r="L300" s="114"/>
      <c r="M300" s="114"/>
    </row>
    <row r="301" spans="1:14" s="88" customFormat="1" x14ac:dyDescent="0.35">
      <c r="A301" s="103">
        <v>1</v>
      </c>
      <c r="B301" s="103"/>
      <c r="C301" s="87" t="s">
        <v>379</v>
      </c>
      <c r="D301" s="89">
        <f>(56.47)*(10.764)</f>
        <v>607.84307999999999</v>
      </c>
      <c r="E301" s="89">
        <f>(3.05*0.93+1*1.53)*(10.764)</f>
        <v>47.001005999999997</v>
      </c>
      <c r="F301" s="87">
        <f>D301+E301</f>
        <v>654.84408599999995</v>
      </c>
      <c r="G301" s="87">
        <v>0</v>
      </c>
      <c r="H301" s="87">
        <f>F301*(($H$151)+1)+(IF(G301&lt;101,G301,IF(G301&lt;201,G301/2,IF(G301&lt;=301,G301/3,G301/4))))</f>
        <v>982.26612899999986</v>
      </c>
      <c r="I301" s="36"/>
      <c r="N301" s="36"/>
    </row>
    <row r="302" spans="1:14" s="88" customFormat="1" x14ac:dyDescent="0.35">
      <c r="A302" s="103">
        <f t="shared" ref="A302:A308" si="31">A301+1</f>
        <v>2</v>
      </c>
      <c r="B302" s="103"/>
      <c r="C302" s="87" t="s">
        <v>379</v>
      </c>
      <c r="D302" s="89">
        <f>(56.47)*(10.764)</f>
        <v>607.84307999999999</v>
      </c>
      <c r="E302" s="89">
        <f>(3.05*0.93+1*1.53)*(10.764)</f>
        <v>47.001005999999997</v>
      </c>
      <c r="F302" s="87">
        <f>D302+E302</f>
        <v>654.84408599999995</v>
      </c>
      <c r="G302" s="87">
        <v>0</v>
      </c>
      <c r="H302" s="87">
        <f>F302*(($H$151)+1)+(IF(G302&lt;101,G302,IF(G302&lt;201,G302/2,IF(G302&lt;=301,G302/3,G302/4))))</f>
        <v>982.26612899999986</v>
      </c>
      <c r="I302" s="36"/>
      <c r="N302" s="36"/>
    </row>
    <row r="303" spans="1:14" s="88" customFormat="1" x14ac:dyDescent="0.35">
      <c r="A303" s="103">
        <f t="shared" si="31"/>
        <v>3</v>
      </c>
      <c r="B303" s="103"/>
      <c r="C303" s="87" t="s">
        <v>379</v>
      </c>
      <c r="D303" s="89">
        <f>(61.54)*(10.764)</f>
        <v>662.41656</v>
      </c>
      <c r="E303" s="89">
        <f>(1.07*2.95+1.53*1)*(10.764)</f>
        <v>50.445486000000002</v>
      </c>
      <c r="F303" s="87">
        <f>D303+E303</f>
        <v>712.86204599999996</v>
      </c>
      <c r="G303" s="87">
        <v>0</v>
      </c>
      <c r="H303" s="87">
        <f>F303*(($H$151)+1)+(IF(G303&lt;101,G303,IF(G303&lt;201,G303/2,IF(G303&lt;=301,G303/3,G303/4))))</f>
        <v>1069.2930689999998</v>
      </c>
      <c r="I303" s="36"/>
      <c r="N303" s="36"/>
    </row>
    <row r="304" spans="1:14" s="88" customFormat="1" x14ac:dyDescent="0.35">
      <c r="A304" s="103">
        <f t="shared" si="31"/>
        <v>4</v>
      </c>
      <c r="B304" s="103"/>
      <c r="C304" s="87" t="s">
        <v>379</v>
      </c>
      <c r="D304" s="89">
        <f>(61.54)*(10.764)</f>
        <v>662.41656</v>
      </c>
      <c r="E304" s="89">
        <f>(1.07*2.95+1.53*1)*(10.764)</f>
        <v>50.445486000000002</v>
      </c>
      <c r="F304" s="87">
        <f>D304+E304</f>
        <v>712.86204599999996</v>
      </c>
      <c r="G304" s="87">
        <v>0</v>
      </c>
      <c r="H304" s="87">
        <f>F304*(($H$151)+1)+(IF(G304&lt;101,G304,IF(G304&lt;201,G304/2,IF(G304&lt;=301,G304/3,G304/4))))</f>
        <v>1069.2930689999998</v>
      </c>
      <c r="I304" s="36"/>
      <c r="N304" s="36"/>
    </row>
    <row r="305" spans="1:14" s="88" customFormat="1" x14ac:dyDescent="0.35">
      <c r="A305" s="103">
        <f t="shared" si="31"/>
        <v>5</v>
      </c>
      <c r="B305" s="103"/>
      <c r="C305" s="104" t="s">
        <v>381</v>
      </c>
      <c r="D305" s="105"/>
      <c r="E305" s="105"/>
      <c r="F305" s="105"/>
      <c r="G305" s="105"/>
      <c r="H305" s="106"/>
      <c r="I305" s="36"/>
      <c r="N305" s="36"/>
    </row>
    <row r="306" spans="1:14" s="88" customFormat="1" x14ac:dyDescent="0.35">
      <c r="A306" s="103">
        <f t="shared" si="31"/>
        <v>6</v>
      </c>
      <c r="B306" s="103"/>
      <c r="C306" s="107"/>
      <c r="D306" s="108"/>
      <c r="E306" s="108"/>
      <c r="F306" s="108"/>
      <c r="G306" s="108"/>
      <c r="H306" s="109"/>
      <c r="I306" s="36"/>
      <c r="N306" s="36"/>
    </row>
    <row r="307" spans="1:14" s="88" customFormat="1" x14ac:dyDescent="0.35">
      <c r="A307" s="103">
        <f t="shared" si="31"/>
        <v>7</v>
      </c>
      <c r="B307" s="103"/>
      <c r="C307" s="87" t="s">
        <v>379</v>
      </c>
      <c r="D307" s="89">
        <f>(49.99)*(10.764)</f>
        <v>538.09235999999999</v>
      </c>
      <c r="E307" s="89">
        <f>(1.43*0.93)*(10.764)</f>
        <v>14.315043599999999</v>
      </c>
      <c r="F307" s="87">
        <f>D307+E307</f>
        <v>552.40740359999995</v>
      </c>
      <c r="G307" s="87">
        <v>0</v>
      </c>
      <c r="H307" s="87">
        <f>F307*(($H$151)+1)+(IF(G307&lt;101,G307,IF(G307&lt;201,G307/2,IF(G307&lt;=301,G307/3,G307/4))))</f>
        <v>828.61110539999993</v>
      </c>
      <c r="I307" s="36"/>
      <c r="N307" s="36"/>
    </row>
    <row r="308" spans="1:14" s="88" customFormat="1" x14ac:dyDescent="0.35">
      <c r="A308" s="103">
        <f t="shared" si="31"/>
        <v>8</v>
      </c>
      <c r="B308" s="103"/>
      <c r="C308" s="87" t="s">
        <v>379</v>
      </c>
      <c r="D308" s="89">
        <f>(49.99)*(10.764)</f>
        <v>538.09235999999999</v>
      </c>
      <c r="E308" s="89">
        <f>(1.43*0.93)*(10.764)</f>
        <v>14.315043599999999</v>
      </c>
      <c r="F308" s="87">
        <f>D308+E308</f>
        <v>552.40740359999995</v>
      </c>
      <c r="G308" s="87">
        <v>0</v>
      </c>
      <c r="H308" s="87">
        <f>F308*(($H$151)+1)+(IF(G308&lt;101,G308,IF(G308&lt;201,G308/2,IF(G308&lt;=301,G308/3,G308/4))))</f>
        <v>828.61110539999993</v>
      </c>
      <c r="I308" s="36"/>
      <c r="N308" s="36"/>
    </row>
    <row r="309" spans="1:14" s="88" customFormat="1" x14ac:dyDescent="0.35">
      <c r="A309" s="113" t="s">
        <v>386</v>
      </c>
      <c r="B309" s="113"/>
      <c r="C309" s="113"/>
      <c r="D309" s="113"/>
      <c r="E309" s="113"/>
      <c r="F309" s="113"/>
      <c r="G309" s="113"/>
      <c r="H309" s="113"/>
      <c r="I309" s="36"/>
      <c r="L309" s="114"/>
      <c r="M309" s="114"/>
    </row>
    <row r="310" spans="1:14" s="88" customFormat="1" x14ac:dyDescent="0.35">
      <c r="A310" s="103">
        <v>1</v>
      </c>
      <c r="B310" s="103"/>
      <c r="C310" s="87" t="s">
        <v>379</v>
      </c>
      <c r="D310" s="89">
        <f>(56.47)*(10.764)</f>
        <v>607.84307999999999</v>
      </c>
      <c r="E310" s="89">
        <f>(3.05*0.93+1*1.53)*(10.764)</f>
        <v>47.001005999999997</v>
      </c>
      <c r="F310" s="87">
        <f>D310+E310</f>
        <v>654.84408599999995</v>
      </c>
      <c r="G310" s="87">
        <v>0</v>
      </c>
      <c r="H310" s="87">
        <f>F310*(($H$151)+1)+(IF(G310&lt;101,G310,IF(G310&lt;201,G310/2,IF(G310&lt;=301,G310/3,G310/4))))</f>
        <v>982.26612899999986</v>
      </c>
      <c r="I310" s="36"/>
      <c r="N310" s="36"/>
    </row>
    <row r="311" spans="1:14" s="88" customFormat="1" x14ac:dyDescent="0.35">
      <c r="A311" s="103">
        <f t="shared" ref="A311:A317" si="32">A310+1</f>
        <v>2</v>
      </c>
      <c r="B311" s="103"/>
      <c r="C311" s="87" t="s">
        <v>379</v>
      </c>
      <c r="D311" s="89">
        <f>(56.47)*(10.764)</f>
        <v>607.84307999999999</v>
      </c>
      <c r="E311" s="89">
        <f>(3.05*0.93+1*1.53)*(10.764)</f>
        <v>47.001005999999997</v>
      </c>
      <c r="F311" s="87">
        <f>D311+E311</f>
        <v>654.84408599999995</v>
      </c>
      <c r="G311" s="87">
        <v>0</v>
      </c>
      <c r="H311" s="87">
        <f>F311*(($H$151)+1)+(IF(G311&lt;101,G311,IF(G311&lt;201,G311/2,IF(G311&lt;=301,G311/3,G311/4))))</f>
        <v>982.26612899999986</v>
      </c>
      <c r="I311" s="36"/>
      <c r="N311" s="36"/>
    </row>
    <row r="312" spans="1:14" s="88" customFormat="1" x14ac:dyDescent="0.35">
      <c r="A312" s="103">
        <f t="shared" si="32"/>
        <v>3</v>
      </c>
      <c r="B312" s="103"/>
      <c r="C312" s="87" t="s">
        <v>379</v>
      </c>
      <c r="D312" s="89">
        <f>(61.54)*(10.764)</f>
        <v>662.41656</v>
      </c>
      <c r="E312" s="89">
        <f>(1.07*2.95+1.53*1)*(10.764)</f>
        <v>50.445486000000002</v>
      </c>
      <c r="F312" s="87">
        <f>D312+E312</f>
        <v>712.86204599999996</v>
      </c>
      <c r="G312" s="87">
        <v>0</v>
      </c>
      <c r="H312" s="87">
        <f>F312*(($H$151)+1)+(IF(G312&lt;101,G312,IF(G312&lt;201,G312/2,IF(G312&lt;=301,G312/3,G312/4))))</f>
        <v>1069.2930689999998</v>
      </c>
      <c r="I312" s="36"/>
      <c r="N312" s="36"/>
    </row>
    <row r="313" spans="1:14" s="88" customFormat="1" x14ac:dyDescent="0.35">
      <c r="A313" s="103">
        <f t="shared" si="32"/>
        <v>4</v>
      </c>
      <c r="B313" s="103"/>
      <c r="C313" s="87" t="s">
        <v>379</v>
      </c>
      <c r="D313" s="89">
        <f>(61.54)*(10.764)</f>
        <v>662.41656</v>
      </c>
      <c r="E313" s="89">
        <f>(1.07*2.95+1.53*1)*(10.764)</f>
        <v>50.445486000000002</v>
      </c>
      <c r="F313" s="87">
        <f>D313+E313</f>
        <v>712.86204599999996</v>
      </c>
      <c r="G313" s="87">
        <v>0</v>
      </c>
      <c r="H313" s="87">
        <f>F313*(($H$151)+1)+(IF(G313&lt;101,G313,IF(G313&lt;201,G313/2,IF(G313&lt;=301,G313/3,G313/4))))</f>
        <v>1069.2930689999998</v>
      </c>
      <c r="I313" s="36"/>
      <c r="N313" s="36"/>
    </row>
    <row r="314" spans="1:14" s="88" customFormat="1" x14ac:dyDescent="0.35">
      <c r="A314" s="103">
        <f t="shared" si="32"/>
        <v>5</v>
      </c>
      <c r="B314" s="103"/>
      <c r="C314" s="153" t="s">
        <v>381</v>
      </c>
      <c r="D314" s="259"/>
      <c r="E314" s="259"/>
      <c r="F314" s="259"/>
      <c r="G314" s="259"/>
      <c r="H314" s="154"/>
      <c r="I314" s="36"/>
      <c r="N314" s="36"/>
    </row>
    <row r="315" spans="1:14" s="88" customFormat="1" x14ac:dyDescent="0.35">
      <c r="A315" s="103">
        <f t="shared" si="32"/>
        <v>6</v>
      </c>
      <c r="B315" s="103"/>
      <c r="C315" s="87" t="s">
        <v>379</v>
      </c>
      <c r="D315" s="89">
        <f>(69.13)*(10.764)</f>
        <v>744.11531999999988</v>
      </c>
      <c r="E315" s="89">
        <f>(6.25*0.93+1*1.53)*(10.764)</f>
        <v>79.034669999999991</v>
      </c>
      <c r="F315" s="87">
        <f>D315+E315</f>
        <v>823.14998999999989</v>
      </c>
      <c r="G315" s="87">
        <v>0</v>
      </c>
      <c r="H315" s="87">
        <f>F315*(($H$151)+1)+(IF(G315&lt;101,G315,IF(G315&lt;201,G315/2,IF(G315&lt;=301,G315/3,G315/4))))</f>
        <v>1234.7249849999998</v>
      </c>
      <c r="I315" s="36">
        <f>(5.4*2.7+1.15*2.23+6.25*1.82+2.75*2.13+3.1*3.05+3.05*3.35+2.28*1.38+2.28*1.38+1*0.93+2.45*0.93+1.68*0.5)</f>
        <v>64.390799999999999</v>
      </c>
      <c r="N315" s="36"/>
    </row>
    <row r="316" spans="1:14" s="88" customFormat="1" x14ac:dyDescent="0.35">
      <c r="A316" s="103">
        <f t="shared" si="32"/>
        <v>7</v>
      </c>
      <c r="B316" s="103"/>
      <c r="C316" s="87" t="s">
        <v>379</v>
      </c>
      <c r="D316" s="89">
        <f>(49.99)*(10.764)</f>
        <v>538.09235999999999</v>
      </c>
      <c r="E316" s="89">
        <f>(1.43*0.93)*(10.764)</f>
        <v>14.315043599999999</v>
      </c>
      <c r="F316" s="87">
        <f>D316+E316</f>
        <v>552.40740359999995</v>
      </c>
      <c r="G316" s="87">
        <v>0</v>
      </c>
      <c r="H316" s="87">
        <f>F316*(($H$151)+1)+(IF(G316&lt;101,G316,IF(G316&lt;201,G316/2,IF(G316&lt;=301,G316/3,G316/4))))</f>
        <v>828.61110539999993</v>
      </c>
      <c r="I316" s="36"/>
      <c r="N316" s="36"/>
    </row>
    <row r="317" spans="1:14" s="88" customFormat="1" x14ac:dyDescent="0.35">
      <c r="A317" s="103">
        <f t="shared" si="32"/>
        <v>8</v>
      </c>
      <c r="B317" s="103"/>
      <c r="C317" s="87" t="s">
        <v>379</v>
      </c>
      <c r="D317" s="89">
        <f>(49.99)*(10.764)</f>
        <v>538.09235999999999</v>
      </c>
      <c r="E317" s="89">
        <f>(1.43*0.93)*(10.764)</f>
        <v>14.315043599999999</v>
      </c>
      <c r="F317" s="87">
        <f>D317+E317</f>
        <v>552.40740359999995</v>
      </c>
      <c r="G317" s="87">
        <v>0</v>
      </c>
      <c r="H317" s="87">
        <f>F317*(($H$151)+1)+(IF(G317&lt;101,G317,IF(G317&lt;201,G317/2,IF(G317&lt;=301,G317/3,G317/4))))</f>
        <v>828.61110539999993</v>
      </c>
      <c r="I317" s="36"/>
      <c r="N317" s="36"/>
    </row>
    <row r="318" spans="1:14" s="37" customFormat="1" hidden="1" x14ac:dyDescent="0.35">
      <c r="A318" s="110" t="s">
        <v>117</v>
      </c>
      <c r="B318" s="111"/>
      <c r="C318" s="111"/>
      <c r="D318" s="111"/>
      <c r="E318" s="111"/>
      <c r="F318" s="111"/>
      <c r="G318" s="111"/>
      <c r="H318" s="112"/>
      <c r="J318" s="36"/>
    </row>
    <row r="319" spans="1:14" s="37" customFormat="1" ht="15.75" hidden="1" customHeight="1" x14ac:dyDescent="0.35">
      <c r="A319" s="153">
        <v>1</v>
      </c>
      <c r="B319" s="154"/>
      <c r="C319" s="42"/>
      <c r="D319" s="42"/>
      <c r="E319" s="42">
        <v>0</v>
      </c>
      <c r="F319" s="42">
        <f>D319+E319</f>
        <v>0</v>
      </c>
      <c r="G319" s="54">
        <v>0</v>
      </c>
      <c r="H319" s="54">
        <f>F319*(($H$151)+1)+(IF(G319&lt;101,G319,IF(G319&lt;201,G319/2,IF(G319&lt;=301,G319/3,G319/4))))</f>
        <v>0</v>
      </c>
      <c r="I319" s="36"/>
      <c r="L319" s="114"/>
      <c r="M319" s="114"/>
      <c r="N319" s="36"/>
    </row>
    <row r="320" spans="1:14" s="37" customFormat="1" ht="15.75" hidden="1" customHeight="1" x14ac:dyDescent="0.35">
      <c r="A320" s="153">
        <f>A319+1</f>
        <v>2</v>
      </c>
      <c r="B320" s="154"/>
      <c r="C320" s="42"/>
      <c r="D320" s="42"/>
      <c r="E320" s="42">
        <v>0</v>
      </c>
      <c r="F320" s="54">
        <f>D320+E320</f>
        <v>0</v>
      </c>
      <c r="G320" s="54">
        <v>0</v>
      </c>
      <c r="H320" s="54">
        <f>F320*(($H$151)+1)+(IF(G320&lt;101,G320,IF(G320&lt;201,G320/2,IF(G320&lt;=301,G320/3,G320/4))))</f>
        <v>0</v>
      </c>
      <c r="I320" s="36"/>
      <c r="L320" s="114"/>
      <c r="M320" s="114"/>
      <c r="N320" s="36"/>
    </row>
    <row r="321" spans="1:20" s="37" customFormat="1" ht="15.75" hidden="1" customHeight="1" x14ac:dyDescent="0.35">
      <c r="A321" s="153">
        <f>A320+1</f>
        <v>3</v>
      </c>
      <c r="B321" s="154"/>
      <c r="C321" s="42"/>
      <c r="D321" s="42"/>
      <c r="E321" s="42">
        <v>0</v>
      </c>
      <c r="F321" s="54">
        <f>D321+E321</f>
        <v>0</v>
      </c>
      <c r="G321" s="54">
        <v>0</v>
      </c>
      <c r="H321" s="54">
        <f>F321*(($H$151)+1)+(IF(G321&lt;101,G321,IF(G321&lt;201,G321/2,IF(G321&lt;=301,G321/3,G321/4))))</f>
        <v>0</v>
      </c>
      <c r="I321" s="36"/>
      <c r="L321" s="114"/>
      <c r="M321" s="114"/>
      <c r="N321" s="36"/>
    </row>
    <row r="322" spans="1:20" s="37" customFormat="1" ht="15.75" hidden="1" customHeight="1" x14ac:dyDescent="0.35">
      <c r="A322" s="153">
        <f>A321+1</f>
        <v>4</v>
      </c>
      <c r="B322" s="154"/>
      <c r="C322" s="42"/>
      <c r="D322" s="42"/>
      <c r="E322" s="42">
        <v>0</v>
      </c>
      <c r="F322" s="54">
        <f>D322+E322</f>
        <v>0</v>
      </c>
      <c r="G322" s="54">
        <v>0</v>
      </c>
      <c r="H322" s="54">
        <f>F322*(($H$151)+1)+(IF(G322&lt;101,G322,IF(G322&lt;201,G322/2,IF(G322&lt;=301,G322/3,G322/4))))</f>
        <v>0</v>
      </c>
      <c r="I322" s="36"/>
      <c r="L322" s="114"/>
      <c r="M322" s="114"/>
      <c r="N322" s="36"/>
      <c r="T322" s="21"/>
    </row>
    <row r="323" spans="1:20" s="37" customFormat="1" hidden="1" x14ac:dyDescent="0.35">
      <c r="A323" s="113" t="s">
        <v>118</v>
      </c>
      <c r="B323" s="113"/>
      <c r="C323" s="113"/>
      <c r="D323" s="113"/>
      <c r="E323" s="113"/>
      <c r="F323" s="113"/>
      <c r="G323" s="113"/>
      <c r="H323" s="113"/>
      <c r="I323" s="36"/>
      <c r="L323" s="114"/>
      <c r="M323" s="114"/>
    </row>
    <row r="324" spans="1:20" s="37" customFormat="1" hidden="1" x14ac:dyDescent="0.35">
      <c r="A324" s="103">
        <f>LEFT(A323,SUM(LEN(A323)-LEN(SUBSTITUTE(A323,{"0","1","2","3","4","5","6","7","8","9"},""))))*100+1</f>
        <v>201</v>
      </c>
      <c r="B324" s="103"/>
      <c r="C324" s="42"/>
      <c r="D324" s="42"/>
      <c r="E324" s="54">
        <v>0</v>
      </c>
      <c r="F324" s="54">
        <f>D324+E324</f>
        <v>0</v>
      </c>
      <c r="G324" s="54">
        <v>0</v>
      </c>
      <c r="H324" s="54">
        <f>F324*(($H$151)+1)+(IF(G324&lt;101,G324,IF(G324&lt;201,G324/2,IF(G324&lt;=301,G324/3,G324/4))))</f>
        <v>0</v>
      </c>
      <c r="I324" s="36"/>
      <c r="N324" s="36"/>
    </row>
    <row r="325" spans="1:20" s="37" customFormat="1" hidden="1" x14ac:dyDescent="0.35">
      <c r="A325" s="103">
        <f>A324+1</f>
        <v>202</v>
      </c>
      <c r="B325" s="103"/>
      <c r="C325" s="42"/>
      <c r="D325" s="42"/>
      <c r="E325" s="54">
        <v>0</v>
      </c>
      <c r="F325" s="54">
        <f>D325+E325</f>
        <v>0</v>
      </c>
      <c r="G325" s="54">
        <v>0</v>
      </c>
      <c r="H325" s="54">
        <f>F325*(($H$151)+1)+(IF(G325&lt;101,G325,IF(G325&lt;201,G325/2,IF(G325&lt;=301,G325/3,G325/4))))</f>
        <v>0</v>
      </c>
      <c r="I325" s="36"/>
      <c r="N325" s="36"/>
    </row>
    <row r="326" spans="1:20" s="37" customFormat="1" hidden="1" x14ac:dyDescent="0.35">
      <c r="A326" s="103">
        <f>A325+1</f>
        <v>203</v>
      </c>
      <c r="B326" s="103"/>
      <c r="C326" s="42"/>
      <c r="D326" s="42"/>
      <c r="E326" s="54">
        <v>0</v>
      </c>
      <c r="F326" s="54">
        <f>D326+E326</f>
        <v>0</v>
      </c>
      <c r="G326" s="54">
        <v>0</v>
      </c>
      <c r="H326" s="54">
        <f>F326*(($H$151)+1)+(IF(G326&lt;101,G326,IF(G326&lt;201,G326/2,IF(G326&lt;=301,G326/3,G326/4))))</f>
        <v>0</v>
      </c>
      <c r="I326" s="36"/>
      <c r="N326" s="36"/>
    </row>
    <row r="327" spans="1:20" s="37" customFormat="1" hidden="1" x14ac:dyDescent="0.35">
      <c r="A327" s="103">
        <f>A326+1</f>
        <v>204</v>
      </c>
      <c r="B327" s="103"/>
      <c r="C327" s="42"/>
      <c r="D327" s="42"/>
      <c r="E327" s="54">
        <v>0</v>
      </c>
      <c r="F327" s="54">
        <f>D327+E327</f>
        <v>0</v>
      </c>
      <c r="G327" s="54">
        <v>0</v>
      </c>
      <c r="H327" s="54">
        <f>F327*(($H$151)+1)+(IF(G327&lt;101,G327,IF(G327&lt;201,G327/2,IF(G327&lt;=301,G327/3,G327/4))))</f>
        <v>0</v>
      </c>
      <c r="I327" s="36"/>
      <c r="N327" s="36"/>
    </row>
    <row r="328" spans="1:20" s="37" customFormat="1" hidden="1" x14ac:dyDescent="0.35">
      <c r="A328" s="103">
        <f>A327+1</f>
        <v>205</v>
      </c>
      <c r="B328" s="103"/>
      <c r="C328" s="42"/>
      <c r="D328" s="42"/>
      <c r="E328" s="54">
        <v>0</v>
      </c>
      <c r="F328" s="54">
        <f>D328+E328</f>
        <v>0</v>
      </c>
      <c r="G328" s="54">
        <v>0</v>
      </c>
      <c r="H328" s="54">
        <f>F328*(($H$151)+1)+(IF(G328&lt;101,G328,IF(G328&lt;201,G328/2,IF(G328&lt;=301,G328/3,G328/4))))</f>
        <v>0</v>
      </c>
      <c r="I328" s="36"/>
      <c r="N328" s="36"/>
    </row>
    <row r="329" spans="1:20" s="37" customFormat="1" ht="15.75" hidden="1" customHeight="1" x14ac:dyDescent="0.35">
      <c r="A329" s="110" t="s">
        <v>149</v>
      </c>
      <c r="B329" s="111"/>
      <c r="C329" s="111"/>
      <c r="D329" s="111"/>
      <c r="E329" s="111"/>
      <c r="F329" s="111"/>
      <c r="G329" s="111"/>
      <c r="H329" s="112"/>
      <c r="I329" s="36"/>
    </row>
    <row r="330" spans="1:20" s="37" customFormat="1" ht="15.75" hidden="1" customHeight="1" x14ac:dyDescent="0.35">
      <c r="A330" s="153" t="str">
        <f ca="1">(SUMPRODUCT(MID(0&amp;(LEFT(A329,SUM(LEN(A329)-LEN(SUBSTITUTE(A329,{"0","1","2"},""))))), LARGE(INDEX(ISNUMBER(--MID((LEFT(A329,SUM(LEN(A329)-LEN(SUBSTITUTE(A329,{"0","1","2"},""))))), ROW(INDIRECT("1:"&amp;LEN((LEFT(A329,SUM(LEN(A329)-LEN(SUBSTITUTE(A329,{"0","1","2"},"")))))))), 1)) * ROW(INDIRECT("1:"&amp;LEN((LEFT(A329,SUM(LEN(A329)-LEN(SUBSTITUTE(A329,{"0","1","2"},"")))))))), 0), ROW(INDIRECT("1:"&amp;LEN((LEFT(A329,SUM(LEN(A329)-LEN(SUBSTITUTE(A329,{"0","1","2"},"")))))))))+1, 1) * 10^ROW(INDIRECT("1:"&amp;LEN((LEFT(A329,SUM(LEN(A329)-LEN(SUBSTITUTE(A329,{"0","1","2"},""))))))))/10))*100+1&amp;""&amp;" ,.., "&amp;""&amp;(SUMPRODUCT(MID(0&amp;(--TRIM(RIGHT(SUBSTITUTE(LEFT(A329,_xlfn.AGGREGATE(16,6,FIND({0,1,2,3,4,5,6,7,8,9},A329,ROW(INDIRECT("1:"&amp;LEN(A329)))),1))," ",REPT(" ",LEN(A329))),LEN(A329)))), LARGE(INDEX(ISNUMBER(--MID((--TRIM(RIGHT(SUBSTITUTE(LEFT(A329,_xlfn.AGGREGATE(16,6,FIND({0,1,2,3,4,5,6,7,8,9},A329,ROW(INDIRECT("1:"&amp;LEN(A329)))),1))," ",REPT(" ",LEN(A329))),LEN(A329)))), ROW(INDIRECT("1:"&amp;LEN((--TRIM(RIGHT(SUBSTITUTE(LEFT(A329,_xlfn.AGGREGATE(16,6,FIND({0,1,2,3,4,5,6,7,8,9},A329,ROW(INDIRECT("1:"&amp;LEN(A329)))),1))," ",REPT(" ",LEN(A329))),LEN(A329))))))), 1)) * ROW(INDIRECT("1:"&amp;LEN((--TRIM(RIGHT(SUBSTITUTE(LEFT(A329,_xlfn.AGGREGATE(16,6,FIND({0,1,2,3,4,5,6,7,8,9},A329,ROW(INDIRECT("1:"&amp;LEN(A329)))),1))," ",REPT(" ",LEN(A329))),LEN(A329))))))), 0), ROW(INDIRECT("1:"&amp;LEN((--TRIM(RIGHT(SUBSTITUTE(LEFT(A329,_xlfn.AGGREGATE(16,6,FIND({0,1,2,3,4,5,6,7,8,9},A329,ROW(INDIRECT("1:"&amp;LEN(A329)))),1))," ",REPT(" ",LEN(A329))),LEN(A329))))))))+1, 1) * 10^ROW(INDIRECT("1:"&amp;LEN((--TRIM(RIGHT(SUBSTITUTE(LEFT(A329,_xlfn.AGGREGATE(16,6,FIND({0,1,2,3,4,5,6,7,8,9},A329,ROW(INDIRECT("1:"&amp;LEN(A329)))),1))," ",REPT(" ",LEN(A329))),LEN(A329)))))))/10))*100+1</f>
        <v>301 ,.., 1501</v>
      </c>
      <c r="B330" s="154"/>
      <c r="C330" s="42"/>
      <c r="D330" s="42"/>
      <c r="E330" s="54">
        <v>0</v>
      </c>
      <c r="F330" s="54">
        <f>D330+E330</f>
        <v>0</v>
      </c>
      <c r="G330" s="54">
        <v>0</v>
      </c>
      <c r="H330" s="54">
        <f>F330*(($H$151)+1)+(IF(G330&lt;101,G330,IF(G330&lt;201,G330/2,IF(G330&lt;=301,G330/3,G330/4))))</f>
        <v>0</v>
      </c>
      <c r="I330" s="36"/>
    </row>
    <row r="331" spans="1:20" s="37" customFormat="1" ht="15.75" hidden="1" customHeight="1" x14ac:dyDescent="0.35">
      <c r="A331" s="153" t="str">
        <f ca="1">(SUMPRODUCT(MID(0&amp;(LEFT(A330,SUM(LEN(A330)-LEN(SUBSTITUTE(A330,{"0","1","2"},""))))), LARGE(INDEX(ISNUMBER(--MID((LEFT(A330,SUM(LEN(A330)-LEN(SUBSTITUTE(A330,{"0","1","2"},""))))), ROW(INDIRECT("1:"&amp;LEN((LEFT(A330,SUM(LEN(A330)-LEN(SUBSTITUTE(A330,{"0","1","2"},"")))))))), 1)) * ROW(INDIRECT("1:"&amp;LEN((LEFT(A330,SUM(LEN(A330)-LEN(SUBSTITUTE(A330,{"0","1","2"},"")))))))), 0), ROW(INDIRECT("1:"&amp;LEN((LEFT(A330,SUM(LEN(A330)-LEN(SUBSTITUTE(A330,{"0","1","2"},"")))))))))+1, 1) * 10^ROW(INDIRECT("1:"&amp;LEN((LEFT(A330,SUM(LEN(A330)-LEN(SUBSTITUTE(A330,{"0","1","2"},""))))))))/10))*1+1&amp;""&amp;" ,.., "&amp;""&amp;(SUMPRODUCT(MID(0&amp;(--TRIM(RIGHT(SUBSTITUTE(LEFT(A330,_xlfn.AGGREGATE(16,6,FIND({0,1,2,3,4,5,6,7,8,9},A330,ROW(INDIRECT("1:"&amp;LEN(A330)))),1))," ",REPT(" ",LEN(A330))),LEN(A330)))), LARGE(INDEX(ISNUMBER(--MID((--TRIM(RIGHT(SUBSTITUTE(LEFT(A330,_xlfn.AGGREGATE(16,6,FIND({0,1,2,3,4,5,6,7,8,9},A330,ROW(INDIRECT("1:"&amp;LEN(A330)))),1))," ",REPT(" ",LEN(A330))),LEN(A330)))), ROW(INDIRECT("1:"&amp;LEN((--TRIM(RIGHT(SUBSTITUTE(LEFT(A330,_xlfn.AGGREGATE(16,6,FIND({0,1,2,3,4,5,6,7,8,9},A330,ROW(INDIRECT("1:"&amp;LEN(A330)))),1))," ",REPT(" ",LEN(A330))),LEN(A330))))))), 1)) * ROW(INDIRECT("1:"&amp;LEN((--TRIM(RIGHT(SUBSTITUTE(LEFT(A330,_xlfn.AGGREGATE(16,6,FIND({0,1,2,3,4,5,6,7,8,9},A330,ROW(INDIRECT("1:"&amp;LEN(A330)))),1))," ",REPT(" ",LEN(A330))),LEN(A330))))))), 0), ROW(INDIRECT("1:"&amp;LEN((--TRIM(RIGHT(SUBSTITUTE(LEFT(A330,_xlfn.AGGREGATE(16,6,FIND({0,1,2,3,4,5,6,7,8,9},A330,ROW(INDIRECT("1:"&amp;LEN(A330)))),1))," ",REPT(" ",LEN(A330))),LEN(A330))))))))+1, 1) * 10^ROW(INDIRECT("1:"&amp;LEN((--TRIM(RIGHT(SUBSTITUTE(LEFT(A330,_xlfn.AGGREGATE(16,6,FIND({0,1,2,3,4,5,6,7,8,9},A330,ROW(INDIRECT("1:"&amp;LEN(A330)))),1))," ",REPT(" ",LEN(A330))),LEN(A330)))))))/10))*1+1</f>
        <v>302 ,.., 1502</v>
      </c>
      <c r="B331" s="154"/>
      <c r="C331" s="42"/>
      <c r="D331" s="42"/>
      <c r="E331" s="54">
        <v>0</v>
      </c>
      <c r="F331" s="54">
        <f>D331+E331</f>
        <v>0</v>
      </c>
      <c r="G331" s="54">
        <v>0</v>
      </c>
      <c r="H331" s="54">
        <f>F331*(($H$151)+1)+(IF(G331&lt;101,G331,IF(G331&lt;201,G331/2,IF(G331&lt;=301,G331/3,G331/4))))</f>
        <v>0</v>
      </c>
      <c r="I331" s="36"/>
    </row>
    <row r="332" spans="1:20" s="37" customFormat="1" ht="15.75" hidden="1" customHeight="1" x14ac:dyDescent="0.35">
      <c r="A332" s="153" t="str">
        <f ca="1">(SUMPRODUCT(MID(0&amp;(LEFT(A331,SUM(LEN(A331)-LEN(SUBSTITUTE(A331,{"0","1","2"},""))))), LARGE(INDEX(ISNUMBER(--MID((LEFT(A331,SUM(LEN(A331)-LEN(SUBSTITUTE(A331,{"0","1","2"},""))))), ROW(INDIRECT("1:"&amp;LEN((LEFT(A331,SUM(LEN(A331)-LEN(SUBSTITUTE(A331,{"0","1","2"},"")))))))), 1)) * ROW(INDIRECT("1:"&amp;LEN((LEFT(A331,SUM(LEN(A331)-LEN(SUBSTITUTE(A331,{"0","1","2"},"")))))))), 0), ROW(INDIRECT("1:"&amp;LEN((LEFT(A331,SUM(LEN(A331)-LEN(SUBSTITUTE(A331,{"0","1","2"},"")))))))))+1, 1) * 10^ROW(INDIRECT("1:"&amp;LEN((LEFT(A331,SUM(LEN(A331)-LEN(SUBSTITUTE(A331,{"0","1","2"},""))))))))/10))*1+1&amp;""&amp;" ,.., "&amp;""&amp;(SUMPRODUCT(MID(0&amp;(--TRIM(RIGHT(SUBSTITUTE(LEFT(A331,_xlfn.AGGREGATE(16,6,FIND({0,1,2,3,4,5,6,7,8,9},A331,ROW(INDIRECT("1:"&amp;LEN(A331)))),1))," ",REPT(" ",LEN(A331))),LEN(A331)))), LARGE(INDEX(ISNUMBER(--MID((--TRIM(RIGHT(SUBSTITUTE(LEFT(A331,_xlfn.AGGREGATE(16,6,FIND({0,1,2,3,4,5,6,7,8,9},A331,ROW(INDIRECT("1:"&amp;LEN(A331)))),1))," ",REPT(" ",LEN(A331))),LEN(A331)))), ROW(INDIRECT("1:"&amp;LEN((--TRIM(RIGHT(SUBSTITUTE(LEFT(A331,_xlfn.AGGREGATE(16,6,FIND({0,1,2,3,4,5,6,7,8,9},A331,ROW(INDIRECT("1:"&amp;LEN(A331)))),1))," ",REPT(" ",LEN(A331))),LEN(A331))))))), 1)) * ROW(INDIRECT("1:"&amp;LEN((--TRIM(RIGHT(SUBSTITUTE(LEFT(A331,_xlfn.AGGREGATE(16,6,FIND({0,1,2,3,4,5,6,7,8,9},A331,ROW(INDIRECT("1:"&amp;LEN(A331)))),1))," ",REPT(" ",LEN(A331))),LEN(A331))))))), 0), ROW(INDIRECT("1:"&amp;LEN((--TRIM(RIGHT(SUBSTITUTE(LEFT(A331,_xlfn.AGGREGATE(16,6,FIND({0,1,2,3,4,5,6,7,8,9},A331,ROW(INDIRECT("1:"&amp;LEN(A331)))),1))," ",REPT(" ",LEN(A331))),LEN(A331))))))))+1, 1) * 10^ROW(INDIRECT("1:"&amp;LEN((--TRIM(RIGHT(SUBSTITUTE(LEFT(A331,_xlfn.AGGREGATE(16,6,FIND({0,1,2,3,4,5,6,7,8,9},A331,ROW(INDIRECT("1:"&amp;LEN(A331)))),1))," ",REPT(" ",LEN(A331))),LEN(A331)))))))/10))*1+1</f>
        <v>303 ,.., 1503</v>
      </c>
      <c r="B332" s="154"/>
      <c r="C332" s="42"/>
      <c r="D332" s="42"/>
      <c r="E332" s="54">
        <v>0</v>
      </c>
      <c r="F332" s="54">
        <f>D332+E332</f>
        <v>0</v>
      </c>
      <c r="G332" s="54">
        <v>0</v>
      </c>
      <c r="H332" s="54">
        <f>F332*(($H$151)+1)+(IF(G332&lt;101,G332,IF(G332&lt;201,G332/2,IF(G332&lt;=301,G332/3,G332/4))))</f>
        <v>0</v>
      </c>
      <c r="I332" s="36"/>
    </row>
    <row r="333" spans="1:20" s="37" customFormat="1" ht="15.75" hidden="1" customHeight="1" x14ac:dyDescent="0.35">
      <c r="A333" s="153" t="str">
        <f ca="1">(SUMPRODUCT(MID(0&amp;(LEFT(A332,SUM(LEN(A332)-LEN(SUBSTITUTE(A332,{"0","1","2"},""))))), LARGE(INDEX(ISNUMBER(--MID((LEFT(A332,SUM(LEN(A332)-LEN(SUBSTITUTE(A332,{"0","1","2"},""))))), ROW(INDIRECT("1:"&amp;LEN((LEFT(A332,SUM(LEN(A332)-LEN(SUBSTITUTE(A332,{"0","1","2"},"")))))))), 1)) * ROW(INDIRECT("1:"&amp;LEN((LEFT(A332,SUM(LEN(A332)-LEN(SUBSTITUTE(A332,{"0","1","2"},"")))))))), 0), ROW(INDIRECT("1:"&amp;LEN((LEFT(A332,SUM(LEN(A332)-LEN(SUBSTITUTE(A332,{"0","1","2"},"")))))))))+1, 1) * 10^ROW(INDIRECT("1:"&amp;LEN((LEFT(A332,SUM(LEN(A332)-LEN(SUBSTITUTE(A332,{"0","1","2"},""))))))))/10))*1+1&amp;""&amp;" ,.., "&amp;""&amp;(SUMPRODUCT(MID(0&amp;(--TRIM(RIGHT(SUBSTITUTE(LEFT(A332,_xlfn.AGGREGATE(16,6,FIND({0,1,2,3,4,5,6,7,8,9},A332,ROW(INDIRECT("1:"&amp;LEN(A332)))),1))," ",REPT(" ",LEN(A332))),LEN(A332)))), LARGE(INDEX(ISNUMBER(--MID((--TRIM(RIGHT(SUBSTITUTE(LEFT(A332,_xlfn.AGGREGATE(16,6,FIND({0,1,2,3,4,5,6,7,8,9},A332,ROW(INDIRECT("1:"&amp;LEN(A332)))),1))," ",REPT(" ",LEN(A332))),LEN(A332)))), ROW(INDIRECT("1:"&amp;LEN((--TRIM(RIGHT(SUBSTITUTE(LEFT(A332,_xlfn.AGGREGATE(16,6,FIND({0,1,2,3,4,5,6,7,8,9},A332,ROW(INDIRECT("1:"&amp;LEN(A332)))),1))," ",REPT(" ",LEN(A332))),LEN(A332))))))), 1)) * ROW(INDIRECT("1:"&amp;LEN((--TRIM(RIGHT(SUBSTITUTE(LEFT(A332,_xlfn.AGGREGATE(16,6,FIND({0,1,2,3,4,5,6,7,8,9},A332,ROW(INDIRECT("1:"&amp;LEN(A332)))),1))," ",REPT(" ",LEN(A332))),LEN(A332))))))), 0), ROW(INDIRECT("1:"&amp;LEN((--TRIM(RIGHT(SUBSTITUTE(LEFT(A332,_xlfn.AGGREGATE(16,6,FIND({0,1,2,3,4,5,6,7,8,9},A332,ROW(INDIRECT("1:"&amp;LEN(A332)))),1))," ",REPT(" ",LEN(A332))),LEN(A332))))))))+1, 1) * 10^ROW(INDIRECT("1:"&amp;LEN((--TRIM(RIGHT(SUBSTITUTE(LEFT(A332,_xlfn.AGGREGATE(16,6,FIND({0,1,2,3,4,5,6,7,8,9},A332,ROW(INDIRECT("1:"&amp;LEN(A332)))),1))," ",REPT(" ",LEN(A332))),LEN(A332)))))))/10))*1+1</f>
        <v>304 ,.., 1504</v>
      </c>
      <c r="B333" s="154"/>
      <c r="C333" s="42"/>
      <c r="D333" s="42"/>
      <c r="E333" s="54">
        <v>0</v>
      </c>
      <c r="F333" s="54">
        <f>D333+E333</f>
        <v>0</v>
      </c>
      <c r="G333" s="54">
        <v>0</v>
      </c>
      <c r="H333" s="54">
        <f>F333*(($H$151)+1)+(IF(G333&lt;101,G333,IF(G333&lt;201,G333/2,IF(G333&lt;=301,G333/3,G333/4))))</f>
        <v>0</v>
      </c>
      <c r="I333" s="36"/>
    </row>
    <row r="334" spans="1:20" s="37" customFormat="1" ht="15.75" hidden="1" customHeight="1" x14ac:dyDescent="0.35">
      <c r="A334" s="153" t="str">
        <f ca="1">(SUMPRODUCT(MID(0&amp;(LEFT(A333,SUM(LEN(A333)-LEN(SUBSTITUTE(A333,{"0","1","2"},""))))), LARGE(INDEX(ISNUMBER(--MID((LEFT(A333,SUM(LEN(A333)-LEN(SUBSTITUTE(A333,{"0","1","2"},""))))), ROW(INDIRECT("1:"&amp;LEN((LEFT(A333,SUM(LEN(A333)-LEN(SUBSTITUTE(A333,{"0","1","2"},"")))))))), 1)) * ROW(INDIRECT("1:"&amp;LEN((LEFT(A333,SUM(LEN(A333)-LEN(SUBSTITUTE(A333,{"0","1","2"},"")))))))), 0), ROW(INDIRECT("1:"&amp;LEN((LEFT(A333,SUM(LEN(A333)-LEN(SUBSTITUTE(A333,{"0","1","2"},"")))))))))+1, 1) * 10^ROW(INDIRECT("1:"&amp;LEN((LEFT(A333,SUM(LEN(A333)-LEN(SUBSTITUTE(A333,{"0","1","2"},""))))))))/10))*1+1&amp;""&amp;" ,.., "&amp;""&amp;(SUMPRODUCT(MID(0&amp;(--TRIM(RIGHT(SUBSTITUTE(LEFT(A333,_xlfn.AGGREGATE(16,6,FIND({0,1,2,3,4,5,6,7,8,9},A333,ROW(INDIRECT("1:"&amp;LEN(A333)))),1))," ",REPT(" ",LEN(A333))),LEN(A333)))), LARGE(INDEX(ISNUMBER(--MID((--TRIM(RIGHT(SUBSTITUTE(LEFT(A333,_xlfn.AGGREGATE(16,6,FIND({0,1,2,3,4,5,6,7,8,9},A333,ROW(INDIRECT("1:"&amp;LEN(A333)))),1))," ",REPT(" ",LEN(A333))),LEN(A333)))), ROW(INDIRECT("1:"&amp;LEN((--TRIM(RIGHT(SUBSTITUTE(LEFT(A333,_xlfn.AGGREGATE(16,6,FIND({0,1,2,3,4,5,6,7,8,9},A333,ROW(INDIRECT("1:"&amp;LEN(A333)))),1))," ",REPT(" ",LEN(A333))),LEN(A333))))))), 1)) * ROW(INDIRECT("1:"&amp;LEN((--TRIM(RIGHT(SUBSTITUTE(LEFT(A333,_xlfn.AGGREGATE(16,6,FIND({0,1,2,3,4,5,6,7,8,9},A333,ROW(INDIRECT("1:"&amp;LEN(A333)))),1))," ",REPT(" ",LEN(A333))),LEN(A333))))))), 0), ROW(INDIRECT("1:"&amp;LEN((--TRIM(RIGHT(SUBSTITUTE(LEFT(A333,_xlfn.AGGREGATE(16,6,FIND({0,1,2,3,4,5,6,7,8,9},A333,ROW(INDIRECT("1:"&amp;LEN(A333)))),1))," ",REPT(" ",LEN(A333))),LEN(A333))))))))+1, 1) * 10^ROW(INDIRECT("1:"&amp;LEN((--TRIM(RIGHT(SUBSTITUTE(LEFT(A333,_xlfn.AGGREGATE(16,6,FIND({0,1,2,3,4,5,6,7,8,9},A333,ROW(INDIRECT("1:"&amp;LEN(A333)))),1))," ",REPT(" ",LEN(A333))),LEN(A333)))))))/10))*1+1</f>
        <v>305 ,.., 1505</v>
      </c>
      <c r="B334" s="154"/>
      <c r="C334" s="42"/>
      <c r="D334" s="42"/>
      <c r="E334" s="54">
        <v>0</v>
      </c>
      <c r="F334" s="54">
        <f>D334+E334</f>
        <v>0</v>
      </c>
      <c r="G334" s="54">
        <v>0</v>
      </c>
      <c r="H334" s="54">
        <f>F334*(($H$151)+1)+(IF(G334&lt;101,G334,IF(G334&lt;201,G334/2,IF(G334&lt;=301,G334/3,G334/4))))</f>
        <v>0</v>
      </c>
      <c r="I334" s="36"/>
    </row>
    <row r="335" spans="1:20" s="37" customFormat="1" hidden="1" x14ac:dyDescent="0.35">
      <c r="A335" s="110" t="s">
        <v>143</v>
      </c>
      <c r="B335" s="111"/>
      <c r="C335" s="111"/>
      <c r="D335" s="111"/>
      <c r="E335" s="111"/>
      <c r="F335" s="111"/>
      <c r="G335" s="111"/>
      <c r="H335" s="112"/>
      <c r="I335" s="36"/>
    </row>
    <row r="336" spans="1:20" s="37" customFormat="1" ht="15.75" hidden="1" customHeight="1" x14ac:dyDescent="0.35">
      <c r="A336" s="153" t="str">
        <f ca="1">(SUMPRODUCT(MID(0&amp;(LEFT(A335,SUM(LEN(A335)-LEN(SUBSTITUTE(A335,{"0","1","2"},""))))), LARGE(INDEX(ISNUMBER(--MID((LEFT(A335,SUM(LEN(A335)-LEN(SUBSTITUTE(A335,{"0","1","2"},""))))), ROW(INDIRECT("1:"&amp;LEN((LEFT(A335,SUM(LEN(A335)-LEN(SUBSTITUTE(A335,{"0","1","2"},"")))))))), 1)) * ROW(INDIRECT("1:"&amp;LEN((LEFT(A335,SUM(LEN(A335)-LEN(SUBSTITUTE(A335,{"0","1","2"},"")))))))), 0), ROW(INDIRECT("1:"&amp;LEN((LEFT(A335,SUM(LEN(A335)-LEN(SUBSTITUTE(A335,{"0","1","2"},"")))))))))+1, 1) * 10^ROW(INDIRECT("1:"&amp;LEN((LEFT(A335,SUM(LEN(A335)-LEN(SUBSTITUTE(A335,{"0","1","2"},""))))))))/10))*100+1&amp;""&amp;" to "&amp;""&amp;(SUMPRODUCT(MID(0&amp;(--TRIM(RIGHT(SUBSTITUTE(LEFT(A335,_xlfn.AGGREGATE(16,6,FIND({0,1,2,3,4,5,6,7,8,9},A335,ROW(INDIRECT("1:"&amp;LEN(A335)))),1))," ",REPT(" ",LEN(A335))),LEN(A335)))), LARGE(INDEX(ISNUMBER(--MID((--TRIM(RIGHT(SUBSTITUTE(LEFT(A335,_xlfn.AGGREGATE(16,6,FIND({0,1,2,3,4,5,6,7,8,9},A335,ROW(INDIRECT("1:"&amp;LEN(A335)))),1))," ",REPT(" ",LEN(A335))),LEN(A335)))), ROW(INDIRECT("1:"&amp;LEN((--TRIM(RIGHT(SUBSTITUTE(LEFT(A335,_xlfn.AGGREGATE(16,6,FIND({0,1,2,3,4,5,6,7,8,9},A335,ROW(INDIRECT("1:"&amp;LEN(A335)))),1))," ",REPT(" ",LEN(A335))),LEN(A335))))))), 1)) * ROW(INDIRECT("1:"&amp;LEN((--TRIM(RIGHT(SUBSTITUTE(LEFT(A335,_xlfn.AGGREGATE(16,6,FIND({0,1,2,3,4,5,6,7,8,9},A335,ROW(INDIRECT("1:"&amp;LEN(A335)))),1))," ",REPT(" ",LEN(A335))),LEN(A335))))))), 0), ROW(INDIRECT("1:"&amp;LEN((--TRIM(RIGHT(SUBSTITUTE(LEFT(A335,_xlfn.AGGREGATE(16,6,FIND({0,1,2,3,4,5,6,7,8,9},A335,ROW(INDIRECT("1:"&amp;LEN(A335)))),1))," ",REPT(" ",LEN(A335))),LEN(A335))))))))+1, 1) * 10^ROW(INDIRECT("1:"&amp;LEN((--TRIM(RIGHT(SUBSTITUTE(LEFT(A335,_xlfn.AGGREGATE(16,6,FIND({0,1,2,3,4,5,6,7,8,9},A335,ROW(INDIRECT("1:"&amp;LEN(A335)))),1))," ",REPT(" ",LEN(A335))),LEN(A335)))))))/10))*100+1</f>
        <v>201 to 501</v>
      </c>
      <c r="B336" s="154"/>
      <c r="C336" s="42"/>
      <c r="D336" s="42"/>
      <c r="E336" s="54">
        <v>0</v>
      </c>
      <c r="F336" s="54">
        <f>D336+E336</f>
        <v>0</v>
      </c>
      <c r="G336" s="54">
        <v>0</v>
      </c>
      <c r="H336" s="54">
        <f>F336*(($H$151)+1)+(IF(G336&lt;101,G336,IF(G336&lt;201,G336/2,IF(G336&lt;=301,G336/3,G336/4))))</f>
        <v>0</v>
      </c>
      <c r="I336" s="36"/>
    </row>
    <row r="337" spans="1:20" s="37" customFormat="1" ht="15.75" hidden="1" customHeight="1" x14ac:dyDescent="0.35">
      <c r="A337" s="153" t="str">
        <f ca="1">(SUMPRODUCT(MID(0&amp;(LEFT(A336,SUM(LEN(A336)-LEN(SUBSTITUTE(A336,{"0","1","2"},""))))), LARGE(INDEX(ISNUMBER(--MID((LEFT(A336,SUM(LEN(A336)-LEN(SUBSTITUTE(A336,{"0","1","2"},""))))), ROW(INDIRECT("1:"&amp;LEN((LEFT(A336,SUM(LEN(A336)-LEN(SUBSTITUTE(A336,{"0","1","2"},"")))))))), 1)) * ROW(INDIRECT("1:"&amp;LEN((LEFT(A336,SUM(LEN(A336)-LEN(SUBSTITUTE(A336,{"0","1","2"},"")))))))), 0), ROW(INDIRECT("1:"&amp;LEN((LEFT(A336,SUM(LEN(A336)-LEN(SUBSTITUTE(A336,{"0","1","2"},"")))))))))+1, 1) * 10^ROW(INDIRECT("1:"&amp;LEN((LEFT(A336,SUM(LEN(A336)-LEN(SUBSTITUTE(A336,{"0","1","2"},""))))))))/10))*1+1&amp;""&amp;" to "&amp;""&amp;(SUMPRODUCT(MID(0&amp;(--TRIM(RIGHT(SUBSTITUTE(LEFT(A336,_xlfn.AGGREGATE(16,6,FIND({0,1,2,3,4,5,6,7,8,9},A336,ROW(INDIRECT("1:"&amp;LEN(A336)))),1))," ",REPT(" ",LEN(A336))),LEN(A336)))), LARGE(INDEX(ISNUMBER(--MID((--TRIM(RIGHT(SUBSTITUTE(LEFT(A336,_xlfn.AGGREGATE(16,6,FIND({0,1,2,3,4,5,6,7,8,9},A336,ROW(INDIRECT("1:"&amp;LEN(A336)))),1))," ",REPT(" ",LEN(A336))),LEN(A336)))), ROW(INDIRECT("1:"&amp;LEN((--TRIM(RIGHT(SUBSTITUTE(LEFT(A336,_xlfn.AGGREGATE(16,6,FIND({0,1,2,3,4,5,6,7,8,9},A336,ROW(INDIRECT("1:"&amp;LEN(A336)))),1))," ",REPT(" ",LEN(A336))),LEN(A336))))))), 1)) * ROW(INDIRECT("1:"&amp;LEN((--TRIM(RIGHT(SUBSTITUTE(LEFT(A336,_xlfn.AGGREGATE(16,6,FIND({0,1,2,3,4,5,6,7,8,9},A336,ROW(INDIRECT("1:"&amp;LEN(A336)))),1))," ",REPT(" ",LEN(A336))),LEN(A336))))))), 0), ROW(INDIRECT("1:"&amp;LEN((--TRIM(RIGHT(SUBSTITUTE(LEFT(A336,_xlfn.AGGREGATE(16,6,FIND({0,1,2,3,4,5,6,7,8,9},A336,ROW(INDIRECT("1:"&amp;LEN(A336)))),1))," ",REPT(" ",LEN(A336))),LEN(A336))))))))+1, 1) * 10^ROW(INDIRECT("1:"&amp;LEN((--TRIM(RIGHT(SUBSTITUTE(LEFT(A336,_xlfn.AGGREGATE(16,6,FIND({0,1,2,3,4,5,6,7,8,9},A336,ROW(INDIRECT("1:"&amp;LEN(A336)))),1))," ",REPT(" ",LEN(A336))),LEN(A336)))))))/10))*1+1</f>
        <v>202 to 502</v>
      </c>
      <c r="B337" s="154"/>
      <c r="C337" s="42"/>
      <c r="D337" s="42"/>
      <c r="E337" s="54">
        <v>0</v>
      </c>
      <c r="F337" s="54">
        <f>D337+E337</f>
        <v>0</v>
      </c>
      <c r="G337" s="54">
        <v>0</v>
      </c>
      <c r="H337" s="54">
        <f>F337*(($H$151)+1)+(IF(G337&lt;101,G337,IF(G337&lt;201,G337/2,IF(G337&lt;=301,G337/3,G337/4))))</f>
        <v>0</v>
      </c>
      <c r="I337" s="36"/>
    </row>
    <row r="338" spans="1:20" s="37" customFormat="1" ht="15.75" hidden="1" customHeight="1" x14ac:dyDescent="0.35">
      <c r="A338" s="153" t="str">
        <f ca="1">(SUMPRODUCT(MID(0&amp;(LEFT(A337,SUM(LEN(A337)-LEN(SUBSTITUTE(A337,{"0","1","2"},""))))), LARGE(INDEX(ISNUMBER(--MID((LEFT(A337,SUM(LEN(A337)-LEN(SUBSTITUTE(A337,{"0","1","2"},""))))), ROW(INDIRECT("1:"&amp;LEN((LEFT(A337,SUM(LEN(A337)-LEN(SUBSTITUTE(A337,{"0","1","2"},"")))))))), 1)) * ROW(INDIRECT("1:"&amp;LEN((LEFT(A337,SUM(LEN(A337)-LEN(SUBSTITUTE(A337,{"0","1","2"},"")))))))), 0), ROW(INDIRECT("1:"&amp;LEN((LEFT(A337,SUM(LEN(A337)-LEN(SUBSTITUTE(A337,{"0","1","2"},"")))))))))+1, 1) * 10^ROW(INDIRECT("1:"&amp;LEN((LEFT(A337,SUM(LEN(A337)-LEN(SUBSTITUTE(A337,{"0","1","2"},""))))))))/10))*1+1&amp;""&amp;" to "&amp;""&amp;(SUMPRODUCT(MID(0&amp;(--TRIM(RIGHT(SUBSTITUTE(LEFT(A337,_xlfn.AGGREGATE(16,6,FIND({0,1,2,3,4,5,6,7,8,9},A337,ROW(INDIRECT("1:"&amp;LEN(A337)))),1))," ",REPT(" ",LEN(A337))),LEN(A337)))), LARGE(INDEX(ISNUMBER(--MID((--TRIM(RIGHT(SUBSTITUTE(LEFT(A337,_xlfn.AGGREGATE(16,6,FIND({0,1,2,3,4,5,6,7,8,9},A337,ROW(INDIRECT("1:"&amp;LEN(A337)))),1))," ",REPT(" ",LEN(A337))),LEN(A337)))), ROW(INDIRECT("1:"&amp;LEN((--TRIM(RIGHT(SUBSTITUTE(LEFT(A337,_xlfn.AGGREGATE(16,6,FIND({0,1,2,3,4,5,6,7,8,9},A337,ROW(INDIRECT("1:"&amp;LEN(A337)))),1))," ",REPT(" ",LEN(A337))),LEN(A337))))))), 1)) * ROW(INDIRECT("1:"&amp;LEN((--TRIM(RIGHT(SUBSTITUTE(LEFT(A337,_xlfn.AGGREGATE(16,6,FIND({0,1,2,3,4,5,6,7,8,9},A337,ROW(INDIRECT("1:"&amp;LEN(A337)))),1))," ",REPT(" ",LEN(A337))),LEN(A337))))))), 0), ROW(INDIRECT("1:"&amp;LEN((--TRIM(RIGHT(SUBSTITUTE(LEFT(A337,_xlfn.AGGREGATE(16,6,FIND({0,1,2,3,4,5,6,7,8,9},A337,ROW(INDIRECT("1:"&amp;LEN(A337)))),1))," ",REPT(" ",LEN(A337))),LEN(A337))))))))+1, 1) * 10^ROW(INDIRECT("1:"&amp;LEN((--TRIM(RIGHT(SUBSTITUTE(LEFT(A337,_xlfn.AGGREGATE(16,6,FIND({0,1,2,3,4,5,6,7,8,9},A337,ROW(INDIRECT("1:"&amp;LEN(A337)))),1))," ",REPT(" ",LEN(A337))),LEN(A337)))))))/10))*1+1</f>
        <v>203 to 503</v>
      </c>
      <c r="B338" s="154"/>
      <c r="C338" s="42"/>
      <c r="D338" s="42"/>
      <c r="E338" s="54">
        <v>0</v>
      </c>
      <c r="F338" s="54">
        <f>D338+E338</f>
        <v>0</v>
      </c>
      <c r="G338" s="54">
        <v>0</v>
      </c>
      <c r="H338" s="54">
        <f>F338*(($H$151)+1)+(IF(G338&lt;101,G338,IF(G338&lt;201,G338/2,IF(G338&lt;=301,G338/3,G338/4))))</f>
        <v>0</v>
      </c>
      <c r="I338" s="36"/>
    </row>
    <row r="339" spans="1:20" s="37" customFormat="1" ht="15.75" hidden="1" customHeight="1" x14ac:dyDescent="0.35">
      <c r="A339" s="153" t="str">
        <f ca="1">(SUMPRODUCT(MID(0&amp;(LEFT(A338,SUM(LEN(A338)-LEN(SUBSTITUTE(A338,{"0","1","2"},""))))), LARGE(INDEX(ISNUMBER(--MID((LEFT(A338,SUM(LEN(A338)-LEN(SUBSTITUTE(A338,{"0","1","2"},""))))), ROW(INDIRECT("1:"&amp;LEN((LEFT(A338,SUM(LEN(A338)-LEN(SUBSTITUTE(A338,{"0","1","2"},"")))))))), 1)) * ROW(INDIRECT("1:"&amp;LEN((LEFT(A338,SUM(LEN(A338)-LEN(SUBSTITUTE(A338,{"0","1","2"},"")))))))), 0), ROW(INDIRECT("1:"&amp;LEN((LEFT(A338,SUM(LEN(A338)-LEN(SUBSTITUTE(A338,{"0","1","2"},"")))))))))+1, 1) * 10^ROW(INDIRECT("1:"&amp;LEN((LEFT(A338,SUM(LEN(A338)-LEN(SUBSTITUTE(A338,{"0","1","2"},""))))))))/10))*1+1&amp;""&amp;" to "&amp;""&amp;(SUMPRODUCT(MID(0&amp;(--TRIM(RIGHT(SUBSTITUTE(LEFT(A338,_xlfn.AGGREGATE(16,6,FIND({0,1,2,3,4,5,6,7,8,9},A338,ROW(INDIRECT("1:"&amp;LEN(A338)))),1))," ",REPT(" ",LEN(A338))),LEN(A338)))), LARGE(INDEX(ISNUMBER(--MID((--TRIM(RIGHT(SUBSTITUTE(LEFT(A338,_xlfn.AGGREGATE(16,6,FIND({0,1,2,3,4,5,6,7,8,9},A338,ROW(INDIRECT("1:"&amp;LEN(A338)))),1))," ",REPT(" ",LEN(A338))),LEN(A338)))), ROW(INDIRECT("1:"&amp;LEN((--TRIM(RIGHT(SUBSTITUTE(LEFT(A338,_xlfn.AGGREGATE(16,6,FIND({0,1,2,3,4,5,6,7,8,9},A338,ROW(INDIRECT("1:"&amp;LEN(A338)))),1))," ",REPT(" ",LEN(A338))),LEN(A338))))))), 1)) * ROW(INDIRECT("1:"&amp;LEN((--TRIM(RIGHT(SUBSTITUTE(LEFT(A338,_xlfn.AGGREGATE(16,6,FIND({0,1,2,3,4,5,6,7,8,9},A338,ROW(INDIRECT("1:"&amp;LEN(A338)))),1))," ",REPT(" ",LEN(A338))),LEN(A338))))))), 0), ROW(INDIRECT("1:"&amp;LEN((--TRIM(RIGHT(SUBSTITUTE(LEFT(A338,_xlfn.AGGREGATE(16,6,FIND({0,1,2,3,4,5,6,7,8,9},A338,ROW(INDIRECT("1:"&amp;LEN(A338)))),1))," ",REPT(" ",LEN(A338))),LEN(A338))))))))+1, 1) * 10^ROW(INDIRECT("1:"&amp;LEN((--TRIM(RIGHT(SUBSTITUTE(LEFT(A338,_xlfn.AGGREGATE(16,6,FIND({0,1,2,3,4,5,6,7,8,9},A338,ROW(INDIRECT("1:"&amp;LEN(A338)))),1))," ",REPT(" ",LEN(A338))),LEN(A338)))))))/10))*1+1</f>
        <v>204 to 504</v>
      </c>
      <c r="B339" s="154"/>
      <c r="C339" s="42"/>
      <c r="D339" s="42"/>
      <c r="E339" s="54">
        <v>0</v>
      </c>
      <c r="F339" s="54">
        <f>D339+E339</f>
        <v>0</v>
      </c>
      <c r="G339" s="54">
        <v>0</v>
      </c>
      <c r="H339" s="54">
        <f>F339*(($H$151)+1)+(IF(G339&lt;101,G339,IF(G339&lt;201,G339/2,IF(G339&lt;=301,G339/3,G339/4))))</f>
        <v>0</v>
      </c>
      <c r="I339" s="36"/>
    </row>
    <row r="340" spans="1:20" s="37" customFormat="1" ht="15.75" hidden="1" customHeight="1" x14ac:dyDescent="0.35">
      <c r="A340" s="153" t="str">
        <f ca="1">(SUMPRODUCT(MID(0&amp;(LEFT(A339,SUM(LEN(A339)-LEN(SUBSTITUTE(A339,{"0","1","2"},""))))), LARGE(INDEX(ISNUMBER(--MID((LEFT(A339,SUM(LEN(A339)-LEN(SUBSTITUTE(A339,{"0","1","2"},""))))), ROW(INDIRECT("1:"&amp;LEN((LEFT(A339,SUM(LEN(A339)-LEN(SUBSTITUTE(A339,{"0","1","2"},"")))))))), 1)) * ROW(INDIRECT("1:"&amp;LEN((LEFT(A339,SUM(LEN(A339)-LEN(SUBSTITUTE(A339,{"0","1","2"},"")))))))), 0), ROW(INDIRECT("1:"&amp;LEN((LEFT(A339,SUM(LEN(A339)-LEN(SUBSTITUTE(A339,{"0","1","2"},"")))))))))+1, 1) * 10^ROW(INDIRECT("1:"&amp;LEN((LEFT(A339,SUM(LEN(A339)-LEN(SUBSTITUTE(A339,{"0","1","2"},""))))))))/10))*1+1&amp;""&amp;" to "&amp;""&amp;(SUMPRODUCT(MID(0&amp;(--TRIM(RIGHT(SUBSTITUTE(LEFT(A339,_xlfn.AGGREGATE(16,6,FIND({0,1,2,3,4,5,6,7,8,9},A339,ROW(INDIRECT("1:"&amp;LEN(A339)))),1))," ",REPT(" ",LEN(A339))),LEN(A339)))), LARGE(INDEX(ISNUMBER(--MID((--TRIM(RIGHT(SUBSTITUTE(LEFT(A339,_xlfn.AGGREGATE(16,6,FIND({0,1,2,3,4,5,6,7,8,9},A339,ROW(INDIRECT("1:"&amp;LEN(A339)))),1))," ",REPT(" ",LEN(A339))),LEN(A339)))), ROW(INDIRECT("1:"&amp;LEN((--TRIM(RIGHT(SUBSTITUTE(LEFT(A339,_xlfn.AGGREGATE(16,6,FIND({0,1,2,3,4,5,6,7,8,9},A339,ROW(INDIRECT("1:"&amp;LEN(A339)))),1))," ",REPT(" ",LEN(A339))),LEN(A339))))))), 1)) * ROW(INDIRECT("1:"&amp;LEN((--TRIM(RIGHT(SUBSTITUTE(LEFT(A339,_xlfn.AGGREGATE(16,6,FIND({0,1,2,3,4,5,6,7,8,9},A339,ROW(INDIRECT("1:"&amp;LEN(A339)))),1))," ",REPT(" ",LEN(A339))),LEN(A339))))))), 0), ROW(INDIRECT("1:"&amp;LEN((--TRIM(RIGHT(SUBSTITUTE(LEFT(A339,_xlfn.AGGREGATE(16,6,FIND({0,1,2,3,4,5,6,7,8,9},A339,ROW(INDIRECT("1:"&amp;LEN(A339)))),1))," ",REPT(" ",LEN(A339))),LEN(A339))))))))+1, 1) * 10^ROW(INDIRECT("1:"&amp;LEN((--TRIM(RIGHT(SUBSTITUTE(LEFT(A339,_xlfn.AGGREGATE(16,6,FIND({0,1,2,3,4,5,6,7,8,9},A339,ROW(INDIRECT("1:"&amp;LEN(A339)))),1))," ",REPT(" ",LEN(A339))),LEN(A339)))))))/10))*1+1</f>
        <v>205 to 505</v>
      </c>
      <c r="B340" s="154"/>
      <c r="C340" s="42"/>
      <c r="D340" s="42"/>
      <c r="E340" s="54">
        <v>0</v>
      </c>
      <c r="F340" s="54">
        <f>D340+E340</f>
        <v>0</v>
      </c>
      <c r="G340" s="54">
        <v>0</v>
      </c>
      <c r="H340" s="54">
        <f>F340*(($H$151)+1)+(IF(G340&lt;101,G340,IF(G340&lt;201,G340/2,IF(G340&lt;=301,G340/3,G340/4))))</f>
        <v>0</v>
      </c>
      <c r="I340" s="36"/>
    </row>
    <row r="341" spans="1:20" s="37" customFormat="1" hidden="1" x14ac:dyDescent="0.35">
      <c r="A341" s="110" t="s">
        <v>144</v>
      </c>
      <c r="B341" s="111"/>
      <c r="C341" s="111"/>
      <c r="D341" s="111"/>
      <c r="E341" s="111"/>
      <c r="F341" s="111"/>
      <c r="G341" s="111"/>
      <c r="H341" s="112"/>
      <c r="I341" s="36"/>
    </row>
    <row r="342" spans="1:20" s="37" customFormat="1" ht="15.75" hidden="1" customHeight="1" x14ac:dyDescent="0.35">
      <c r="A342" s="153" t="str">
        <f ca="1">(SUMPRODUCT(MID(0&amp;(LEFT(A341,SUM(LEN(A341)-LEN(SUBSTITUTE(A341,{"0","1","2"},""))))), LARGE(INDEX(ISNUMBER(--MID((LEFT(A341,SUM(LEN(A341)-LEN(SUBSTITUTE(A341,{"0","1","2"},""))))), ROW(INDIRECT("1:"&amp;LEN((LEFT(A341,SUM(LEN(A341)-LEN(SUBSTITUTE(A341,{"0","1","2"},"")))))))), 1)) * ROW(INDIRECT("1:"&amp;LEN((LEFT(A341,SUM(LEN(A341)-LEN(SUBSTITUTE(A341,{"0","1","2"},"")))))))), 0), ROW(INDIRECT("1:"&amp;LEN((LEFT(A341,SUM(LEN(A341)-LEN(SUBSTITUTE(A341,{"0","1","2"},"")))))))))+1, 1) * 10^ROW(INDIRECT("1:"&amp;LEN((LEFT(A341,SUM(LEN(A341)-LEN(SUBSTITUTE(A341,{"0","1","2"},""))))))))/10))*100+1&amp;""&amp;" &amp; "&amp;""&amp;(SUMPRODUCT(MID(0&amp;(--TRIM(RIGHT(SUBSTITUTE(LEFT(A341,_xlfn.AGGREGATE(16,6,FIND({0,1,2,3,4,5,6,7,8,9},A341,ROW(INDIRECT("1:"&amp;LEN(A341)))),1))," ",REPT(" ",LEN(A341))),LEN(A341)))), LARGE(INDEX(ISNUMBER(--MID((--TRIM(RIGHT(SUBSTITUTE(LEFT(A341,_xlfn.AGGREGATE(16,6,FIND({0,1,2,3,4,5,6,7,8,9},A341,ROW(INDIRECT("1:"&amp;LEN(A341)))),1))," ",REPT(" ",LEN(A341))),LEN(A341)))), ROW(INDIRECT("1:"&amp;LEN((--TRIM(RIGHT(SUBSTITUTE(LEFT(A341,_xlfn.AGGREGATE(16,6,FIND({0,1,2,3,4,5,6,7,8,9},A341,ROW(INDIRECT("1:"&amp;LEN(A341)))),1))," ",REPT(" ",LEN(A341))),LEN(A341))))))), 1)) * ROW(INDIRECT("1:"&amp;LEN((--TRIM(RIGHT(SUBSTITUTE(LEFT(A341,_xlfn.AGGREGATE(16,6,FIND({0,1,2,3,4,5,6,7,8,9},A341,ROW(INDIRECT("1:"&amp;LEN(A341)))),1))," ",REPT(" ",LEN(A341))),LEN(A341))))))), 0), ROW(INDIRECT("1:"&amp;LEN((--TRIM(RIGHT(SUBSTITUTE(LEFT(A341,_xlfn.AGGREGATE(16,6,FIND({0,1,2,3,4,5,6,7,8,9},A341,ROW(INDIRECT("1:"&amp;LEN(A341)))),1))," ",REPT(" ",LEN(A341))),LEN(A341))))))))+1, 1) * 10^ROW(INDIRECT("1:"&amp;LEN((--TRIM(RIGHT(SUBSTITUTE(LEFT(A341,_xlfn.AGGREGATE(16,6,FIND({0,1,2,3,4,5,6,7,8,9},A341,ROW(INDIRECT("1:"&amp;LEN(A341)))),1))," ",REPT(" ",LEN(A341))),LEN(A341)))))))/10))*100+1</f>
        <v>201 &amp; 501</v>
      </c>
      <c r="B342" s="154"/>
      <c r="C342" s="42"/>
      <c r="D342" s="42"/>
      <c r="E342" s="54">
        <v>0</v>
      </c>
      <c r="F342" s="54">
        <f>D342+E342</f>
        <v>0</v>
      </c>
      <c r="G342" s="54">
        <v>0</v>
      </c>
      <c r="H342" s="54">
        <f>F342*(($H$151)+1)+(IF(G342&lt;101,G342,IF(G342&lt;201,G342/2,IF(G342&lt;=301,G342/3,G342/4))))</f>
        <v>0</v>
      </c>
      <c r="I342" s="36"/>
    </row>
    <row r="343" spans="1:20" s="37" customFormat="1" ht="15.75" hidden="1" customHeight="1" x14ac:dyDescent="0.35">
      <c r="A343" s="153" t="str">
        <f ca="1">(SUMPRODUCT(MID(0&amp;(LEFT(A342,SUM(LEN(A342)-LEN(SUBSTITUTE(A342,{"0","1","2"},""))))), LARGE(INDEX(ISNUMBER(--MID((LEFT(A342,SUM(LEN(A342)-LEN(SUBSTITUTE(A342,{"0","1","2"},""))))), ROW(INDIRECT("1:"&amp;LEN((LEFT(A342,SUM(LEN(A342)-LEN(SUBSTITUTE(A342,{"0","1","2"},"")))))))), 1)) * ROW(INDIRECT("1:"&amp;LEN((LEFT(A342,SUM(LEN(A342)-LEN(SUBSTITUTE(A342,{"0","1","2"},"")))))))), 0), ROW(INDIRECT("1:"&amp;LEN((LEFT(A342,SUM(LEN(A342)-LEN(SUBSTITUTE(A342,{"0","1","2"},"")))))))))+1, 1) * 10^ROW(INDIRECT("1:"&amp;LEN((LEFT(A342,SUM(LEN(A342)-LEN(SUBSTITUTE(A342,{"0","1","2"},""))))))))/10))*1+1&amp;""&amp;" &amp; "&amp;""&amp;(SUMPRODUCT(MID(0&amp;(--TRIM(RIGHT(SUBSTITUTE(LEFT(A342,_xlfn.AGGREGATE(16,6,FIND({0,1,2,3,4,5,6,7,8,9},A342,ROW(INDIRECT("1:"&amp;LEN(A342)))),1))," ",REPT(" ",LEN(A342))),LEN(A342)))), LARGE(INDEX(ISNUMBER(--MID((--TRIM(RIGHT(SUBSTITUTE(LEFT(A342,_xlfn.AGGREGATE(16,6,FIND({0,1,2,3,4,5,6,7,8,9},A342,ROW(INDIRECT("1:"&amp;LEN(A342)))),1))," ",REPT(" ",LEN(A342))),LEN(A342)))), ROW(INDIRECT("1:"&amp;LEN((--TRIM(RIGHT(SUBSTITUTE(LEFT(A342,_xlfn.AGGREGATE(16,6,FIND({0,1,2,3,4,5,6,7,8,9},A342,ROW(INDIRECT("1:"&amp;LEN(A342)))),1))," ",REPT(" ",LEN(A342))),LEN(A342))))))), 1)) * ROW(INDIRECT("1:"&amp;LEN((--TRIM(RIGHT(SUBSTITUTE(LEFT(A342,_xlfn.AGGREGATE(16,6,FIND({0,1,2,3,4,5,6,7,8,9},A342,ROW(INDIRECT("1:"&amp;LEN(A342)))),1))," ",REPT(" ",LEN(A342))),LEN(A342))))))), 0), ROW(INDIRECT("1:"&amp;LEN((--TRIM(RIGHT(SUBSTITUTE(LEFT(A342,_xlfn.AGGREGATE(16,6,FIND({0,1,2,3,4,5,6,7,8,9},A342,ROW(INDIRECT("1:"&amp;LEN(A342)))),1))," ",REPT(" ",LEN(A342))),LEN(A342))))))))+1, 1) * 10^ROW(INDIRECT("1:"&amp;LEN((--TRIM(RIGHT(SUBSTITUTE(LEFT(A342,_xlfn.AGGREGATE(16,6,FIND({0,1,2,3,4,5,6,7,8,9},A342,ROW(INDIRECT("1:"&amp;LEN(A342)))),1))," ",REPT(" ",LEN(A342))),LEN(A342)))))))/10))*1+1</f>
        <v>202 &amp; 502</v>
      </c>
      <c r="B343" s="154"/>
      <c r="C343" s="42"/>
      <c r="D343" s="42"/>
      <c r="E343" s="54">
        <v>0</v>
      </c>
      <c r="F343" s="54">
        <f>D343+E343</f>
        <v>0</v>
      </c>
      <c r="G343" s="54">
        <v>0</v>
      </c>
      <c r="H343" s="54">
        <f>F343*(($H$151)+1)+(IF(G343&lt;101,G343,IF(G343&lt;201,G343/2,IF(G343&lt;=301,G343/3,G343/4))))</f>
        <v>0</v>
      </c>
      <c r="I343" s="36"/>
    </row>
    <row r="344" spans="1:20" s="37" customFormat="1" ht="15.75" hidden="1" customHeight="1" x14ac:dyDescent="0.35">
      <c r="A344" s="153" t="str">
        <f ca="1">(SUMPRODUCT(MID(0&amp;(LEFT(A343,SUM(LEN(A343)-LEN(SUBSTITUTE(A343,{"0","1","2"},""))))), LARGE(INDEX(ISNUMBER(--MID((LEFT(A343,SUM(LEN(A343)-LEN(SUBSTITUTE(A343,{"0","1","2"},""))))), ROW(INDIRECT("1:"&amp;LEN((LEFT(A343,SUM(LEN(A343)-LEN(SUBSTITUTE(A343,{"0","1","2"},"")))))))), 1)) * ROW(INDIRECT("1:"&amp;LEN((LEFT(A343,SUM(LEN(A343)-LEN(SUBSTITUTE(A343,{"0","1","2"},"")))))))), 0), ROW(INDIRECT("1:"&amp;LEN((LEFT(A343,SUM(LEN(A343)-LEN(SUBSTITUTE(A343,{"0","1","2"},"")))))))))+1, 1) * 10^ROW(INDIRECT("1:"&amp;LEN((LEFT(A343,SUM(LEN(A343)-LEN(SUBSTITUTE(A343,{"0","1","2"},""))))))))/10))*1+1&amp;""&amp;" &amp; "&amp;""&amp;(SUMPRODUCT(MID(0&amp;(--TRIM(RIGHT(SUBSTITUTE(LEFT(A343,_xlfn.AGGREGATE(16,6,FIND({0,1,2,3,4,5,6,7,8,9},A343,ROW(INDIRECT("1:"&amp;LEN(A343)))),1))," ",REPT(" ",LEN(A343))),LEN(A343)))), LARGE(INDEX(ISNUMBER(--MID((--TRIM(RIGHT(SUBSTITUTE(LEFT(A343,_xlfn.AGGREGATE(16,6,FIND({0,1,2,3,4,5,6,7,8,9},A343,ROW(INDIRECT("1:"&amp;LEN(A343)))),1))," ",REPT(" ",LEN(A343))),LEN(A343)))), ROW(INDIRECT("1:"&amp;LEN((--TRIM(RIGHT(SUBSTITUTE(LEFT(A343,_xlfn.AGGREGATE(16,6,FIND({0,1,2,3,4,5,6,7,8,9},A343,ROW(INDIRECT("1:"&amp;LEN(A343)))),1))," ",REPT(" ",LEN(A343))),LEN(A343))))))), 1)) * ROW(INDIRECT("1:"&amp;LEN((--TRIM(RIGHT(SUBSTITUTE(LEFT(A343,_xlfn.AGGREGATE(16,6,FIND({0,1,2,3,4,5,6,7,8,9},A343,ROW(INDIRECT("1:"&amp;LEN(A343)))),1))," ",REPT(" ",LEN(A343))),LEN(A343))))))), 0), ROW(INDIRECT("1:"&amp;LEN((--TRIM(RIGHT(SUBSTITUTE(LEFT(A343,_xlfn.AGGREGATE(16,6,FIND({0,1,2,3,4,5,6,7,8,9},A343,ROW(INDIRECT("1:"&amp;LEN(A343)))),1))," ",REPT(" ",LEN(A343))),LEN(A343))))))))+1, 1) * 10^ROW(INDIRECT("1:"&amp;LEN((--TRIM(RIGHT(SUBSTITUTE(LEFT(A343,_xlfn.AGGREGATE(16,6,FIND({0,1,2,3,4,5,6,7,8,9},A343,ROW(INDIRECT("1:"&amp;LEN(A343)))),1))," ",REPT(" ",LEN(A343))),LEN(A343)))))))/10))*1+1</f>
        <v>203 &amp; 503</v>
      </c>
      <c r="B344" s="154"/>
      <c r="C344" s="42"/>
      <c r="D344" s="42"/>
      <c r="E344" s="54">
        <v>0</v>
      </c>
      <c r="F344" s="54">
        <f>D344+E344</f>
        <v>0</v>
      </c>
      <c r="G344" s="54">
        <v>0</v>
      </c>
      <c r="H344" s="54">
        <f>F344*(($H$151)+1)+(IF(G344&lt;101,G344,IF(G344&lt;201,G344/2,IF(G344&lt;=301,G344/3,G344/4))))</f>
        <v>0</v>
      </c>
      <c r="I344" s="36"/>
    </row>
    <row r="345" spans="1:20" s="37" customFormat="1" ht="15.75" hidden="1" customHeight="1" x14ac:dyDescent="0.35">
      <c r="A345" s="153" t="str">
        <f ca="1">(SUMPRODUCT(MID(0&amp;(LEFT(A344,SUM(LEN(A344)-LEN(SUBSTITUTE(A344,{"0","1","2"},""))))), LARGE(INDEX(ISNUMBER(--MID((LEFT(A344,SUM(LEN(A344)-LEN(SUBSTITUTE(A344,{"0","1","2"},""))))), ROW(INDIRECT("1:"&amp;LEN((LEFT(A344,SUM(LEN(A344)-LEN(SUBSTITUTE(A344,{"0","1","2"},"")))))))), 1)) * ROW(INDIRECT("1:"&amp;LEN((LEFT(A344,SUM(LEN(A344)-LEN(SUBSTITUTE(A344,{"0","1","2"},"")))))))), 0), ROW(INDIRECT("1:"&amp;LEN((LEFT(A344,SUM(LEN(A344)-LEN(SUBSTITUTE(A344,{"0","1","2"},"")))))))))+1, 1) * 10^ROW(INDIRECT("1:"&amp;LEN((LEFT(A344,SUM(LEN(A344)-LEN(SUBSTITUTE(A344,{"0","1","2"},""))))))))/10))*1+1&amp;""&amp;" &amp; "&amp;""&amp;(SUMPRODUCT(MID(0&amp;(--TRIM(RIGHT(SUBSTITUTE(LEFT(A344,_xlfn.AGGREGATE(16,6,FIND({0,1,2,3,4,5,6,7,8,9},A344,ROW(INDIRECT("1:"&amp;LEN(A344)))),1))," ",REPT(" ",LEN(A344))),LEN(A344)))), LARGE(INDEX(ISNUMBER(--MID((--TRIM(RIGHT(SUBSTITUTE(LEFT(A344,_xlfn.AGGREGATE(16,6,FIND({0,1,2,3,4,5,6,7,8,9},A344,ROW(INDIRECT("1:"&amp;LEN(A344)))),1))," ",REPT(" ",LEN(A344))),LEN(A344)))), ROW(INDIRECT("1:"&amp;LEN((--TRIM(RIGHT(SUBSTITUTE(LEFT(A344,_xlfn.AGGREGATE(16,6,FIND({0,1,2,3,4,5,6,7,8,9},A344,ROW(INDIRECT("1:"&amp;LEN(A344)))),1))," ",REPT(" ",LEN(A344))),LEN(A344))))))), 1)) * ROW(INDIRECT("1:"&amp;LEN((--TRIM(RIGHT(SUBSTITUTE(LEFT(A344,_xlfn.AGGREGATE(16,6,FIND({0,1,2,3,4,5,6,7,8,9},A344,ROW(INDIRECT("1:"&amp;LEN(A344)))),1))," ",REPT(" ",LEN(A344))),LEN(A344))))))), 0), ROW(INDIRECT("1:"&amp;LEN((--TRIM(RIGHT(SUBSTITUTE(LEFT(A344,_xlfn.AGGREGATE(16,6,FIND({0,1,2,3,4,5,6,7,8,9},A344,ROW(INDIRECT("1:"&amp;LEN(A344)))),1))," ",REPT(" ",LEN(A344))),LEN(A344))))))))+1, 1) * 10^ROW(INDIRECT("1:"&amp;LEN((--TRIM(RIGHT(SUBSTITUTE(LEFT(A344,_xlfn.AGGREGATE(16,6,FIND({0,1,2,3,4,5,6,7,8,9},A344,ROW(INDIRECT("1:"&amp;LEN(A344)))),1))," ",REPT(" ",LEN(A344))),LEN(A344)))))))/10))*1+1</f>
        <v>204 &amp; 504</v>
      </c>
      <c r="B345" s="154"/>
      <c r="C345" s="42"/>
      <c r="D345" s="42"/>
      <c r="E345" s="54">
        <v>0</v>
      </c>
      <c r="F345" s="54">
        <f>D345+E345</f>
        <v>0</v>
      </c>
      <c r="G345" s="54">
        <v>0</v>
      </c>
      <c r="H345" s="54">
        <f>F345*(($H$151)+1)+(IF(G345&lt;101,G345,IF(G345&lt;201,G345/2,IF(G345&lt;=301,G345/3,G345/4))))</f>
        <v>0</v>
      </c>
      <c r="I345" s="36"/>
    </row>
    <row r="346" spans="1:20" s="37" customFormat="1" ht="15.75" hidden="1" customHeight="1" x14ac:dyDescent="0.35">
      <c r="A346" s="153" t="str">
        <f ca="1">(SUMPRODUCT(MID(0&amp;(LEFT(A345,SUM(LEN(A345)-LEN(SUBSTITUTE(A345,{"0","1","2"},""))))), LARGE(INDEX(ISNUMBER(--MID((LEFT(A345,SUM(LEN(A345)-LEN(SUBSTITUTE(A345,{"0","1","2"},""))))), ROW(INDIRECT("1:"&amp;LEN((LEFT(A345,SUM(LEN(A345)-LEN(SUBSTITUTE(A345,{"0","1","2"},"")))))))), 1)) * ROW(INDIRECT("1:"&amp;LEN((LEFT(A345,SUM(LEN(A345)-LEN(SUBSTITUTE(A345,{"0","1","2"},"")))))))), 0), ROW(INDIRECT("1:"&amp;LEN((LEFT(A345,SUM(LEN(A345)-LEN(SUBSTITUTE(A345,{"0","1","2"},"")))))))))+1, 1) * 10^ROW(INDIRECT("1:"&amp;LEN((LEFT(A345,SUM(LEN(A345)-LEN(SUBSTITUTE(A345,{"0","1","2"},""))))))))/10))*1+1&amp;""&amp;" &amp; "&amp;""&amp;(SUMPRODUCT(MID(0&amp;(--TRIM(RIGHT(SUBSTITUTE(LEFT(A345,_xlfn.AGGREGATE(16,6,FIND({0,1,2,3,4,5,6,7,8,9},A345,ROW(INDIRECT("1:"&amp;LEN(A345)))),1))," ",REPT(" ",LEN(A345))),LEN(A345)))), LARGE(INDEX(ISNUMBER(--MID((--TRIM(RIGHT(SUBSTITUTE(LEFT(A345,_xlfn.AGGREGATE(16,6,FIND({0,1,2,3,4,5,6,7,8,9},A345,ROW(INDIRECT("1:"&amp;LEN(A345)))),1))," ",REPT(" ",LEN(A345))),LEN(A345)))), ROW(INDIRECT("1:"&amp;LEN((--TRIM(RIGHT(SUBSTITUTE(LEFT(A345,_xlfn.AGGREGATE(16,6,FIND({0,1,2,3,4,5,6,7,8,9},A345,ROW(INDIRECT("1:"&amp;LEN(A345)))),1))," ",REPT(" ",LEN(A345))),LEN(A345))))))), 1)) * ROW(INDIRECT("1:"&amp;LEN((--TRIM(RIGHT(SUBSTITUTE(LEFT(A345,_xlfn.AGGREGATE(16,6,FIND({0,1,2,3,4,5,6,7,8,9},A345,ROW(INDIRECT("1:"&amp;LEN(A345)))),1))," ",REPT(" ",LEN(A345))),LEN(A345))))))), 0), ROW(INDIRECT("1:"&amp;LEN((--TRIM(RIGHT(SUBSTITUTE(LEFT(A345,_xlfn.AGGREGATE(16,6,FIND({0,1,2,3,4,5,6,7,8,9},A345,ROW(INDIRECT("1:"&amp;LEN(A345)))),1))," ",REPT(" ",LEN(A345))),LEN(A345))))))))+1, 1) * 10^ROW(INDIRECT("1:"&amp;LEN((--TRIM(RIGHT(SUBSTITUTE(LEFT(A345,_xlfn.AGGREGATE(16,6,FIND({0,1,2,3,4,5,6,7,8,9},A345,ROW(INDIRECT("1:"&amp;LEN(A345)))),1))," ",REPT(" ",LEN(A345))),LEN(A345)))))))/10))*1+1</f>
        <v>205 &amp; 505</v>
      </c>
      <c r="B346" s="154"/>
      <c r="C346" s="42"/>
      <c r="D346" s="42"/>
      <c r="E346" s="54">
        <v>0</v>
      </c>
      <c r="F346" s="54">
        <f>D346+E346</f>
        <v>0</v>
      </c>
      <c r="G346" s="54">
        <v>0</v>
      </c>
      <c r="H346" s="54">
        <f>F346*(($H$151)+1)+(IF(G346&lt;101,G346,IF(G346&lt;201,G346/2,IF(G346&lt;=301,G346/3,G346/4))))</f>
        <v>0</v>
      </c>
      <c r="I346" s="36"/>
    </row>
    <row r="347" spans="1:20" s="35" customFormat="1" x14ac:dyDescent="0.35">
      <c r="A347" s="253" t="s">
        <v>65</v>
      </c>
      <c r="B347" s="253"/>
      <c r="C347" s="253"/>
      <c r="D347" s="253"/>
      <c r="E347" s="253"/>
      <c r="F347" s="253"/>
      <c r="G347" s="253"/>
      <c r="H347" s="253"/>
      <c r="T347" s="37"/>
    </row>
    <row r="348" spans="1:20" s="35" customFormat="1" x14ac:dyDescent="0.35">
      <c r="A348" s="90" t="s">
        <v>153</v>
      </c>
      <c r="B348" s="119" t="s">
        <v>421</v>
      </c>
      <c r="C348" s="120"/>
      <c r="D348" s="120"/>
      <c r="E348" s="120"/>
      <c r="F348" s="120"/>
      <c r="G348" s="120"/>
      <c r="H348" s="121"/>
      <c r="T348" s="37"/>
    </row>
    <row r="349" spans="1:20" s="35" customFormat="1" x14ac:dyDescent="0.35">
      <c r="A349" s="44" t="s">
        <v>153</v>
      </c>
      <c r="B349" s="119" t="str">
        <f>(IF(H150="Saleable area Loading :","We have considered Saleable area of Flats as per our Calculation.","We considered Saleable area of Flat as per Builder area Sheet."))</f>
        <v>We have considered Saleable area of Flats as per our Calculation.</v>
      </c>
      <c r="C349" s="120"/>
      <c r="D349" s="120"/>
      <c r="E349" s="120"/>
      <c r="F349" s="120"/>
      <c r="G349" s="120"/>
      <c r="H349" s="121"/>
      <c r="T349" s="37"/>
    </row>
    <row r="350" spans="1:20" s="35" customFormat="1" x14ac:dyDescent="0.35">
      <c r="A350" s="44" t="s">
        <v>153</v>
      </c>
      <c r="B350" s="119" t="str">
        <f>(IF(H142="Saleable area Loading :","We have considered Saleable area of Commercial as per our Calculation.","We considered Saleable area of Commercial as per Builder area Sheet."))</f>
        <v>We have considered Saleable area of Commercial as per our Calculation.</v>
      </c>
      <c r="C350" s="120"/>
      <c r="D350" s="120"/>
      <c r="E350" s="120"/>
      <c r="F350" s="120"/>
      <c r="G350" s="120"/>
      <c r="H350" s="121"/>
      <c r="T350" s="37"/>
    </row>
    <row r="351" spans="1:20" s="35" customFormat="1" x14ac:dyDescent="0.35">
      <c r="A351" s="44" t="s">
        <v>153</v>
      </c>
      <c r="B351" s="171" t="s">
        <v>121</v>
      </c>
      <c r="C351" s="172"/>
      <c r="D351" s="172"/>
      <c r="E351" s="172"/>
      <c r="F351" s="172"/>
      <c r="G351" s="172"/>
      <c r="H351" s="173"/>
      <c r="T351" s="37"/>
    </row>
    <row r="352" spans="1:20" s="35" customFormat="1" x14ac:dyDescent="0.35">
      <c r="A352" s="44" t="s">
        <v>153</v>
      </c>
      <c r="B352" s="171" t="s">
        <v>402</v>
      </c>
      <c r="C352" s="172"/>
      <c r="D352" s="172"/>
      <c r="E352" s="172"/>
      <c r="F352" s="172"/>
      <c r="G352" s="172"/>
      <c r="H352" s="173"/>
      <c r="T352" s="37"/>
    </row>
    <row r="353" spans="1:20" s="35" customFormat="1" x14ac:dyDescent="0.35">
      <c r="A353" s="44" t="s">
        <v>153</v>
      </c>
      <c r="B353" s="171" t="s">
        <v>152</v>
      </c>
      <c r="C353" s="172"/>
      <c r="D353" s="172"/>
      <c r="E353" s="172"/>
      <c r="F353" s="172"/>
      <c r="G353" s="172"/>
      <c r="H353" s="173"/>
    </row>
    <row r="354" spans="1:20" s="35" customFormat="1" ht="32.5" customHeight="1" x14ac:dyDescent="0.35">
      <c r="A354" s="100" t="s">
        <v>153</v>
      </c>
      <c r="B354" s="235" t="s">
        <v>412</v>
      </c>
      <c r="C354" s="236"/>
      <c r="D354" s="236"/>
      <c r="E354" s="236"/>
      <c r="F354" s="236"/>
      <c r="G354" s="236"/>
      <c r="H354" s="237"/>
    </row>
    <row r="355" spans="1:20" s="35" customFormat="1" ht="34.5" customHeight="1" x14ac:dyDescent="0.35">
      <c r="A355" s="44" t="s">
        <v>153</v>
      </c>
      <c r="B355" s="171" t="s">
        <v>154</v>
      </c>
      <c r="C355" s="172"/>
      <c r="D355" s="172"/>
      <c r="E355" s="172"/>
      <c r="F355" s="172"/>
      <c r="G355" s="172"/>
      <c r="H355" s="173"/>
    </row>
    <row r="356" spans="1:20" s="35" customFormat="1" x14ac:dyDescent="0.35">
      <c r="A356" s="44" t="s">
        <v>153</v>
      </c>
      <c r="B356" s="171" t="s">
        <v>122</v>
      </c>
      <c r="C356" s="172"/>
      <c r="D356" s="172"/>
      <c r="E356" s="172"/>
      <c r="F356" s="172"/>
      <c r="G356" s="172"/>
      <c r="H356" s="173"/>
    </row>
    <row r="357" spans="1:20" s="35" customFormat="1" ht="32.25" hidden="1" customHeight="1" x14ac:dyDescent="0.35">
      <c r="A357" s="51" t="s">
        <v>153</v>
      </c>
      <c r="B357" s="228" t="s">
        <v>179</v>
      </c>
      <c r="C357" s="229"/>
      <c r="D357" s="229"/>
      <c r="E357" s="229"/>
      <c r="F357" s="229"/>
      <c r="G357" s="229"/>
      <c r="H357" s="230"/>
    </row>
    <row r="358" spans="1:20" s="35" customFormat="1" hidden="1" x14ac:dyDescent="0.35">
      <c r="A358" s="55" t="s">
        <v>153</v>
      </c>
      <c r="B358" s="119" t="s">
        <v>235</v>
      </c>
      <c r="C358" s="120"/>
      <c r="D358" s="120"/>
      <c r="E358" s="120"/>
      <c r="F358" s="120"/>
      <c r="G358" s="120"/>
      <c r="H358" s="121"/>
    </row>
    <row r="359" spans="1:20" s="35" customFormat="1" x14ac:dyDescent="0.35">
      <c r="A359" s="102" t="s">
        <v>153</v>
      </c>
      <c r="B359" s="171" t="s">
        <v>420</v>
      </c>
      <c r="C359" s="172"/>
      <c r="D359" s="172"/>
      <c r="E359" s="172"/>
      <c r="F359" s="172"/>
      <c r="G359" s="172"/>
      <c r="H359" s="173"/>
    </row>
    <row r="360" spans="1:20" x14ac:dyDescent="0.35">
      <c r="A360" s="210" t="s">
        <v>58</v>
      </c>
      <c r="B360" s="210"/>
      <c r="C360" s="210"/>
      <c r="D360" s="210"/>
      <c r="E360" s="210"/>
      <c r="F360" s="210"/>
      <c r="G360" s="210"/>
      <c r="H360" s="210"/>
      <c r="T360" s="35"/>
    </row>
    <row r="361" spans="1:20" x14ac:dyDescent="0.35">
      <c r="A361" s="158" t="s">
        <v>59</v>
      </c>
      <c r="B361" s="158"/>
      <c r="C361" s="158"/>
      <c r="D361" s="158"/>
      <c r="E361" s="158"/>
      <c r="F361" s="158"/>
      <c r="G361" s="158"/>
      <c r="H361" s="158"/>
      <c r="T361" s="35"/>
    </row>
    <row r="362" spans="1:20" ht="15.75" customHeight="1" x14ac:dyDescent="0.35">
      <c r="A362" s="238" t="s">
        <v>60</v>
      </c>
      <c r="B362" s="238"/>
      <c r="C362" s="238"/>
      <c r="D362" s="238"/>
      <c r="E362" s="238"/>
      <c r="F362" s="238"/>
      <c r="G362" s="238"/>
      <c r="H362" s="238"/>
      <c r="T362" s="35"/>
    </row>
    <row r="363" spans="1:20" x14ac:dyDescent="0.35">
      <c r="A363" s="158" t="s">
        <v>61</v>
      </c>
      <c r="B363" s="158"/>
      <c r="C363" s="158"/>
      <c r="D363" s="158"/>
      <c r="E363" s="158"/>
      <c r="F363" s="158"/>
      <c r="G363" s="158"/>
      <c r="H363" s="158"/>
      <c r="T363" s="35"/>
    </row>
    <row r="364" spans="1:20" x14ac:dyDescent="0.35">
      <c r="A364" s="158" t="s">
        <v>62</v>
      </c>
      <c r="B364" s="158"/>
      <c r="C364" s="158"/>
      <c r="D364" s="158"/>
      <c r="E364" s="158"/>
      <c r="F364" s="158"/>
      <c r="G364" s="158"/>
      <c r="H364" s="158"/>
      <c r="T364" s="35"/>
    </row>
    <row r="365" spans="1:20" x14ac:dyDescent="0.35">
      <c r="A365" s="158" t="s">
        <v>123</v>
      </c>
      <c r="B365" s="158"/>
      <c r="C365" s="158"/>
      <c r="D365" s="158"/>
      <c r="E365" s="158"/>
      <c r="F365" s="158"/>
      <c r="G365" s="158"/>
      <c r="H365" s="158"/>
      <c r="T365" s="35"/>
    </row>
    <row r="366" spans="1:20" ht="34" customHeight="1" x14ac:dyDescent="0.35">
      <c r="A366" s="211" t="s">
        <v>124</v>
      </c>
      <c r="B366" s="211"/>
      <c r="C366" s="211"/>
      <c r="D366" s="211"/>
      <c r="E366" s="211"/>
      <c r="F366" s="211"/>
      <c r="G366" s="211"/>
      <c r="H366" s="211"/>
    </row>
    <row r="367" spans="1:20" x14ac:dyDescent="0.35">
      <c r="A367" s="220" t="s">
        <v>74</v>
      </c>
      <c r="B367" s="220"/>
      <c r="C367" s="220" t="s">
        <v>401</v>
      </c>
      <c r="D367" s="220"/>
      <c r="E367" s="220" t="s">
        <v>104</v>
      </c>
      <c r="F367" s="220"/>
      <c r="G367" s="220" t="s">
        <v>416</v>
      </c>
      <c r="H367" s="220"/>
    </row>
    <row r="368" spans="1:20" x14ac:dyDescent="0.35">
      <c r="A368" s="219" t="s">
        <v>76</v>
      </c>
      <c r="B368" s="219"/>
      <c r="C368" s="219"/>
      <c r="D368" s="219"/>
      <c r="E368" s="219"/>
      <c r="F368" s="219"/>
      <c r="G368" s="219"/>
      <c r="H368" s="219"/>
    </row>
    <row r="369" spans="1:8" x14ac:dyDescent="0.35">
      <c r="A369" s="219"/>
      <c r="B369" s="219"/>
      <c r="C369" s="219"/>
      <c r="D369" s="219"/>
      <c r="E369" s="219"/>
      <c r="F369" s="219"/>
      <c r="G369" s="219"/>
      <c r="H369" s="219"/>
    </row>
    <row r="370" spans="1:8" x14ac:dyDescent="0.35">
      <c r="A370" s="219"/>
      <c r="B370" s="219"/>
      <c r="C370" s="219"/>
      <c r="D370" s="219"/>
      <c r="E370" s="219"/>
      <c r="F370" s="219"/>
      <c r="G370" s="219"/>
      <c r="H370" s="219"/>
    </row>
    <row r="371" spans="1:8" x14ac:dyDescent="0.35">
      <c r="A371" s="219"/>
      <c r="B371" s="219"/>
      <c r="C371" s="219"/>
      <c r="D371" s="219"/>
      <c r="E371" s="219"/>
      <c r="F371" s="219"/>
      <c r="G371" s="219"/>
      <c r="H371" s="219"/>
    </row>
    <row r="372" spans="1:8" x14ac:dyDescent="0.35">
      <c r="A372" s="38" t="s">
        <v>63</v>
      </c>
      <c r="B372" s="39"/>
      <c r="C372" s="39"/>
      <c r="D372" s="38" t="str">
        <f>E9</f>
        <v>Godrej Nurture</v>
      </c>
      <c r="F372" s="39"/>
      <c r="G372" s="39"/>
      <c r="H372" s="39"/>
    </row>
    <row r="373" spans="1:8" x14ac:dyDescent="0.35">
      <c r="A373" s="39"/>
      <c r="B373" s="39"/>
      <c r="C373" s="39"/>
      <c r="D373" s="39"/>
      <c r="E373" s="39"/>
      <c r="F373" s="39"/>
      <c r="G373" s="39"/>
      <c r="H373" s="39"/>
    </row>
    <row r="374" spans="1:8" x14ac:dyDescent="0.35">
      <c r="A374" s="39"/>
      <c r="B374" s="39"/>
      <c r="C374" s="39"/>
      <c r="D374" s="39"/>
      <c r="E374" s="39"/>
      <c r="F374" s="39"/>
      <c r="G374" s="39"/>
      <c r="H374" s="39"/>
    </row>
    <row r="375" spans="1:8" ht="15" customHeight="1" x14ac:dyDescent="0.35"/>
    <row r="415" spans="1:1" x14ac:dyDescent="0.35">
      <c r="A415" s="41" t="s">
        <v>164</v>
      </c>
    </row>
    <row r="458" spans="1:1" x14ac:dyDescent="0.35">
      <c r="A458" s="41" t="s">
        <v>64</v>
      </c>
    </row>
  </sheetData>
  <mergeCells count="560">
    <mergeCell ref="B359:H359"/>
    <mergeCell ref="C182:H183"/>
    <mergeCell ref="A183:B183"/>
    <mergeCell ref="A188:B188"/>
    <mergeCell ref="C188:H189"/>
    <mergeCell ref="A189:B189"/>
    <mergeCell ref="C314:H314"/>
    <mergeCell ref="A316:B316"/>
    <mergeCell ref="A317:B317"/>
    <mergeCell ref="A157:B157"/>
    <mergeCell ref="A158:B158"/>
    <mergeCell ref="A170:B170"/>
    <mergeCell ref="C170:H171"/>
    <mergeCell ref="A171:B171"/>
    <mergeCell ref="A173:B173"/>
    <mergeCell ref="C173:H174"/>
    <mergeCell ref="A174:B174"/>
    <mergeCell ref="A179:B179"/>
    <mergeCell ref="C179:H180"/>
    <mergeCell ref="A180:B180"/>
    <mergeCell ref="A182:B182"/>
    <mergeCell ref="A308:B308"/>
    <mergeCell ref="A309:H309"/>
    <mergeCell ref="A292:B292"/>
    <mergeCell ref="A293:B293"/>
    <mergeCell ref="L309:M309"/>
    <mergeCell ref="A310:B310"/>
    <mergeCell ref="A311:B311"/>
    <mergeCell ref="A312:B312"/>
    <mergeCell ref="A313:B313"/>
    <mergeCell ref="A314:B314"/>
    <mergeCell ref="A315:B315"/>
    <mergeCell ref="L300:M300"/>
    <mergeCell ref="A301:B301"/>
    <mergeCell ref="A302:B302"/>
    <mergeCell ref="A303:B303"/>
    <mergeCell ref="A304:B304"/>
    <mergeCell ref="A305:B305"/>
    <mergeCell ref="C305:H306"/>
    <mergeCell ref="A306:B306"/>
    <mergeCell ref="A307:B307"/>
    <mergeCell ref="A294:B294"/>
    <mergeCell ref="A295:B295"/>
    <mergeCell ref="A296:B296"/>
    <mergeCell ref="A297:B297"/>
    <mergeCell ref="A298:B298"/>
    <mergeCell ref="A299:B299"/>
    <mergeCell ref="A300:H300"/>
    <mergeCell ref="A284:B284"/>
    <mergeCell ref="A285:B285"/>
    <mergeCell ref="A286:B286"/>
    <mergeCell ref="A287:B287"/>
    <mergeCell ref="A288:B288"/>
    <mergeCell ref="A289:B289"/>
    <mergeCell ref="A290:B290"/>
    <mergeCell ref="C287:H288"/>
    <mergeCell ref="A291:H291"/>
    <mergeCell ref="A276:B276"/>
    <mergeCell ref="A277:B277"/>
    <mergeCell ref="A278:B278"/>
    <mergeCell ref="A279:B279"/>
    <mergeCell ref="A280:B280"/>
    <mergeCell ref="A281:B281"/>
    <mergeCell ref="A282:H282"/>
    <mergeCell ref="L282:M282"/>
    <mergeCell ref="A283:B283"/>
    <mergeCell ref="A268:B268"/>
    <mergeCell ref="A269:B269"/>
    <mergeCell ref="A270:B270"/>
    <mergeCell ref="A271:B271"/>
    <mergeCell ref="A272:B272"/>
    <mergeCell ref="A273:H273"/>
    <mergeCell ref="A274:B274"/>
    <mergeCell ref="A275:B275"/>
    <mergeCell ref="A263:B263"/>
    <mergeCell ref="C256:H257"/>
    <mergeCell ref="C260:H261"/>
    <mergeCell ref="A264:H264"/>
    <mergeCell ref="L264:M264"/>
    <mergeCell ref="A265:B265"/>
    <mergeCell ref="C265:H266"/>
    <mergeCell ref="A266:B266"/>
    <mergeCell ref="A267:B267"/>
    <mergeCell ref="A255:H255"/>
    <mergeCell ref="L255:M255"/>
    <mergeCell ref="A256:B256"/>
    <mergeCell ref="A257:B257"/>
    <mergeCell ref="A258:B258"/>
    <mergeCell ref="A259:B259"/>
    <mergeCell ref="A260:B260"/>
    <mergeCell ref="A261:B261"/>
    <mergeCell ref="A262:B262"/>
    <mergeCell ref="A246:H246"/>
    <mergeCell ref="A247:B247"/>
    <mergeCell ref="A248:B248"/>
    <mergeCell ref="A249:B249"/>
    <mergeCell ref="A250:B250"/>
    <mergeCell ref="A251:B251"/>
    <mergeCell ref="A252:B252"/>
    <mergeCell ref="A253:B253"/>
    <mergeCell ref="A254:B254"/>
    <mergeCell ref="C247:H248"/>
    <mergeCell ref="A234:B234"/>
    <mergeCell ref="C231:H231"/>
    <mergeCell ref="A226:H226"/>
    <mergeCell ref="L226:M226"/>
    <mergeCell ref="A227:B227"/>
    <mergeCell ref="A228:B228"/>
    <mergeCell ref="A229:B229"/>
    <mergeCell ref="A230:B230"/>
    <mergeCell ref="A231:B231"/>
    <mergeCell ref="A232:B232"/>
    <mergeCell ref="A233:B233"/>
    <mergeCell ref="A222:B222"/>
    <mergeCell ref="A223:B223"/>
    <mergeCell ref="A224:B224"/>
    <mergeCell ref="A225:B225"/>
    <mergeCell ref="A199:H199"/>
    <mergeCell ref="L199:M199"/>
    <mergeCell ref="A200:B200"/>
    <mergeCell ref="A201:B201"/>
    <mergeCell ref="A202:B202"/>
    <mergeCell ref="A203:B203"/>
    <mergeCell ref="A204:B204"/>
    <mergeCell ref="A205:B205"/>
    <mergeCell ref="A206:B206"/>
    <mergeCell ref="A207:B207"/>
    <mergeCell ref="C204:H205"/>
    <mergeCell ref="C222:H223"/>
    <mergeCell ref="A213:B213"/>
    <mergeCell ref="A214:B214"/>
    <mergeCell ref="A215:B215"/>
    <mergeCell ref="A216:B216"/>
    <mergeCell ref="A217:H217"/>
    <mergeCell ref="A218:B218"/>
    <mergeCell ref="A219:B219"/>
    <mergeCell ref="A220:B220"/>
    <mergeCell ref="A221:B221"/>
    <mergeCell ref="A195:B195"/>
    <mergeCell ref="A196:B196"/>
    <mergeCell ref="A197:B197"/>
    <mergeCell ref="A198:B198"/>
    <mergeCell ref="A208:H208"/>
    <mergeCell ref="A209:B209"/>
    <mergeCell ref="A210:B210"/>
    <mergeCell ref="A211:B211"/>
    <mergeCell ref="A212:B212"/>
    <mergeCell ref="A184:B184"/>
    <mergeCell ref="A185:B185"/>
    <mergeCell ref="A186:B186"/>
    <mergeCell ref="A187:B187"/>
    <mergeCell ref="A190:H190"/>
    <mergeCell ref="A191:B191"/>
    <mergeCell ref="A192:B192"/>
    <mergeCell ref="A193:B193"/>
    <mergeCell ref="A194:B194"/>
    <mergeCell ref="A172:H172"/>
    <mergeCell ref="L172:M172"/>
    <mergeCell ref="A175:B175"/>
    <mergeCell ref="A176:B176"/>
    <mergeCell ref="A177:B177"/>
    <mergeCell ref="A178:B178"/>
    <mergeCell ref="C177:H178"/>
    <mergeCell ref="A181:H181"/>
    <mergeCell ref="L181:M181"/>
    <mergeCell ref="A168:B168"/>
    <mergeCell ref="A169:B169"/>
    <mergeCell ref="A166:B166"/>
    <mergeCell ref="A167:B167"/>
    <mergeCell ref="A153:H153"/>
    <mergeCell ref="A154:H154"/>
    <mergeCell ref="L154:M154"/>
    <mergeCell ref="A155:B155"/>
    <mergeCell ref="A156:B156"/>
    <mergeCell ref="A161:B161"/>
    <mergeCell ref="A162:B162"/>
    <mergeCell ref="C155:H156"/>
    <mergeCell ref="C157:H158"/>
    <mergeCell ref="C161:H162"/>
    <mergeCell ref="A164:B164"/>
    <mergeCell ref="C164:H165"/>
    <mergeCell ref="A165:B165"/>
    <mergeCell ref="A159:B159"/>
    <mergeCell ref="A160:B160"/>
    <mergeCell ref="A163:H163"/>
    <mergeCell ref="A152:H152"/>
    <mergeCell ref="E43:H43"/>
    <mergeCell ref="A43:D43"/>
    <mergeCell ref="A83:B83"/>
    <mergeCell ref="A50:B50"/>
    <mergeCell ref="C52:E52"/>
    <mergeCell ref="A76:B76"/>
    <mergeCell ref="A74:B74"/>
    <mergeCell ref="C74:H74"/>
    <mergeCell ref="A69:C69"/>
    <mergeCell ref="D69:H69"/>
    <mergeCell ref="C76:H76"/>
    <mergeCell ref="A70:C70"/>
    <mergeCell ref="D70:H70"/>
    <mergeCell ref="A73:C73"/>
    <mergeCell ref="D73:H73"/>
    <mergeCell ref="A72:C72"/>
    <mergeCell ref="A47:D47"/>
    <mergeCell ref="D68:H68"/>
    <mergeCell ref="A44:D44"/>
    <mergeCell ref="E44:H44"/>
    <mergeCell ref="E45:H45"/>
    <mergeCell ref="E46:H46"/>
    <mergeCell ref="E47:H47"/>
    <mergeCell ref="A347:H347"/>
    <mergeCell ref="A339:B339"/>
    <mergeCell ref="A340:B340"/>
    <mergeCell ref="A335:H335"/>
    <mergeCell ref="A329:H329"/>
    <mergeCell ref="A344:B344"/>
    <mergeCell ref="A341:H341"/>
    <mergeCell ref="A71:C71"/>
    <mergeCell ref="D72:H72"/>
    <mergeCell ref="A78:B78"/>
    <mergeCell ref="G77:H77"/>
    <mergeCell ref="A86:B86"/>
    <mergeCell ref="A87:B87"/>
    <mergeCell ref="A82:B82"/>
    <mergeCell ref="A79:B79"/>
    <mergeCell ref="A81:B81"/>
    <mergeCell ref="E77:F77"/>
    <mergeCell ref="A84:B84"/>
    <mergeCell ref="A99:B99"/>
    <mergeCell ref="A100:B100"/>
    <mergeCell ref="A119:E119"/>
    <mergeCell ref="A116:E116"/>
    <mergeCell ref="F120:H120"/>
    <mergeCell ref="G91:H91"/>
    <mergeCell ref="I15:P15"/>
    <mergeCell ref="F126:H126"/>
    <mergeCell ref="F124:H124"/>
    <mergeCell ref="A331:B331"/>
    <mergeCell ref="A141:H141"/>
    <mergeCell ref="G130:H130"/>
    <mergeCell ref="A125:E125"/>
    <mergeCell ref="A146:B146"/>
    <mergeCell ref="A60:B60"/>
    <mergeCell ref="C60:E60"/>
    <mergeCell ref="D62:H62"/>
    <mergeCell ref="F125:H125"/>
    <mergeCell ref="E130:F130"/>
    <mergeCell ref="A130:B130"/>
    <mergeCell ref="A132:B132"/>
    <mergeCell ref="C135:D135"/>
    <mergeCell ref="D71:H71"/>
    <mergeCell ref="D63:H63"/>
    <mergeCell ref="G60:H60"/>
    <mergeCell ref="A54:B55"/>
    <mergeCell ref="C54:E54"/>
    <mergeCell ref="G54:H54"/>
    <mergeCell ref="A56:B57"/>
    <mergeCell ref="C56:E56"/>
    <mergeCell ref="A365:H365"/>
    <mergeCell ref="A362:H362"/>
    <mergeCell ref="A324:B324"/>
    <mergeCell ref="A135:B135"/>
    <mergeCell ref="D150:D151"/>
    <mergeCell ref="E150:E151"/>
    <mergeCell ref="A96:B96"/>
    <mergeCell ref="A98:B98"/>
    <mergeCell ref="F117:H117"/>
    <mergeCell ref="G131:H131"/>
    <mergeCell ref="A101:B101"/>
    <mergeCell ref="F123:H123"/>
    <mergeCell ref="C130:D130"/>
    <mergeCell ref="C138:D138"/>
    <mergeCell ref="A318:H318"/>
    <mergeCell ref="A333:B333"/>
    <mergeCell ref="B352:H352"/>
    <mergeCell ref="A342:B342"/>
    <mergeCell ref="A343:B343"/>
    <mergeCell ref="A346:B346"/>
    <mergeCell ref="A345:B345"/>
    <mergeCell ref="B348:H348"/>
    <mergeCell ref="B349:H349"/>
    <mergeCell ref="B351:H351"/>
    <mergeCell ref="A361:H361"/>
    <mergeCell ref="F116:H116"/>
    <mergeCell ref="F121:H121"/>
    <mergeCell ref="A319:B319"/>
    <mergeCell ref="A148:B148"/>
    <mergeCell ref="A147:B147"/>
    <mergeCell ref="A122:E122"/>
    <mergeCell ref="F122:H122"/>
    <mergeCell ref="A124:E124"/>
    <mergeCell ref="F119:H119"/>
    <mergeCell ref="A123:E123"/>
    <mergeCell ref="A149:H149"/>
    <mergeCell ref="E135:F135"/>
    <mergeCell ref="A140:H140"/>
    <mergeCell ref="A150:A151"/>
    <mergeCell ref="F150:F151"/>
    <mergeCell ref="A330:B330"/>
    <mergeCell ref="A145:B145"/>
    <mergeCell ref="B357:H357"/>
    <mergeCell ref="A139:B139"/>
    <mergeCell ref="C139:D139"/>
    <mergeCell ref="E139:F139"/>
    <mergeCell ref="B356:H356"/>
    <mergeCell ref="B354:H354"/>
    <mergeCell ref="A368:H371"/>
    <mergeCell ref="A367:B367"/>
    <mergeCell ref="E367:F367"/>
    <mergeCell ref="C367:D367"/>
    <mergeCell ref="G367:H367"/>
    <mergeCell ref="A129:H129"/>
    <mergeCell ref="A127:E127"/>
    <mergeCell ref="F127:H127"/>
    <mergeCell ref="A128:E128"/>
    <mergeCell ref="F128:H128"/>
    <mergeCell ref="A323:H323"/>
    <mergeCell ref="A136:B136"/>
    <mergeCell ref="A332:B332"/>
    <mergeCell ref="A131:B131"/>
    <mergeCell ref="A363:H363"/>
    <mergeCell ref="A134:H134"/>
    <mergeCell ref="A366:H366"/>
    <mergeCell ref="A364:H364"/>
    <mergeCell ref="A360:H360"/>
    <mergeCell ref="G135:H135"/>
    <mergeCell ref="B353:H353"/>
    <mergeCell ref="A338:B338"/>
    <mergeCell ref="A327:B327"/>
    <mergeCell ref="A334:B33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C57:H57"/>
    <mergeCell ref="C59:H59"/>
    <mergeCell ref="A48:H48"/>
    <mergeCell ref="D64:H64"/>
    <mergeCell ref="A64:C64"/>
    <mergeCell ref="A45:D45"/>
    <mergeCell ref="A49:B49"/>
    <mergeCell ref="C49:H49"/>
    <mergeCell ref="A65:C66"/>
    <mergeCell ref="D65:H65"/>
    <mergeCell ref="D66:H66"/>
    <mergeCell ref="C53:E53"/>
    <mergeCell ref="G53:H53"/>
    <mergeCell ref="G52:H52"/>
    <mergeCell ref="A61:H61"/>
    <mergeCell ref="A62:C62"/>
    <mergeCell ref="A63:C63"/>
    <mergeCell ref="A97:B97"/>
    <mergeCell ref="A38:H38"/>
    <mergeCell ref="A37:B37"/>
    <mergeCell ref="C37:E37"/>
    <mergeCell ref="A42:D42"/>
    <mergeCell ref="E42:H42"/>
    <mergeCell ref="A41:H41"/>
    <mergeCell ref="A67:C67"/>
    <mergeCell ref="A68:C68"/>
    <mergeCell ref="D67:H67"/>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77:B77"/>
    <mergeCell ref="L148:M148"/>
    <mergeCell ref="L147:M147"/>
    <mergeCell ref="L146:M146"/>
    <mergeCell ref="L145:M145"/>
    <mergeCell ref="A85:B85"/>
    <mergeCell ref="C136:D136"/>
    <mergeCell ref="E136:F136"/>
    <mergeCell ref="G136:H136"/>
    <mergeCell ref="A117:E117"/>
    <mergeCell ref="A88:B88"/>
    <mergeCell ref="C88:H88"/>
    <mergeCell ref="A144:H144"/>
    <mergeCell ref="E142:E143"/>
    <mergeCell ref="A92:B92"/>
    <mergeCell ref="C90:H90"/>
    <mergeCell ref="A93:B93"/>
    <mergeCell ref="A94:B94"/>
    <mergeCell ref="G92:H101"/>
    <mergeCell ref="A95:B95"/>
    <mergeCell ref="F118:H118"/>
    <mergeCell ref="A118:E118"/>
    <mergeCell ref="D142:D143"/>
    <mergeCell ref="A120:E120"/>
    <mergeCell ref="B355:H355"/>
    <mergeCell ref="L323:M323"/>
    <mergeCell ref="A328:B328"/>
    <mergeCell ref="A325:B325"/>
    <mergeCell ref="A326:B326"/>
    <mergeCell ref="A336:B336"/>
    <mergeCell ref="A40:B40"/>
    <mergeCell ref="C40:H40"/>
    <mergeCell ref="F142:F143"/>
    <mergeCell ref="C131:D131"/>
    <mergeCell ref="E131:F131"/>
    <mergeCell ref="B142:B143"/>
    <mergeCell ref="A142:A143"/>
    <mergeCell ref="C150:C151"/>
    <mergeCell ref="G150:G151"/>
    <mergeCell ref="L322:M322"/>
    <mergeCell ref="L319:M319"/>
    <mergeCell ref="A320:B320"/>
    <mergeCell ref="G139:H139"/>
    <mergeCell ref="L320:M320"/>
    <mergeCell ref="A321:B321"/>
    <mergeCell ref="L321:M321"/>
    <mergeCell ref="C55:H55"/>
    <mergeCell ref="A322:B322"/>
    <mergeCell ref="A114:B114"/>
    <mergeCell ref="A90:B90"/>
    <mergeCell ref="G142:G143"/>
    <mergeCell ref="A337:B337"/>
    <mergeCell ref="A80:B80"/>
    <mergeCell ref="E78:F87"/>
    <mergeCell ref="G78:H87"/>
    <mergeCell ref="B358:H358"/>
    <mergeCell ref="A121:E121"/>
    <mergeCell ref="A138:B138"/>
    <mergeCell ref="E138:F138"/>
    <mergeCell ref="A126:E126"/>
    <mergeCell ref="G138:H138"/>
    <mergeCell ref="C132:D132"/>
    <mergeCell ref="E132:F132"/>
    <mergeCell ref="G132:H132"/>
    <mergeCell ref="A133:B133"/>
    <mergeCell ref="C133:D133"/>
    <mergeCell ref="E133:F133"/>
    <mergeCell ref="G133:H133"/>
    <mergeCell ref="A137:B137"/>
    <mergeCell ref="C137:D137"/>
    <mergeCell ref="E137:F137"/>
    <mergeCell ref="G137:H137"/>
    <mergeCell ref="A115:B115"/>
    <mergeCell ref="C142:C143"/>
    <mergeCell ref="B150:B151"/>
    <mergeCell ref="B350:H350"/>
    <mergeCell ref="A91:B91"/>
    <mergeCell ref="E91:F91"/>
    <mergeCell ref="E92:F101"/>
    <mergeCell ref="A102:B102"/>
    <mergeCell ref="C102:H102"/>
    <mergeCell ref="A104:B104"/>
    <mergeCell ref="C104:H104"/>
    <mergeCell ref="A105:B105"/>
    <mergeCell ref="E105:F105"/>
    <mergeCell ref="G105:H105"/>
    <mergeCell ref="A106:B106"/>
    <mergeCell ref="E106:F115"/>
    <mergeCell ref="G106:H115"/>
    <mergeCell ref="A107:B107"/>
    <mergeCell ref="A108:B108"/>
    <mergeCell ref="A109:B109"/>
    <mergeCell ref="A110:B110"/>
    <mergeCell ref="A111:B111"/>
    <mergeCell ref="A112:B112"/>
    <mergeCell ref="A113:B113"/>
    <mergeCell ref="A243:B243"/>
    <mergeCell ref="A244:B244"/>
    <mergeCell ref="A245:B245"/>
    <mergeCell ref="C238:H239"/>
    <mergeCell ref="C240:H241"/>
    <mergeCell ref="A235:H235"/>
    <mergeCell ref="A236:H236"/>
    <mergeCell ref="A237:H237"/>
    <mergeCell ref="L237:M237"/>
    <mergeCell ref="A238:B238"/>
    <mergeCell ref="A239:B239"/>
    <mergeCell ref="A240:B240"/>
    <mergeCell ref="A241:B241"/>
    <mergeCell ref="A242:B242"/>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2:E143">
      <formula1>"Attached Loft area,Attached Otla area,Attached Mezzanine area"</formula1>
    </dataValidation>
    <dataValidation type="list" allowBlank="1" showInputMessage="1" showErrorMessage="1" sqref="G367:H367">
      <formula1>"Kunal Kadam,Pranita Mhatre,Shruti Fule,Pooja Kawale,Gaurav Panchal,Shruti Tathare, Hitakshi Mhatre, Sachin Sawant"</formula1>
    </dataValidation>
    <dataValidation type="list" allowBlank="1" showInputMessage="1" showErrorMessage="1" sqref="F116:H116">
      <formula1>"On Saleable Area,On Builtup Area,On Carpet Area,On Plot Area"</formula1>
    </dataValidation>
    <dataValidation type="list" allowBlank="1" showInputMessage="1" showErrorMessage="1" sqref="F127:H127">
      <formula1>OFFSET($S$116,1,MATCH($G20,$S$116:$W$116,0)-1,15,1)</formula1>
    </dataValidation>
    <dataValidation type="list" allowBlank="1" showInputMessage="1" showErrorMessage="1" sqref="B142:B143">
      <formula1>"Shop No. (Sale Plan),Sale / Rehab,Sale / Mhada"</formula1>
    </dataValidation>
    <dataValidation type="list" allowBlank="1" showInputMessage="1" showErrorMessage="1" sqref="B150:B15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0:E151">
      <formula1>"Fungible area,Balcony Area,Chajja Area,Cornice Area,AP Area,WS Area"</formula1>
    </dataValidation>
    <dataValidation type="list" allowBlank="1" showInputMessage="1" showErrorMessage="1" sqref="H143 H15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2 H150">
      <formula1>"Saleable area Loading :,Builder Saleable Area"</formula1>
    </dataValidation>
    <dataValidation type="list" allowBlank="1" showInputMessage="1" showErrorMessage="1" sqref="D142:D143 D150:D151">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3" manualBreakCount="3">
    <brk id="371" max="16383" man="1"/>
    <brk id="414" max="16383" man="1"/>
    <brk id="457"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60" t="s">
        <v>105</v>
      </c>
      <c r="C3" s="260"/>
      <c r="D3" s="260"/>
      <c r="E3" s="260"/>
      <c r="F3" s="260"/>
      <c r="G3" s="260"/>
      <c r="H3" s="260"/>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2"/>
      <c r="C4" s="52" t="s">
        <v>11</v>
      </c>
      <c r="D4" s="53" t="s">
        <v>180</v>
      </c>
      <c r="E4" s="53" t="s">
        <v>190</v>
      </c>
      <c r="F4" s="53" t="s">
        <v>173</v>
      </c>
      <c r="G4" s="53" t="s">
        <v>195</v>
      </c>
      <c r="H4" s="53" t="s">
        <v>213</v>
      </c>
      <c r="J4" t="s">
        <v>195</v>
      </c>
      <c r="K4" t="s">
        <v>211</v>
      </c>
    </row>
    <row r="5" spans="2:11" x14ac:dyDescent="0.35">
      <c r="B5" s="52"/>
      <c r="C5" s="52"/>
      <c r="D5" s="53" t="s">
        <v>181</v>
      </c>
      <c r="E5" s="53" t="s">
        <v>188</v>
      </c>
      <c r="F5" s="53" t="s">
        <v>210</v>
      </c>
      <c r="G5" s="53" t="s">
        <v>196</v>
      </c>
      <c r="H5" s="53" t="s">
        <v>214</v>
      </c>
    </row>
    <row r="6" spans="2:11" x14ac:dyDescent="0.35">
      <c r="B6" s="52"/>
      <c r="C6" s="52"/>
      <c r="D6" s="53" t="s">
        <v>182</v>
      </c>
      <c r="E6" s="53" t="s">
        <v>189</v>
      </c>
      <c r="F6" s="53" t="s">
        <v>211</v>
      </c>
      <c r="G6" s="53" t="s">
        <v>197</v>
      </c>
      <c r="H6" s="53" t="s">
        <v>227</v>
      </c>
    </row>
    <row r="7" spans="2:11" x14ac:dyDescent="0.35">
      <c r="B7" s="52"/>
      <c r="C7" s="52"/>
      <c r="D7" s="53" t="s">
        <v>183</v>
      </c>
      <c r="E7" s="53" t="s">
        <v>191</v>
      </c>
      <c r="F7" s="53" t="s">
        <v>212</v>
      </c>
      <c r="G7" s="53" t="s">
        <v>198</v>
      </c>
      <c r="H7" s="53" t="s">
        <v>215</v>
      </c>
    </row>
    <row r="8" spans="2:11" x14ac:dyDescent="0.35">
      <c r="B8" s="52"/>
      <c r="C8" s="52"/>
      <c r="D8" s="53" t="s">
        <v>184</v>
      </c>
      <c r="E8" s="53" t="s">
        <v>192</v>
      </c>
      <c r="F8" s="53"/>
      <c r="G8" s="53" t="s">
        <v>199</v>
      </c>
      <c r="H8" s="53" t="s">
        <v>216</v>
      </c>
    </row>
    <row r="9" spans="2:11" x14ac:dyDescent="0.35">
      <c r="B9" s="52"/>
      <c r="C9" s="52"/>
      <c r="D9" s="53" t="s">
        <v>185</v>
      </c>
      <c r="E9" s="53" t="s">
        <v>190</v>
      </c>
      <c r="F9" s="53"/>
      <c r="G9" s="53" t="s">
        <v>200</v>
      </c>
      <c r="H9" s="53" t="s">
        <v>217</v>
      </c>
    </row>
    <row r="10" spans="2:11" x14ac:dyDescent="0.35">
      <c r="B10" s="52"/>
      <c r="C10" s="52"/>
      <c r="D10" s="53" t="s">
        <v>186</v>
      </c>
      <c r="E10" s="53" t="s">
        <v>193</v>
      </c>
      <c r="F10" s="53"/>
      <c r="G10" s="53" t="s">
        <v>201</v>
      </c>
      <c r="H10" s="53" t="s">
        <v>218</v>
      </c>
    </row>
    <row r="11" spans="2:11" x14ac:dyDescent="0.35">
      <c r="B11" s="52"/>
      <c r="C11" s="52"/>
      <c r="D11" s="53" t="s">
        <v>187</v>
      </c>
      <c r="E11" s="53" t="s">
        <v>194</v>
      </c>
      <c r="F11" s="53"/>
      <c r="G11" s="53" t="s">
        <v>202</v>
      </c>
      <c r="H11" s="53" t="s">
        <v>219</v>
      </c>
    </row>
    <row r="12" spans="2:11" x14ac:dyDescent="0.35">
      <c r="B12" s="52"/>
      <c r="C12" s="52"/>
      <c r="D12" s="53"/>
      <c r="E12" s="53"/>
      <c r="F12" s="53"/>
      <c r="G12" s="53" t="s">
        <v>203</v>
      </c>
      <c r="H12" s="53" t="s">
        <v>220</v>
      </c>
    </row>
    <row r="13" spans="2:11" x14ac:dyDescent="0.35">
      <c r="B13" s="52"/>
      <c r="C13" s="52"/>
      <c r="D13" s="53"/>
      <c r="E13" s="53"/>
      <c r="F13" s="53"/>
      <c r="G13" s="53" t="s">
        <v>204</v>
      </c>
      <c r="H13" s="53" t="s">
        <v>221</v>
      </c>
    </row>
    <row r="14" spans="2:11" x14ac:dyDescent="0.35">
      <c r="B14" s="52"/>
      <c r="C14" s="52"/>
      <c r="D14" s="53"/>
      <c r="E14" s="53"/>
      <c r="F14" s="53"/>
      <c r="G14" s="53" t="s">
        <v>205</v>
      </c>
      <c r="H14" s="53" t="s">
        <v>222</v>
      </c>
    </row>
    <row r="15" spans="2:11" x14ac:dyDescent="0.35">
      <c r="B15" s="52"/>
      <c r="C15" s="52"/>
      <c r="D15" s="53"/>
      <c r="E15" s="53"/>
      <c r="F15" s="53"/>
      <c r="G15" s="53" t="s">
        <v>206</v>
      </c>
      <c r="H15" s="53" t="s">
        <v>223</v>
      </c>
    </row>
    <row r="16" spans="2:11" x14ac:dyDescent="0.35">
      <c r="B16" s="52"/>
      <c r="C16" s="52"/>
      <c r="D16" s="53"/>
      <c r="E16" s="53"/>
      <c r="F16" s="53"/>
      <c r="G16" s="53" t="s">
        <v>207</v>
      </c>
      <c r="H16" s="53" t="s">
        <v>224</v>
      </c>
    </row>
    <row r="17" spans="2:8" x14ac:dyDescent="0.35">
      <c r="B17" s="52"/>
      <c r="C17" s="52"/>
      <c r="D17" s="53"/>
      <c r="E17" s="53"/>
      <c r="F17" s="53"/>
      <c r="G17" s="53" t="s">
        <v>208</v>
      </c>
      <c r="H17" s="53" t="s">
        <v>225</v>
      </c>
    </row>
    <row r="18" spans="2:8" x14ac:dyDescent="0.35">
      <c r="B18" s="52"/>
      <c r="C18" s="52"/>
      <c r="D18" s="53"/>
      <c r="E18" s="53"/>
      <c r="F18" s="53"/>
      <c r="G18" s="53" t="s">
        <v>209</v>
      </c>
      <c r="H18" s="53" t="s">
        <v>226</v>
      </c>
    </row>
    <row r="24" spans="2:8" x14ac:dyDescent="0.35">
      <c r="C24" t="s">
        <v>170</v>
      </c>
    </row>
    <row r="25" spans="2:8" x14ac:dyDescent="0.35">
      <c r="C25" t="s">
        <v>228</v>
      </c>
    </row>
    <row r="26" spans="2:8" x14ac:dyDescent="0.35">
      <c r="C26" t="s">
        <v>229</v>
      </c>
    </row>
    <row r="27" spans="2:8" x14ac:dyDescent="0.35">
      <c r="C27" t="s">
        <v>230</v>
      </c>
    </row>
    <row r="28" spans="2:8" x14ac:dyDescent="0.35">
      <c r="C28" t="s">
        <v>231</v>
      </c>
    </row>
    <row r="29" spans="2:8" x14ac:dyDescent="0.35">
      <c r="C29" t="s">
        <v>232</v>
      </c>
    </row>
    <row r="30" spans="2:8" x14ac:dyDescent="0.35">
      <c r="C30" t="s">
        <v>170</v>
      </c>
    </row>
    <row r="33" spans="3:11" x14ac:dyDescent="0.35">
      <c r="J33">
        <v>1</v>
      </c>
      <c r="K33">
        <v>2</v>
      </c>
    </row>
    <row r="34" spans="3:11" x14ac:dyDescent="0.35">
      <c r="C34" s="56" t="s">
        <v>239</v>
      </c>
      <c r="D34" s="53" t="s">
        <v>237</v>
      </c>
      <c r="E34" s="53" t="s">
        <v>242</v>
      </c>
      <c r="F34" s="53" t="s">
        <v>240</v>
      </c>
      <c r="G34" s="53" t="s">
        <v>241</v>
      </c>
      <c r="H34" s="53" t="s">
        <v>243</v>
      </c>
      <c r="J34" t="s">
        <v>195</v>
      </c>
      <c r="K34" t="s">
        <v>211</v>
      </c>
    </row>
    <row r="35" spans="3:11" x14ac:dyDescent="0.35">
      <c r="C35" s="52" t="s">
        <v>238</v>
      </c>
      <c r="D35" s="53" t="s">
        <v>171</v>
      </c>
      <c r="E35" s="53" t="s">
        <v>247</v>
      </c>
      <c r="F35" s="53" t="s">
        <v>249</v>
      </c>
      <c r="G35" s="53" t="s">
        <v>251</v>
      </c>
      <c r="H35" s="53"/>
    </row>
    <row r="36" spans="3:11" x14ac:dyDescent="0.35">
      <c r="C36" s="52"/>
      <c r="D36" s="53" t="s">
        <v>244</v>
      </c>
      <c r="E36" s="53" t="s">
        <v>248</v>
      </c>
      <c r="F36" s="53" t="s">
        <v>250</v>
      </c>
      <c r="G36" s="53" t="s">
        <v>252</v>
      </c>
      <c r="H36" s="53"/>
    </row>
    <row r="37" spans="3:11" x14ac:dyDescent="0.35">
      <c r="C37" s="52"/>
      <c r="D37" s="53" t="s">
        <v>245</v>
      </c>
      <c r="E37" s="53"/>
      <c r="F37" s="53"/>
      <c r="G37" s="53" t="s">
        <v>253</v>
      </c>
      <c r="H37" s="53"/>
    </row>
    <row r="38" spans="3:11" x14ac:dyDescent="0.35">
      <c r="C38" s="52"/>
      <c r="D38" s="53" t="s">
        <v>246</v>
      </c>
      <c r="E38" s="53"/>
      <c r="F38" s="53"/>
      <c r="G38" s="53" t="s">
        <v>253</v>
      </c>
      <c r="H38" s="53"/>
    </row>
    <row r="39" spans="3:11" x14ac:dyDescent="0.35">
      <c r="C39" s="52"/>
      <c r="D39" s="53"/>
      <c r="E39" s="53"/>
      <c r="F39" s="53"/>
      <c r="G39" s="53" t="s">
        <v>254</v>
      </c>
      <c r="H39" s="53"/>
    </row>
    <row r="40" spans="3:11" x14ac:dyDescent="0.35">
      <c r="C40" s="52"/>
      <c r="D40" s="53"/>
      <c r="E40" s="53"/>
      <c r="F40" s="53"/>
      <c r="G40" s="53" t="s">
        <v>255</v>
      </c>
      <c r="H40" s="53"/>
    </row>
    <row r="41" spans="3:11" x14ac:dyDescent="0.35">
      <c r="C41" s="52"/>
      <c r="D41" s="53"/>
      <c r="E41" s="53"/>
      <c r="F41" s="53"/>
      <c r="G41" s="53"/>
      <c r="H41" s="53"/>
    </row>
    <row r="43" spans="3:11" x14ac:dyDescent="0.35">
      <c r="C43" t="s">
        <v>256</v>
      </c>
    </row>
    <row r="44" spans="3:11" x14ac:dyDescent="0.35">
      <c r="C44" t="s">
        <v>173</v>
      </c>
      <c r="D44" t="s">
        <v>257</v>
      </c>
    </row>
    <row r="45" spans="3:11" x14ac:dyDescent="0.35">
      <c r="D45" t="s">
        <v>258</v>
      </c>
    </row>
    <row r="46" spans="3:11" x14ac:dyDescent="0.35">
      <c r="D46" t="s">
        <v>259</v>
      </c>
    </row>
    <row r="47" spans="3:11" x14ac:dyDescent="0.35">
      <c r="D47" t="s">
        <v>260</v>
      </c>
    </row>
    <row r="48" spans="3:11" x14ac:dyDescent="0.35">
      <c r="D48" t="s">
        <v>261</v>
      </c>
    </row>
    <row r="49" spans="3:4" x14ac:dyDescent="0.35">
      <c r="C49" t="s">
        <v>180</v>
      </c>
      <c r="D49" t="s">
        <v>262</v>
      </c>
    </row>
    <row r="50" spans="3:4" x14ac:dyDescent="0.35">
      <c r="D50" t="s">
        <v>263</v>
      </c>
    </row>
    <row r="51" spans="3:4" x14ac:dyDescent="0.35">
      <c r="D51" t="s">
        <v>264</v>
      </c>
    </row>
    <row r="52" spans="3:4" x14ac:dyDescent="0.35">
      <c r="D52" t="s">
        <v>267</v>
      </c>
    </row>
    <row r="53" spans="3:4" x14ac:dyDescent="0.35">
      <c r="D53" t="s">
        <v>265</v>
      </c>
    </row>
    <row r="54" spans="3:4" x14ac:dyDescent="0.35">
      <c r="D54" t="s">
        <v>266</v>
      </c>
    </row>
    <row r="55" spans="3:4" x14ac:dyDescent="0.35">
      <c r="D55" t="s">
        <v>268</v>
      </c>
    </row>
    <row r="56" spans="3:4" x14ac:dyDescent="0.35">
      <c r="D56" t="s">
        <v>269</v>
      </c>
    </row>
    <row r="57" spans="3:4" x14ac:dyDescent="0.35">
      <c r="D57" t="s">
        <v>270</v>
      </c>
    </row>
    <row r="58" spans="3:4" x14ac:dyDescent="0.35">
      <c r="D58" t="s">
        <v>272</v>
      </c>
    </row>
    <row r="59" spans="3:4" x14ac:dyDescent="0.35">
      <c r="D59" t="s">
        <v>281</v>
      </c>
    </row>
    <row r="60" spans="3:4" x14ac:dyDescent="0.35">
      <c r="C60" t="s">
        <v>195</v>
      </c>
      <c r="D60" t="s">
        <v>273</v>
      </c>
    </row>
    <row r="61" spans="3:4" x14ac:dyDescent="0.35">
      <c r="D61" t="s">
        <v>271</v>
      </c>
    </row>
    <row r="62" spans="3:4" x14ac:dyDescent="0.35">
      <c r="D62" t="s">
        <v>261</v>
      </c>
    </row>
    <row r="63" spans="3:4" x14ac:dyDescent="0.35">
      <c r="D63" t="s">
        <v>274</v>
      </c>
    </row>
    <row r="64" spans="3:4" x14ac:dyDescent="0.35">
      <c r="D64" t="s">
        <v>275</v>
      </c>
    </row>
    <row r="65" spans="3:4" x14ac:dyDescent="0.35">
      <c r="D65" t="s">
        <v>276</v>
      </c>
    </row>
    <row r="66" spans="3:4" x14ac:dyDescent="0.35">
      <c r="D66" t="s">
        <v>277</v>
      </c>
    </row>
    <row r="67" spans="3:4" x14ac:dyDescent="0.35">
      <c r="C67" t="s">
        <v>190</v>
      </c>
      <c r="D67" t="s">
        <v>278</v>
      </c>
    </row>
    <row r="68" spans="3:4" x14ac:dyDescent="0.35">
      <c r="D68" t="s">
        <v>279</v>
      </c>
    </row>
    <row r="69" spans="3:4" x14ac:dyDescent="0.35">
      <c r="D69" t="s">
        <v>280</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31" sqref="C31"/>
    </sheetView>
  </sheetViews>
  <sheetFormatPr defaultRowHeight="14.5" x14ac:dyDescent="0.35"/>
  <cols>
    <col min="2" max="2" width="3" bestFit="1" customWidth="1"/>
    <col min="3" max="3" width="155.26953125" customWidth="1"/>
  </cols>
  <sheetData>
    <row r="2" spans="2:3" ht="15" customHeight="1" x14ac:dyDescent="0.35">
      <c r="B2" s="57">
        <v>1</v>
      </c>
      <c r="C2" s="60" t="s">
        <v>287</v>
      </c>
    </row>
    <row r="3" spans="2:3" x14ac:dyDescent="0.35">
      <c r="B3" s="57">
        <v>2</v>
      </c>
      <c r="C3" s="58" t="s">
        <v>288</v>
      </c>
    </row>
    <row r="4" spans="2:3" x14ac:dyDescent="0.35">
      <c r="B4" s="57">
        <v>3</v>
      </c>
      <c r="C4" s="59" t="s">
        <v>289</v>
      </c>
    </row>
    <row r="5" spans="2:3" x14ac:dyDescent="0.35">
      <c r="B5" s="57">
        <v>4</v>
      </c>
      <c r="C5" s="58" t="s">
        <v>290</v>
      </c>
    </row>
    <row r="6" spans="2:3" x14ac:dyDescent="0.35">
      <c r="B6" s="57">
        <v>5</v>
      </c>
      <c r="C6" s="59" t="s">
        <v>291</v>
      </c>
    </row>
    <row r="7" spans="2:3" ht="29" x14ac:dyDescent="0.35">
      <c r="B7" s="57">
        <v>6</v>
      </c>
      <c r="C7" s="58" t="s">
        <v>292</v>
      </c>
    </row>
    <row r="8" spans="2:3" ht="72.5" x14ac:dyDescent="0.35">
      <c r="B8" s="57">
        <v>7</v>
      </c>
      <c r="C8" s="58" t="s">
        <v>293</v>
      </c>
    </row>
    <row r="9" spans="2:3" x14ac:dyDescent="0.35">
      <c r="B9" s="57">
        <v>8</v>
      </c>
      <c r="C9" s="59" t="s">
        <v>294</v>
      </c>
    </row>
    <row r="10" spans="2:3" x14ac:dyDescent="0.35">
      <c r="B10" s="57">
        <v>9</v>
      </c>
      <c r="C10" s="59" t="s">
        <v>295</v>
      </c>
    </row>
    <row r="11" spans="2:3" x14ac:dyDescent="0.35">
      <c r="B11" s="57">
        <v>10</v>
      </c>
      <c r="C11" s="59" t="s">
        <v>296</v>
      </c>
    </row>
    <row r="12" spans="2:3" x14ac:dyDescent="0.35">
      <c r="B12" s="57">
        <v>11</v>
      </c>
      <c r="C12" s="59" t="s">
        <v>297</v>
      </c>
    </row>
    <row r="13" spans="2:3" x14ac:dyDescent="0.35">
      <c r="B13" s="57">
        <v>12</v>
      </c>
      <c r="C13" s="59" t="s">
        <v>298</v>
      </c>
    </row>
    <row r="14" spans="2:3" x14ac:dyDescent="0.35">
      <c r="B14" s="57">
        <v>13</v>
      </c>
      <c r="C14" s="59" t="s">
        <v>299</v>
      </c>
    </row>
    <row r="15" spans="2:3" x14ac:dyDescent="0.35">
      <c r="B15" s="57">
        <v>14</v>
      </c>
      <c r="C15" s="59" t="s">
        <v>289</v>
      </c>
    </row>
    <row r="16" spans="2:3" x14ac:dyDescent="0.35">
      <c r="B16" s="57">
        <v>15</v>
      </c>
      <c r="C16" s="59" t="s">
        <v>301</v>
      </c>
    </row>
    <row r="17" spans="2:3" x14ac:dyDescent="0.35">
      <c r="B17" s="81">
        <v>16</v>
      </c>
      <c r="C17" s="64" t="s">
        <v>302</v>
      </c>
    </row>
    <row r="18" spans="2:3" x14ac:dyDescent="0.35">
      <c r="B18" s="63">
        <v>17</v>
      </c>
      <c r="C18" s="64" t="s">
        <v>303</v>
      </c>
    </row>
    <row r="19" spans="2:3" x14ac:dyDescent="0.35">
      <c r="B19" s="62">
        <v>18</v>
      </c>
      <c r="C19" s="57" t="s">
        <v>304</v>
      </c>
    </row>
    <row r="20" spans="2:3" x14ac:dyDescent="0.35">
      <c r="B20" s="63">
        <v>19</v>
      </c>
      <c r="C20" s="57" t="s">
        <v>340</v>
      </c>
    </row>
    <row r="21" spans="2:3" x14ac:dyDescent="0.35">
      <c r="B21" s="65">
        <v>20</v>
      </c>
      <c r="C21" s="57" t="s">
        <v>305</v>
      </c>
    </row>
    <row r="22" spans="2:3" x14ac:dyDescent="0.35">
      <c r="B22" s="63">
        <v>21</v>
      </c>
      <c r="C22" s="57" t="s">
        <v>304</v>
      </c>
    </row>
    <row r="23" spans="2:3" s="73" customFormat="1" ht="29.25" customHeight="1" x14ac:dyDescent="0.35">
      <c r="B23" s="72">
        <v>22</v>
      </c>
      <c r="C23" s="60" t="s">
        <v>332</v>
      </c>
    </row>
    <row r="24" spans="2:3" s="73" customFormat="1" ht="30.75" customHeight="1" x14ac:dyDescent="0.35">
      <c r="B24" s="74">
        <v>23</v>
      </c>
      <c r="C24" s="60" t="s">
        <v>333</v>
      </c>
    </row>
    <row r="25" spans="2:3" x14ac:dyDescent="0.35">
      <c r="B25" s="65">
        <v>24</v>
      </c>
      <c r="C25" s="57" t="s">
        <v>336</v>
      </c>
    </row>
    <row r="26" spans="2:3" x14ac:dyDescent="0.35">
      <c r="B26" s="63">
        <v>25</v>
      </c>
      <c r="C26" s="57" t="s">
        <v>334</v>
      </c>
    </row>
    <row r="27" spans="2:3" x14ac:dyDescent="0.35">
      <c r="B27" s="74">
        <v>26</v>
      </c>
      <c r="C27" s="65" t="s">
        <v>335</v>
      </c>
    </row>
    <row r="28" spans="2:3" x14ac:dyDescent="0.35">
      <c r="B28" s="75">
        <v>27</v>
      </c>
      <c r="C28" s="57" t="s">
        <v>337</v>
      </c>
    </row>
    <row r="29" spans="2:3" ht="43.5" x14ac:dyDescent="0.35">
      <c r="B29" s="80">
        <v>28</v>
      </c>
      <c r="C29" s="58" t="s">
        <v>338</v>
      </c>
    </row>
    <row r="30" spans="2:3" x14ac:dyDescent="0.35">
      <c r="B30" s="74">
        <v>29</v>
      </c>
      <c r="C30" s="57" t="s">
        <v>339</v>
      </c>
    </row>
    <row r="31" spans="2:3" ht="29" x14ac:dyDescent="0.35">
      <c r="B31" s="82">
        <v>30</v>
      </c>
      <c r="C31" s="58" t="s">
        <v>341</v>
      </c>
    </row>
    <row r="32" spans="2:3" x14ac:dyDescent="0.35">
      <c r="B32" s="74">
        <v>31</v>
      </c>
      <c r="C32" s="57" t="s">
        <v>342</v>
      </c>
    </row>
    <row r="33" spans="2:3" x14ac:dyDescent="0.35">
      <c r="B33" s="74">
        <v>32</v>
      </c>
      <c r="C33" s="57" t="s">
        <v>343</v>
      </c>
    </row>
    <row r="34" spans="2:3" ht="36.75" customHeight="1" x14ac:dyDescent="0.35">
      <c r="B34" s="82">
        <v>33</v>
      </c>
      <c r="C34" s="64" t="s">
        <v>344</v>
      </c>
    </row>
    <row r="35" spans="2:3" x14ac:dyDescent="0.35">
      <c r="B35" s="74">
        <v>34</v>
      </c>
      <c r="C35" s="5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52"/>
    <col min="2" max="2" width="12.26953125" style="52" customWidth="1"/>
    <col min="3" max="16384" width="9.1796875" style="52"/>
  </cols>
  <sheetData>
    <row r="2" spans="1:12" x14ac:dyDescent="0.35">
      <c r="B2" s="66" t="s">
        <v>306</v>
      </c>
      <c r="C2" s="261"/>
      <c r="D2" s="261"/>
    </row>
    <row r="3" spans="1:12" x14ac:dyDescent="0.35">
      <c r="D3" s="67"/>
      <c r="E3" s="67"/>
      <c r="F3" s="67"/>
      <c r="G3" s="67"/>
      <c r="H3" s="67"/>
      <c r="I3" s="67"/>
    </row>
    <row r="4" spans="1:12" x14ac:dyDescent="0.35">
      <c r="A4" s="66" t="s">
        <v>66</v>
      </c>
      <c r="B4" s="68" t="s">
        <v>307</v>
      </c>
      <c r="C4" s="262" t="s">
        <v>308</v>
      </c>
      <c r="D4" s="262"/>
      <c r="E4" s="262"/>
      <c r="F4" s="68"/>
      <c r="G4" s="263" t="s">
        <v>309</v>
      </c>
      <c r="H4" s="263"/>
      <c r="I4" s="263"/>
      <c r="J4" s="264" t="s">
        <v>310</v>
      </c>
      <c r="K4" s="264"/>
      <c r="L4" s="264"/>
    </row>
    <row r="5" spans="1:12" x14ac:dyDescent="0.35">
      <c r="A5" s="66"/>
      <c r="B5" s="68"/>
      <c r="C5" s="68" t="s">
        <v>311</v>
      </c>
      <c r="D5" s="68" t="s">
        <v>312</v>
      </c>
      <c r="E5" s="68" t="s">
        <v>313</v>
      </c>
      <c r="F5" s="68"/>
      <c r="G5" s="68" t="s">
        <v>311</v>
      </c>
      <c r="H5" s="68" t="s">
        <v>312</v>
      </c>
      <c r="I5" s="68" t="s">
        <v>313</v>
      </c>
      <c r="J5" s="68" t="s">
        <v>311</v>
      </c>
      <c r="K5" s="68" t="s">
        <v>312</v>
      </c>
      <c r="L5" s="68" t="s">
        <v>313</v>
      </c>
    </row>
    <row r="6" spans="1:12" x14ac:dyDescent="0.35">
      <c r="B6" s="53" t="s">
        <v>314</v>
      </c>
      <c r="C6" s="53"/>
      <c r="D6" s="53"/>
      <c r="E6" s="53">
        <f>C6*D6</f>
        <v>0</v>
      </c>
      <c r="F6" s="53" t="s">
        <v>331</v>
      </c>
      <c r="G6" s="53"/>
      <c r="H6" s="53"/>
      <c r="I6" s="53">
        <f>G6*H6</f>
        <v>0</v>
      </c>
      <c r="J6" s="53"/>
      <c r="K6" s="53"/>
      <c r="L6" s="53">
        <f>J6*K6</f>
        <v>0</v>
      </c>
    </row>
    <row r="7" spans="1:12" x14ac:dyDescent="0.35">
      <c r="B7" s="53"/>
      <c r="C7" s="53"/>
      <c r="D7" s="53"/>
      <c r="E7" s="53">
        <f t="shared" ref="E7:E41" si="0">C7*D7</f>
        <v>0</v>
      </c>
      <c r="F7" s="53" t="s">
        <v>331</v>
      </c>
      <c r="G7" s="53"/>
      <c r="H7" s="53"/>
      <c r="I7" s="53">
        <f t="shared" ref="I7:I35" si="1">G7*H7</f>
        <v>0</v>
      </c>
      <c r="J7" s="53"/>
      <c r="K7" s="53"/>
      <c r="L7" s="53">
        <f t="shared" ref="L7:L35" si="2">J7*K7</f>
        <v>0</v>
      </c>
    </row>
    <row r="8" spans="1:12" x14ac:dyDescent="0.35">
      <c r="B8" s="53"/>
      <c r="C8" s="53"/>
      <c r="D8" s="53"/>
      <c r="E8" s="53">
        <f t="shared" si="0"/>
        <v>0</v>
      </c>
      <c r="F8" s="53"/>
      <c r="G8" s="53"/>
      <c r="H8" s="53"/>
      <c r="I8" s="53">
        <f t="shared" si="1"/>
        <v>0</v>
      </c>
      <c r="J8" s="53"/>
      <c r="K8" s="53"/>
      <c r="L8" s="53">
        <f t="shared" si="2"/>
        <v>0</v>
      </c>
    </row>
    <row r="9" spans="1:12" x14ac:dyDescent="0.35">
      <c r="B9" s="53"/>
      <c r="C9" s="53"/>
      <c r="D9" s="53"/>
      <c r="E9" s="53">
        <f t="shared" si="0"/>
        <v>0</v>
      </c>
      <c r="F9" s="53" t="s">
        <v>315</v>
      </c>
      <c r="G9" s="53"/>
      <c r="H9" s="53"/>
      <c r="I9" s="53">
        <f t="shared" si="1"/>
        <v>0</v>
      </c>
      <c r="J9" s="53"/>
      <c r="K9" s="53"/>
      <c r="L9" s="53">
        <f t="shared" si="2"/>
        <v>0</v>
      </c>
    </row>
    <row r="10" spans="1:12" x14ac:dyDescent="0.35">
      <c r="B10" s="53" t="s">
        <v>316</v>
      </c>
      <c r="C10" s="53"/>
      <c r="D10" s="53"/>
      <c r="E10" s="53">
        <f t="shared" si="0"/>
        <v>0</v>
      </c>
      <c r="F10" s="53" t="s">
        <v>315</v>
      </c>
      <c r="G10" s="53"/>
      <c r="H10" s="53"/>
      <c r="I10" s="53">
        <f t="shared" si="1"/>
        <v>0</v>
      </c>
      <c r="J10" s="53"/>
      <c r="K10" s="53"/>
      <c r="L10" s="53">
        <f t="shared" si="2"/>
        <v>0</v>
      </c>
    </row>
    <row r="11" spans="1:12" x14ac:dyDescent="0.35">
      <c r="B11" s="53"/>
      <c r="C11" s="53"/>
      <c r="D11" s="53"/>
      <c r="E11" s="53">
        <f t="shared" si="0"/>
        <v>0</v>
      </c>
      <c r="F11" s="53" t="s">
        <v>317</v>
      </c>
      <c r="G11" s="53"/>
      <c r="H11" s="53"/>
      <c r="I11" s="53">
        <f t="shared" si="1"/>
        <v>0</v>
      </c>
      <c r="J11" s="53"/>
      <c r="K11" s="53"/>
      <c r="L11" s="53">
        <f t="shared" si="2"/>
        <v>0</v>
      </c>
    </row>
    <row r="12" spans="1:12" x14ac:dyDescent="0.35">
      <c r="B12" s="53"/>
      <c r="C12" s="53"/>
      <c r="D12" s="53"/>
      <c r="E12" s="53">
        <f t="shared" si="0"/>
        <v>0</v>
      </c>
      <c r="F12" s="53"/>
      <c r="G12" s="53"/>
      <c r="H12" s="53"/>
      <c r="I12" s="53">
        <f t="shared" si="1"/>
        <v>0</v>
      </c>
      <c r="J12" s="53"/>
      <c r="K12" s="53"/>
      <c r="L12" s="53">
        <f t="shared" si="2"/>
        <v>0</v>
      </c>
    </row>
    <row r="13" spans="1:12" x14ac:dyDescent="0.35">
      <c r="B13" s="53"/>
      <c r="C13" s="53"/>
      <c r="D13" s="53"/>
      <c r="E13" s="53">
        <f t="shared" si="0"/>
        <v>0</v>
      </c>
      <c r="F13" s="53"/>
      <c r="G13" s="53"/>
      <c r="H13" s="53"/>
      <c r="I13" s="53">
        <f t="shared" si="1"/>
        <v>0</v>
      </c>
      <c r="J13" s="53"/>
      <c r="K13" s="53"/>
      <c r="L13" s="53">
        <f t="shared" si="2"/>
        <v>0</v>
      </c>
    </row>
    <row r="14" spans="1:12" x14ac:dyDescent="0.35">
      <c r="B14" s="53" t="s">
        <v>318</v>
      </c>
      <c r="C14" s="53"/>
      <c r="D14" s="53"/>
      <c r="E14" s="53">
        <f t="shared" si="0"/>
        <v>0</v>
      </c>
      <c r="F14" s="53" t="s">
        <v>315</v>
      </c>
      <c r="G14" s="53"/>
      <c r="H14" s="53"/>
      <c r="I14" s="53">
        <f t="shared" si="1"/>
        <v>0</v>
      </c>
      <c r="J14" s="53"/>
      <c r="K14" s="53"/>
      <c r="L14" s="53">
        <f t="shared" si="2"/>
        <v>0</v>
      </c>
    </row>
    <row r="15" spans="1:12" x14ac:dyDescent="0.35">
      <c r="B15" s="53"/>
      <c r="C15" s="53"/>
      <c r="D15" s="53"/>
      <c r="E15" s="53">
        <f t="shared" si="0"/>
        <v>0</v>
      </c>
      <c r="F15" s="53" t="s">
        <v>317</v>
      </c>
      <c r="G15" s="53"/>
      <c r="H15" s="53"/>
      <c r="I15" s="53">
        <f t="shared" si="1"/>
        <v>0</v>
      </c>
      <c r="J15" s="53"/>
      <c r="K15" s="53"/>
      <c r="L15" s="53">
        <f t="shared" si="2"/>
        <v>0</v>
      </c>
    </row>
    <row r="16" spans="1:12" x14ac:dyDescent="0.35">
      <c r="B16" s="53"/>
      <c r="C16" s="53"/>
      <c r="D16" s="53"/>
      <c r="E16" s="53">
        <f t="shared" si="0"/>
        <v>0</v>
      </c>
      <c r="F16" s="53"/>
      <c r="G16" s="53"/>
      <c r="H16" s="53"/>
      <c r="I16" s="53">
        <f t="shared" si="1"/>
        <v>0</v>
      </c>
      <c r="J16" s="53"/>
      <c r="K16" s="53"/>
      <c r="L16" s="53">
        <f t="shared" si="2"/>
        <v>0</v>
      </c>
    </row>
    <row r="17" spans="2:12" x14ac:dyDescent="0.35">
      <c r="B17" s="53"/>
      <c r="C17" s="53"/>
      <c r="D17" s="53"/>
      <c r="E17" s="53">
        <f t="shared" si="0"/>
        <v>0</v>
      </c>
      <c r="F17" s="53"/>
      <c r="G17" s="53"/>
      <c r="H17" s="53"/>
      <c r="I17" s="53">
        <f t="shared" si="1"/>
        <v>0</v>
      </c>
      <c r="J17" s="53"/>
      <c r="K17" s="53"/>
      <c r="L17" s="53">
        <f t="shared" si="2"/>
        <v>0</v>
      </c>
    </row>
    <row r="18" spans="2:12" x14ac:dyDescent="0.35">
      <c r="B18" s="53" t="s">
        <v>319</v>
      </c>
      <c r="C18" s="53"/>
      <c r="D18" s="53"/>
      <c r="E18" s="53">
        <f t="shared" si="0"/>
        <v>0</v>
      </c>
      <c r="F18" s="53" t="s">
        <v>315</v>
      </c>
      <c r="G18" s="53"/>
      <c r="H18" s="53"/>
      <c r="I18" s="53">
        <f t="shared" si="1"/>
        <v>0</v>
      </c>
      <c r="J18" s="53"/>
      <c r="K18" s="53"/>
      <c r="L18" s="53">
        <f t="shared" si="2"/>
        <v>0</v>
      </c>
    </row>
    <row r="19" spans="2:12" x14ac:dyDescent="0.35">
      <c r="B19" s="53"/>
      <c r="C19" s="53"/>
      <c r="D19" s="53"/>
      <c r="E19" s="53">
        <f t="shared" si="0"/>
        <v>0</v>
      </c>
      <c r="F19" s="53" t="s">
        <v>317</v>
      </c>
      <c r="G19" s="53"/>
      <c r="H19" s="53"/>
      <c r="I19" s="53">
        <f t="shared" si="1"/>
        <v>0</v>
      </c>
      <c r="J19" s="53"/>
      <c r="K19" s="53"/>
      <c r="L19" s="53">
        <f t="shared" si="2"/>
        <v>0</v>
      </c>
    </row>
    <row r="20" spans="2:12" x14ac:dyDescent="0.35">
      <c r="B20" s="53"/>
      <c r="C20" s="53"/>
      <c r="D20" s="53"/>
      <c r="E20" s="53">
        <f t="shared" si="0"/>
        <v>0</v>
      </c>
      <c r="F20" s="53"/>
      <c r="G20" s="53"/>
      <c r="H20" s="53"/>
      <c r="I20" s="53">
        <f t="shared" si="1"/>
        <v>0</v>
      </c>
      <c r="J20" s="53"/>
      <c r="K20" s="53"/>
      <c r="L20" s="53">
        <f t="shared" si="2"/>
        <v>0</v>
      </c>
    </row>
    <row r="21" spans="2:12" x14ac:dyDescent="0.35">
      <c r="B21" s="53" t="s">
        <v>320</v>
      </c>
      <c r="C21" s="53"/>
      <c r="D21" s="53"/>
      <c r="E21" s="53">
        <f t="shared" si="0"/>
        <v>0</v>
      </c>
      <c r="F21" s="53" t="s">
        <v>315</v>
      </c>
      <c r="G21" s="53"/>
      <c r="H21" s="53"/>
      <c r="I21" s="53">
        <f t="shared" si="1"/>
        <v>0</v>
      </c>
      <c r="J21" s="53"/>
      <c r="K21" s="53"/>
      <c r="L21" s="53">
        <f t="shared" si="2"/>
        <v>0</v>
      </c>
    </row>
    <row r="22" spans="2:12" x14ac:dyDescent="0.35">
      <c r="B22" s="53"/>
      <c r="C22" s="53"/>
      <c r="D22" s="53"/>
      <c r="E22" s="53">
        <f t="shared" si="0"/>
        <v>0</v>
      </c>
      <c r="F22" s="53" t="s">
        <v>317</v>
      </c>
      <c r="G22" s="53"/>
      <c r="H22" s="53"/>
      <c r="I22" s="53">
        <f t="shared" si="1"/>
        <v>0</v>
      </c>
      <c r="J22" s="53"/>
      <c r="K22" s="53"/>
      <c r="L22" s="53">
        <f t="shared" si="2"/>
        <v>0</v>
      </c>
    </row>
    <row r="23" spans="2:12" x14ac:dyDescent="0.35">
      <c r="B23" s="53"/>
      <c r="C23" s="53"/>
      <c r="D23" s="53"/>
      <c r="E23" s="53">
        <f t="shared" si="0"/>
        <v>0</v>
      </c>
      <c r="F23" s="53"/>
      <c r="G23" s="53"/>
      <c r="H23" s="53"/>
      <c r="I23" s="53">
        <f t="shared" si="1"/>
        <v>0</v>
      </c>
      <c r="J23" s="53"/>
      <c r="K23" s="53"/>
      <c r="L23" s="53">
        <f t="shared" si="2"/>
        <v>0</v>
      </c>
    </row>
    <row r="24" spans="2:12" x14ac:dyDescent="0.35">
      <c r="B24" s="53" t="s">
        <v>321</v>
      </c>
      <c r="C24" s="53"/>
      <c r="D24" s="53"/>
      <c r="E24" s="53">
        <f t="shared" si="0"/>
        <v>0</v>
      </c>
      <c r="F24" s="53" t="s">
        <v>322</v>
      </c>
      <c r="G24" s="53"/>
      <c r="H24" s="53"/>
      <c r="I24" s="53">
        <f t="shared" si="1"/>
        <v>0</v>
      </c>
      <c r="J24" s="53"/>
      <c r="K24" s="53"/>
      <c r="L24" s="53">
        <f t="shared" si="2"/>
        <v>0</v>
      </c>
    </row>
    <row r="25" spans="2:12" x14ac:dyDescent="0.35">
      <c r="B25" s="53"/>
      <c r="C25" s="53"/>
      <c r="D25" s="53"/>
      <c r="E25" s="53">
        <f t="shared" ref="E25:E27" si="3">C25*D25</f>
        <v>0</v>
      </c>
      <c r="F25" s="53" t="s">
        <v>322</v>
      </c>
      <c r="G25" s="53"/>
      <c r="H25" s="53"/>
      <c r="I25" s="53">
        <f t="shared" ref="I25:I27" si="4">G25*H25</f>
        <v>0</v>
      </c>
      <c r="J25" s="53"/>
      <c r="K25" s="53"/>
      <c r="L25" s="53">
        <f t="shared" ref="L25:L27" si="5">J25*K25</f>
        <v>0</v>
      </c>
    </row>
    <row r="26" spans="2:12" x14ac:dyDescent="0.35">
      <c r="B26" s="53"/>
      <c r="C26" s="53"/>
      <c r="D26" s="53"/>
      <c r="E26" s="53">
        <f t="shared" si="3"/>
        <v>0</v>
      </c>
      <c r="F26" s="53" t="s">
        <v>322</v>
      </c>
      <c r="G26" s="53"/>
      <c r="H26" s="53"/>
      <c r="I26" s="53">
        <f t="shared" si="4"/>
        <v>0</v>
      </c>
      <c r="J26" s="53"/>
      <c r="K26" s="53"/>
      <c r="L26" s="53">
        <f t="shared" si="5"/>
        <v>0</v>
      </c>
    </row>
    <row r="27" spans="2:12" x14ac:dyDescent="0.35">
      <c r="B27" s="53"/>
      <c r="C27" s="53"/>
      <c r="D27" s="53"/>
      <c r="E27" s="53">
        <f t="shared" si="3"/>
        <v>0</v>
      </c>
      <c r="F27" s="53" t="s">
        <v>322</v>
      </c>
      <c r="G27" s="53"/>
      <c r="H27" s="53"/>
      <c r="I27" s="53">
        <f t="shared" si="4"/>
        <v>0</v>
      </c>
      <c r="J27" s="53"/>
      <c r="K27" s="53"/>
      <c r="L27" s="53">
        <f t="shared" si="5"/>
        <v>0</v>
      </c>
    </row>
    <row r="28" spans="2:12" x14ac:dyDescent="0.35">
      <c r="B28" s="53" t="s">
        <v>323</v>
      </c>
      <c r="C28" s="53"/>
      <c r="D28" s="53"/>
      <c r="E28" s="53">
        <f t="shared" si="0"/>
        <v>0</v>
      </c>
      <c r="F28" s="53" t="s">
        <v>322</v>
      </c>
      <c r="G28" s="53"/>
      <c r="H28" s="53"/>
      <c r="I28" s="53">
        <f t="shared" si="1"/>
        <v>0</v>
      </c>
      <c r="J28" s="53"/>
      <c r="K28" s="53"/>
      <c r="L28" s="53">
        <f t="shared" si="2"/>
        <v>0</v>
      </c>
    </row>
    <row r="29" spans="2:12" x14ac:dyDescent="0.35">
      <c r="B29" s="53" t="s">
        <v>324</v>
      </c>
      <c r="C29" s="53"/>
      <c r="D29" s="53"/>
      <c r="E29" s="53">
        <f t="shared" si="0"/>
        <v>0</v>
      </c>
      <c r="F29" s="53" t="s">
        <v>322</v>
      </c>
      <c r="G29" s="53"/>
      <c r="H29" s="53"/>
      <c r="I29" s="53">
        <f t="shared" si="1"/>
        <v>0</v>
      </c>
      <c r="J29" s="53"/>
      <c r="K29" s="53"/>
      <c r="L29" s="53">
        <f t="shared" si="2"/>
        <v>0</v>
      </c>
    </row>
    <row r="30" spans="2:12" x14ac:dyDescent="0.35">
      <c r="B30" s="53" t="s">
        <v>328</v>
      </c>
      <c r="C30" s="53"/>
      <c r="D30" s="53"/>
      <c r="E30" s="53">
        <f t="shared" si="0"/>
        <v>0</v>
      </c>
      <c r="F30" s="53"/>
      <c r="G30" s="53"/>
      <c r="H30" s="53"/>
      <c r="I30" s="53">
        <f t="shared" si="1"/>
        <v>0</v>
      </c>
      <c r="J30" s="53"/>
      <c r="K30" s="53"/>
      <c r="L30" s="53">
        <f t="shared" si="2"/>
        <v>0</v>
      </c>
    </row>
    <row r="31" spans="2:12" x14ac:dyDescent="0.35">
      <c r="B31" s="53"/>
      <c r="C31" s="53"/>
      <c r="D31" s="53"/>
      <c r="E31" s="53">
        <f t="shared" ref="E31:E32" si="6">C31*D31</f>
        <v>0</v>
      </c>
      <c r="F31" s="53"/>
      <c r="G31" s="53"/>
      <c r="H31" s="53"/>
      <c r="I31" s="53">
        <f t="shared" ref="I31:I32" si="7">G31*H31</f>
        <v>0</v>
      </c>
      <c r="J31" s="53"/>
      <c r="K31" s="53"/>
      <c r="L31" s="53">
        <f t="shared" ref="L31:L32" si="8">J31*K31</f>
        <v>0</v>
      </c>
    </row>
    <row r="32" spans="2:12" x14ac:dyDescent="0.35">
      <c r="B32" s="53"/>
      <c r="C32" s="53"/>
      <c r="D32" s="53"/>
      <c r="E32" s="53">
        <f t="shared" si="6"/>
        <v>0</v>
      </c>
      <c r="F32" s="53"/>
      <c r="G32" s="53"/>
      <c r="H32" s="53"/>
      <c r="I32" s="53">
        <f t="shared" si="7"/>
        <v>0</v>
      </c>
      <c r="J32" s="53"/>
      <c r="K32" s="53"/>
      <c r="L32" s="53">
        <f t="shared" si="8"/>
        <v>0</v>
      </c>
    </row>
    <row r="33" spans="2:12" x14ac:dyDescent="0.35">
      <c r="B33" s="53" t="s">
        <v>325</v>
      </c>
      <c r="C33" s="53"/>
      <c r="D33" s="53"/>
      <c r="E33" s="53">
        <f t="shared" si="0"/>
        <v>0</v>
      </c>
      <c r="F33" s="53"/>
      <c r="G33" s="53"/>
      <c r="H33" s="53"/>
      <c r="I33" s="53">
        <f t="shared" si="1"/>
        <v>0</v>
      </c>
      <c r="J33" s="53"/>
      <c r="K33" s="53"/>
      <c r="L33" s="53">
        <f t="shared" si="2"/>
        <v>0</v>
      </c>
    </row>
    <row r="34" spans="2:12" x14ac:dyDescent="0.35">
      <c r="B34" s="53" t="s">
        <v>329</v>
      </c>
      <c r="C34" s="53"/>
      <c r="D34" s="53"/>
      <c r="E34" s="53">
        <f t="shared" si="0"/>
        <v>0</v>
      </c>
      <c r="F34" s="53"/>
      <c r="G34" s="53"/>
      <c r="H34" s="53"/>
      <c r="I34" s="53">
        <f t="shared" si="1"/>
        <v>0</v>
      </c>
      <c r="J34" s="53"/>
      <c r="K34" s="53"/>
      <c r="L34" s="53">
        <f t="shared" si="2"/>
        <v>0</v>
      </c>
    </row>
    <row r="35" spans="2:12" x14ac:dyDescent="0.35">
      <c r="B35" s="53" t="s">
        <v>326</v>
      </c>
      <c r="C35" s="53"/>
      <c r="D35" s="53"/>
      <c r="E35" s="53">
        <f t="shared" si="0"/>
        <v>0</v>
      </c>
      <c r="F35" s="53"/>
      <c r="G35" s="53"/>
      <c r="H35" s="53"/>
      <c r="I35" s="53">
        <f t="shared" si="1"/>
        <v>0</v>
      </c>
      <c r="J35" s="53"/>
      <c r="K35" s="53"/>
      <c r="L35" s="53">
        <f t="shared" si="2"/>
        <v>0</v>
      </c>
    </row>
    <row r="36" spans="2:12" x14ac:dyDescent="0.35">
      <c r="B36" s="53" t="s">
        <v>327</v>
      </c>
      <c r="C36" s="53"/>
      <c r="D36" s="53"/>
      <c r="E36" s="53">
        <f t="shared" si="0"/>
        <v>0</v>
      </c>
      <c r="F36" s="53"/>
      <c r="G36" s="53"/>
      <c r="H36" s="53"/>
      <c r="I36" s="53">
        <f>G36*H36</f>
        <v>0</v>
      </c>
      <c r="J36" s="53"/>
      <c r="K36" s="53"/>
      <c r="L36" s="53">
        <f>J36*K36</f>
        <v>0</v>
      </c>
    </row>
    <row r="37" spans="2:12" x14ac:dyDescent="0.35">
      <c r="B37" s="53"/>
      <c r="C37" s="53"/>
      <c r="D37" s="53"/>
      <c r="E37" s="53">
        <f t="shared" ref="E37:E38" si="9">C37*D37</f>
        <v>0</v>
      </c>
      <c r="F37" s="53"/>
      <c r="G37" s="53"/>
      <c r="H37" s="53"/>
      <c r="I37" s="53">
        <f t="shared" ref="I37:I38" si="10">G37*H37</f>
        <v>0</v>
      </c>
      <c r="J37" s="53"/>
      <c r="K37" s="53"/>
      <c r="L37" s="53">
        <f t="shared" ref="L37:L38" si="11">J37*K37</f>
        <v>0</v>
      </c>
    </row>
    <row r="38" spans="2:12" x14ac:dyDescent="0.35">
      <c r="B38" s="53" t="s">
        <v>330</v>
      </c>
      <c r="C38" s="53"/>
      <c r="D38" s="53"/>
      <c r="E38" s="53">
        <f t="shared" si="9"/>
        <v>0</v>
      </c>
      <c r="F38" s="53"/>
      <c r="G38" s="53"/>
      <c r="H38" s="53"/>
      <c r="I38" s="53">
        <f t="shared" si="10"/>
        <v>0</v>
      </c>
      <c r="J38" s="53"/>
      <c r="K38" s="53"/>
      <c r="L38" s="53">
        <f t="shared" si="11"/>
        <v>0</v>
      </c>
    </row>
    <row r="39" spans="2:12" x14ac:dyDescent="0.35">
      <c r="B39" s="53"/>
      <c r="C39" s="53"/>
      <c r="D39" s="53"/>
      <c r="E39" s="53">
        <f t="shared" si="0"/>
        <v>0</v>
      </c>
      <c r="F39" s="53"/>
      <c r="G39" s="53"/>
      <c r="H39" s="53"/>
      <c r="I39" s="53">
        <f>G39*H39</f>
        <v>0</v>
      </c>
      <c r="J39" s="53"/>
      <c r="K39" s="53"/>
      <c r="L39" s="53">
        <f>J39*K39</f>
        <v>0</v>
      </c>
    </row>
    <row r="40" spans="2:12" x14ac:dyDescent="0.35">
      <c r="B40" s="53"/>
      <c r="C40" s="53"/>
      <c r="D40" s="53"/>
      <c r="E40" s="53">
        <f t="shared" si="0"/>
        <v>0</v>
      </c>
      <c r="F40" s="53"/>
      <c r="G40" s="53"/>
      <c r="H40" s="53"/>
      <c r="I40" s="53">
        <f>G40*H40</f>
        <v>0</v>
      </c>
      <c r="J40" s="53"/>
      <c r="K40" s="53"/>
      <c r="L40" s="53">
        <f>J40*K40</f>
        <v>0</v>
      </c>
    </row>
    <row r="41" spans="2:12" x14ac:dyDescent="0.35">
      <c r="B41" s="53"/>
      <c r="C41" s="53"/>
      <c r="D41" s="53"/>
      <c r="E41" s="53">
        <f t="shared" si="0"/>
        <v>0</v>
      </c>
      <c r="F41" s="53"/>
      <c r="G41" s="53"/>
      <c r="H41" s="53"/>
      <c r="I41" s="53">
        <f>G41*H41</f>
        <v>0</v>
      </c>
      <c r="J41" s="53"/>
      <c r="K41" s="53"/>
      <c r="L41" s="53">
        <f>J41*K41</f>
        <v>0</v>
      </c>
    </row>
    <row r="42" spans="2:12" x14ac:dyDescent="0.35">
      <c r="B42" s="53" t="s">
        <v>150</v>
      </c>
      <c r="C42" s="53"/>
      <c r="D42" s="53">
        <f>E42*10.764</f>
        <v>0</v>
      </c>
      <c r="E42" s="71">
        <f>SUM(E6:E41)</f>
        <v>0</v>
      </c>
      <c r="F42" s="53"/>
      <c r="G42" s="53"/>
      <c r="H42" s="53">
        <f>I42*10.764</f>
        <v>0</v>
      </c>
      <c r="I42" s="70">
        <f>SUM(I6:I41)</f>
        <v>0</v>
      </c>
      <c r="J42" s="53"/>
      <c r="K42" s="53">
        <f>L42*10.764</f>
        <v>0</v>
      </c>
      <c r="L42" s="69">
        <f>SUM(L6:L41)</f>
        <v>0</v>
      </c>
    </row>
    <row r="44" spans="2:12" x14ac:dyDescent="0.35">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2024-11-28T09:41:00Z</cp:lastPrinted>
  <dcterms:created xsi:type="dcterms:W3CDTF">2019-07-16T09:29:46Z</dcterms:created>
  <dcterms:modified xsi:type="dcterms:W3CDTF">2025-07-23T12:33:42Z</dcterms:modified>
</cp:coreProperties>
</file>