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3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1" i="1" l="1"/>
  <c r="F262" i="1"/>
  <c r="F263" i="1"/>
  <c r="F264" i="1"/>
  <c r="N264" i="1" s="1"/>
  <c r="F265" i="1"/>
  <c r="F266" i="1"/>
  <c r="F267" i="1"/>
  <c r="F260" i="1"/>
  <c r="F258" i="1"/>
  <c r="F257" i="1"/>
  <c r="F252" i="1"/>
  <c r="F253" i="1"/>
  <c r="F254" i="1"/>
  <c r="F255" i="1"/>
  <c r="F251" i="1"/>
  <c r="F243" i="1"/>
  <c r="F244" i="1"/>
  <c r="F245" i="1"/>
  <c r="F246" i="1"/>
  <c r="F247" i="1"/>
  <c r="F248" i="1"/>
  <c r="F249" i="1"/>
  <c r="F242" i="1"/>
  <c r="N242" i="1" s="1"/>
  <c r="F240" i="1"/>
  <c r="N240" i="1" s="1"/>
  <c r="F239" i="1"/>
  <c r="N239" i="1" s="1"/>
  <c r="F234" i="1"/>
  <c r="F235" i="1"/>
  <c r="F236" i="1"/>
  <c r="F237" i="1"/>
  <c r="N237" i="1" s="1"/>
  <c r="F233" i="1"/>
  <c r="N233" i="1" s="1"/>
  <c r="F225" i="1"/>
  <c r="F226" i="1"/>
  <c r="F227" i="1"/>
  <c r="F228" i="1"/>
  <c r="F229" i="1"/>
  <c r="F230" i="1"/>
  <c r="F231" i="1"/>
  <c r="F224" i="1"/>
  <c r="N224" i="1" s="1"/>
  <c r="F216" i="1"/>
  <c r="F217" i="1"/>
  <c r="F218" i="1"/>
  <c r="F219" i="1"/>
  <c r="F220" i="1"/>
  <c r="F221" i="1"/>
  <c r="F222" i="1"/>
  <c r="F215" i="1"/>
  <c r="N215" i="1" s="1"/>
  <c r="F207" i="1"/>
  <c r="F208" i="1"/>
  <c r="F209" i="1"/>
  <c r="F210" i="1"/>
  <c r="F211" i="1"/>
  <c r="F206" i="1"/>
  <c r="F204" i="1"/>
  <c r="F203" i="1"/>
  <c r="N203" i="1" s="1"/>
  <c r="F194" i="1"/>
  <c r="F195" i="1"/>
  <c r="F196" i="1"/>
  <c r="F197" i="1"/>
  <c r="F198" i="1"/>
  <c r="F199" i="1"/>
  <c r="F200" i="1"/>
  <c r="F201" i="1"/>
  <c r="F193" i="1"/>
  <c r="F187" i="1"/>
  <c r="F188" i="1"/>
  <c r="F189" i="1"/>
  <c r="F190" i="1"/>
  <c r="N190" i="1" s="1"/>
  <c r="F191" i="1"/>
  <c r="F186" i="1"/>
  <c r="N186" i="1" s="1"/>
  <c r="F184" i="1"/>
  <c r="N184" i="1" s="1"/>
  <c r="F183" i="1"/>
  <c r="F174" i="1"/>
  <c r="F175" i="1"/>
  <c r="F176" i="1"/>
  <c r="N176" i="1" s="1"/>
  <c r="F177" i="1"/>
  <c r="N177" i="1" s="1"/>
  <c r="F178" i="1"/>
  <c r="F179" i="1"/>
  <c r="F180" i="1"/>
  <c r="N180" i="1" s="1"/>
  <c r="F181" i="1"/>
  <c r="N181" i="1" s="1"/>
  <c r="F173" i="1"/>
  <c r="N173" i="1" s="1"/>
  <c r="F167" i="1"/>
  <c r="N167" i="1" s="1"/>
  <c r="F168" i="1"/>
  <c r="N168" i="1" s="1"/>
  <c r="F169" i="1"/>
  <c r="F170" i="1"/>
  <c r="F171" i="1"/>
  <c r="N171" i="1" s="1"/>
  <c r="F166" i="1"/>
  <c r="F164" i="1"/>
  <c r="N164" i="1" s="1"/>
  <c r="F163" i="1"/>
  <c r="F154" i="1"/>
  <c r="F155" i="1"/>
  <c r="F156" i="1"/>
  <c r="N156" i="1" s="1"/>
  <c r="F157" i="1"/>
  <c r="N157" i="1" s="1"/>
  <c r="F158" i="1"/>
  <c r="F159" i="1"/>
  <c r="F160" i="1"/>
  <c r="N160" i="1" s="1"/>
  <c r="F161" i="1"/>
  <c r="N161" i="1" s="1"/>
  <c r="F153" i="1"/>
  <c r="N153" i="1" s="1"/>
  <c r="F144" i="1"/>
  <c r="F145" i="1"/>
  <c r="F146" i="1"/>
  <c r="F147" i="1"/>
  <c r="N147" i="1" s="1"/>
  <c r="F148" i="1"/>
  <c r="F149" i="1"/>
  <c r="F150" i="1"/>
  <c r="F151" i="1"/>
  <c r="N151" i="1" s="1"/>
  <c r="F143" i="1"/>
  <c r="N143" i="1" s="1"/>
  <c r="N134" i="1"/>
  <c r="N135" i="1"/>
  <c r="N136" i="1"/>
  <c r="N137" i="1"/>
  <c r="N138" i="1"/>
  <c r="N139" i="1"/>
  <c r="N140" i="1"/>
  <c r="N141" i="1"/>
  <c r="N142" i="1"/>
  <c r="N144" i="1"/>
  <c r="N145" i="1"/>
  <c r="N146" i="1"/>
  <c r="N148" i="1"/>
  <c r="N149" i="1"/>
  <c r="N150" i="1"/>
  <c r="N152" i="1"/>
  <c r="N154" i="1"/>
  <c r="N155" i="1"/>
  <c r="N158" i="1"/>
  <c r="N159" i="1"/>
  <c r="N162" i="1"/>
  <c r="N163" i="1"/>
  <c r="N165" i="1"/>
  <c r="N166" i="1"/>
  <c r="N169" i="1"/>
  <c r="N170" i="1"/>
  <c r="N172" i="1"/>
  <c r="N174" i="1"/>
  <c r="N175" i="1"/>
  <c r="N178" i="1"/>
  <c r="N179" i="1"/>
  <c r="N182" i="1"/>
  <c r="N183" i="1"/>
  <c r="N185" i="1"/>
  <c r="N187" i="1"/>
  <c r="N188" i="1"/>
  <c r="N189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4" i="1"/>
  <c r="N205" i="1"/>
  <c r="N206" i="1"/>
  <c r="N207" i="1"/>
  <c r="N208" i="1"/>
  <c r="N209" i="1"/>
  <c r="N210" i="1"/>
  <c r="N211" i="1"/>
  <c r="N212" i="1"/>
  <c r="N213" i="1"/>
  <c r="N214" i="1"/>
  <c r="N216" i="1"/>
  <c r="N217" i="1"/>
  <c r="N218" i="1"/>
  <c r="N219" i="1"/>
  <c r="N220" i="1"/>
  <c r="N221" i="1"/>
  <c r="N222" i="1"/>
  <c r="N223" i="1"/>
  <c r="N225" i="1"/>
  <c r="N226" i="1"/>
  <c r="N227" i="1"/>
  <c r="N228" i="1"/>
  <c r="N229" i="1"/>
  <c r="N230" i="1"/>
  <c r="N231" i="1"/>
  <c r="N232" i="1"/>
  <c r="N234" i="1"/>
  <c r="N235" i="1"/>
  <c r="N236" i="1"/>
  <c r="N238" i="1"/>
  <c r="N241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5" i="1"/>
  <c r="N266" i="1"/>
  <c r="N267" i="1"/>
  <c r="N133" i="1"/>
  <c r="F134" i="1"/>
  <c r="F135" i="1"/>
  <c r="F136" i="1"/>
  <c r="F137" i="1"/>
  <c r="F138" i="1"/>
  <c r="F139" i="1"/>
  <c r="F140" i="1"/>
  <c r="F141" i="1"/>
  <c r="F133" i="1"/>
  <c r="J126" i="1"/>
  <c r="F126" i="1"/>
  <c r="E117" i="1" l="1"/>
  <c r="C119" i="1"/>
  <c r="C117" i="1"/>
  <c r="G117" i="1"/>
  <c r="G173" i="1"/>
  <c r="G174" i="1" s="1"/>
  <c r="G175" i="1" s="1"/>
  <c r="G176" i="1" s="1"/>
  <c r="G177" i="1" s="1"/>
  <c r="G178" i="1" s="1"/>
  <c r="G179" i="1" s="1"/>
  <c r="G180" i="1" s="1"/>
  <c r="G181" i="1" s="1"/>
  <c r="E178" i="1"/>
  <c r="A261" i="1" l="1"/>
  <c r="A262" i="1" s="1"/>
  <c r="A263" i="1" s="1"/>
  <c r="A264" i="1" s="1"/>
  <c r="A265" i="1" s="1"/>
  <c r="A266" i="1" s="1"/>
  <c r="A267" i="1" s="1"/>
  <c r="A252" i="1"/>
  <c r="A253" i="1" s="1"/>
  <c r="A254" i="1" s="1"/>
  <c r="A255" i="1" s="1"/>
  <c r="A256" i="1" s="1"/>
  <c r="A257" i="1" s="1"/>
  <c r="A258" i="1" s="1"/>
  <c r="A243" i="1"/>
  <c r="A244" i="1" s="1"/>
  <c r="A245" i="1" s="1"/>
  <c r="A246" i="1" s="1"/>
  <c r="A247" i="1" s="1"/>
  <c r="A248" i="1" s="1"/>
  <c r="A249" i="1" s="1"/>
  <c r="A234" i="1"/>
  <c r="A235" i="1" s="1"/>
  <c r="A236" i="1" s="1"/>
  <c r="A237" i="1" s="1"/>
  <c r="A238" i="1" s="1"/>
  <c r="A239" i="1" s="1"/>
  <c r="A240" i="1" s="1"/>
  <c r="A225" i="1"/>
  <c r="A226" i="1" s="1"/>
  <c r="A227" i="1" s="1"/>
  <c r="A228" i="1" s="1"/>
  <c r="A229" i="1" s="1"/>
  <c r="A230" i="1" s="1"/>
  <c r="A231" i="1" s="1"/>
  <c r="D211" i="1"/>
  <c r="D210" i="1"/>
  <c r="D209" i="1"/>
  <c r="D208" i="1"/>
  <c r="D207" i="1"/>
  <c r="I207" i="1" s="1"/>
  <c r="D206" i="1"/>
  <c r="D204" i="1"/>
  <c r="I204" i="1" s="1"/>
  <c r="G203" i="1"/>
  <c r="D203" i="1"/>
  <c r="D178" i="1"/>
  <c r="D143" i="1"/>
  <c r="G143" i="1"/>
  <c r="G144" i="1" s="1"/>
  <c r="G145" i="1" s="1"/>
  <c r="G146" i="1" s="1"/>
  <c r="G147" i="1" s="1"/>
  <c r="G148" i="1" s="1"/>
  <c r="G149" i="1" s="1"/>
  <c r="G150" i="1" s="1"/>
  <c r="G151" i="1" s="1"/>
  <c r="D144" i="1"/>
  <c r="D145" i="1"/>
  <c r="D146" i="1"/>
  <c r="D147" i="1"/>
  <c r="E147" i="1"/>
  <c r="D148" i="1"/>
  <c r="E148" i="1"/>
  <c r="D149" i="1"/>
  <c r="D150" i="1"/>
  <c r="D151" i="1"/>
  <c r="D153" i="1"/>
  <c r="I153" i="1" s="1"/>
  <c r="D154" i="1"/>
  <c r="D155" i="1"/>
  <c r="I155" i="1" s="1"/>
  <c r="D156" i="1"/>
  <c r="I156" i="1" s="1"/>
  <c r="D157" i="1"/>
  <c r="D158" i="1"/>
  <c r="I158" i="1" s="1"/>
  <c r="D159" i="1"/>
  <c r="D160" i="1"/>
  <c r="D161" i="1"/>
  <c r="I161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33" i="1"/>
  <c r="J133" i="1"/>
  <c r="I133" i="1"/>
  <c r="D133" i="1"/>
  <c r="D134" i="1"/>
  <c r="D135" i="1"/>
  <c r="D136" i="1"/>
  <c r="D137" i="1"/>
  <c r="D138" i="1"/>
  <c r="D139" i="1"/>
  <c r="D140" i="1"/>
  <c r="D141" i="1"/>
  <c r="D267" i="1"/>
  <c r="I267" i="1" s="1"/>
  <c r="D266" i="1"/>
  <c r="D265" i="1"/>
  <c r="I265" i="1" s="1"/>
  <c r="D264" i="1"/>
  <c r="D263" i="1"/>
  <c r="I263" i="1" s="1"/>
  <c r="D262" i="1"/>
  <c r="I262" i="1" s="1"/>
  <c r="D261" i="1"/>
  <c r="I261" i="1" s="1"/>
  <c r="G260" i="1"/>
  <c r="G261" i="1" s="1"/>
  <c r="G262" i="1" s="1"/>
  <c r="G263" i="1" s="1"/>
  <c r="G264" i="1" s="1"/>
  <c r="G265" i="1" s="1"/>
  <c r="G266" i="1" s="1"/>
  <c r="G267" i="1" s="1"/>
  <c r="D260" i="1"/>
  <c r="I260" i="1" s="1"/>
  <c r="D258" i="1"/>
  <c r="D257" i="1"/>
  <c r="D255" i="1"/>
  <c r="D254" i="1"/>
  <c r="D253" i="1"/>
  <c r="D252" i="1"/>
  <c r="G251" i="1"/>
  <c r="G252" i="1" s="1"/>
  <c r="G253" i="1" s="1"/>
  <c r="G254" i="1" s="1"/>
  <c r="G255" i="1" s="1"/>
  <c r="G256" i="1" s="1"/>
  <c r="G257" i="1" s="1"/>
  <c r="G258" i="1" s="1"/>
  <c r="D251" i="1"/>
  <c r="D249" i="1"/>
  <c r="D248" i="1"/>
  <c r="D247" i="1"/>
  <c r="D246" i="1"/>
  <c r="D245" i="1"/>
  <c r="E244" i="1"/>
  <c r="D244" i="1"/>
  <c r="E243" i="1"/>
  <c r="D243" i="1"/>
  <c r="G242" i="1"/>
  <c r="G243" i="1" s="1"/>
  <c r="G244" i="1" s="1"/>
  <c r="G245" i="1" s="1"/>
  <c r="G246" i="1" s="1"/>
  <c r="G247" i="1" s="1"/>
  <c r="G248" i="1" s="1"/>
  <c r="G249" i="1" s="1"/>
  <c r="D242" i="1"/>
  <c r="D240" i="1"/>
  <c r="D239" i="1"/>
  <c r="I239" i="1" s="1"/>
  <c r="D237" i="1"/>
  <c r="D236" i="1"/>
  <c r="D235" i="1"/>
  <c r="D234" i="1"/>
  <c r="G233" i="1"/>
  <c r="G234" i="1" s="1"/>
  <c r="G235" i="1" s="1"/>
  <c r="G236" i="1" s="1"/>
  <c r="G237" i="1" s="1"/>
  <c r="G238" i="1" s="1"/>
  <c r="G239" i="1" s="1"/>
  <c r="G240" i="1" s="1"/>
  <c r="D233" i="1"/>
  <c r="D231" i="1"/>
  <c r="D230" i="1"/>
  <c r="D229" i="1"/>
  <c r="D228" i="1"/>
  <c r="D227" i="1"/>
  <c r="D226" i="1"/>
  <c r="D225" i="1"/>
  <c r="G224" i="1"/>
  <c r="G225" i="1" s="1"/>
  <c r="G226" i="1" s="1"/>
  <c r="G227" i="1" s="1"/>
  <c r="G228" i="1" s="1"/>
  <c r="G229" i="1" s="1"/>
  <c r="G230" i="1" s="1"/>
  <c r="G231" i="1" s="1"/>
  <c r="D224" i="1"/>
  <c r="D222" i="1"/>
  <c r="D221" i="1"/>
  <c r="E220" i="1"/>
  <c r="D220" i="1"/>
  <c r="E219" i="1"/>
  <c r="D219" i="1"/>
  <c r="E218" i="1"/>
  <c r="D218" i="1"/>
  <c r="E217" i="1"/>
  <c r="D217" i="1"/>
  <c r="E216" i="1"/>
  <c r="D216" i="1"/>
  <c r="A216" i="1"/>
  <c r="A217" i="1" s="1"/>
  <c r="A218" i="1" s="1"/>
  <c r="A219" i="1" s="1"/>
  <c r="A220" i="1" s="1"/>
  <c r="A221" i="1" s="1"/>
  <c r="A222" i="1" s="1"/>
  <c r="G215" i="1"/>
  <c r="E215" i="1"/>
  <c r="D215" i="1"/>
  <c r="D201" i="1"/>
  <c r="D200" i="1"/>
  <c r="D199" i="1"/>
  <c r="D198" i="1"/>
  <c r="D197" i="1"/>
  <c r="D196" i="1"/>
  <c r="D195" i="1"/>
  <c r="D194" i="1"/>
  <c r="G193" i="1"/>
  <c r="D193" i="1"/>
  <c r="D191" i="1"/>
  <c r="D190" i="1"/>
  <c r="D189" i="1"/>
  <c r="D188" i="1"/>
  <c r="D187" i="1"/>
  <c r="I187" i="1" s="1"/>
  <c r="D186" i="1"/>
  <c r="D184" i="1"/>
  <c r="I184" i="1" s="1"/>
  <c r="G183" i="1"/>
  <c r="G184" i="1" s="1"/>
  <c r="G185" i="1" s="1"/>
  <c r="G186" i="1" s="1"/>
  <c r="G187" i="1" s="1"/>
  <c r="G188" i="1" s="1"/>
  <c r="G189" i="1" s="1"/>
  <c r="G190" i="1" s="1"/>
  <c r="G191" i="1" s="1"/>
  <c r="D183" i="1"/>
  <c r="D181" i="1"/>
  <c r="D180" i="1"/>
  <c r="I180" i="1" s="1"/>
  <c r="D179" i="1"/>
  <c r="D177" i="1"/>
  <c r="D176" i="1"/>
  <c r="D175" i="1"/>
  <c r="D174" i="1"/>
  <c r="D173" i="1"/>
  <c r="D171" i="1"/>
  <c r="D170" i="1"/>
  <c r="D169" i="1"/>
  <c r="D168" i="1"/>
  <c r="D167" i="1"/>
  <c r="D166" i="1"/>
  <c r="D164" i="1"/>
  <c r="G163" i="1"/>
  <c r="G164" i="1" s="1"/>
  <c r="G165" i="1" s="1"/>
  <c r="G166" i="1" s="1"/>
  <c r="G167" i="1" s="1"/>
  <c r="G168" i="1" s="1"/>
  <c r="G169" i="1" s="1"/>
  <c r="G170" i="1" s="1"/>
  <c r="G171" i="1" s="1"/>
  <c r="D163" i="1"/>
  <c r="G153" i="1"/>
  <c r="G154" i="1" s="1"/>
  <c r="G155" i="1" s="1"/>
  <c r="G156" i="1" s="1"/>
  <c r="G157" i="1" s="1"/>
  <c r="G158" i="1" s="1"/>
  <c r="G159" i="1" s="1"/>
  <c r="G160" i="1" s="1"/>
  <c r="G161" i="1" s="1"/>
  <c r="E141" i="1"/>
  <c r="E140" i="1"/>
  <c r="E139" i="1"/>
  <c r="E138" i="1"/>
  <c r="E137" i="1"/>
  <c r="E136" i="1"/>
  <c r="E135" i="1"/>
  <c r="I134" i="1"/>
  <c r="G133" i="1"/>
  <c r="G126" i="1"/>
  <c r="D126" i="1"/>
  <c r="L133" i="1" l="1"/>
  <c r="I215" i="1"/>
  <c r="E114" i="1"/>
  <c r="C114" i="1"/>
  <c r="G114" i="1"/>
  <c r="E118" i="1"/>
  <c r="C118" i="1"/>
  <c r="G118" i="1" l="1"/>
  <c r="E119" i="1"/>
  <c r="K114" i="1" s="1"/>
  <c r="G119" i="1" l="1"/>
  <c r="J114" i="1" s="1"/>
  <c r="J79" i="1"/>
  <c r="J78" i="1"/>
  <c r="J77" i="1"/>
  <c r="J76" i="1"/>
  <c r="H67" i="1"/>
  <c r="J73" i="1" l="1"/>
  <c r="C72" i="1" s="1"/>
  <c r="D72" i="1" s="1"/>
  <c r="J71" i="1"/>
  <c r="D74" i="1"/>
  <c r="D81" i="1"/>
  <c r="D77" i="1"/>
  <c r="J74" i="1"/>
  <c r="J75" i="1" s="1"/>
  <c r="J80" i="1" s="1"/>
  <c r="J81" i="1" s="1"/>
  <c r="C73" i="1" s="1"/>
  <c r="D78" i="1"/>
  <c r="D80" i="1"/>
  <c r="D76" i="1"/>
  <c r="J72" i="1"/>
  <c r="D79" i="1"/>
  <c r="D75" i="1"/>
  <c r="E72" i="1" l="1"/>
  <c r="D73" i="1"/>
  <c r="G72" i="1"/>
  <c r="G69" i="1" s="1"/>
  <c r="E27" i="1"/>
  <c r="I66" i="1" l="1"/>
  <c r="C68" i="1" s="1"/>
  <c r="C69" i="1"/>
  <c r="F111" i="1"/>
  <c r="C1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5" i="1"/>
  <c r="J95" i="1"/>
  <c r="J94" i="1"/>
  <c r="J93" i="1"/>
  <c r="J92" i="1"/>
  <c r="C82" i="1"/>
  <c r="D54" i="1"/>
  <c r="G47" i="1"/>
  <c r="C47" i="1"/>
  <c r="E40" i="1"/>
  <c r="E41" i="1" s="1"/>
  <c r="E24" i="1"/>
  <c r="E22" i="1"/>
  <c r="E7" i="1"/>
  <c r="E3" i="1"/>
  <c r="D60" i="1" s="1"/>
  <c r="H83" i="1"/>
  <c r="D97" i="1" l="1"/>
  <c r="D95" i="1"/>
  <c r="D94" i="1"/>
  <c r="D93" i="1"/>
  <c r="D91" i="1"/>
  <c r="D90" i="1"/>
  <c r="D96" i="1"/>
  <c r="D92" i="1"/>
  <c r="J88" i="1"/>
  <c r="J89" i="1"/>
  <c r="C88" i="1" s="1"/>
  <c r="J87" i="1"/>
  <c r="J90" i="1"/>
  <c r="J91" i="1" s="1"/>
  <c r="J96" i="1" s="1"/>
  <c r="J97" i="1" l="1"/>
  <c r="C89" i="1" s="1"/>
  <c r="G88" i="1" s="1"/>
  <c r="D88" i="1"/>
  <c r="D64" i="1" l="1"/>
  <c r="D65" i="1" s="1"/>
  <c r="G85" i="1"/>
  <c r="E88" i="1"/>
  <c r="D89" i="1"/>
  <c r="F65" i="1" l="1"/>
  <c r="I82" i="1"/>
  <c r="C84" i="1" s="1"/>
  <c r="C85" i="1"/>
</calcChain>
</file>

<file path=xl/sharedStrings.xml><?xml version="1.0" encoding="utf-8"?>
<sst xmlns="http://schemas.openxmlformats.org/spreadsheetml/2006/main" count="453" uniqueCount="241">
  <si>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</si>
  <si>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</si>
  <si>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</si>
  <si>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</si>
  <si>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</si>
  <si>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</si>
  <si>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</si>
  <si>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</si>
  <si>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</si>
  <si>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</si>
  <si>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</si>
  <si>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</si>
  <si>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</si>
  <si>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</si>
  <si>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</si>
  <si>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</si>
  <si>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</si>
  <si>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</si>
  <si>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</si>
  <si>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</si>
  <si>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</si>
  <si>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</si>
  <si>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</si>
  <si>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</si>
  <si>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</si>
  <si>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</si>
  <si>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</si>
  <si>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</si>
  <si>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</si>
  <si>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</si>
  <si>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</si>
  <si>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</si>
  <si>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</si>
  <si>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</si>
  <si>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</si>
  <si>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</si>
  <si>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</si>
  <si>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</si>
  <si>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</si>
  <si>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</si>
  <si>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</si>
  <si>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</si>
  <si>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</si>
  <si>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</si>
  <si>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</si>
  <si>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</si>
  <si>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</si>
  <si>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</si>
  <si>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</si>
  <si>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</si>
  <si>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</si>
  <si>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</si>
  <si>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</si>
  <si>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</si>
  <si>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</si>
  <si>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</si>
  <si>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</si>
  <si>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</si>
  <si>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</si>
  <si>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</si>
  <si>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</si>
  <si>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</si>
  <si>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</si>
  <si>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</si>
  <si>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</si>
  <si>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</si>
  <si>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</si>
  <si>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</si>
  <si>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</si>
  <si>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</si>
  <si>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</si>
  <si>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</si>
  <si>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</si>
  <si>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</si>
  <si>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</si>
  <si>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</si>
  <si>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</si>
  <si>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</si>
  <si>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</si>
  <si>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</si>
  <si>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</si>
  <si>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</si>
  <si>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</si>
  <si>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</si>
  <si>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</si>
  <si>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</si>
  <si>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</si>
  <si>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</si>
  <si>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</si>
  <si>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</si>
  <si>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</si>
  <si>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</si>
  <si>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</si>
  <si>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</si>
  <si>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</si>
  <si>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</si>
  <si>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</si>
  <si>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</si>
  <si>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</si>
  <si>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</si>
  <si>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</si>
  <si>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</si>
  <si>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</si>
  <si>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</si>
  <si>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</si>
  <si>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</si>
  <si>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</si>
  <si>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</si>
  <si>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</si>
  <si>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</si>
  <si>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</si>
  <si>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</si>
  <si>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</si>
  <si>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</si>
  <si>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</si>
  <si>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</si>
  <si>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</si>
  <si>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</si>
  <si>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</si>
  <si>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</si>
  <si>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</si>
  <si>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</si>
  <si>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</si>
  <si>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</si>
  <si>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</si>
  <si>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</si>
  <si>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</si>
  <si>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</si>
  <si>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</si>
  <si>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</si>
  <si>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</si>
  <si>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</si>
  <si>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</si>
  <si>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</si>
  <si>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</si>
  <si>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</si>
  <si>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</si>
  <si>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</si>
  <si>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</si>
  <si>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</si>
  <si>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</si>
  <si>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</si>
  <si>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</si>
  <si>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</si>
  <si>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</si>
  <si>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</si>
  <si>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</si>
  <si>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</si>
  <si>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</si>
  <si>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</si>
  <si>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</si>
  <si>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</si>
  <si>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</si>
  <si>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</si>
  <si>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</si>
  <si>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</si>
  <si>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</si>
  <si>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</si>
  <si>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</si>
  <si>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</si>
  <si>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</si>
  <si>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</si>
  <si>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</si>
  <si>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</si>
  <si>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</si>
  <si>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</si>
  <si>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</si>
  <si>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</si>
  <si>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</si>
  <si>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</si>
  <si>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A Wing</t>
  </si>
  <si>
    <t>Ground Floor for Commercial &amp; Parking</t>
  </si>
  <si>
    <t>Shop</t>
  </si>
  <si>
    <t>1st &amp; 2nd Podium Floor for Parking</t>
  </si>
  <si>
    <t>1st Floor for Residential</t>
  </si>
  <si>
    <t>2BHK</t>
  </si>
  <si>
    <t>1BHK</t>
  </si>
  <si>
    <t>3BHK</t>
  </si>
  <si>
    <t>B Wing</t>
  </si>
  <si>
    <t>2nd to 5th &amp; 7th to 10th Floor</t>
  </si>
  <si>
    <t>6th Floor (Part Refuge Area)</t>
  </si>
  <si>
    <t>Refuge Area</t>
  </si>
  <si>
    <t>12th Floor (Part Refuge Area)</t>
  </si>
  <si>
    <t>13th to 15th Floor</t>
  </si>
  <si>
    <t>11th Floor</t>
  </si>
  <si>
    <t>M/s. Thanekar Realtor LLP</t>
  </si>
  <si>
    <t>Thanekar Palacio</t>
  </si>
  <si>
    <t>Suvarna Patil - 8857072126</t>
  </si>
  <si>
    <t>A &amp; B Wing</t>
  </si>
  <si>
    <t>Approved Plans, CC.</t>
  </si>
  <si>
    <t>P51700032795</t>
  </si>
  <si>
    <t>82, H.No. 2.1 Part 1.</t>
  </si>
  <si>
    <t>Shirgaon</t>
  </si>
  <si>
    <t>Ambernath</t>
  </si>
  <si>
    <t>Thane</t>
  </si>
  <si>
    <t>Survey No</t>
  </si>
  <si>
    <t>2.3 KM from Badlapur Railway Station</t>
  </si>
  <si>
    <t>Internal road</t>
  </si>
  <si>
    <t>Badlapur east</t>
  </si>
  <si>
    <t>Shreeji Heights</t>
  </si>
  <si>
    <t>Marathon Nagar Society</t>
  </si>
  <si>
    <t>Marathon Nagari</t>
  </si>
  <si>
    <t>2 Wings</t>
  </si>
  <si>
    <t>Kulgoan Badlapur Municipal Council</t>
  </si>
  <si>
    <t>A &amp; B Wing  = G/St + 2P + 1st to 15th Floor.</t>
  </si>
  <si>
    <t>We considered Gross carpet area = Net carpet + Enclose balcony + A.P Area.</t>
  </si>
  <si>
    <t>A + B Wing</t>
  </si>
  <si>
    <t>Corpus Fund</t>
  </si>
  <si>
    <t>4500 to 4900</t>
  </si>
  <si>
    <t>cost sheet</t>
  </si>
  <si>
    <t>Abhishek</t>
  </si>
  <si>
    <t>Location Link</t>
  </si>
  <si>
    <t>https://goo.gl/maps/Z8x4ayt2ra5vjjfT6</t>
  </si>
  <si>
    <t>On Site, we meet Sales person - 7400050999.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</si>
  <si>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</si>
  <si>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Latitude, Longitude :</t>
  </si>
  <si>
    <t>19.1523854,73.2322481</t>
  </si>
  <si>
    <t>KBNP/NRV/BP/1918/2021-2022/
UNIQUE NO. 214</t>
  </si>
  <si>
    <t xml:space="preserve">A Wing  = G/St + 2P + 1st to 16th Floor.
</t>
  </si>
  <si>
    <t>A Wing  = 16th Floor</t>
  </si>
  <si>
    <t>Please provide revised approved plans.</t>
  </si>
  <si>
    <t>Sudhir Bhosale</t>
  </si>
  <si>
    <t>Construction Work goes beyong approved plan (For Wing A &amp; B) &amp; CC permission (For Wing B). Please provide revised approved plans &amp; CC.</t>
  </si>
  <si>
    <t>PNBHFL - Thane</t>
  </si>
  <si>
    <t>2nd Floor</t>
  </si>
  <si>
    <t>3rd to 5th &amp; 7th to 10th Floor</t>
  </si>
  <si>
    <t>16th Floor</t>
  </si>
  <si>
    <t>We have considered Saleable area of Flats as per our Calculation.</t>
  </si>
  <si>
    <t>We have considered Saleable area of Commercial as per our Calculation.</t>
  </si>
  <si>
    <t xml:space="preserve"> 13th to 15th Floor</t>
  </si>
  <si>
    <t xml:space="preserve">B Wing  = G/St + 2P + 1st to 15th Floor.
</t>
  </si>
  <si>
    <t xml:space="preserve"> A Wing = G/St + 2P + 1st to 16th Floor</t>
  </si>
  <si>
    <t>KBNP/NRV/BP/2532/2023-2024/
UNIQUE NO. 72</t>
  </si>
  <si>
    <t>KBNP/NRV/BP/2532-72</t>
  </si>
  <si>
    <t>Flats - 259, Shops -1</t>
  </si>
  <si>
    <t>We have updated revised approved CC &amp; approved from RERA (on 19/12/2024).</t>
  </si>
  <si>
    <t>A Wing  = G/St + 2P + 1st to 16th Floor.
B Wing  = G/St + 2P + 1st to 15th Floor.</t>
  </si>
  <si>
    <t>Pooja</t>
  </si>
  <si>
    <t>KBMC/TPD/2024-25/2636
Approved upto : Wing A = Gr/St + 2P + 1st to 16th Floor
Wing B = Gr/St + 2P + 1st to 15th Floor</t>
  </si>
  <si>
    <t>Completed</t>
  </si>
  <si>
    <t>We have updated OC from Rera (On 23/07/2025).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</si>
</sst>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  <numFmt numFmtId="169" formatCode="0.000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4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7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9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2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11" xfId="1" applyFont="1" applyFill="1" applyBorder="1"/>
    <xf numFmtId="0" fontId="17" fillId="0" borderId="11" xfId="0" applyNumberFormat="1" applyFont="1" applyFill="1" applyBorder="1" applyProtection="1">
      <protection hidden="1"/>
    </xf>
    <xf numFmtId="1" fontId="0" fillId="0" borderId="11" xfId="0" applyNumberFormat="1" applyFill="1" applyBorder="1"/>
    <xf numFmtId="1" fontId="0" fillId="0" borderId="11" xfId="0" applyNumberFormat="1" applyFill="1" applyBorder="1" applyAlignment="1">
      <alignment horizontal="right"/>
    </xf>
    <xf numFmtId="1" fontId="0" fillId="0" borderId="13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7" fillId="0" borderId="1" xfId="1" applyFont="1" applyFill="1" applyBorder="1"/>
    <xf numFmtId="14" fontId="7" fillId="0" borderId="1" xfId="1" applyNumberFormat="1" applyFont="1" applyFill="1" applyBorder="1"/>
    <xf numFmtId="1" fontId="7" fillId="0" borderId="1" xfId="1" applyNumberFormat="1" applyFont="1" applyFill="1" applyBorder="1"/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7" fillId="0" borderId="0" xfId="0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68" fontId="7" fillId="0" borderId="0" xfId="1" applyNumberFormat="1" applyFont="1" applyFill="1" applyAlignment="1">
      <alignment horizontal="center" vertical="center"/>
    </xf>
    <xf numFmtId="169" fontId="7" fillId="0" borderId="0" xfId="1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2" fontId="7" fillId="0" borderId="0" xfId="1" applyNumberFormat="1" applyFont="1" applyFill="1" applyAlignment="1">
      <alignment horizontal="center" vertical="center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2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2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4" fontId="12" fillId="0" borderId="7" xfId="1" applyNumberFormat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22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0" borderId="7" xfId="10" applyFill="1" applyBorder="1" applyAlignment="1" applyProtection="1">
      <alignment horizontal="left" vertical="top"/>
      <protection locked="0"/>
    </xf>
    <xf numFmtId="0" fontId="7" fillId="0" borderId="22" xfId="1" applyFont="1" applyFill="1" applyBorder="1" applyAlignment="1" applyProtection="1">
      <alignment horizontal="left" vertical="top"/>
      <protection locked="0"/>
    </xf>
    <xf numFmtId="0" fontId="7" fillId="0" borderId="8" xfId="1" applyFont="1" applyFill="1" applyBorder="1" applyAlignment="1" applyProtection="1">
      <alignment horizontal="left" vertical="top"/>
      <protection locked="0"/>
    </xf>
    <xf numFmtId="0" fontId="7" fillId="0" borderId="7" xfId="1" applyFont="1" applyFill="1" applyBorder="1" applyAlignment="1" applyProtection="1">
      <alignment horizontal="left"/>
      <protection locked="0"/>
    </xf>
    <xf numFmtId="0" fontId="7" fillId="0" borderId="22" xfId="1" applyFont="1" applyFill="1" applyBorder="1" applyAlignment="1" applyProtection="1">
      <alignment horizontal="left"/>
      <protection locked="0"/>
    </xf>
    <xf numFmtId="0" fontId="7" fillId="0" borderId="8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22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31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9" fontId="12" fillId="0" borderId="13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1" fontId="12" fillId="0" borderId="17" xfId="1" applyNumberFormat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4" fontId="8" fillId="0" borderId="7" xfId="1" applyNumberFormat="1" applyFont="1" applyFill="1" applyBorder="1" applyAlignment="1" applyProtection="1">
      <alignment horizontal="left" vertical="top"/>
      <protection locked="0"/>
    </xf>
    <xf numFmtId="0" fontId="13" fillId="0" borderId="32" xfId="1" applyFont="1" applyFill="1" applyBorder="1" applyAlignment="1" applyProtection="1">
      <alignment horizontal="center" vertical="center"/>
      <protection locked="0"/>
    </xf>
    <xf numFmtId="0" fontId="13" fillId="0" borderId="19" xfId="1" applyFont="1" applyFill="1" applyBorder="1" applyAlignment="1" applyProtection="1">
      <alignment horizontal="center" vertical="center"/>
      <protection locked="0"/>
    </xf>
    <xf numFmtId="9" fontId="1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1" applyFont="1" applyFill="1" applyBorder="1" applyAlignment="1" applyProtection="1">
      <alignment horizontal="center" vertical="center" wrapText="1"/>
      <protection locked="0"/>
    </xf>
    <xf numFmtId="0" fontId="13" fillId="0" borderId="18" xfId="1" applyFont="1" applyFill="1" applyBorder="1" applyAlignment="1" applyProtection="1">
      <alignment horizontal="center" vertical="center" wrapText="1"/>
      <protection locked="0"/>
    </xf>
    <xf numFmtId="0" fontId="13" fillId="0" borderId="28" xfId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Fill="1" applyBorder="1" applyAlignment="1" applyProtection="1">
      <alignment horizontal="center" vertical="center"/>
      <protection locked="0"/>
    </xf>
    <xf numFmtId="0" fontId="13" fillId="0" borderId="21" xfId="1" applyFont="1" applyFill="1" applyBorder="1" applyAlignment="1" applyProtection="1">
      <alignment horizontal="center" vertical="center"/>
      <protection locked="0"/>
    </xf>
    <xf numFmtId="0" fontId="13" fillId="0" borderId="20" xfId="1" applyFont="1" applyFill="1" applyBorder="1" applyAlignment="1" applyProtection="1">
      <alignment horizontal="center" vertical="center" wrapText="1"/>
      <protection locked="0"/>
    </xf>
    <xf numFmtId="0" fontId="13" fillId="0" borderId="21" xfId="1" applyFont="1" applyFill="1" applyBorder="1" applyAlignment="1" applyProtection="1">
      <alignment horizontal="center" vertical="center" wrapText="1"/>
      <protection locked="0"/>
    </xf>
    <xf numFmtId="0" fontId="13" fillId="0" borderId="34" xfId="1" applyFont="1" applyFill="1" applyBorder="1" applyAlignment="1" applyProtection="1">
      <alignment horizontal="center" vertical="center" wrapText="1"/>
      <protection locked="0"/>
    </xf>
    <xf numFmtId="0" fontId="12" fillId="0" borderId="35" xfId="1" applyFont="1" applyFill="1" applyBorder="1" applyAlignment="1" applyProtection="1">
      <alignment horizontal="center" vertical="top" wrapText="1"/>
      <protection locked="0"/>
    </xf>
    <xf numFmtId="0" fontId="12" fillId="0" borderId="2" xfId="1" applyFont="1" applyFill="1" applyBorder="1" applyAlignment="1" applyProtection="1">
      <alignment horizontal="center" vertical="top" wrapText="1"/>
      <protection locked="0"/>
    </xf>
    <xf numFmtId="0" fontId="12" fillId="0" borderId="2" xfId="1" applyFont="1" applyFill="1" applyBorder="1" applyAlignment="1" applyProtection="1">
      <alignment horizontal="center" vertical="top" wrapText="1"/>
      <protection locked="0"/>
    </xf>
    <xf numFmtId="9" fontId="12" fillId="0" borderId="2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340</xdr:row>
      <xdr:rowOff>19050</xdr:rowOff>
    </xdr:from>
    <xdr:to>
      <xdr:col>7</xdr:col>
      <xdr:colOff>25699</xdr:colOff>
      <xdr:row>357</xdr:row>
      <xdr:rowOff>138203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9625" y="69561075"/>
          <a:ext cx="5331124" cy="35195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809625</xdr:colOff>
      <xdr:row>358</xdr:row>
      <xdr:rowOff>110705</xdr:rowOff>
    </xdr:from>
    <xdr:to>
      <xdr:col>7</xdr:col>
      <xdr:colOff>25700</xdr:colOff>
      <xdr:row>376</xdr:row>
      <xdr:rowOff>64338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9625" y="73253180"/>
          <a:ext cx="5331125" cy="35540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574964</xdr:colOff>
      <xdr:row>294</xdr:row>
      <xdr:rowOff>60614</xdr:rowOff>
    </xdr:from>
    <xdr:ext cx="799065" cy="342786"/>
    <xdr:sp macro="" textlink="">
      <xdr:nvSpPr>
        <xdr:cNvPr id="9" name="TextBox 8"/>
        <xdr:cNvSpPr txBox="1"/>
      </xdr:nvSpPr>
      <xdr:spPr>
        <a:xfrm>
          <a:off x="7562850" y="54543614"/>
          <a:ext cx="79906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Wing A</a:t>
          </a:r>
        </a:p>
      </xdr:txBody>
    </xdr:sp>
    <xdr:clientData/>
  </xdr:oneCellAnchor>
  <xdr:oneCellAnchor>
    <xdr:from>
      <xdr:col>8</xdr:col>
      <xdr:colOff>329045</xdr:colOff>
      <xdr:row>297</xdr:row>
      <xdr:rowOff>143741</xdr:rowOff>
    </xdr:from>
    <xdr:ext cx="789768" cy="342786"/>
    <xdr:sp macro="" textlink="">
      <xdr:nvSpPr>
        <xdr:cNvPr id="11" name="TextBox 10"/>
        <xdr:cNvSpPr txBox="1"/>
      </xdr:nvSpPr>
      <xdr:spPr>
        <a:xfrm>
          <a:off x="7316931" y="55042377"/>
          <a:ext cx="7897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Wing B</a:t>
          </a:r>
        </a:p>
      </xdr:txBody>
    </xdr:sp>
    <xdr:clientData/>
  </xdr:oneCellAnchor>
  <xdr:oneCellAnchor>
    <xdr:from>
      <xdr:col>11</xdr:col>
      <xdr:colOff>100444</xdr:colOff>
      <xdr:row>294</xdr:row>
      <xdr:rowOff>114299</xdr:rowOff>
    </xdr:from>
    <xdr:ext cx="789768" cy="342786"/>
    <xdr:sp macro="" textlink="">
      <xdr:nvSpPr>
        <xdr:cNvPr id="29" name="TextBox 28"/>
        <xdr:cNvSpPr txBox="1"/>
      </xdr:nvSpPr>
      <xdr:spPr>
        <a:xfrm>
          <a:off x="9712035" y="54597299"/>
          <a:ext cx="7897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Wing B</a:t>
          </a:r>
        </a:p>
      </xdr:txBody>
    </xdr:sp>
    <xdr:clientData/>
  </xdr:oneCellAnchor>
  <xdr:oneCellAnchor>
    <xdr:from>
      <xdr:col>10</xdr:col>
      <xdr:colOff>83127</xdr:colOff>
      <xdr:row>300</xdr:row>
      <xdr:rowOff>147203</xdr:rowOff>
    </xdr:from>
    <xdr:ext cx="800100" cy="264560"/>
    <xdr:sp macro="" textlink="">
      <xdr:nvSpPr>
        <xdr:cNvPr id="30" name="TextBox 29"/>
        <xdr:cNvSpPr txBox="1"/>
      </xdr:nvSpPr>
      <xdr:spPr>
        <a:xfrm>
          <a:off x="8993332" y="55634658"/>
          <a:ext cx="800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13th</a:t>
          </a:r>
          <a:r>
            <a:rPr lang="en-IN" sz="1100" b="1" baseline="0">
              <a:solidFill>
                <a:srgbClr val="FF0000"/>
              </a:solidFill>
            </a:rPr>
            <a:t> Floor</a:t>
          </a:r>
          <a:endParaRPr lang="en-IN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545522</xdr:colOff>
      <xdr:row>301</xdr:row>
      <xdr:rowOff>43296</xdr:rowOff>
    </xdr:from>
    <xdr:to>
      <xdr:col>10</xdr:col>
      <xdr:colOff>155863</xdr:colOff>
      <xdr:row>301</xdr:row>
      <xdr:rowOff>69272</xdr:rowOff>
    </xdr:to>
    <xdr:cxnSp macro="">
      <xdr:nvCxnSpPr>
        <xdr:cNvPr id="5" name="Straight Arrow Connector 4"/>
        <xdr:cNvCxnSpPr/>
      </xdr:nvCxnSpPr>
      <xdr:spPr>
        <a:xfrm flipH="1" flipV="1">
          <a:off x="8693727" y="55729910"/>
          <a:ext cx="372341" cy="259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256308</xdr:colOff>
      <xdr:row>303</xdr:row>
      <xdr:rowOff>126425</xdr:rowOff>
    </xdr:from>
    <xdr:ext cx="432955" cy="264560"/>
    <xdr:sp macro="" textlink="">
      <xdr:nvSpPr>
        <xdr:cNvPr id="32" name="TextBox 31"/>
        <xdr:cNvSpPr txBox="1"/>
      </xdr:nvSpPr>
      <xdr:spPr>
        <a:xfrm rot="21124972">
          <a:off x="8404513" y="56211357"/>
          <a:ext cx="4329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8th</a:t>
          </a:r>
          <a:r>
            <a:rPr lang="en-IN" sz="1100" b="1" baseline="0">
              <a:solidFill>
                <a:srgbClr val="FF0000"/>
              </a:solidFill>
            </a:rPr>
            <a:t> </a:t>
          </a:r>
          <a:endParaRPr lang="en-IN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403512</xdr:colOff>
      <xdr:row>303</xdr:row>
      <xdr:rowOff>135083</xdr:rowOff>
    </xdr:from>
    <xdr:ext cx="432955" cy="264560"/>
    <xdr:sp macro="" textlink="">
      <xdr:nvSpPr>
        <xdr:cNvPr id="33" name="TextBox 32"/>
        <xdr:cNvSpPr txBox="1"/>
      </xdr:nvSpPr>
      <xdr:spPr>
        <a:xfrm rot="166101">
          <a:off x="10015103" y="56220015"/>
          <a:ext cx="4329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3rd</a:t>
          </a:r>
          <a:r>
            <a:rPr lang="en-IN" sz="1100" b="1" baseline="0">
              <a:solidFill>
                <a:srgbClr val="FF0000"/>
              </a:solidFill>
            </a:rPr>
            <a:t> </a:t>
          </a:r>
          <a:endParaRPr lang="en-IN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270163</xdr:colOff>
      <xdr:row>299</xdr:row>
      <xdr:rowOff>96986</xdr:rowOff>
    </xdr:from>
    <xdr:ext cx="432955" cy="264560"/>
    <xdr:sp macro="" textlink="">
      <xdr:nvSpPr>
        <xdr:cNvPr id="34" name="TextBox 33"/>
        <xdr:cNvSpPr txBox="1"/>
      </xdr:nvSpPr>
      <xdr:spPr>
        <a:xfrm rot="21083277">
          <a:off x="9881754" y="55385281"/>
          <a:ext cx="4329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8th</a:t>
          </a:r>
          <a:r>
            <a:rPr lang="en-IN" sz="1100" b="1" baseline="0">
              <a:solidFill>
                <a:srgbClr val="FF0000"/>
              </a:solidFill>
            </a:rPr>
            <a:t> </a:t>
          </a:r>
          <a:endParaRPr lang="en-IN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12</xdr:col>
      <xdr:colOff>41563</xdr:colOff>
      <xdr:row>297</xdr:row>
      <xdr:rowOff>128158</xdr:rowOff>
    </xdr:from>
    <xdr:ext cx="486642" cy="264560"/>
    <xdr:sp macro="" textlink="">
      <xdr:nvSpPr>
        <xdr:cNvPr id="35" name="TextBox 34"/>
        <xdr:cNvSpPr txBox="1"/>
      </xdr:nvSpPr>
      <xdr:spPr>
        <a:xfrm>
          <a:off x="10354540" y="55026794"/>
          <a:ext cx="486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11th</a:t>
          </a:r>
          <a:r>
            <a:rPr lang="en-IN" sz="1100" b="1" baseline="0">
              <a:solidFill>
                <a:srgbClr val="FF0000"/>
              </a:solidFill>
            </a:rPr>
            <a:t> </a:t>
          </a:r>
          <a:endParaRPr lang="en-IN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10</xdr:col>
      <xdr:colOff>597477</xdr:colOff>
      <xdr:row>299</xdr:row>
      <xdr:rowOff>199159</xdr:rowOff>
    </xdr:from>
    <xdr:to>
      <xdr:col>11</xdr:col>
      <xdr:colOff>294410</xdr:colOff>
      <xdr:row>300</xdr:row>
      <xdr:rowOff>17318</xdr:rowOff>
    </xdr:to>
    <xdr:cxnSp macro="">
      <xdr:nvCxnSpPr>
        <xdr:cNvPr id="36" name="Straight Arrow Connector 35"/>
        <xdr:cNvCxnSpPr/>
      </xdr:nvCxnSpPr>
      <xdr:spPr>
        <a:xfrm flipH="1">
          <a:off x="9507682" y="55487454"/>
          <a:ext cx="398319" cy="1731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295</xdr:row>
      <xdr:rowOff>82550</xdr:rowOff>
    </xdr:from>
    <xdr:to>
      <xdr:col>7</xdr:col>
      <xdr:colOff>862615</xdr:colOff>
      <xdr:row>335</xdr:row>
      <xdr:rowOff>16348</xdr:rowOff>
    </xdr:to>
    <xdr:grpSp>
      <xdr:nvGrpSpPr>
        <xdr:cNvPr id="4" name="Group 3"/>
        <xdr:cNvGrpSpPr/>
      </xdr:nvGrpSpPr>
      <xdr:grpSpPr>
        <a:xfrm>
          <a:off x="476250" y="54495700"/>
          <a:ext cx="6361715" cy="7801448"/>
          <a:chOff x="476250" y="57245250"/>
          <a:chExt cx="6361715" cy="7801448"/>
        </a:xfrm>
      </xdr:grpSpPr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7983" y="63246698"/>
            <a:ext cx="2387822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0451" y="572452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1894" y="572452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50" y="61325974"/>
            <a:ext cx="2387822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89840" y="6132597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3045" y="61325974"/>
            <a:ext cx="2387822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TextBox 42"/>
          <xdr:cNvSpPr txBox="1"/>
        </xdr:nvSpPr>
        <xdr:spPr>
          <a:xfrm>
            <a:off x="822701" y="58356500"/>
            <a:ext cx="79906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600" b="1"/>
              <a:t>Wing A</a:t>
            </a:r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1508501" y="57365900"/>
            <a:ext cx="78976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600" b="1"/>
              <a:t>Wing B</a:t>
            </a:r>
          </a:p>
        </xdr:txBody>
      </xdr:sp>
      <xdr:sp macro="" textlink="">
        <xdr:nvSpPr>
          <xdr:cNvPr id="45" name="TextBox 44"/>
          <xdr:cNvSpPr txBox="1"/>
        </xdr:nvSpPr>
        <xdr:spPr>
          <a:xfrm>
            <a:off x="5830094" y="58508900"/>
            <a:ext cx="78976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600" b="1"/>
              <a:t>Wing B</a:t>
            </a:r>
          </a:p>
        </xdr:txBody>
      </xdr:sp>
      <xdr:sp macro="" textlink="">
        <xdr:nvSpPr>
          <xdr:cNvPr id="48" name="TextBox 47"/>
          <xdr:cNvSpPr txBox="1"/>
        </xdr:nvSpPr>
        <xdr:spPr>
          <a:xfrm>
            <a:off x="4934744" y="57384950"/>
            <a:ext cx="79906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600" b="1"/>
              <a:t>Wing 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2</xdr:col>
      <xdr:colOff>2362699</xdr:colOff>
      <xdr:row>28</xdr:row>
      <xdr:rowOff>64500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3249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624655</xdr:colOff>
      <xdr:row>17</xdr:row>
      <xdr:rowOff>0</xdr:rowOff>
    </xdr:from>
    <xdr:to>
      <xdr:col>7</xdr:col>
      <xdr:colOff>678941</xdr:colOff>
      <xdr:row>28</xdr:row>
      <xdr:rowOff>64500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1831" y="3249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308015</xdr:colOff>
      <xdr:row>17</xdr:row>
      <xdr:rowOff>0</xdr:rowOff>
    </xdr:from>
    <xdr:to>
      <xdr:col>15</xdr:col>
      <xdr:colOff>70949</xdr:colOff>
      <xdr:row>28</xdr:row>
      <xdr:rowOff>64500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20956" y="32497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1169011</xdr:colOff>
      <xdr:row>31</xdr:row>
      <xdr:rowOff>133710</xdr:rowOff>
    </xdr:from>
    <xdr:to>
      <xdr:col>6</xdr:col>
      <xdr:colOff>91503</xdr:colOff>
      <xdr:row>43</xdr:row>
      <xdr:rowOff>7710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0893" y="605041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948273</xdr:colOff>
      <xdr:row>30</xdr:row>
      <xdr:rowOff>93516</xdr:rowOff>
    </xdr:from>
    <xdr:to>
      <xdr:col>12</xdr:col>
      <xdr:colOff>27648</xdr:colOff>
      <xdr:row>41</xdr:row>
      <xdr:rowOff>158016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9538" y="5819722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8x4ayt2ra5vjjfT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39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4" customWidth="1"/>
    <col min="2" max="2" width="12" style="44" customWidth="1"/>
    <col min="3" max="3" width="12.7265625" style="44" customWidth="1"/>
    <col min="4" max="4" width="14.1796875" style="44" customWidth="1"/>
    <col min="5" max="7" width="11.7265625" style="44" customWidth="1"/>
    <col min="8" max="8" width="19.453125" style="44" customWidth="1"/>
    <col min="9" max="9" width="17.453125" style="23" customWidth="1"/>
    <col min="10" max="10" width="11.453125" style="23" customWidth="1"/>
    <col min="11" max="11" width="10.54296875" style="23" bestFit="1" customWidth="1"/>
    <col min="12" max="12" width="10.54296875" style="23" customWidth="1"/>
    <col min="13" max="13" width="11.81640625" style="23" customWidth="1"/>
    <col min="14" max="14" width="12.54296875" style="23" customWidth="1"/>
    <col min="15" max="15" width="9.81640625" style="23" customWidth="1"/>
    <col min="16" max="16" width="11.7265625" style="23" customWidth="1"/>
    <col min="17" max="247" width="9.1796875" style="23"/>
    <col min="248" max="248" width="8.7265625" style="23" customWidth="1"/>
    <col min="249" max="249" width="9.81640625" style="23" customWidth="1"/>
    <col min="250" max="250" width="14.453125" style="23" customWidth="1"/>
    <col min="251" max="251" width="7.26953125" style="23" customWidth="1"/>
    <col min="252" max="252" width="5.54296875" style="23" customWidth="1"/>
    <col min="253" max="253" width="9" style="23" customWidth="1"/>
    <col min="254" max="255" width="9.81640625" style="23" customWidth="1"/>
    <col min="256" max="256" width="11.1796875" style="23" customWidth="1"/>
    <col min="257" max="257" width="2.81640625" style="23" customWidth="1"/>
    <col min="258" max="258" width="3.54296875" style="23" customWidth="1"/>
    <col min="259" max="503" width="9.1796875" style="23"/>
    <col min="504" max="504" width="8.7265625" style="23" customWidth="1"/>
    <col min="505" max="505" width="9.81640625" style="23" customWidth="1"/>
    <col min="506" max="506" width="14.453125" style="23" customWidth="1"/>
    <col min="507" max="507" width="7.26953125" style="23" customWidth="1"/>
    <col min="508" max="508" width="5.54296875" style="23" customWidth="1"/>
    <col min="509" max="509" width="9" style="23" customWidth="1"/>
    <col min="510" max="511" width="9.81640625" style="23" customWidth="1"/>
    <col min="512" max="512" width="11.1796875" style="23" customWidth="1"/>
    <col min="513" max="513" width="2.81640625" style="23" customWidth="1"/>
    <col min="514" max="514" width="3.54296875" style="23" customWidth="1"/>
    <col min="515" max="759" width="9.1796875" style="23"/>
    <col min="760" max="760" width="8.7265625" style="23" customWidth="1"/>
    <col min="761" max="761" width="9.81640625" style="23" customWidth="1"/>
    <col min="762" max="762" width="14.453125" style="23" customWidth="1"/>
    <col min="763" max="763" width="7.26953125" style="23" customWidth="1"/>
    <col min="764" max="764" width="5.54296875" style="23" customWidth="1"/>
    <col min="765" max="765" width="9" style="23" customWidth="1"/>
    <col min="766" max="767" width="9.81640625" style="23" customWidth="1"/>
    <col min="768" max="768" width="11.1796875" style="23" customWidth="1"/>
    <col min="769" max="769" width="2.81640625" style="23" customWidth="1"/>
    <col min="770" max="770" width="3.54296875" style="23" customWidth="1"/>
    <col min="771" max="1015" width="9.1796875" style="23"/>
    <col min="1016" max="1016" width="8.7265625" style="23" customWidth="1"/>
    <col min="1017" max="1017" width="9.81640625" style="23" customWidth="1"/>
    <col min="1018" max="1018" width="14.453125" style="23" customWidth="1"/>
    <col min="1019" max="1019" width="7.26953125" style="23" customWidth="1"/>
    <col min="1020" max="1020" width="5.54296875" style="23" customWidth="1"/>
    <col min="1021" max="1021" width="9" style="23" customWidth="1"/>
    <col min="1022" max="1023" width="9.81640625" style="23" customWidth="1"/>
    <col min="1024" max="1024" width="11.1796875" style="23" customWidth="1"/>
    <col min="1025" max="1025" width="2.81640625" style="23" customWidth="1"/>
    <col min="1026" max="1026" width="3.54296875" style="23" customWidth="1"/>
    <col min="1027" max="1271" width="9.1796875" style="23"/>
    <col min="1272" max="1272" width="8.7265625" style="23" customWidth="1"/>
    <col min="1273" max="1273" width="9.81640625" style="23" customWidth="1"/>
    <col min="1274" max="1274" width="14.453125" style="23" customWidth="1"/>
    <col min="1275" max="1275" width="7.26953125" style="23" customWidth="1"/>
    <col min="1276" max="1276" width="5.54296875" style="23" customWidth="1"/>
    <col min="1277" max="1277" width="9" style="23" customWidth="1"/>
    <col min="1278" max="1279" width="9.81640625" style="23" customWidth="1"/>
    <col min="1280" max="1280" width="11.1796875" style="23" customWidth="1"/>
    <col min="1281" max="1281" width="2.81640625" style="23" customWidth="1"/>
    <col min="1282" max="1282" width="3.54296875" style="23" customWidth="1"/>
    <col min="1283" max="1527" width="9.1796875" style="23"/>
    <col min="1528" max="1528" width="8.7265625" style="23" customWidth="1"/>
    <col min="1529" max="1529" width="9.81640625" style="23" customWidth="1"/>
    <col min="1530" max="1530" width="14.453125" style="23" customWidth="1"/>
    <col min="1531" max="1531" width="7.26953125" style="23" customWidth="1"/>
    <col min="1532" max="1532" width="5.54296875" style="23" customWidth="1"/>
    <col min="1533" max="1533" width="9" style="23" customWidth="1"/>
    <col min="1534" max="1535" width="9.81640625" style="23" customWidth="1"/>
    <col min="1536" max="1536" width="11.1796875" style="23" customWidth="1"/>
    <col min="1537" max="1537" width="2.81640625" style="23" customWidth="1"/>
    <col min="1538" max="1538" width="3.54296875" style="23" customWidth="1"/>
    <col min="1539" max="1783" width="9.1796875" style="23"/>
    <col min="1784" max="1784" width="8.7265625" style="23" customWidth="1"/>
    <col min="1785" max="1785" width="9.81640625" style="23" customWidth="1"/>
    <col min="1786" max="1786" width="14.453125" style="23" customWidth="1"/>
    <col min="1787" max="1787" width="7.26953125" style="23" customWidth="1"/>
    <col min="1788" max="1788" width="5.54296875" style="23" customWidth="1"/>
    <col min="1789" max="1789" width="9" style="23" customWidth="1"/>
    <col min="1790" max="1791" width="9.81640625" style="23" customWidth="1"/>
    <col min="1792" max="1792" width="11.1796875" style="23" customWidth="1"/>
    <col min="1793" max="1793" width="2.81640625" style="23" customWidth="1"/>
    <col min="1794" max="1794" width="3.54296875" style="23" customWidth="1"/>
    <col min="1795" max="2039" width="9.1796875" style="23"/>
    <col min="2040" max="2040" width="8.7265625" style="23" customWidth="1"/>
    <col min="2041" max="2041" width="9.81640625" style="23" customWidth="1"/>
    <col min="2042" max="2042" width="14.453125" style="23" customWidth="1"/>
    <col min="2043" max="2043" width="7.26953125" style="23" customWidth="1"/>
    <col min="2044" max="2044" width="5.54296875" style="23" customWidth="1"/>
    <col min="2045" max="2045" width="9" style="23" customWidth="1"/>
    <col min="2046" max="2047" width="9.81640625" style="23" customWidth="1"/>
    <col min="2048" max="2048" width="11.1796875" style="23" customWidth="1"/>
    <col min="2049" max="2049" width="2.81640625" style="23" customWidth="1"/>
    <col min="2050" max="2050" width="3.54296875" style="23" customWidth="1"/>
    <col min="2051" max="2295" width="9.1796875" style="23"/>
    <col min="2296" max="2296" width="8.7265625" style="23" customWidth="1"/>
    <col min="2297" max="2297" width="9.81640625" style="23" customWidth="1"/>
    <col min="2298" max="2298" width="14.453125" style="23" customWidth="1"/>
    <col min="2299" max="2299" width="7.26953125" style="23" customWidth="1"/>
    <col min="2300" max="2300" width="5.54296875" style="23" customWidth="1"/>
    <col min="2301" max="2301" width="9" style="23" customWidth="1"/>
    <col min="2302" max="2303" width="9.81640625" style="23" customWidth="1"/>
    <col min="2304" max="2304" width="11.1796875" style="23" customWidth="1"/>
    <col min="2305" max="2305" width="2.81640625" style="23" customWidth="1"/>
    <col min="2306" max="2306" width="3.54296875" style="23" customWidth="1"/>
    <col min="2307" max="2551" width="9.1796875" style="23"/>
    <col min="2552" max="2552" width="8.7265625" style="23" customWidth="1"/>
    <col min="2553" max="2553" width="9.81640625" style="23" customWidth="1"/>
    <col min="2554" max="2554" width="14.453125" style="23" customWidth="1"/>
    <col min="2555" max="2555" width="7.26953125" style="23" customWidth="1"/>
    <col min="2556" max="2556" width="5.54296875" style="23" customWidth="1"/>
    <col min="2557" max="2557" width="9" style="23" customWidth="1"/>
    <col min="2558" max="2559" width="9.81640625" style="23" customWidth="1"/>
    <col min="2560" max="2560" width="11.1796875" style="23" customWidth="1"/>
    <col min="2561" max="2561" width="2.81640625" style="23" customWidth="1"/>
    <col min="2562" max="2562" width="3.54296875" style="23" customWidth="1"/>
    <col min="2563" max="2807" width="9.1796875" style="23"/>
    <col min="2808" max="2808" width="8.7265625" style="23" customWidth="1"/>
    <col min="2809" max="2809" width="9.81640625" style="23" customWidth="1"/>
    <col min="2810" max="2810" width="14.453125" style="23" customWidth="1"/>
    <col min="2811" max="2811" width="7.26953125" style="23" customWidth="1"/>
    <col min="2812" max="2812" width="5.54296875" style="23" customWidth="1"/>
    <col min="2813" max="2813" width="9" style="23" customWidth="1"/>
    <col min="2814" max="2815" width="9.81640625" style="23" customWidth="1"/>
    <col min="2816" max="2816" width="11.1796875" style="23" customWidth="1"/>
    <col min="2817" max="2817" width="2.81640625" style="23" customWidth="1"/>
    <col min="2818" max="2818" width="3.54296875" style="23" customWidth="1"/>
    <col min="2819" max="3063" width="9.1796875" style="23"/>
    <col min="3064" max="3064" width="8.7265625" style="23" customWidth="1"/>
    <col min="3065" max="3065" width="9.81640625" style="23" customWidth="1"/>
    <col min="3066" max="3066" width="14.453125" style="23" customWidth="1"/>
    <col min="3067" max="3067" width="7.26953125" style="23" customWidth="1"/>
    <col min="3068" max="3068" width="5.54296875" style="23" customWidth="1"/>
    <col min="3069" max="3069" width="9" style="23" customWidth="1"/>
    <col min="3070" max="3071" width="9.81640625" style="23" customWidth="1"/>
    <col min="3072" max="3072" width="11.1796875" style="23" customWidth="1"/>
    <col min="3073" max="3073" width="2.81640625" style="23" customWidth="1"/>
    <col min="3074" max="3074" width="3.54296875" style="23" customWidth="1"/>
    <col min="3075" max="3319" width="9.1796875" style="23"/>
    <col min="3320" max="3320" width="8.7265625" style="23" customWidth="1"/>
    <col min="3321" max="3321" width="9.81640625" style="23" customWidth="1"/>
    <col min="3322" max="3322" width="14.453125" style="23" customWidth="1"/>
    <col min="3323" max="3323" width="7.26953125" style="23" customWidth="1"/>
    <col min="3324" max="3324" width="5.54296875" style="23" customWidth="1"/>
    <col min="3325" max="3325" width="9" style="23" customWidth="1"/>
    <col min="3326" max="3327" width="9.81640625" style="23" customWidth="1"/>
    <col min="3328" max="3328" width="11.1796875" style="23" customWidth="1"/>
    <col min="3329" max="3329" width="2.81640625" style="23" customWidth="1"/>
    <col min="3330" max="3330" width="3.54296875" style="23" customWidth="1"/>
    <col min="3331" max="3575" width="9.1796875" style="23"/>
    <col min="3576" max="3576" width="8.7265625" style="23" customWidth="1"/>
    <col min="3577" max="3577" width="9.81640625" style="23" customWidth="1"/>
    <col min="3578" max="3578" width="14.453125" style="23" customWidth="1"/>
    <col min="3579" max="3579" width="7.26953125" style="23" customWidth="1"/>
    <col min="3580" max="3580" width="5.54296875" style="23" customWidth="1"/>
    <col min="3581" max="3581" width="9" style="23" customWidth="1"/>
    <col min="3582" max="3583" width="9.81640625" style="23" customWidth="1"/>
    <col min="3584" max="3584" width="11.1796875" style="23" customWidth="1"/>
    <col min="3585" max="3585" width="2.81640625" style="23" customWidth="1"/>
    <col min="3586" max="3586" width="3.54296875" style="23" customWidth="1"/>
    <col min="3587" max="3831" width="9.1796875" style="23"/>
    <col min="3832" max="3832" width="8.7265625" style="23" customWidth="1"/>
    <col min="3833" max="3833" width="9.81640625" style="23" customWidth="1"/>
    <col min="3834" max="3834" width="14.453125" style="23" customWidth="1"/>
    <col min="3835" max="3835" width="7.26953125" style="23" customWidth="1"/>
    <col min="3836" max="3836" width="5.54296875" style="23" customWidth="1"/>
    <col min="3837" max="3837" width="9" style="23" customWidth="1"/>
    <col min="3838" max="3839" width="9.81640625" style="23" customWidth="1"/>
    <col min="3840" max="3840" width="11.1796875" style="23" customWidth="1"/>
    <col min="3841" max="3841" width="2.81640625" style="23" customWidth="1"/>
    <col min="3842" max="3842" width="3.54296875" style="23" customWidth="1"/>
    <col min="3843" max="4087" width="9.1796875" style="23"/>
    <col min="4088" max="4088" width="8.7265625" style="23" customWidth="1"/>
    <col min="4089" max="4089" width="9.81640625" style="23" customWidth="1"/>
    <col min="4090" max="4090" width="14.453125" style="23" customWidth="1"/>
    <col min="4091" max="4091" width="7.26953125" style="23" customWidth="1"/>
    <col min="4092" max="4092" width="5.54296875" style="23" customWidth="1"/>
    <col min="4093" max="4093" width="9" style="23" customWidth="1"/>
    <col min="4094" max="4095" width="9.81640625" style="23" customWidth="1"/>
    <col min="4096" max="4096" width="11.1796875" style="23" customWidth="1"/>
    <col min="4097" max="4097" width="2.81640625" style="23" customWidth="1"/>
    <col min="4098" max="4098" width="3.54296875" style="23" customWidth="1"/>
    <col min="4099" max="4343" width="9.1796875" style="23"/>
    <col min="4344" max="4344" width="8.7265625" style="23" customWidth="1"/>
    <col min="4345" max="4345" width="9.81640625" style="23" customWidth="1"/>
    <col min="4346" max="4346" width="14.453125" style="23" customWidth="1"/>
    <col min="4347" max="4347" width="7.26953125" style="23" customWidth="1"/>
    <col min="4348" max="4348" width="5.54296875" style="23" customWidth="1"/>
    <col min="4349" max="4349" width="9" style="23" customWidth="1"/>
    <col min="4350" max="4351" width="9.81640625" style="23" customWidth="1"/>
    <col min="4352" max="4352" width="11.1796875" style="23" customWidth="1"/>
    <col min="4353" max="4353" width="2.81640625" style="23" customWidth="1"/>
    <col min="4354" max="4354" width="3.54296875" style="23" customWidth="1"/>
    <col min="4355" max="4599" width="9.1796875" style="23"/>
    <col min="4600" max="4600" width="8.7265625" style="23" customWidth="1"/>
    <col min="4601" max="4601" width="9.81640625" style="23" customWidth="1"/>
    <col min="4602" max="4602" width="14.453125" style="23" customWidth="1"/>
    <col min="4603" max="4603" width="7.26953125" style="23" customWidth="1"/>
    <col min="4604" max="4604" width="5.54296875" style="23" customWidth="1"/>
    <col min="4605" max="4605" width="9" style="23" customWidth="1"/>
    <col min="4606" max="4607" width="9.81640625" style="23" customWidth="1"/>
    <col min="4608" max="4608" width="11.1796875" style="23" customWidth="1"/>
    <col min="4609" max="4609" width="2.81640625" style="23" customWidth="1"/>
    <col min="4610" max="4610" width="3.54296875" style="23" customWidth="1"/>
    <col min="4611" max="4855" width="9.1796875" style="23"/>
    <col min="4856" max="4856" width="8.7265625" style="23" customWidth="1"/>
    <col min="4857" max="4857" width="9.81640625" style="23" customWidth="1"/>
    <col min="4858" max="4858" width="14.453125" style="23" customWidth="1"/>
    <col min="4859" max="4859" width="7.26953125" style="23" customWidth="1"/>
    <col min="4860" max="4860" width="5.54296875" style="23" customWidth="1"/>
    <col min="4861" max="4861" width="9" style="23" customWidth="1"/>
    <col min="4862" max="4863" width="9.81640625" style="23" customWidth="1"/>
    <col min="4864" max="4864" width="11.1796875" style="23" customWidth="1"/>
    <col min="4865" max="4865" width="2.81640625" style="23" customWidth="1"/>
    <col min="4866" max="4866" width="3.54296875" style="23" customWidth="1"/>
    <col min="4867" max="5111" width="9.1796875" style="23"/>
    <col min="5112" max="5112" width="8.7265625" style="23" customWidth="1"/>
    <col min="5113" max="5113" width="9.81640625" style="23" customWidth="1"/>
    <col min="5114" max="5114" width="14.453125" style="23" customWidth="1"/>
    <col min="5115" max="5115" width="7.26953125" style="23" customWidth="1"/>
    <col min="5116" max="5116" width="5.54296875" style="23" customWidth="1"/>
    <col min="5117" max="5117" width="9" style="23" customWidth="1"/>
    <col min="5118" max="5119" width="9.81640625" style="23" customWidth="1"/>
    <col min="5120" max="5120" width="11.1796875" style="23" customWidth="1"/>
    <col min="5121" max="5121" width="2.81640625" style="23" customWidth="1"/>
    <col min="5122" max="5122" width="3.54296875" style="23" customWidth="1"/>
    <col min="5123" max="5367" width="9.1796875" style="23"/>
    <col min="5368" max="5368" width="8.7265625" style="23" customWidth="1"/>
    <col min="5369" max="5369" width="9.81640625" style="23" customWidth="1"/>
    <col min="5370" max="5370" width="14.453125" style="23" customWidth="1"/>
    <col min="5371" max="5371" width="7.26953125" style="23" customWidth="1"/>
    <col min="5372" max="5372" width="5.54296875" style="23" customWidth="1"/>
    <col min="5373" max="5373" width="9" style="23" customWidth="1"/>
    <col min="5374" max="5375" width="9.81640625" style="23" customWidth="1"/>
    <col min="5376" max="5376" width="11.1796875" style="23" customWidth="1"/>
    <col min="5377" max="5377" width="2.81640625" style="23" customWidth="1"/>
    <col min="5378" max="5378" width="3.54296875" style="23" customWidth="1"/>
    <col min="5379" max="5623" width="9.1796875" style="23"/>
    <col min="5624" max="5624" width="8.7265625" style="23" customWidth="1"/>
    <col min="5625" max="5625" width="9.81640625" style="23" customWidth="1"/>
    <col min="5626" max="5626" width="14.453125" style="23" customWidth="1"/>
    <col min="5627" max="5627" width="7.26953125" style="23" customWidth="1"/>
    <col min="5628" max="5628" width="5.54296875" style="23" customWidth="1"/>
    <col min="5629" max="5629" width="9" style="23" customWidth="1"/>
    <col min="5630" max="5631" width="9.81640625" style="23" customWidth="1"/>
    <col min="5632" max="5632" width="11.1796875" style="23" customWidth="1"/>
    <col min="5633" max="5633" width="2.81640625" style="23" customWidth="1"/>
    <col min="5634" max="5634" width="3.54296875" style="23" customWidth="1"/>
    <col min="5635" max="5879" width="9.1796875" style="23"/>
    <col min="5880" max="5880" width="8.7265625" style="23" customWidth="1"/>
    <col min="5881" max="5881" width="9.81640625" style="23" customWidth="1"/>
    <col min="5882" max="5882" width="14.453125" style="23" customWidth="1"/>
    <col min="5883" max="5883" width="7.26953125" style="23" customWidth="1"/>
    <col min="5884" max="5884" width="5.54296875" style="23" customWidth="1"/>
    <col min="5885" max="5885" width="9" style="23" customWidth="1"/>
    <col min="5886" max="5887" width="9.81640625" style="23" customWidth="1"/>
    <col min="5888" max="5888" width="11.1796875" style="23" customWidth="1"/>
    <col min="5889" max="5889" width="2.81640625" style="23" customWidth="1"/>
    <col min="5890" max="5890" width="3.54296875" style="23" customWidth="1"/>
    <col min="5891" max="6135" width="9.1796875" style="23"/>
    <col min="6136" max="6136" width="8.7265625" style="23" customWidth="1"/>
    <col min="6137" max="6137" width="9.81640625" style="23" customWidth="1"/>
    <col min="6138" max="6138" width="14.453125" style="23" customWidth="1"/>
    <col min="6139" max="6139" width="7.26953125" style="23" customWidth="1"/>
    <col min="6140" max="6140" width="5.54296875" style="23" customWidth="1"/>
    <col min="6141" max="6141" width="9" style="23" customWidth="1"/>
    <col min="6142" max="6143" width="9.81640625" style="23" customWidth="1"/>
    <col min="6144" max="6144" width="11.1796875" style="23" customWidth="1"/>
    <col min="6145" max="6145" width="2.81640625" style="23" customWidth="1"/>
    <col min="6146" max="6146" width="3.54296875" style="23" customWidth="1"/>
    <col min="6147" max="6391" width="9.1796875" style="23"/>
    <col min="6392" max="6392" width="8.7265625" style="23" customWidth="1"/>
    <col min="6393" max="6393" width="9.81640625" style="23" customWidth="1"/>
    <col min="6394" max="6394" width="14.453125" style="23" customWidth="1"/>
    <col min="6395" max="6395" width="7.26953125" style="23" customWidth="1"/>
    <col min="6396" max="6396" width="5.54296875" style="23" customWidth="1"/>
    <col min="6397" max="6397" width="9" style="23" customWidth="1"/>
    <col min="6398" max="6399" width="9.81640625" style="23" customWidth="1"/>
    <col min="6400" max="6400" width="11.1796875" style="23" customWidth="1"/>
    <col min="6401" max="6401" width="2.81640625" style="23" customWidth="1"/>
    <col min="6402" max="6402" width="3.54296875" style="23" customWidth="1"/>
    <col min="6403" max="6647" width="9.1796875" style="23"/>
    <col min="6648" max="6648" width="8.7265625" style="23" customWidth="1"/>
    <col min="6649" max="6649" width="9.81640625" style="23" customWidth="1"/>
    <col min="6650" max="6650" width="14.453125" style="23" customWidth="1"/>
    <col min="6651" max="6651" width="7.26953125" style="23" customWidth="1"/>
    <col min="6652" max="6652" width="5.54296875" style="23" customWidth="1"/>
    <col min="6653" max="6653" width="9" style="23" customWidth="1"/>
    <col min="6654" max="6655" width="9.81640625" style="23" customWidth="1"/>
    <col min="6656" max="6656" width="11.1796875" style="23" customWidth="1"/>
    <col min="6657" max="6657" width="2.81640625" style="23" customWidth="1"/>
    <col min="6658" max="6658" width="3.54296875" style="23" customWidth="1"/>
    <col min="6659" max="6903" width="9.1796875" style="23"/>
    <col min="6904" max="6904" width="8.7265625" style="23" customWidth="1"/>
    <col min="6905" max="6905" width="9.81640625" style="23" customWidth="1"/>
    <col min="6906" max="6906" width="14.453125" style="23" customWidth="1"/>
    <col min="6907" max="6907" width="7.26953125" style="23" customWidth="1"/>
    <col min="6908" max="6908" width="5.54296875" style="23" customWidth="1"/>
    <col min="6909" max="6909" width="9" style="23" customWidth="1"/>
    <col min="6910" max="6911" width="9.81640625" style="23" customWidth="1"/>
    <col min="6912" max="6912" width="11.1796875" style="23" customWidth="1"/>
    <col min="6913" max="6913" width="2.81640625" style="23" customWidth="1"/>
    <col min="6914" max="6914" width="3.54296875" style="23" customWidth="1"/>
    <col min="6915" max="7159" width="9.1796875" style="23"/>
    <col min="7160" max="7160" width="8.7265625" style="23" customWidth="1"/>
    <col min="7161" max="7161" width="9.81640625" style="23" customWidth="1"/>
    <col min="7162" max="7162" width="14.453125" style="23" customWidth="1"/>
    <col min="7163" max="7163" width="7.26953125" style="23" customWidth="1"/>
    <col min="7164" max="7164" width="5.54296875" style="23" customWidth="1"/>
    <col min="7165" max="7165" width="9" style="23" customWidth="1"/>
    <col min="7166" max="7167" width="9.81640625" style="23" customWidth="1"/>
    <col min="7168" max="7168" width="11.1796875" style="23" customWidth="1"/>
    <col min="7169" max="7169" width="2.81640625" style="23" customWidth="1"/>
    <col min="7170" max="7170" width="3.54296875" style="23" customWidth="1"/>
    <col min="7171" max="7415" width="9.1796875" style="23"/>
    <col min="7416" max="7416" width="8.7265625" style="23" customWidth="1"/>
    <col min="7417" max="7417" width="9.81640625" style="23" customWidth="1"/>
    <col min="7418" max="7418" width="14.453125" style="23" customWidth="1"/>
    <col min="7419" max="7419" width="7.26953125" style="23" customWidth="1"/>
    <col min="7420" max="7420" width="5.54296875" style="23" customWidth="1"/>
    <col min="7421" max="7421" width="9" style="23" customWidth="1"/>
    <col min="7422" max="7423" width="9.81640625" style="23" customWidth="1"/>
    <col min="7424" max="7424" width="11.1796875" style="23" customWidth="1"/>
    <col min="7425" max="7425" width="2.81640625" style="23" customWidth="1"/>
    <col min="7426" max="7426" width="3.54296875" style="23" customWidth="1"/>
    <col min="7427" max="7671" width="9.1796875" style="23"/>
    <col min="7672" max="7672" width="8.7265625" style="23" customWidth="1"/>
    <col min="7673" max="7673" width="9.81640625" style="23" customWidth="1"/>
    <col min="7674" max="7674" width="14.453125" style="23" customWidth="1"/>
    <col min="7675" max="7675" width="7.26953125" style="23" customWidth="1"/>
    <col min="7676" max="7676" width="5.54296875" style="23" customWidth="1"/>
    <col min="7677" max="7677" width="9" style="23" customWidth="1"/>
    <col min="7678" max="7679" width="9.81640625" style="23" customWidth="1"/>
    <col min="7680" max="7680" width="11.1796875" style="23" customWidth="1"/>
    <col min="7681" max="7681" width="2.81640625" style="23" customWidth="1"/>
    <col min="7682" max="7682" width="3.54296875" style="23" customWidth="1"/>
    <col min="7683" max="7927" width="9.1796875" style="23"/>
    <col min="7928" max="7928" width="8.7265625" style="23" customWidth="1"/>
    <col min="7929" max="7929" width="9.81640625" style="23" customWidth="1"/>
    <col min="7930" max="7930" width="14.453125" style="23" customWidth="1"/>
    <col min="7931" max="7931" width="7.26953125" style="23" customWidth="1"/>
    <col min="7932" max="7932" width="5.54296875" style="23" customWidth="1"/>
    <col min="7933" max="7933" width="9" style="23" customWidth="1"/>
    <col min="7934" max="7935" width="9.81640625" style="23" customWidth="1"/>
    <col min="7936" max="7936" width="11.1796875" style="23" customWidth="1"/>
    <col min="7937" max="7937" width="2.81640625" style="23" customWidth="1"/>
    <col min="7938" max="7938" width="3.54296875" style="23" customWidth="1"/>
    <col min="7939" max="8183" width="9.1796875" style="23"/>
    <col min="8184" max="8184" width="8.7265625" style="23" customWidth="1"/>
    <col min="8185" max="8185" width="9.81640625" style="23" customWidth="1"/>
    <col min="8186" max="8186" width="14.453125" style="23" customWidth="1"/>
    <col min="8187" max="8187" width="7.26953125" style="23" customWidth="1"/>
    <col min="8188" max="8188" width="5.54296875" style="23" customWidth="1"/>
    <col min="8189" max="8189" width="9" style="23" customWidth="1"/>
    <col min="8190" max="8191" width="9.81640625" style="23" customWidth="1"/>
    <col min="8192" max="8192" width="11.1796875" style="23" customWidth="1"/>
    <col min="8193" max="8193" width="2.81640625" style="23" customWidth="1"/>
    <col min="8194" max="8194" width="3.54296875" style="23" customWidth="1"/>
    <col min="8195" max="8439" width="9.1796875" style="23"/>
    <col min="8440" max="8440" width="8.7265625" style="23" customWidth="1"/>
    <col min="8441" max="8441" width="9.81640625" style="23" customWidth="1"/>
    <col min="8442" max="8442" width="14.453125" style="23" customWidth="1"/>
    <col min="8443" max="8443" width="7.26953125" style="23" customWidth="1"/>
    <col min="8444" max="8444" width="5.54296875" style="23" customWidth="1"/>
    <col min="8445" max="8445" width="9" style="23" customWidth="1"/>
    <col min="8446" max="8447" width="9.81640625" style="23" customWidth="1"/>
    <col min="8448" max="8448" width="11.1796875" style="23" customWidth="1"/>
    <col min="8449" max="8449" width="2.81640625" style="23" customWidth="1"/>
    <col min="8450" max="8450" width="3.54296875" style="23" customWidth="1"/>
    <col min="8451" max="8695" width="9.1796875" style="23"/>
    <col min="8696" max="8696" width="8.7265625" style="23" customWidth="1"/>
    <col min="8697" max="8697" width="9.81640625" style="23" customWidth="1"/>
    <col min="8698" max="8698" width="14.453125" style="23" customWidth="1"/>
    <col min="8699" max="8699" width="7.26953125" style="23" customWidth="1"/>
    <col min="8700" max="8700" width="5.54296875" style="23" customWidth="1"/>
    <col min="8701" max="8701" width="9" style="23" customWidth="1"/>
    <col min="8702" max="8703" width="9.81640625" style="23" customWidth="1"/>
    <col min="8704" max="8704" width="11.1796875" style="23" customWidth="1"/>
    <col min="8705" max="8705" width="2.81640625" style="23" customWidth="1"/>
    <col min="8706" max="8706" width="3.54296875" style="23" customWidth="1"/>
    <col min="8707" max="8951" width="9.1796875" style="23"/>
    <col min="8952" max="8952" width="8.7265625" style="23" customWidth="1"/>
    <col min="8953" max="8953" width="9.81640625" style="23" customWidth="1"/>
    <col min="8954" max="8954" width="14.453125" style="23" customWidth="1"/>
    <col min="8955" max="8955" width="7.26953125" style="23" customWidth="1"/>
    <col min="8956" max="8956" width="5.54296875" style="23" customWidth="1"/>
    <col min="8957" max="8957" width="9" style="23" customWidth="1"/>
    <col min="8958" max="8959" width="9.81640625" style="23" customWidth="1"/>
    <col min="8960" max="8960" width="11.1796875" style="23" customWidth="1"/>
    <col min="8961" max="8961" width="2.81640625" style="23" customWidth="1"/>
    <col min="8962" max="8962" width="3.54296875" style="23" customWidth="1"/>
    <col min="8963" max="9207" width="9.1796875" style="23"/>
    <col min="9208" max="9208" width="8.7265625" style="23" customWidth="1"/>
    <col min="9209" max="9209" width="9.81640625" style="23" customWidth="1"/>
    <col min="9210" max="9210" width="14.453125" style="23" customWidth="1"/>
    <col min="9211" max="9211" width="7.26953125" style="23" customWidth="1"/>
    <col min="9212" max="9212" width="5.54296875" style="23" customWidth="1"/>
    <col min="9213" max="9213" width="9" style="23" customWidth="1"/>
    <col min="9214" max="9215" width="9.81640625" style="23" customWidth="1"/>
    <col min="9216" max="9216" width="11.1796875" style="23" customWidth="1"/>
    <col min="9217" max="9217" width="2.81640625" style="23" customWidth="1"/>
    <col min="9218" max="9218" width="3.54296875" style="23" customWidth="1"/>
    <col min="9219" max="9463" width="9.1796875" style="23"/>
    <col min="9464" max="9464" width="8.7265625" style="23" customWidth="1"/>
    <col min="9465" max="9465" width="9.81640625" style="23" customWidth="1"/>
    <col min="9466" max="9466" width="14.453125" style="23" customWidth="1"/>
    <col min="9467" max="9467" width="7.26953125" style="23" customWidth="1"/>
    <col min="9468" max="9468" width="5.54296875" style="23" customWidth="1"/>
    <col min="9469" max="9469" width="9" style="23" customWidth="1"/>
    <col min="9470" max="9471" width="9.81640625" style="23" customWidth="1"/>
    <col min="9472" max="9472" width="11.1796875" style="23" customWidth="1"/>
    <col min="9473" max="9473" width="2.81640625" style="23" customWidth="1"/>
    <col min="9474" max="9474" width="3.54296875" style="23" customWidth="1"/>
    <col min="9475" max="9719" width="9.1796875" style="23"/>
    <col min="9720" max="9720" width="8.7265625" style="23" customWidth="1"/>
    <col min="9721" max="9721" width="9.81640625" style="23" customWidth="1"/>
    <col min="9722" max="9722" width="14.453125" style="23" customWidth="1"/>
    <col min="9723" max="9723" width="7.26953125" style="23" customWidth="1"/>
    <col min="9724" max="9724" width="5.54296875" style="23" customWidth="1"/>
    <col min="9725" max="9725" width="9" style="23" customWidth="1"/>
    <col min="9726" max="9727" width="9.81640625" style="23" customWidth="1"/>
    <col min="9728" max="9728" width="11.1796875" style="23" customWidth="1"/>
    <col min="9729" max="9729" width="2.81640625" style="23" customWidth="1"/>
    <col min="9730" max="9730" width="3.54296875" style="23" customWidth="1"/>
    <col min="9731" max="9975" width="9.1796875" style="23"/>
    <col min="9976" max="9976" width="8.7265625" style="23" customWidth="1"/>
    <col min="9977" max="9977" width="9.81640625" style="23" customWidth="1"/>
    <col min="9978" max="9978" width="14.453125" style="23" customWidth="1"/>
    <col min="9979" max="9979" width="7.26953125" style="23" customWidth="1"/>
    <col min="9980" max="9980" width="5.54296875" style="23" customWidth="1"/>
    <col min="9981" max="9981" width="9" style="23" customWidth="1"/>
    <col min="9982" max="9983" width="9.81640625" style="23" customWidth="1"/>
    <col min="9984" max="9984" width="11.1796875" style="23" customWidth="1"/>
    <col min="9985" max="9985" width="2.81640625" style="23" customWidth="1"/>
    <col min="9986" max="9986" width="3.54296875" style="23" customWidth="1"/>
    <col min="9987" max="10231" width="9.1796875" style="23"/>
    <col min="10232" max="10232" width="8.7265625" style="23" customWidth="1"/>
    <col min="10233" max="10233" width="9.81640625" style="23" customWidth="1"/>
    <col min="10234" max="10234" width="14.453125" style="23" customWidth="1"/>
    <col min="10235" max="10235" width="7.26953125" style="23" customWidth="1"/>
    <col min="10236" max="10236" width="5.54296875" style="23" customWidth="1"/>
    <col min="10237" max="10237" width="9" style="23" customWidth="1"/>
    <col min="10238" max="10239" width="9.81640625" style="23" customWidth="1"/>
    <col min="10240" max="10240" width="11.1796875" style="23" customWidth="1"/>
    <col min="10241" max="10241" width="2.81640625" style="23" customWidth="1"/>
    <col min="10242" max="10242" width="3.54296875" style="23" customWidth="1"/>
    <col min="10243" max="10487" width="9.1796875" style="23"/>
    <col min="10488" max="10488" width="8.7265625" style="23" customWidth="1"/>
    <col min="10489" max="10489" width="9.81640625" style="23" customWidth="1"/>
    <col min="10490" max="10490" width="14.453125" style="23" customWidth="1"/>
    <col min="10491" max="10491" width="7.26953125" style="23" customWidth="1"/>
    <col min="10492" max="10492" width="5.54296875" style="23" customWidth="1"/>
    <col min="10493" max="10493" width="9" style="23" customWidth="1"/>
    <col min="10494" max="10495" width="9.81640625" style="23" customWidth="1"/>
    <col min="10496" max="10496" width="11.1796875" style="23" customWidth="1"/>
    <col min="10497" max="10497" width="2.81640625" style="23" customWidth="1"/>
    <col min="10498" max="10498" width="3.54296875" style="23" customWidth="1"/>
    <col min="10499" max="10743" width="9.1796875" style="23"/>
    <col min="10744" max="10744" width="8.7265625" style="23" customWidth="1"/>
    <col min="10745" max="10745" width="9.81640625" style="23" customWidth="1"/>
    <col min="10746" max="10746" width="14.453125" style="23" customWidth="1"/>
    <col min="10747" max="10747" width="7.26953125" style="23" customWidth="1"/>
    <col min="10748" max="10748" width="5.54296875" style="23" customWidth="1"/>
    <col min="10749" max="10749" width="9" style="23" customWidth="1"/>
    <col min="10750" max="10751" width="9.81640625" style="23" customWidth="1"/>
    <col min="10752" max="10752" width="11.1796875" style="23" customWidth="1"/>
    <col min="10753" max="10753" width="2.81640625" style="23" customWidth="1"/>
    <col min="10754" max="10754" width="3.54296875" style="23" customWidth="1"/>
    <col min="10755" max="10999" width="9.1796875" style="23"/>
    <col min="11000" max="11000" width="8.7265625" style="23" customWidth="1"/>
    <col min="11001" max="11001" width="9.81640625" style="23" customWidth="1"/>
    <col min="11002" max="11002" width="14.453125" style="23" customWidth="1"/>
    <col min="11003" max="11003" width="7.26953125" style="23" customWidth="1"/>
    <col min="11004" max="11004" width="5.54296875" style="23" customWidth="1"/>
    <col min="11005" max="11005" width="9" style="23" customWidth="1"/>
    <col min="11006" max="11007" width="9.81640625" style="23" customWidth="1"/>
    <col min="11008" max="11008" width="11.1796875" style="23" customWidth="1"/>
    <col min="11009" max="11009" width="2.81640625" style="23" customWidth="1"/>
    <col min="11010" max="11010" width="3.54296875" style="23" customWidth="1"/>
    <col min="11011" max="11255" width="9.1796875" style="23"/>
    <col min="11256" max="11256" width="8.7265625" style="23" customWidth="1"/>
    <col min="11257" max="11257" width="9.81640625" style="23" customWidth="1"/>
    <col min="11258" max="11258" width="14.453125" style="23" customWidth="1"/>
    <col min="11259" max="11259" width="7.26953125" style="23" customWidth="1"/>
    <col min="11260" max="11260" width="5.54296875" style="23" customWidth="1"/>
    <col min="11261" max="11261" width="9" style="23" customWidth="1"/>
    <col min="11262" max="11263" width="9.81640625" style="23" customWidth="1"/>
    <col min="11264" max="11264" width="11.1796875" style="23" customWidth="1"/>
    <col min="11265" max="11265" width="2.81640625" style="23" customWidth="1"/>
    <col min="11266" max="11266" width="3.54296875" style="23" customWidth="1"/>
    <col min="11267" max="11511" width="9.1796875" style="23"/>
    <col min="11512" max="11512" width="8.7265625" style="23" customWidth="1"/>
    <col min="11513" max="11513" width="9.81640625" style="23" customWidth="1"/>
    <col min="11514" max="11514" width="14.453125" style="23" customWidth="1"/>
    <col min="11515" max="11515" width="7.26953125" style="23" customWidth="1"/>
    <col min="11516" max="11516" width="5.54296875" style="23" customWidth="1"/>
    <col min="11517" max="11517" width="9" style="23" customWidth="1"/>
    <col min="11518" max="11519" width="9.81640625" style="23" customWidth="1"/>
    <col min="11520" max="11520" width="11.1796875" style="23" customWidth="1"/>
    <col min="11521" max="11521" width="2.81640625" style="23" customWidth="1"/>
    <col min="11522" max="11522" width="3.54296875" style="23" customWidth="1"/>
    <col min="11523" max="11767" width="9.1796875" style="23"/>
    <col min="11768" max="11768" width="8.7265625" style="23" customWidth="1"/>
    <col min="11769" max="11769" width="9.81640625" style="23" customWidth="1"/>
    <col min="11770" max="11770" width="14.453125" style="23" customWidth="1"/>
    <col min="11771" max="11771" width="7.26953125" style="23" customWidth="1"/>
    <col min="11772" max="11772" width="5.54296875" style="23" customWidth="1"/>
    <col min="11773" max="11773" width="9" style="23" customWidth="1"/>
    <col min="11774" max="11775" width="9.81640625" style="23" customWidth="1"/>
    <col min="11776" max="11776" width="11.1796875" style="23" customWidth="1"/>
    <col min="11777" max="11777" width="2.81640625" style="23" customWidth="1"/>
    <col min="11778" max="11778" width="3.54296875" style="23" customWidth="1"/>
    <col min="11779" max="12023" width="9.1796875" style="23"/>
    <col min="12024" max="12024" width="8.7265625" style="23" customWidth="1"/>
    <col min="12025" max="12025" width="9.81640625" style="23" customWidth="1"/>
    <col min="12026" max="12026" width="14.453125" style="23" customWidth="1"/>
    <col min="12027" max="12027" width="7.26953125" style="23" customWidth="1"/>
    <col min="12028" max="12028" width="5.54296875" style="23" customWidth="1"/>
    <col min="12029" max="12029" width="9" style="23" customWidth="1"/>
    <col min="12030" max="12031" width="9.81640625" style="23" customWidth="1"/>
    <col min="12032" max="12032" width="11.1796875" style="23" customWidth="1"/>
    <col min="12033" max="12033" width="2.81640625" style="23" customWidth="1"/>
    <col min="12034" max="12034" width="3.54296875" style="23" customWidth="1"/>
    <col min="12035" max="12279" width="9.1796875" style="23"/>
    <col min="12280" max="12280" width="8.7265625" style="23" customWidth="1"/>
    <col min="12281" max="12281" width="9.81640625" style="23" customWidth="1"/>
    <col min="12282" max="12282" width="14.453125" style="23" customWidth="1"/>
    <col min="12283" max="12283" width="7.26953125" style="23" customWidth="1"/>
    <col min="12284" max="12284" width="5.54296875" style="23" customWidth="1"/>
    <col min="12285" max="12285" width="9" style="23" customWidth="1"/>
    <col min="12286" max="12287" width="9.81640625" style="23" customWidth="1"/>
    <col min="12288" max="12288" width="11.1796875" style="23" customWidth="1"/>
    <col min="12289" max="12289" width="2.81640625" style="23" customWidth="1"/>
    <col min="12290" max="12290" width="3.54296875" style="23" customWidth="1"/>
    <col min="12291" max="12535" width="9.1796875" style="23"/>
    <col min="12536" max="12536" width="8.7265625" style="23" customWidth="1"/>
    <col min="12537" max="12537" width="9.81640625" style="23" customWidth="1"/>
    <col min="12538" max="12538" width="14.453125" style="23" customWidth="1"/>
    <col min="12539" max="12539" width="7.26953125" style="23" customWidth="1"/>
    <col min="12540" max="12540" width="5.54296875" style="23" customWidth="1"/>
    <col min="12541" max="12541" width="9" style="23" customWidth="1"/>
    <col min="12542" max="12543" width="9.81640625" style="23" customWidth="1"/>
    <col min="12544" max="12544" width="11.1796875" style="23" customWidth="1"/>
    <col min="12545" max="12545" width="2.81640625" style="23" customWidth="1"/>
    <col min="12546" max="12546" width="3.54296875" style="23" customWidth="1"/>
    <col min="12547" max="12791" width="9.1796875" style="23"/>
    <col min="12792" max="12792" width="8.7265625" style="23" customWidth="1"/>
    <col min="12793" max="12793" width="9.81640625" style="23" customWidth="1"/>
    <col min="12794" max="12794" width="14.453125" style="23" customWidth="1"/>
    <col min="12795" max="12795" width="7.26953125" style="23" customWidth="1"/>
    <col min="12796" max="12796" width="5.54296875" style="23" customWidth="1"/>
    <col min="12797" max="12797" width="9" style="23" customWidth="1"/>
    <col min="12798" max="12799" width="9.81640625" style="23" customWidth="1"/>
    <col min="12800" max="12800" width="11.1796875" style="23" customWidth="1"/>
    <col min="12801" max="12801" width="2.81640625" style="23" customWidth="1"/>
    <col min="12802" max="12802" width="3.54296875" style="23" customWidth="1"/>
    <col min="12803" max="13047" width="9.1796875" style="23"/>
    <col min="13048" max="13048" width="8.7265625" style="23" customWidth="1"/>
    <col min="13049" max="13049" width="9.81640625" style="23" customWidth="1"/>
    <col min="13050" max="13050" width="14.453125" style="23" customWidth="1"/>
    <col min="13051" max="13051" width="7.26953125" style="23" customWidth="1"/>
    <col min="13052" max="13052" width="5.54296875" style="23" customWidth="1"/>
    <col min="13053" max="13053" width="9" style="23" customWidth="1"/>
    <col min="13054" max="13055" width="9.81640625" style="23" customWidth="1"/>
    <col min="13056" max="13056" width="11.1796875" style="23" customWidth="1"/>
    <col min="13057" max="13057" width="2.81640625" style="23" customWidth="1"/>
    <col min="13058" max="13058" width="3.54296875" style="23" customWidth="1"/>
    <col min="13059" max="13303" width="9.1796875" style="23"/>
    <col min="13304" max="13304" width="8.7265625" style="23" customWidth="1"/>
    <col min="13305" max="13305" width="9.81640625" style="23" customWidth="1"/>
    <col min="13306" max="13306" width="14.453125" style="23" customWidth="1"/>
    <col min="13307" max="13307" width="7.26953125" style="23" customWidth="1"/>
    <col min="13308" max="13308" width="5.54296875" style="23" customWidth="1"/>
    <col min="13309" max="13309" width="9" style="23" customWidth="1"/>
    <col min="13310" max="13311" width="9.81640625" style="23" customWidth="1"/>
    <col min="13312" max="13312" width="11.1796875" style="23" customWidth="1"/>
    <col min="13313" max="13313" width="2.81640625" style="23" customWidth="1"/>
    <col min="13314" max="13314" width="3.54296875" style="23" customWidth="1"/>
    <col min="13315" max="13559" width="9.1796875" style="23"/>
    <col min="13560" max="13560" width="8.7265625" style="23" customWidth="1"/>
    <col min="13561" max="13561" width="9.81640625" style="23" customWidth="1"/>
    <col min="13562" max="13562" width="14.453125" style="23" customWidth="1"/>
    <col min="13563" max="13563" width="7.26953125" style="23" customWidth="1"/>
    <col min="13564" max="13564" width="5.54296875" style="23" customWidth="1"/>
    <col min="13565" max="13565" width="9" style="23" customWidth="1"/>
    <col min="13566" max="13567" width="9.81640625" style="23" customWidth="1"/>
    <col min="13568" max="13568" width="11.1796875" style="23" customWidth="1"/>
    <col min="13569" max="13569" width="2.81640625" style="23" customWidth="1"/>
    <col min="13570" max="13570" width="3.54296875" style="23" customWidth="1"/>
    <col min="13571" max="13815" width="9.1796875" style="23"/>
    <col min="13816" max="13816" width="8.7265625" style="23" customWidth="1"/>
    <col min="13817" max="13817" width="9.81640625" style="23" customWidth="1"/>
    <col min="13818" max="13818" width="14.453125" style="23" customWidth="1"/>
    <col min="13819" max="13819" width="7.26953125" style="23" customWidth="1"/>
    <col min="13820" max="13820" width="5.54296875" style="23" customWidth="1"/>
    <col min="13821" max="13821" width="9" style="23" customWidth="1"/>
    <col min="13822" max="13823" width="9.81640625" style="23" customWidth="1"/>
    <col min="13824" max="13824" width="11.1796875" style="23" customWidth="1"/>
    <col min="13825" max="13825" width="2.81640625" style="23" customWidth="1"/>
    <col min="13826" max="13826" width="3.54296875" style="23" customWidth="1"/>
    <col min="13827" max="14071" width="9.1796875" style="23"/>
    <col min="14072" max="14072" width="8.7265625" style="23" customWidth="1"/>
    <col min="14073" max="14073" width="9.81640625" style="23" customWidth="1"/>
    <col min="14074" max="14074" width="14.453125" style="23" customWidth="1"/>
    <col min="14075" max="14075" width="7.26953125" style="23" customWidth="1"/>
    <col min="14076" max="14076" width="5.54296875" style="23" customWidth="1"/>
    <col min="14077" max="14077" width="9" style="23" customWidth="1"/>
    <col min="14078" max="14079" width="9.81640625" style="23" customWidth="1"/>
    <col min="14080" max="14080" width="11.1796875" style="23" customWidth="1"/>
    <col min="14081" max="14081" width="2.81640625" style="23" customWidth="1"/>
    <col min="14082" max="14082" width="3.54296875" style="23" customWidth="1"/>
    <col min="14083" max="14327" width="9.1796875" style="23"/>
    <col min="14328" max="14328" width="8.7265625" style="23" customWidth="1"/>
    <col min="14329" max="14329" width="9.81640625" style="23" customWidth="1"/>
    <col min="14330" max="14330" width="14.453125" style="23" customWidth="1"/>
    <col min="14331" max="14331" width="7.26953125" style="23" customWidth="1"/>
    <col min="14332" max="14332" width="5.54296875" style="23" customWidth="1"/>
    <col min="14333" max="14333" width="9" style="23" customWidth="1"/>
    <col min="14334" max="14335" width="9.81640625" style="23" customWidth="1"/>
    <col min="14336" max="14336" width="11.1796875" style="23" customWidth="1"/>
    <col min="14337" max="14337" width="2.81640625" style="23" customWidth="1"/>
    <col min="14338" max="14338" width="3.54296875" style="23" customWidth="1"/>
    <col min="14339" max="14583" width="9.1796875" style="23"/>
    <col min="14584" max="14584" width="8.7265625" style="23" customWidth="1"/>
    <col min="14585" max="14585" width="9.81640625" style="23" customWidth="1"/>
    <col min="14586" max="14586" width="14.453125" style="23" customWidth="1"/>
    <col min="14587" max="14587" width="7.26953125" style="23" customWidth="1"/>
    <col min="14588" max="14588" width="5.54296875" style="23" customWidth="1"/>
    <col min="14589" max="14589" width="9" style="23" customWidth="1"/>
    <col min="14590" max="14591" width="9.81640625" style="23" customWidth="1"/>
    <col min="14592" max="14592" width="11.1796875" style="23" customWidth="1"/>
    <col min="14593" max="14593" width="2.81640625" style="23" customWidth="1"/>
    <col min="14594" max="14594" width="3.54296875" style="23" customWidth="1"/>
    <col min="14595" max="14839" width="9.1796875" style="23"/>
    <col min="14840" max="14840" width="8.7265625" style="23" customWidth="1"/>
    <col min="14841" max="14841" width="9.81640625" style="23" customWidth="1"/>
    <col min="14842" max="14842" width="14.453125" style="23" customWidth="1"/>
    <col min="14843" max="14843" width="7.26953125" style="23" customWidth="1"/>
    <col min="14844" max="14844" width="5.54296875" style="23" customWidth="1"/>
    <col min="14845" max="14845" width="9" style="23" customWidth="1"/>
    <col min="14846" max="14847" width="9.81640625" style="23" customWidth="1"/>
    <col min="14848" max="14848" width="11.1796875" style="23" customWidth="1"/>
    <col min="14849" max="14849" width="2.81640625" style="23" customWidth="1"/>
    <col min="14850" max="14850" width="3.54296875" style="23" customWidth="1"/>
    <col min="14851" max="15095" width="9.1796875" style="23"/>
    <col min="15096" max="15096" width="8.7265625" style="23" customWidth="1"/>
    <col min="15097" max="15097" width="9.81640625" style="23" customWidth="1"/>
    <col min="15098" max="15098" width="14.453125" style="23" customWidth="1"/>
    <col min="15099" max="15099" width="7.26953125" style="23" customWidth="1"/>
    <col min="15100" max="15100" width="5.54296875" style="23" customWidth="1"/>
    <col min="15101" max="15101" width="9" style="23" customWidth="1"/>
    <col min="15102" max="15103" width="9.81640625" style="23" customWidth="1"/>
    <col min="15104" max="15104" width="11.1796875" style="23" customWidth="1"/>
    <col min="15105" max="15105" width="2.81640625" style="23" customWidth="1"/>
    <col min="15106" max="15106" width="3.54296875" style="23" customWidth="1"/>
    <col min="15107" max="15351" width="9.1796875" style="23"/>
    <col min="15352" max="15352" width="8.7265625" style="23" customWidth="1"/>
    <col min="15353" max="15353" width="9.81640625" style="23" customWidth="1"/>
    <col min="15354" max="15354" width="14.453125" style="23" customWidth="1"/>
    <col min="15355" max="15355" width="7.26953125" style="23" customWidth="1"/>
    <col min="15356" max="15356" width="5.54296875" style="23" customWidth="1"/>
    <col min="15357" max="15357" width="9" style="23" customWidth="1"/>
    <col min="15358" max="15359" width="9.81640625" style="23" customWidth="1"/>
    <col min="15360" max="15360" width="11.1796875" style="23" customWidth="1"/>
    <col min="15361" max="15361" width="2.81640625" style="23" customWidth="1"/>
    <col min="15362" max="15362" width="3.54296875" style="23" customWidth="1"/>
    <col min="15363" max="15607" width="9.1796875" style="23"/>
    <col min="15608" max="15608" width="8.7265625" style="23" customWidth="1"/>
    <col min="15609" max="15609" width="9.81640625" style="23" customWidth="1"/>
    <col min="15610" max="15610" width="14.453125" style="23" customWidth="1"/>
    <col min="15611" max="15611" width="7.26953125" style="23" customWidth="1"/>
    <col min="15612" max="15612" width="5.54296875" style="23" customWidth="1"/>
    <col min="15613" max="15613" width="9" style="23" customWidth="1"/>
    <col min="15614" max="15615" width="9.81640625" style="23" customWidth="1"/>
    <col min="15616" max="15616" width="11.1796875" style="23" customWidth="1"/>
    <col min="15617" max="15617" width="2.81640625" style="23" customWidth="1"/>
    <col min="15618" max="15618" width="3.54296875" style="23" customWidth="1"/>
    <col min="15619" max="15863" width="9.1796875" style="23"/>
    <col min="15864" max="15864" width="8.7265625" style="23" customWidth="1"/>
    <col min="15865" max="15865" width="9.81640625" style="23" customWidth="1"/>
    <col min="15866" max="15866" width="14.453125" style="23" customWidth="1"/>
    <col min="15867" max="15867" width="7.26953125" style="23" customWidth="1"/>
    <col min="15868" max="15868" width="5.54296875" style="23" customWidth="1"/>
    <col min="15869" max="15869" width="9" style="23" customWidth="1"/>
    <col min="15870" max="15871" width="9.81640625" style="23" customWidth="1"/>
    <col min="15872" max="15872" width="11.1796875" style="23" customWidth="1"/>
    <col min="15873" max="15873" width="2.81640625" style="23" customWidth="1"/>
    <col min="15874" max="15874" width="3.54296875" style="23" customWidth="1"/>
    <col min="15875" max="16119" width="9.1796875" style="23"/>
    <col min="16120" max="16120" width="8.7265625" style="23" customWidth="1"/>
    <col min="16121" max="16121" width="9.81640625" style="23" customWidth="1"/>
    <col min="16122" max="16122" width="14.453125" style="23" customWidth="1"/>
    <col min="16123" max="16123" width="7.26953125" style="23" customWidth="1"/>
    <col min="16124" max="16124" width="5.54296875" style="23" customWidth="1"/>
    <col min="16125" max="16125" width="9" style="23" customWidth="1"/>
    <col min="16126" max="16127" width="9.81640625" style="23" customWidth="1"/>
    <col min="16128" max="16128" width="11.1796875" style="23" customWidth="1"/>
    <col min="16129" max="16129" width="2.81640625" style="23" customWidth="1"/>
    <col min="16130" max="16130" width="3.54296875" style="23" customWidth="1"/>
    <col min="16131" max="16384" width="9.1796875" style="23"/>
  </cols>
  <sheetData>
    <row r="1" spans="1:8" ht="46.5" customHeight="1" x14ac:dyDescent="0.35">
      <c r="A1" s="123" t="s">
        <v>214</v>
      </c>
      <c r="B1" s="123"/>
      <c r="C1" s="123"/>
      <c r="D1" s="123"/>
      <c r="E1" s="123"/>
      <c r="F1" s="123"/>
      <c r="G1" s="123"/>
      <c r="H1" s="123"/>
    </row>
    <row r="2" spans="1:8" ht="16.5" customHeight="1" x14ac:dyDescent="0.3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8" x14ac:dyDescent="0.35">
      <c r="A3" s="93" t="s">
        <v>1</v>
      </c>
      <c r="B3" s="93"/>
      <c r="C3" s="93"/>
      <c r="D3" s="93"/>
      <c r="E3" s="93" t="str">
        <f ca="1">TEXT(TODAY(),"DD/MM/YYYY")</f>
        <v>23/07/2025</v>
      </c>
      <c r="F3" s="93"/>
      <c r="G3" s="93"/>
      <c r="H3" s="93"/>
    </row>
    <row r="4" spans="1:8" ht="15" customHeight="1" x14ac:dyDescent="0.35">
      <c r="A4" s="93" t="s">
        <v>2</v>
      </c>
      <c r="B4" s="93"/>
      <c r="C4" s="93"/>
      <c r="D4" s="93"/>
      <c r="E4" s="93" t="s">
        <v>223</v>
      </c>
      <c r="F4" s="93"/>
      <c r="G4" s="93"/>
      <c r="H4" s="93"/>
    </row>
    <row r="5" spans="1:8" x14ac:dyDescent="0.35">
      <c r="A5" s="93" t="s">
        <v>3</v>
      </c>
      <c r="B5" s="93"/>
      <c r="C5" s="93"/>
      <c r="D5" s="93"/>
      <c r="E5" s="125">
        <v>45861</v>
      </c>
      <c r="F5" s="125"/>
      <c r="G5" s="125"/>
      <c r="H5" s="125"/>
    </row>
    <row r="6" spans="1:8" ht="16.5" customHeight="1" x14ac:dyDescent="0.35">
      <c r="A6" s="93" t="s">
        <v>4</v>
      </c>
      <c r="B6" s="93"/>
      <c r="C6" s="93"/>
      <c r="D6" s="93"/>
      <c r="E6" s="93" t="s">
        <v>185</v>
      </c>
      <c r="F6" s="93"/>
      <c r="G6" s="93"/>
      <c r="H6" s="93"/>
    </row>
    <row r="7" spans="1:8" ht="15" customHeight="1" x14ac:dyDescent="0.35">
      <c r="A7" s="93" t="s">
        <v>5</v>
      </c>
      <c r="B7" s="93"/>
      <c r="C7" s="93"/>
      <c r="D7" s="93"/>
      <c r="E7" s="93" t="str">
        <f>E6</f>
        <v>M/s. Thanekar Realtor LLP</v>
      </c>
      <c r="F7" s="93"/>
      <c r="G7" s="93"/>
      <c r="H7" s="93"/>
    </row>
    <row r="8" spans="1:8" x14ac:dyDescent="0.35">
      <c r="A8" s="93" t="s">
        <v>6</v>
      </c>
      <c r="B8" s="93"/>
      <c r="C8" s="93"/>
      <c r="D8" s="93"/>
      <c r="E8" s="117" t="s">
        <v>186</v>
      </c>
      <c r="F8" s="117"/>
      <c r="G8" s="117"/>
      <c r="H8" s="117"/>
    </row>
    <row r="9" spans="1:8" x14ac:dyDescent="0.35">
      <c r="A9" s="93" t="s">
        <v>127</v>
      </c>
      <c r="B9" s="93"/>
      <c r="C9" s="93"/>
      <c r="D9" s="93"/>
      <c r="E9" s="93" t="s">
        <v>187</v>
      </c>
      <c r="F9" s="93"/>
      <c r="G9" s="93"/>
      <c r="H9" s="93"/>
    </row>
    <row r="10" spans="1:8" x14ac:dyDescent="0.35">
      <c r="A10" s="93" t="s">
        <v>7</v>
      </c>
      <c r="B10" s="93"/>
      <c r="C10" s="93"/>
      <c r="D10" s="93"/>
      <c r="E10" s="93" t="s">
        <v>188</v>
      </c>
      <c r="F10" s="93"/>
      <c r="G10" s="93"/>
      <c r="H10" s="93"/>
    </row>
    <row r="11" spans="1:8" x14ac:dyDescent="0.35">
      <c r="A11" s="93" t="s">
        <v>8</v>
      </c>
      <c r="B11" s="93"/>
      <c r="C11" s="93"/>
      <c r="D11" s="93"/>
      <c r="E11" s="112" t="s">
        <v>189</v>
      </c>
      <c r="F11" s="112"/>
      <c r="G11" s="112"/>
      <c r="H11" s="112"/>
    </row>
    <row r="12" spans="1:8" x14ac:dyDescent="0.35">
      <c r="A12" s="93" t="s">
        <v>9</v>
      </c>
      <c r="B12" s="93"/>
      <c r="C12" s="93"/>
      <c r="D12" s="93"/>
      <c r="E12" s="112" t="s">
        <v>190</v>
      </c>
      <c r="F12" s="93"/>
      <c r="G12" s="93"/>
      <c r="H12" s="93"/>
    </row>
    <row r="13" spans="1:8" ht="33.75" customHeight="1" x14ac:dyDescent="0.35">
      <c r="A13" s="112" t="s">
        <v>10</v>
      </c>
      <c r="B13" s="112"/>
      <c r="C13" s="11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Thanekar Palacio, Survey No.82, H.No. 2.1 Part 1., near Shreeji Heights, Internal road, Shirgaon, Badlapur east, Ambernath, Thane - 421503.</v>
      </c>
      <c r="D13" s="112"/>
      <c r="E13" s="112"/>
      <c r="F13" s="112"/>
      <c r="G13" s="112"/>
      <c r="H13" s="112"/>
    </row>
    <row r="14" spans="1:8" x14ac:dyDescent="0.35">
      <c r="A14" s="112" t="s">
        <v>195</v>
      </c>
      <c r="B14" s="112"/>
      <c r="C14" s="112" t="s">
        <v>191</v>
      </c>
      <c r="D14" s="112"/>
      <c r="E14" s="112"/>
      <c r="F14" s="112"/>
      <c r="G14" s="112"/>
      <c r="H14" s="112"/>
    </row>
    <row r="15" spans="1:8" ht="15.75" customHeight="1" x14ac:dyDescent="0.35">
      <c r="A15" s="112" t="s">
        <v>11</v>
      </c>
      <c r="B15" s="112"/>
      <c r="C15" s="93" t="s">
        <v>197</v>
      </c>
      <c r="D15" s="93"/>
      <c r="E15" s="99" t="s">
        <v>75</v>
      </c>
      <c r="F15" s="99"/>
      <c r="G15" s="112" t="s">
        <v>192</v>
      </c>
      <c r="H15" s="112"/>
    </row>
    <row r="16" spans="1:8" x14ac:dyDescent="0.35">
      <c r="A16" s="76" t="s">
        <v>13</v>
      </c>
      <c r="B16" s="76"/>
      <c r="C16" s="112" t="s">
        <v>198</v>
      </c>
      <c r="D16" s="112"/>
      <c r="E16" s="99" t="s">
        <v>12</v>
      </c>
      <c r="F16" s="99"/>
      <c r="G16" s="126" t="s">
        <v>194</v>
      </c>
      <c r="H16" s="126"/>
    </row>
    <row r="17" spans="1:8" x14ac:dyDescent="0.35">
      <c r="A17" s="76" t="s">
        <v>76</v>
      </c>
      <c r="B17" s="76"/>
      <c r="C17" s="112" t="s">
        <v>193</v>
      </c>
      <c r="D17" s="112"/>
      <c r="E17" s="99" t="s">
        <v>14</v>
      </c>
      <c r="F17" s="99"/>
      <c r="G17" s="112">
        <v>421503</v>
      </c>
      <c r="H17" s="112"/>
    </row>
    <row r="18" spans="1:8" ht="32.25" customHeight="1" x14ac:dyDescent="0.35">
      <c r="A18" s="76" t="s">
        <v>128</v>
      </c>
      <c r="B18" s="76"/>
      <c r="C18" s="112" t="s">
        <v>199</v>
      </c>
      <c r="D18" s="112"/>
      <c r="E18" s="99" t="s">
        <v>15</v>
      </c>
      <c r="F18" s="99"/>
      <c r="G18" s="112" t="s">
        <v>196</v>
      </c>
      <c r="H18" s="112"/>
    </row>
    <row r="19" spans="1:8" ht="15" customHeight="1" x14ac:dyDescent="0.35">
      <c r="A19" s="99" t="s">
        <v>79</v>
      </c>
      <c r="B19" s="99"/>
      <c r="C19" s="99"/>
      <c r="D19" s="99"/>
      <c r="E19" s="93" t="s">
        <v>16</v>
      </c>
      <c r="F19" s="93"/>
      <c r="G19" s="93"/>
      <c r="H19" s="93"/>
    </row>
    <row r="20" spans="1:8" ht="18.75" customHeight="1" x14ac:dyDescent="0.35">
      <c r="A20" s="99"/>
      <c r="B20" s="99"/>
      <c r="C20" s="99"/>
      <c r="D20" s="99"/>
      <c r="E20" s="93"/>
      <c r="F20" s="93"/>
      <c r="G20" s="93"/>
      <c r="H20" s="93"/>
    </row>
    <row r="21" spans="1:8" ht="15" customHeight="1" x14ac:dyDescent="0.35">
      <c r="A21" s="99" t="s">
        <v>17</v>
      </c>
      <c r="B21" s="99"/>
      <c r="C21" s="99"/>
      <c r="D21" s="99"/>
      <c r="E21" s="112" t="s">
        <v>18</v>
      </c>
      <c r="F21" s="112"/>
      <c r="G21" s="112"/>
      <c r="H21" s="112"/>
    </row>
    <row r="22" spans="1:8" ht="15" customHeight="1" x14ac:dyDescent="0.35">
      <c r="A22" s="76" t="s">
        <v>19</v>
      </c>
      <c r="B22" s="76"/>
      <c r="C22" s="76"/>
      <c r="D22" s="76"/>
      <c r="E22" s="112" t="str">
        <f>IF(AND(G16="Mumbai"),"Upper Class","Middle Class")</f>
        <v>Middle Class</v>
      </c>
      <c r="F22" s="112"/>
      <c r="G22" s="112"/>
      <c r="H22" s="112"/>
    </row>
    <row r="23" spans="1:8" x14ac:dyDescent="0.35">
      <c r="A23" s="76" t="s">
        <v>20</v>
      </c>
      <c r="B23" s="76"/>
      <c r="C23" s="76"/>
      <c r="D23" s="76"/>
      <c r="E23" s="112" t="s">
        <v>21</v>
      </c>
      <c r="F23" s="112"/>
      <c r="G23" s="112"/>
      <c r="H23" s="112"/>
    </row>
    <row r="24" spans="1:8" ht="15.75" customHeight="1" x14ac:dyDescent="0.35">
      <c r="A24" s="76" t="s">
        <v>22</v>
      </c>
      <c r="B24" s="76"/>
      <c r="C24" s="76"/>
      <c r="D24" s="76"/>
      <c r="E24" s="112" t="str">
        <f>IF(AND(G16="Mumbai"),"Developed","Developing")</f>
        <v>Developing</v>
      </c>
      <c r="F24" s="112"/>
      <c r="G24" s="112"/>
      <c r="H24" s="112"/>
    </row>
    <row r="25" spans="1:8" x14ac:dyDescent="0.35">
      <c r="A25" s="76" t="s">
        <v>23</v>
      </c>
      <c r="B25" s="76"/>
      <c r="C25" s="76"/>
      <c r="D25" s="76"/>
      <c r="E25" s="112" t="s">
        <v>24</v>
      </c>
      <c r="F25" s="112"/>
      <c r="G25" s="112"/>
      <c r="H25" s="112"/>
    </row>
    <row r="26" spans="1:8" ht="15.75" customHeight="1" x14ac:dyDescent="0.35">
      <c r="A26" s="76" t="s">
        <v>84</v>
      </c>
      <c r="B26" s="76"/>
      <c r="C26" s="76"/>
      <c r="D26" s="76"/>
      <c r="E26" s="112" t="s">
        <v>85</v>
      </c>
      <c r="F26" s="112"/>
      <c r="G26" s="112"/>
      <c r="H26" s="112"/>
    </row>
    <row r="27" spans="1:8" ht="15" customHeight="1" x14ac:dyDescent="0.35">
      <c r="A27" s="76" t="s">
        <v>33</v>
      </c>
      <c r="B27" s="76"/>
      <c r="C27" s="76"/>
      <c r="D27" s="76"/>
      <c r="E27" s="11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Commercial",IF(AND(ISNUMBER(SEARCH("Shop",D55)),ISNUMBER(SEARCH("Office",D55))),"Commercial",IF(ISNUMBER(SEARCH("Shop",D55)),"Commercial",IF(ISNUMBER(SEARCH("Office",D55)),"Commercial",IF(ISNUMBER(SEARCH("Flat",D55)),"Residentail")))))))</f>
        <v>Residential + Commercial</v>
      </c>
      <c r="F27" s="112"/>
      <c r="G27" s="112"/>
      <c r="H27" s="112"/>
    </row>
    <row r="28" spans="1:8" ht="15.75" customHeight="1" x14ac:dyDescent="0.35">
      <c r="A28" s="76" t="s">
        <v>96</v>
      </c>
      <c r="B28" s="76"/>
      <c r="C28" s="76"/>
      <c r="D28" s="76"/>
      <c r="E28" s="112" t="s">
        <v>34</v>
      </c>
      <c r="F28" s="112"/>
      <c r="G28" s="112"/>
      <c r="H28" s="112"/>
    </row>
    <row r="29" spans="1:8" s="24" customFormat="1" x14ac:dyDescent="0.35">
      <c r="A29" s="136" t="s">
        <v>97</v>
      </c>
      <c r="B29" s="136"/>
      <c r="C29" s="135" t="s">
        <v>29</v>
      </c>
      <c r="D29" s="135"/>
      <c r="E29" s="135"/>
      <c r="F29" s="135" t="s">
        <v>31</v>
      </c>
      <c r="G29" s="135"/>
      <c r="H29" s="135"/>
    </row>
    <row r="30" spans="1:8" s="24" customFormat="1" x14ac:dyDescent="0.35">
      <c r="A30" s="134" t="s">
        <v>25</v>
      </c>
      <c r="B30" s="134" t="s">
        <v>30</v>
      </c>
      <c r="C30" s="127" t="s">
        <v>30</v>
      </c>
      <c r="D30" s="127"/>
      <c r="E30" s="127"/>
      <c r="F30" s="127" t="s">
        <v>199</v>
      </c>
      <c r="G30" s="127"/>
      <c r="H30" s="127"/>
    </row>
    <row r="31" spans="1:8" x14ac:dyDescent="0.35">
      <c r="A31" s="134" t="s">
        <v>26</v>
      </c>
      <c r="B31" s="134" t="s">
        <v>30</v>
      </c>
      <c r="C31" s="127" t="s">
        <v>30</v>
      </c>
      <c r="D31" s="127"/>
      <c r="E31" s="127"/>
      <c r="F31" s="127" t="s">
        <v>200</v>
      </c>
      <c r="G31" s="127"/>
      <c r="H31" s="127"/>
    </row>
    <row r="32" spans="1:8" s="24" customFormat="1" x14ac:dyDescent="0.35">
      <c r="A32" s="134" t="s">
        <v>28</v>
      </c>
      <c r="B32" s="134" t="s">
        <v>30</v>
      </c>
      <c r="C32" s="127" t="s">
        <v>30</v>
      </c>
      <c r="D32" s="127"/>
      <c r="E32" s="127"/>
      <c r="F32" s="127" t="s">
        <v>197</v>
      </c>
      <c r="G32" s="127"/>
      <c r="H32" s="127"/>
    </row>
    <row r="33" spans="1:8" x14ac:dyDescent="0.35">
      <c r="A33" s="134" t="s">
        <v>27</v>
      </c>
      <c r="B33" s="134" t="s">
        <v>30</v>
      </c>
      <c r="C33" s="127" t="s">
        <v>30</v>
      </c>
      <c r="D33" s="127"/>
      <c r="E33" s="127"/>
      <c r="F33" s="127" t="s">
        <v>201</v>
      </c>
      <c r="G33" s="127"/>
      <c r="H33" s="127"/>
    </row>
    <row r="34" spans="1:8" x14ac:dyDescent="0.35">
      <c r="A34" s="76" t="s">
        <v>32</v>
      </c>
      <c r="B34" s="76"/>
      <c r="C34" s="76"/>
      <c r="D34" s="76"/>
      <c r="E34" s="76"/>
      <c r="F34" s="76"/>
      <c r="G34" s="76"/>
      <c r="H34" s="76"/>
    </row>
    <row r="35" spans="1:8" ht="15.75" customHeight="1" x14ac:dyDescent="0.35">
      <c r="A35" s="76" t="s">
        <v>215</v>
      </c>
      <c r="B35" s="76"/>
      <c r="C35" s="131" t="s">
        <v>216</v>
      </c>
      <c r="D35" s="132"/>
      <c r="E35" s="132"/>
      <c r="F35" s="132"/>
      <c r="G35" s="132"/>
      <c r="H35" s="133"/>
    </row>
    <row r="36" spans="1:8" ht="15.75" customHeight="1" x14ac:dyDescent="0.35">
      <c r="A36" s="76" t="s">
        <v>211</v>
      </c>
      <c r="B36" s="76"/>
      <c r="C36" s="128" t="s">
        <v>212</v>
      </c>
      <c r="D36" s="129"/>
      <c r="E36" s="129"/>
      <c r="F36" s="129"/>
      <c r="G36" s="129"/>
      <c r="H36" s="130"/>
    </row>
    <row r="37" spans="1:8" x14ac:dyDescent="0.35">
      <c r="A37" s="94" t="s">
        <v>35</v>
      </c>
      <c r="B37" s="94"/>
      <c r="C37" s="94"/>
      <c r="D37" s="94"/>
      <c r="E37" s="94"/>
      <c r="F37" s="94"/>
      <c r="G37" s="94"/>
      <c r="H37" s="94"/>
    </row>
    <row r="38" spans="1:8" x14ac:dyDescent="0.35">
      <c r="A38" s="76" t="s">
        <v>36</v>
      </c>
      <c r="B38" s="76"/>
      <c r="C38" s="76"/>
      <c r="D38" s="76"/>
      <c r="E38" s="137">
        <v>3811</v>
      </c>
      <c r="F38" s="137"/>
      <c r="G38" s="137"/>
      <c r="H38" s="137"/>
    </row>
    <row r="39" spans="1:8" x14ac:dyDescent="0.35">
      <c r="A39" s="76" t="s">
        <v>37</v>
      </c>
      <c r="B39" s="76"/>
      <c r="C39" s="76"/>
      <c r="D39" s="76"/>
      <c r="E39" s="82">
        <v>1.1000000000000001</v>
      </c>
      <c r="F39" s="82"/>
      <c r="G39" s="82"/>
      <c r="H39" s="82"/>
    </row>
    <row r="40" spans="1:8" x14ac:dyDescent="0.35">
      <c r="A40" s="76" t="s">
        <v>38</v>
      </c>
      <c r="B40" s="76"/>
      <c r="C40" s="76"/>
      <c r="D40" s="76"/>
      <c r="E40" s="82">
        <f>E42/E38-E39</f>
        <v>1.6259774337444242</v>
      </c>
      <c r="F40" s="82"/>
      <c r="G40" s="82"/>
      <c r="H40" s="82"/>
    </row>
    <row r="41" spans="1:8" x14ac:dyDescent="0.35">
      <c r="A41" s="76" t="s">
        <v>39</v>
      </c>
      <c r="B41" s="76"/>
      <c r="C41" s="76"/>
      <c r="D41" s="76"/>
      <c r="E41" s="82">
        <f>E39+E40</f>
        <v>2.7259774337444242</v>
      </c>
      <c r="F41" s="82"/>
      <c r="G41" s="82"/>
      <c r="H41" s="82"/>
    </row>
    <row r="42" spans="1:8" x14ac:dyDescent="0.35">
      <c r="A42" s="76" t="s">
        <v>95</v>
      </c>
      <c r="B42" s="76"/>
      <c r="C42" s="76"/>
      <c r="D42" s="76"/>
      <c r="E42" s="138">
        <v>10388.700000000001</v>
      </c>
      <c r="F42" s="138"/>
      <c r="G42" s="138"/>
      <c r="H42" s="138"/>
    </row>
    <row r="43" spans="1:8" x14ac:dyDescent="0.35">
      <c r="A43" s="93" t="s">
        <v>40</v>
      </c>
      <c r="B43" s="93"/>
      <c r="C43" s="93"/>
      <c r="D43" s="93"/>
      <c r="E43" s="93" t="s">
        <v>202</v>
      </c>
      <c r="F43" s="93"/>
      <c r="G43" s="93"/>
      <c r="H43" s="93"/>
    </row>
    <row r="44" spans="1:8" x14ac:dyDescent="0.35">
      <c r="A44" s="117" t="s">
        <v>41</v>
      </c>
      <c r="B44" s="117"/>
      <c r="C44" s="117"/>
      <c r="D44" s="117"/>
      <c r="E44" s="117"/>
      <c r="F44" s="117"/>
      <c r="G44" s="117"/>
      <c r="H44" s="117"/>
    </row>
    <row r="45" spans="1:8" ht="33.75" customHeight="1" x14ac:dyDescent="0.35">
      <c r="A45" s="84" t="s">
        <v>158</v>
      </c>
      <c r="B45" s="85"/>
      <c r="C45" s="143" t="s">
        <v>203</v>
      </c>
      <c r="D45" s="144"/>
      <c r="E45" s="144"/>
      <c r="F45" s="144"/>
      <c r="G45" s="144"/>
      <c r="H45" s="145"/>
    </row>
    <row r="46" spans="1:8" ht="15.75" customHeight="1" x14ac:dyDescent="0.35">
      <c r="A46" s="84" t="s">
        <v>42</v>
      </c>
      <c r="B46" s="85"/>
      <c r="C46" s="84" t="s">
        <v>233</v>
      </c>
      <c r="D46" s="86"/>
      <c r="E46" s="85"/>
      <c r="F46" s="51" t="s">
        <v>43</v>
      </c>
      <c r="G46" s="90">
        <v>45236</v>
      </c>
      <c r="H46" s="85"/>
    </row>
    <row r="47" spans="1:8" x14ac:dyDescent="0.35">
      <c r="A47" s="101" t="s">
        <v>44</v>
      </c>
      <c r="B47" s="103"/>
      <c r="C47" s="101" t="str">
        <f>C46</f>
        <v>KBNP/NRV/BP/2532-72</v>
      </c>
      <c r="D47" s="102"/>
      <c r="E47" s="103"/>
      <c r="F47" s="22" t="s">
        <v>43</v>
      </c>
      <c r="G47" s="91">
        <f>G46</f>
        <v>45236</v>
      </c>
      <c r="H47" s="92"/>
    </row>
    <row r="48" spans="1:8" s="25" customFormat="1" ht="32.25" customHeight="1" x14ac:dyDescent="0.35">
      <c r="A48" s="106" t="s">
        <v>162</v>
      </c>
      <c r="B48" s="107"/>
      <c r="C48" s="101" t="s">
        <v>217</v>
      </c>
      <c r="D48" s="102"/>
      <c r="E48" s="103"/>
      <c r="F48" s="22" t="s">
        <v>43</v>
      </c>
      <c r="G48" s="91">
        <v>44627</v>
      </c>
      <c r="H48" s="92"/>
    </row>
    <row r="49" spans="1:14" s="25" customFormat="1" x14ac:dyDescent="0.35">
      <c r="A49" s="108"/>
      <c r="B49" s="109"/>
      <c r="C49" s="101" t="s">
        <v>204</v>
      </c>
      <c r="D49" s="102"/>
      <c r="E49" s="102"/>
      <c r="F49" s="102"/>
      <c r="G49" s="102"/>
      <c r="H49" s="103"/>
    </row>
    <row r="50" spans="1:14" s="25" customFormat="1" ht="32.25" customHeight="1" x14ac:dyDescent="0.35">
      <c r="A50" s="106" t="s">
        <v>162</v>
      </c>
      <c r="B50" s="107"/>
      <c r="C50" s="101" t="s">
        <v>232</v>
      </c>
      <c r="D50" s="102"/>
      <c r="E50" s="103"/>
      <c r="F50" s="22" t="s">
        <v>43</v>
      </c>
      <c r="G50" s="91">
        <v>45236</v>
      </c>
      <c r="H50" s="92"/>
    </row>
    <row r="51" spans="1:14" s="25" customFormat="1" x14ac:dyDescent="0.35">
      <c r="A51" s="108"/>
      <c r="B51" s="109"/>
      <c r="C51" s="101" t="s">
        <v>219</v>
      </c>
      <c r="D51" s="102"/>
      <c r="E51" s="102"/>
      <c r="F51" s="102"/>
      <c r="G51" s="102"/>
      <c r="H51" s="103"/>
    </row>
    <row r="52" spans="1:14" ht="62" customHeight="1" x14ac:dyDescent="0.35">
      <c r="A52" s="104" t="s">
        <v>45</v>
      </c>
      <c r="B52" s="105"/>
      <c r="C52" s="104" t="s">
        <v>238</v>
      </c>
      <c r="D52" s="142"/>
      <c r="E52" s="105"/>
      <c r="F52" s="47" t="s">
        <v>43</v>
      </c>
      <c r="G52" s="198">
        <v>45646</v>
      </c>
      <c r="H52" s="161"/>
    </row>
    <row r="53" spans="1:14" x14ac:dyDescent="0.35">
      <c r="A53" s="96" t="s">
        <v>47</v>
      </c>
      <c r="B53" s="96"/>
      <c r="C53" s="96"/>
      <c r="D53" s="96"/>
      <c r="E53" s="96"/>
      <c r="F53" s="96"/>
      <c r="G53" s="96"/>
      <c r="H53" s="96"/>
    </row>
    <row r="54" spans="1:14" x14ac:dyDescent="0.35">
      <c r="A54" s="99" t="s">
        <v>94</v>
      </c>
      <c r="B54" s="99"/>
      <c r="C54" s="99"/>
      <c r="D54" s="93">
        <f>E42</f>
        <v>10388.700000000001</v>
      </c>
      <c r="E54" s="93"/>
      <c r="F54" s="93"/>
      <c r="G54" s="93"/>
      <c r="H54" s="93"/>
    </row>
    <row r="55" spans="1:14" x14ac:dyDescent="0.35">
      <c r="A55" s="112" t="s">
        <v>48</v>
      </c>
      <c r="B55" s="93"/>
      <c r="C55" s="93"/>
      <c r="D55" s="93" t="s">
        <v>234</v>
      </c>
      <c r="E55" s="93"/>
      <c r="F55" s="93"/>
      <c r="G55" s="93"/>
      <c r="H55" s="93"/>
      <c r="I55" s="26"/>
    </row>
    <row r="56" spans="1:14" ht="33.75" customHeight="1" x14ac:dyDescent="0.35">
      <c r="A56" s="139" t="s">
        <v>49</v>
      </c>
      <c r="B56" s="140"/>
      <c r="C56" s="141"/>
      <c r="D56" s="74" t="s">
        <v>236</v>
      </c>
      <c r="E56" s="75"/>
      <c r="F56" s="75"/>
      <c r="G56" s="75"/>
      <c r="H56" s="75"/>
      <c r="I56" s="27"/>
    </row>
    <row r="57" spans="1:14" ht="16.5" customHeight="1" x14ac:dyDescent="0.35">
      <c r="A57" s="139" t="s">
        <v>92</v>
      </c>
      <c r="B57" s="140"/>
      <c r="C57" s="141"/>
      <c r="D57" s="74" t="s">
        <v>218</v>
      </c>
      <c r="E57" s="75"/>
      <c r="F57" s="75"/>
      <c r="G57" s="75"/>
      <c r="H57" s="75"/>
      <c r="I57" s="27"/>
    </row>
    <row r="58" spans="1:14" ht="16.5" customHeight="1" x14ac:dyDescent="0.35">
      <c r="A58" s="146"/>
      <c r="B58" s="147"/>
      <c r="C58" s="148"/>
      <c r="D58" s="74" t="s">
        <v>230</v>
      </c>
      <c r="E58" s="75"/>
      <c r="F58" s="75"/>
      <c r="G58" s="75"/>
      <c r="H58" s="75"/>
      <c r="I58" s="27"/>
    </row>
    <row r="59" spans="1:14" s="52" customFormat="1" ht="15.75" customHeight="1" x14ac:dyDescent="0.35">
      <c r="A59" s="76" t="s">
        <v>46</v>
      </c>
      <c r="B59" s="76"/>
      <c r="C59" s="76"/>
      <c r="D59" s="112" t="s">
        <v>239</v>
      </c>
      <c r="E59" s="112"/>
      <c r="F59" s="112"/>
      <c r="G59" s="112"/>
      <c r="H59" s="112"/>
      <c r="J59" s="53"/>
      <c r="K59" s="54"/>
      <c r="N59" s="54"/>
    </row>
    <row r="60" spans="1:14" ht="15.75" customHeight="1" x14ac:dyDescent="0.35">
      <c r="A60" s="149" t="s">
        <v>90</v>
      </c>
      <c r="B60" s="149"/>
      <c r="C60" s="149"/>
      <c r="D60" s="162" t="str">
        <f ca="1">(IF(G52="NA","60 Years After Completion",IF(G52&lt;&gt;"NA",""&amp;60-ROUNDDOWN((E3-G52)/360,0)&amp;" Years"," ")))</f>
        <v>60 Years</v>
      </c>
      <c r="E60" s="162"/>
      <c r="F60" s="162"/>
      <c r="G60" s="162"/>
      <c r="H60" s="162"/>
      <c r="N60" s="26"/>
    </row>
    <row r="61" spans="1:14" ht="15.75" customHeight="1" x14ac:dyDescent="0.35">
      <c r="A61" s="76" t="s">
        <v>91</v>
      </c>
      <c r="B61" s="76"/>
      <c r="C61" s="76"/>
      <c r="D61" s="99" t="s">
        <v>24</v>
      </c>
      <c r="E61" s="99"/>
      <c r="F61" s="99"/>
      <c r="G61" s="99"/>
      <c r="H61" s="99"/>
      <c r="J61" s="28"/>
      <c r="K61" s="28"/>
    </row>
    <row r="62" spans="1:14" ht="15" hidden="1" customHeight="1" x14ac:dyDescent="0.35">
      <c r="A62" s="76" t="s">
        <v>77</v>
      </c>
      <c r="B62" s="76"/>
      <c r="C62" s="76"/>
      <c r="D62" s="112" t="s">
        <v>154</v>
      </c>
      <c r="E62" s="99"/>
      <c r="F62" s="99"/>
      <c r="G62" s="99"/>
      <c r="H62" s="99"/>
    </row>
    <row r="63" spans="1:14" x14ac:dyDescent="0.35">
      <c r="A63" s="99" t="s">
        <v>155</v>
      </c>
      <c r="B63" s="99"/>
      <c r="C63" s="99"/>
      <c r="D63" s="99" t="s">
        <v>30</v>
      </c>
      <c r="E63" s="99"/>
      <c r="F63" s="99"/>
      <c r="G63" s="99"/>
      <c r="H63" s="99"/>
      <c r="I63" s="29"/>
      <c r="J63" s="29"/>
      <c r="K63" s="29"/>
      <c r="L63" s="29"/>
      <c r="M63" s="29"/>
      <c r="N63" s="29"/>
    </row>
    <row r="64" spans="1:14" ht="15.75" customHeight="1" x14ac:dyDescent="0.35">
      <c r="A64" s="114" t="s">
        <v>89</v>
      </c>
      <c r="B64" s="114"/>
      <c r="C64" s="114"/>
      <c r="D64" s="74" t="str">
        <f ca="1">(IF(G88&gt;95%,"Nothing",IF(G88&gt;0%,"Cement, Aggregate, Steel, etc",IF(G88=0%,"Work not yet Started"))))</f>
        <v>Nothing</v>
      </c>
      <c r="E64" s="74"/>
      <c r="F64" s="74"/>
      <c r="G64" s="74"/>
      <c r="H64" s="74"/>
      <c r="J64" s="28"/>
    </row>
    <row r="65" spans="1:10" ht="33.75" customHeight="1" thickBot="1" x14ac:dyDescent="0.4">
      <c r="A65" s="113" t="s">
        <v>122</v>
      </c>
      <c r="B65" s="113"/>
      <c r="C65" s="113"/>
      <c r="D65" s="74" t="str">
        <f ca="1">(IF(D64="Nothing","Yes",IF(D64="Cement, Aggregate, Steel, etc","Under Construction",IF(D64="Work not yet Started","Work not yet Started"))))</f>
        <v>Yes</v>
      </c>
      <c r="E65" s="74"/>
      <c r="F65" s="74" t="str">
        <f ca="1">(IF(D64="Nothing","Yes",IF(D64="Cement, Aggregate, Steel, etc","Under Construction",IF(D64="Work not yet Started","Work not yet Started"))))</f>
        <v>Yes</v>
      </c>
      <c r="G65" s="74"/>
      <c r="H65" s="74"/>
    </row>
    <row r="66" spans="1:10" ht="15.75" customHeight="1" x14ac:dyDescent="0.35">
      <c r="A66" s="118" t="s">
        <v>146</v>
      </c>
      <c r="B66" s="119"/>
      <c r="C66" s="120" t="s">
        <v>231</v>
      </c>
      <c r="D66" s="121"/>
      <c r="E66" s="121"/>
      <c r="F66" s="121"/>
      <c r="G66" s="121"/>
      <c r="H66" s="122"/>
      <c r="I66" s="17" t="str">
        <f ca="1">(IF(E72&gt;99%,"All work completed. Please provide OC.",IF(E72&gt;89.8%,"Plinth, RCC, Brick, Plaster, Flooring, Painting work Completed. Finishing work is in process.",IF(E72&lt;94%,(IF(C72=0,"Work not yet Started.",IF(D72=25%,"Piling work in process",IF(D72=50%,"Excavation work in process",IF(D72=100%,"Excavation work Completed. ","0")))&amp;(IF(C73=0%,"",IF(C73=J74,"Footing work is process",IF(C73=J75,"Footing work Completed",IF(C73=J76,"1st Basement Completed",IF(C73=J77,"1st &amp; 2nd Basement Completed",IF(C73=J78,"1st to 3rd Basement Completed",IF(C73=J79,"1st to 4th Basement Completed",IF(C73=J80,"Plinth work is process",IF(C73=J81,"Plinth work completed","0")))))))))))&amp;(IF(C74=(D67+F67+H67),", RCC Slab Completed",IF(C74&gt;0,", RCC upto "&amp;C74&amp;" Slab Completed",""))&amp;(IF(C75=H67,", Brickwork Completed",IF(C75&gt;0,", Brickwork upto "&amp;C75&amp;" Floor Completed",""))&amp;(IF(C76=H67,", Internal Plaster Completed",IF(C76&gt;0,", Internal Plaster upto "&amp;C76&amp;" Floor Completed",""))&amp;(IF(C77=H67,", External Plaster Completed",IF(C77&gt;0,", External Plaster upto "&amp;C77&amp;" Floor Completed",""))&amp;(IF(C78=H67,", Flooring Completed",IF(C78&gt;0,", Flooring upto "&amp;C78&amp;" Floor Completed",""))&amp;(IF(C79=H67,", Painting Completed",IF(C79&gt;0,", Painting upto "&amp;C79&amp;" Floor Completed",""))&amp;(IF(C80&gt;0,", Finishing upto "&amp;C80&amp;" Floor Completed","")&amp;(IF(C74&gt;0.5,".",""))))))))))))))</f>
        <v>All work completed. Please provide OC.</v>
      </c>
      <c r="J66" s="30"/>
    </row>
    <row r="67" spans="1:10" x14ac:dyDescent="0.35">
      <c r="A67" s="20" t="s">
        <v>148</v>
      </c>
      <c r="B67" s="62">
        <v>0</v>
      </c>
      <c r="C67" s="62" t="s">
        <v>74</v>
      </c>
      <c r="D67" s="62">
        <v>1</v>
      </c>
      <c r="E67" s="62" t="s">
        <v>73</v>
      </c>
      <c r="F67" s="62">
        <v>2</v>
      </c>
      <c r="G67" s="62" t="s">
        <v>83</v>
      </c>
      <c r="H67" s="21">
        <f ca="1">--TRIM(RIGHT(SUBSTITUTE(LEFT(C66,_xlfn.AGGREGATE(16,6,FIND({0,1,2,3,4,5,6,7,8,9},C66,ROW(INDIRECT("1:"&amp;LEN(C66)))),1))," ",REPT(" ",LEN(C66))),LEN(C66)))</f>
        <v>16</v>
      </c>
      <c r="I67" s="18"/>
      <c r="J67" s="31"/>
    </row>
    <row r="68" spans="1:10" x14ac:dyDescent="0.35">
      <c r="A68" s="116" t="s">
        <v>93</v>
      </c>
      <c r="B68" s="117"/>
      <c r="C68" s="110" t="str">
        <f>(IF($G$52="NA",I66,"All work Completed. OC Received."))</f>
        <v>All work Completed. OC Received.</v>
      </c>
      <c r="D68" s="110"/>
      <c r="E68" s="110"/>
      <c r="F68" s="110"/>
      <c r="G68" s="110"/>
      <c r="H68" s="111"/>
      <c r="I68" s="18" t="s">
        <v>109</v>
      </c>
      <c r="J68" s="31"/>
    </row>
    <row r="69" spans="1:10" x14ac:dyDescent="0.35">
      <c r="A69" s="199" t="s">
        <v>88</v>
      </c>
      <c r="B69" s="200"/>
      <c r="C69" s="201">
        <f ca="1">E72</f>
        <v>1</v>
      </c>
      <c r="D69" s="202"/>
      <c r="E69" s="203" t="s">
        <v>87</v>
      </c>
      <c r="F69" s="202"/>
      <c r="G69" s="201">
        <f ca="1">G72</f>
        <v>1</v>
      </c>
      <c r="H69" s="204"/>
      <c r="I69" s="18"/>
      <c r="J69" s="31"/>
    </row>
    <row r="70" spans="1:10" ht="16" thickBot="1" x14ac:dyDescent="0.4">
      <c r="A70" s="205"/>
      <c r="B70" s="206"/>
      <c r="C70" s="207"/>
      <c r="D70" s="208"/>
      <c r="E70" s="207"/>
      <c r="F70" s="208"/>
      <c r="G70" s="207"/>
      <c r="H70" s="209"/>
      <c r="I70" s="18"/>
      <c r="J70" s="31"/>
    </row>
    <row r="71" spans="1:10" ht="15.75" hidden="1" customHeight="1" x14ac:dyDescent="0.35">
      <c r="A71" s="80" t="s">
        <v>50</v>
      </c>
      <c r="B71" s="81"/>
      <c r="C71" s="60" t="s">
        <v>145</v>
      </c>
      <c r="D71" s="60" t="s">
        <v>86</v>
      </c>
      <c r="E71" s="81" t="s">
        <v>88</v>
      </c>
      <c r="F71" s="81"/>
      <c r="G71" s="81" t="s">
        <v>87</v>
      </c>
      <c r="H71" s="115"/>
      <c r="I71" s="16" t="s">
        <v>147</v>
      </c>
      <c r="J71" s="32">
        <f ca="1">H67*25%</f>
        <v>4</v>
      </c>
    </row>
    <row r="72" spans="1:10" hidden="1" x14ac:dyDescent="0.35">
      <c r="A72" s="80" t="s">
        <v>134</v>
      </c>
      <c r="B72" s="81"/>
      <c r="C72" s="60">
        <f ca="1">J73</f>
        <v>16</v>
      </c>
      <c r="D72" s="56">
        <f ca="1">((100/H67)*C72)/100</f>
        <v>1</v>
      </c>
      <c r="E72" s="150">
        <f ca="1">(((C73/H67*10)+(40/(D67+F67+H67)*C74)+(7.5/(H67)*C75)+(7.5/(H67)*C76)+(10/H67*C77)+(10/H67*C78)+(5/H67*C79)+(5/H67*C80)+(5/H67*C81))/100)</f>
        <v>1</v>
      </c>
      <c r="F72" s="151"/>
      <c r="G72" s="150">
        <f ca="1">((((C72/H67)*20)+((C73/H67)*25)+(30/(H67+F67+D67)*C74)+(5/H67*C75)+(5/H67*C76)+(5/H67*C77)+(5/H67*C78)+(0/H67*C79)+(0/H67*C80)+(5/H67*C81))/100)</f>
        <v>1</v>
      </c>
      <c r="H72" s="156"/>
      <c r="I72" s="16" t="s">
        <v>104</v>
      </c>
      <c r="J72" s="33">
        <f ca="1">H67*50%</f>
        <v>8</v>
      </c>
    </row>
    <row r="73" spans="1:10" hidden="1" x14ac:dyDescent="0.35">
      <c r="A73" s="80" t="s">
        <v>51</v>
      </c>
      <c r="B73" s="81"/>
      <c r="C73" s="57">
        <f ca="1">J81</f>
        <v>16</v>
      </c>
      <c r="D73" s="56">
        <f ca="1">((100/H67)*C73)/100</f>
        <v>1</v>
      </c>
      <c r="E73" s="152"/>
      <c r="F73" s="153"/>
      <c r="G73" s="152"/>
      <c r="H73" s="157"/>
      <c r="I73" s="16" t="s">
        <v>105</v>
      </c>
      <c r="J73" s="33">
        <f ca="1">H67</f>
        <v>16</v>
      </c>
    </row>
    <row r="74" spans="1:10" ht="15.75" hidden="1" customHeight="1" x14ac:dyDescent="0.35">
      <c r="A74" s="80" t="s">
        <v>135</v>
      </c>
      <c r="B74" s="81"/>
      <c r="C74" s="60">
        <v>19</v>
      </c>
      <c r="D74" s="56">
        <f ca="1">((100/(D67+F67+H67))*C74)/100</f>
        <v>1</v>
      </c>
      <c r="E74" s="152"/>
      <c r="F74" s="153"/>
      <c r="G74" s="152"/>
      <c r="H74" s="157"/>
      <c r="I74" s="16" t="s">
        <v>106</v>
      </c>
      <c r="J74" s="34">
        <f ca="1">(IF(B67&gt;1,(H67/(B67+2)),H67/4))</f>
        <v>4</v>
      </c>
    </row>
    <row r="75" spans="1:10" ht="15.75" hidden="1" customHeight="1" x14ac:dyDescent="0.35">
      <c r="A75" s="80" t="s">
        <v>142</v>
      </c>
      <c r="B75" s="81" t="s">
        <v>136</v>
      </c>
      <c r="C75" s="60">
        <v>16</v>
      </c>
      <c r="D75" s="56">
        <f ca="1">((100/H67)*C75)/100</f>
        <v>1</v>
      </c>
      <c r="E75" s="152"/>
      <c r="F75" s="153"/>
      <c r="G75" s="152"/>
      <c r="H75" s="157"/>
      <c r="I75" s="16" t="s">
        <v>107</v>
      </c>
      <c r="J75" s="34">
        <f ca="1">(IF(B67&gt;1,(H67/(B67+2)+J74),H67/4+J74))</f>
        <v>8</v>
      </c>
    </row>
    <row r="76" spans="1:10" ht="15.75" hidden="1" customHeight="1" x14ac:dyDescent="0.35">
      <c r="A76" s="80" t="s">
        <v>143</v>
      </c>
      <c r="B76" s="81" t="s">
        <v>136</v>
      </c>
      <c r="C76" s="60">
        <v>16</v>
      </c>
      <c r="D76" s="56">
        <f ca="1">((100/H67)*C76)/100</f>
        <v>1</v>
      </c>
      <c r="E76" s="152"/>
      <c r="F76" s="153"/>
      <c r="G76" s="152"/>
      <c r="H76" s="157"/>
      <c r="I76" s="16" t="s">
        <v>152</v>
      </c>
      <c r="J76" s="34">
        <f>(IF(B67&gt;1,(H67/(B67+2)+J75),0))</f>
        <v>0</v>
      </c>
    </row>
    <row r="77" spans="1:10" ht="15" hidden="1" customHeight="1" x14ac:dyDescent="0.35">
      <c r="A77" s="80" t="s">
        <v>141</v>
      </c>
      <c r="B77" s="81" t="s">
        <v>138</v>
      </c>
      <c r="C77" s="72">
        <v>16</v>
      </c>
      <c r="D77" s="56">
        <f ca="1">((100/(H67))*C77)/100</f>
        <v>1</v>
      </c>
      <c r="E77" s="152"/>
      <c r="F77" s="153"/>
      <c r="G77" s="152"/>
      <c r="H77" s="157"/>
      <c r="I77" s="16" t="s">
        <v>149</v>
      </c>
      <c r="J77" s="34">
        <f>(IF(B67&gt;2,(H67/(B67+2)+J76),0))</f>
        <v>0</v>
      </c>
    </row>
    <row r="78" spans="1:10" ht="15.75" hidden="1" customHeight="1" x14ac:dyDescent="0.35">
      <c r="A78" s="80" t="s">
        <v>137</v>
      </c>
      <c r="B78" s="81" t="s">
        <v>137</v>
      </c>
      <c r="C78" s="72">
        <v>16</v>
      </c>
      <c r="D78" s="56">
        <f ca="1">((100/H67)*C78)/100</f>
        <v>1</v>
      </c>
      <c r="E78" s="152"/>
      <c r="F78" s="153"/>
      <c r="G78" s="152"/>
      <c r="H78" s="157"/>
      <c r="I78" s="16" t="s">
        <v>150</v>
      </c>
      <c r="J78" s="35">
        <f>(IF(B67&gt;3,(H67/(B67+2)+J77),0))</f>
        <v>0</v>
      </c>
    </row>
    <row r="79" spans="1:10" ht="15.75" hidden="1" customHeight="1" x14ac:dyDescent="0.35">
      <c r="A79" s="80" t="s">
        <v>144</v>
      </c>
      <c r="B79" s="81"/>
      <c r="C79" s="72">
        <v>16</v>
      </c>
      <c r="D79" s="56">
        <f ca="1">((100/H67)*C79)/100</f>
        <v>1</v>
      </c>
      <c r="E79" s="152"/>
      <c r="F79" s="153"/>
      <c r="G79" s="152"/>
      <c r="H79" s="157"/>
      <c r="I79" s="16" t="s">
        <v>151</v>
      </c>
      <c r="J79" s="34">
        <f>(IF(B67&gt;4,(H67/(B67+2)+J78),0))</f>
        <v>0</v>
      </c>
    </row>
    <row r="80" spans="1:10" ht="15.75" hidden="1" customHeight="1" x14ac:dyDescent="0.35">
      <c r="A80" s="80" t="s">
        <v>139</v>
      </c>
      <c r="B80" s="81" t="s">
        <v>139</v>
      </c>
      <c r="C80" s="72">
        <v>16</v>
      </c>
      <c r="D80" s="56">
        <f ca="1">((100/(H67))*C80)/100</f>
        <v>1</v>
      </c>
      <c r="E80" s="152"/>
      <c r="F80" s="153"/>
      <c r="G80" s="152"/>
      <c r="H80" s="157"/>
      <c r="I80" s="16" t="s">
        <v>153</v>
      </c>
      <c r="J80" s="34">
        <f ca="1">(IF(B67=1,(H67/(B67+3)+J75),IF(B67=0,(H67/4+J75),IF(B67&gt;1,0))))</f>
        <v>12</v>
      </c>
    </row>
    <row r="81" spans="1:10" ht="16" hidden="1" thickBot="1" x14ac:dyDescent="0.4">
      <c r="A81" s="159" t="s">
        <v>140</v>
      </c>
      <c r="B81" s="160"/>
      <c r="C81" s="61">
        <v>16</v>
      </c>
      <c r="D81" s="58">
        <f ca="1">((100/(H67))*C81)/100</f>
        <v>1</v>
      </c>
      <c r="E81" s="154"/>
      <c r="F81" s="155"/>
      <c r="G81" s="154"/>
      <c r="H81" s="158"/>
      <c r="I81" s="19" t="s">
        <v>108</v>
      </c>
      <c r="J81" s="36">
        <f ca="1">(IF(B67&gt;1.5,(H67/(B67+2)+J75+MAX(0,J76-J75)+MAX(0,J77-J76)+MAX(0,J78-J77)+MAX(0,J79-J78)+MAX(0,J80-J79)),IF(B67=1,(H67/(B67+3)+J80),IF(B67=0,H67/4+J80))))</f>
        <v>16</v>
      </c>
    </row>
    <row r="82" spans="1:10" ht="15.75" customHeight="1" x14ac:dyDescent="0.35">
      <c r="A82" s="118" t="s">
        <v>146</v>
      </c>
      <c r="B82" s="119"/>
      <c r="C82" s="120" t="str">
        <f>D58</f>
        <v xml:space="preserve">B Wing  = G/St + 2P + 1st to 15th Floor.
</v>
      </c>
      <c r="D82" s="121"/>
      <c r="E82" s="121"/>
      <c r="F82" s="121"/>
      <c r="G82" s="121"/>
      <c r="H82" s="122"/>
      <c r="I82" s="17" t="str">
        <f ca="1">(IF(E88&gt;99%,"All work completed. Please provide OC.",IF(E88&gt;89.8%,"Plinth, RCC, Brick, Plaster, Flooring, Painting work Completed. Finishing work is in process.",IF(E88&lt;94%,(IF(C88=0,"Work not yet Started.",IF(D88=25%,"Piling work in process",IF(D88=50%,"Excavation work in process",IF(D88=100%,"Excavation work Completed. ","0")))&amp;(IF(C89=0%,"",IF(C89=J90,"Footing work is process",IF(C89=J91,"Footing work Completed",IF(C89=J92,"1st Basement Completed",IF(C89=J93,"1st &amp; 2nd Basement Completed",IF(C89=J94,"1st to 3rd Basement Completed",IF(C89=J95,"1st to 4th Basement Completed",IF(C89=J96,"Plinth work is process",IF(C89=J97,"Plinth work completed","0")))))))))))&amp;(IF(C90=(D83+F83+H83),", RCC Slab Completed",IF(C90&gt;0,", RCC upto "&amp;C90&amp;" Slab Completed",""))&amp;(IF(C91=H83,", Brickwork Completed",IF(C91&gt;0,", Brickwork upto "&amp;C91&amp;" Floor Completed",""))&amp;(IF(C92=H83,", Internal Plaster Completed",IF(C92&gt;0,", Internal Plaster upto "&amp;C92&amp;" Floor Completed",""))&amp;(IF(C93=H83,", External Plaster Completed",IF(C93&gt;0,", External Plaster upto "&amp;C93&amp;" Floor Completed",""))&amp;(IF(C94=H83,", Flooring Completed",IF(C94&gt;0,", Flooring upto "&amp;C94&amp;" Floor Completed",""))&amp;(IF(C95=H83,", Painting Completed",IF(C95&gt;0,", Painting upto "&amp;C95&amp;" Floor Completed",""))&amp;(IF(C96&gt;0,", Finishing upto "&amp;C96&amp;" Floor Completed","")&amp;(IF(C90&gt;0.5,".",""))))))))))))))</f>
        <v>All work completed. Please provide OC.</v>
      </c>
      <c r="J82" s="30"/>
    </row>
    <row r="83" spans="1:10" x14ac:dyDescent="0.35">
      <c r="A83" s="20" t="s">
        <v>148</v>
      </c>
      <c r="B83" s="49">
        <v>0</v>
      </c>
      <c r="C83" s="49" t="s">
        <v>74</v>
      </c>
      <c r="D83" s="49">
        <v>1</v>
      </c>
      <c r="E83" s="49" t="s">
        <v>73</v>
      </c>
      <c r="F83" s="49">
        <v>2</v>
      </c>
      <c r="G83" s="49" t="s">
        <v>83</v>
      </c>
      <c r="H83" s="21">
        <f ca="1">--TRIM(RIGHT(SUBSTITUTE(LEFT(C82,_xlfn.AGGREGATE(16,6,FIND({0,1,2,3,4,5,6,7,8,9},C82,ROW(INDIRECT("1:"&amp;LEN(C82)))),1))," ",REPT(" ",LEN(C82))),LEN(C82)))</f>
        <v>15</v>
      </c>
      <c r="I83" s="18"/>
      <c r="J83" s="31"/>
    </row>
    <row r="84" spans="1:10" x14ac:dyDescent="0.35">
      <c r="A84" s="116" t="s">
        <v>93</v>
      </c>
      <c r="B84" s="117"/>
      <c r="C84" s="110" t="str">
        <f>(IF($G$52="NA",I82,"All work Completed. OC Received."))</f>
        <v>All work Completed. OC Received.</v>
      </c>
      <c r="D84" s="110"/>
      <c r="E84" s="110"/>
      <c r="F84" s="110"/>
      <c r="G84" s="110"/>
      <c r="H84" s="111"/>
      <c r="I84" s="18" t="s">
        <v>109</v>
      </c>
      <c r="J84" s="31"/>
    </row>
    <row r="85" spans="1:10" x14ac:dyDescent="0.35">
      <c r="A85" s="199" t="s">
        <v>88</v>
      </c>
      <c r="B85" s="200"/>
      <c r="C85" s="201">
        <f ca="1">E88</f>
        <v>1</v>
      </c>
      <c r="D85" s="202"/>
      <c r="E85" s="203" t="s">
        <v>87</v>
      </c>
      <c r="F85" s="202"/>
      <c r="G85" s="201">
        <f ca="1">G88</f>
        <v>1</v>
      </c>
      <c r="H85" s="204"/>
      <c r="I85" s="18"/>
      <c r="J85" s="31"/>
    </row>
    <row r="86" spans="1:10" x14ac:dyDescent="0.35">
      <c r="A86" s="205"/>
      <c r="B86" s="206"/>
      <c r="C86" s="207"/>
      <c r="D86" s="208"/>
      <c r="E86" s="207"/>
      <c r="F86" s="208"/>
      <c r="G86" s="207"/>
      <c r="H86" s="209"/>
      <c r="I86" s="18"/>
      <c r="J86" s="31"/>
    </row>
    <row r="87" spans="1:10" ht="15.75" hidden="1" customHeight="1" x14ac:dyDescent="0.35">
      <c r="A87" s="80" t="s">
        <v>50</v>
      </c>
      <c r="B87" s="81"/>
      <c r="C87" s="55" t="s">
        <v>145</v>
      </c>
      <c r="D87" s="55" t="s">
        <v>86</v>
      </c>
      <c r="E87" s="81" t="s">
        <v>88</v>
      </c>
      <c r="F87" s="81"/>
      <c r="G87" s="81" t="s">
        <v>87</v>
      </c>
      <c r="H87" s="115"/>
      <c r="I87" s="16" t="s">
        <v>147</v>
      </c>
      <c r="J87" s="32">
        <f ca="1">H83*25%</f>
        <v>3.75</v>
      </c>
    </row>
    <row r="88" spans="1:10" hidden="1" x14ac:dyDescent="0.35">
      <c r="A88" s="80" t="s">
        <v>134</v>
      </c>
      <c r="B88" s="81"/>
      <c r="C88" s="55">
        <f ca="1">J89</f>
        <v>15</v>
      </c>
      <c r="D88" s="56">
        <f ca="1">((100/H83)*C88)/100</f>
        <v>1</v>
      </c>
      <c r="E88" s="150">
        <f ca="1">(((C89/H83*10)+(40/(D83+F83+H83)*C90)+(7.5/(H83)*C91)+(7.5/(H83)*C92)+(10/H83*C93)+(10/H83*C94)+(5/H83*C95)+(5/H83*C96)+(5/H83*C97))/100)</f>
        <v>1</v>
      </c>
      <c r="F88" s="151"/>
      <c r="G88" s="150">
        <f ca="1">((((C88/H83)*20)+((C89/H83)*25)+(30/(H83+F83+D83)*C90)+(5/H83*C91)+(5/H83*C92)+(5/H83*C93)+(5/H83*C94)+(0/H83*C95)+(0/H83*C96)+(5/H83*C97))/100)</f>
        <v>1</v>
      </c>
      <c r="H88" s="156"/>
      <c r="I88" s="16" t="s">
        <v>104</v>
      </c>
      <c r="J88" s="33">
        <f ca="1">H83*50%</f>
        <v>7.5</v>
      </c>
    </row>
    <row r="89" spans="1:10" hidden="1" x14ac:dyDescent="0.35">
      <c r="A89" s="80" t="s">
        <v>51</v>
      </c>
      <c r="B89" s="81"/>
      <c r="C89" s="57">
        <f ca="1">J97</f>
        <v>15</v>
      </c>
      <c r="D89" s="56">
        <f ca="1">((100/H83)*C89)/100</f>
        <v>1</v>
      </c>
      <c r="E89" s="152"/>
      <c r="F89" s="153"/>
      <c r="G89" s="152"/>
      <c r="H89" s="157"/>
      <c r="I89" s="16" t="s">
        <v>105</v>
      </c>
      <c r="J89" s="33">
        <f ca="1">H83</f>
        <v>15</v>
      </c>
    </row>
    <row r="90" spans="1:10" ht="15.75" hidden="1" customHeight="1" x14ac:dyDescent="0.35">
      <c r="A90" s="80" t="s">
        <v>135</v>
      </c>
      <c r="B90" s="81"/>
      <c r="C90" s="55">
        <v>18</v>
      </c>
      <c r="D90" s="56">
        <f ca="1">((100/(D83+F83+H83))*C90)/100</f>
        <v>1</v>
      </c>
      <c r="E90" s="152"/>
      <c r="F90" s="153"/>
      <c r="G90" s="152"/>
      <c r="H90" s="157"/>
      <c r="I90" s="16" t="s">
        <v>106</v>
      </c>
      <c r="J90" s="34">
        <f ca="1">(IF(B83&gt;1,(H83/(B83+2)),H83/4))</f>
        <v>3.75</v>
      </c>
    </row>
    <row r="91" spans="1:10" ht="15.75" hidden="1" customHeight="1" x14ac:dyDescent="0.35">
      <c r="A91" s="80" t="s">
        <v>142</v>
      </c>
      <c r="B91" s="81" t="s">
        <v>136</v>
      </c>
      <c r="C91" s="55">
        <v>15</v>
      </c>
      <c r="D91" s="56">
        <f ca="1">((100/H83)*C91)/100</f>
        <v>1</v>
      </c>
      <c r="E91" s="152"/>
      <c r="F91" s="153"/>
      <c r="G91" s="152"/>
      <c r="H91" s="157"/>
      <c r="I91" s="16" t="s">
        <v>107</v>
      </c>
      <c r="J91" s="34">
        <f ca="1">(IF(B83&gt;1,(H83/(B83+2)+J90),H83/4+J90))</f>
        <v>7.5</v>
      </c>
    </row>
    <row r="92" spans="1:10" ht="15.75" hidden="1" customHeight="1" x14ac:dyDescent="0.35">
      <c r="A92" s="80" t="s">
        <v>143</v>
      </c>
      <c r="B92" s="81" t="s">
        <v>136</v>
      </c>
      <c r="C92" s="55">
        <v>15</v>
      </c>
      <c r="D92" s="56">
        <f ca="1">((100/H83)*C92)/100</f>
        <v>1</v>
      </c>
      <c r="E92" s="152"/>
      <c r="F92" s="153"/>
      <c r="G92" s="152"/>
      <c r="H92" s="157"/>
      <c r="I92" s="16" t="s">
        <v>152</v>
      </c>
      <c r="J92" s="34">
        <f>(IF(B83&gt;1,(H83/(B83+2)+J91),0))</f>
        <v>0</v>
      </c>
    </row>
    <row r="93" spans="1:10" ht="15" hidden="1" customHeight="1" x14ac:dyDescent="0.35">
      <c r="A93" s="80" t="s">
        <v>141</v>
      </c>
      <c r="B93" s="81" t="s">
        <v>138</v>
      </c>
      <c r="C93" s="72">
        <v>15</v>
      </c>
      <c r="D93" s="56">
        <f ca="1">((100/(H83))*C93)/100</f>
        <v>1</v>
      </c>
      <c r="E93" s="152"/>
      <c r="F93" s="153"/>
      <c r="G93" s="152"/>
      <c r="H93" s="157"/>
      <c r="I93" s="16" t="s">
        <v>149</v>
      </c>
      <c r="J93" s="34">
        <f>(IF(B83&gt;2,(H83/(B83+2)+J92),0))</f>
        <v>0</v>
      </c>
    </row>
    <row r="94" spans="1:10" ht="15.75" hidden="1" customHeight="1" x14ac:dyDescent="0.35">
      <c r="A94" s="80" t="s">
        <v>137</v>
      </c>
      <c r="B94" s="81" t="s">
        <v>137</v>
      </c>
      <c r="C94" s="72">
        <v>15</v>
      </c>
      <c r="D94" s="56">
        <f ca="1">((100/H83)*C94)/100</f>
        <v>1</v>
      </c>
      <c r="E94" s="152"/>
      <c r="F94" s="153"/>
      <c r="G94" s="152"/>
      <c r="H94" s="157"/>
      <c r="I94" s="16" t="s">
        <v>150</v>
      </c>
      <c r="J94" s="35">
        <f>(IF(B83&gt;3,(H83/(B83+2)+J93),0))</f>
        <v>0</v>
      </c>
    </row>
    <row r="95" spans="1:10" ht="15.75" hidden="1" customHeight="1" x14ac:dyDescent="0.35">
      <c r="A95" s="80" t="s">
        <v>144</v>
      </c>
      <c r="B95" s="81"/>
      <c r="C95" s="72">
        <v>15</v>
      </c>
      <c r="D95" s="56">
        <f ca="1">((100/H83)*C95)/100</f>
        <v>1</v>
      </c>
      <c r="E95" s="152"/>
      <c r="F95" s="153"/>
      <c r="G95" s="152"/>
      <c r="H95" s="157"/>
      <c r="I95" s="16" t="s">
        <v>151</v>
      </c>
      <c r="J95" s="34">
        <f>(IF(B83&gt;4,(H83/(B83+2)+J94),0))</f>
        <v>0</v>
      </c>
    </row>
    <row r="96" spans="1:10" ht="15.75" hidden="1" customHeight="1" x14ac:dyDescent="0.35">
      <c r="A96" s="80" t="s">
        <v>139</v>
      </c>
      <c r="B96" s="81" t="s">
        <v>139</v>
      </c>
      <c r="C96" s="72">
        <v>15</v>
      </c>
      <c r="D96" s="56">
        <f ca="1">((100/(H83))*C96)/100</f>
        <v>1</v>
      </c>
      <c r="E96" s="152"/>
      <c r="F96" s="153"/>
      <c r="G96" s="152"/>
      <c r="H96" s="157"/>
      <c r="I96" s="16" t="s">
        <v>153</v>
      </c>
      <c r="J96" s="34">
        <f ca="1">(IF(B83=1,(H83/(B83+3)+J91),IF(B83=0,(H83/4+J91),IF(B83&gt;1,0))))</f>
        <v>11.25</v>
      </c>
    </row>
    <row r="97" spans="1:12" ht="16" hidden="1" thickBot="1" x14ac:dyDescent="0.4">
      <c r="A97" s="210" t="s">
        <v>140</v>
      </c>
      <c r="B97" s="211"/>
      <c r="C97" s="212">
        <v>15</v>
      </c>
      <c r="D97" s="213">
        <f ca="1">((100/(H83))*C97)/100</f>
        <v>1</v>
      </c>
      <c r="E97" s="152"/>
      <c r="F97" s="153"/>
      <c r="G97" s="152"/>
      <c r="H97" s="157"/>
      <c r="I97" s="19" t="s">
        <v>108</v>
      </c>
      <c r="J97" s="36">
        <f ca="1">(IF(B83&gt;1.5,(H83/(B83+2)+J91+MAX(0,J92-J91)+MAX(0,J93-J92)+MAX(0,J94-J93)+MAX(0,J95-J94)+MAX(0,J96-J95)),IF(B83=1,(H83/(B83+3)+J96),IF(B83=0,H83/4+J96))))</f>
        <v>15</v>
      </c>
    </row>
    <row r="98" spans="1:12" x14ac:dyDescent="0.35">
      <c r="A98" s="94" t="s">
        <v>164</v>
      </c>
      <c r="B98" s="94"/>
      <c r="C98" s="94"/>
      <c r="D98" s="94"/>
      <c r="E98" s="94"/>
      <c r="F98" s="124" t="s">
        <v>169</v>
      </c>
      <c r="G98" s="124"/>
      <c r="H98" s="124"/>
    </row>
    <row r="99" spans="1:12" x14ac:dyDescent="0.35">
      <c r="A99" s="76" t="s">
        <v>167</v>
      </c>
      <c r="B99" s="76"/>
      <c r="C99" s="76"/>
      <c r="D99" s="76"/>
      <c r="E99" s="76"/>
      <c r="F99" s="83">
        <v>4900</v>
      </c>
      <c r="G99" s="83"/>
      <c r="H99" s="83"/>
      <c r="I99" s="63" t="s">
        <v>208</v>
      </c>
      <c r="J99" s="64">
        <v>44855</v>
      </c>
      <c r="K99" s="63" t="s">
        <v>209</v>
      </c>
      <c r="L99" s="63" t="s">
        <v>210</v>
      </c>
    </row>
    <row r="100" spans="1:12" x14ac:dyDescent="0.35">
      <c r="A100" s="76" t="s">
        <v>166</v>
      </c>
      <c r="B100" s="76"/>
      <c r="C100" s="76"/>
      <c r="D100" s="76"/>
      <c r="E100" s="76"/>
      <c r="F100" s="83">
        <v>10000</v>
      </c>
      <c r="G100" s="83"/>
      <c r="H100" s="83"/>
    </row>
    <row r="101" spans="1:12" hidden="1" x14ac:dyDescent="0.35">
      <c r="A101" s="76" t="s">
        <v>168</v>
      </c>
      <c r="B101" s="76"/>
      <c r="C101" s="76"/>
      <c r="D101" s="76"/>
      <c r="E101" s="76"/>
      <c r="F101" s="83"/>
      <c r="G101" s="83"/>
      <c r="H101" s="83"/>
    </row>
    <row r="102" spans="1:12" s="37" customFormat="1" hidden="1" x14ac:dyDescent="0.3">
      <c r="A102" s="76" t="s">
        <v>165</v>
      </c>
      <c r="B102" s="76"/>
      <c r="C102" s="76"/>
      <c r="D102" s="76"/>
      <c r="E102" s="76"/>
      <c r="F102" s="83"/>
      <c r="G102" s="83"/>
      <c r="H102" s="83"/>
    </row>
    <row r="103" spans="1:12" s="37" customFormat="1" hidden="1" x14ac:dyDescent="0.3">
      <c r="A103" s="76" t="s">
        <v>98</v>
      </c>
      <c r="B103" s="76"/>
      <c r="C103" s="76"/>
      <c r="D103" s="76"/>
      <c r="E103" s="76"/>
      <c r="F103" s="83">
        <v>350000</v>
      </c>
      <c r="G103" s="83"/>
      <c r="H103" s="83"/>
    </row>
    <row r="104" spans="1:12" s="37" customFormat="1" hidden="1" x14ac:dyDescent="0.3">
      <c r="A104" s="76" t="s">
        <v>99</v>
      </c>
      <c r="B104" s="76"/>
      <c r="C104" s="76"/>
      <c r="D104" s="76"/>
      <c r="E104" s="76"/>
      <c r="F104" s="83"/>
      <c r="G104" s="83"/>
      <c r="H104" s="83"/>
    </row>
    <row r="105" spans="1:12" s="37" customFormat="1" hidden="1" x14ac:dyDescent="0.3">
      <c r="A105" s="76" t="s">
        <v>207</v>
      </c>
      <c r="B105" s="76"/>
      <c r="C105" s="76"/>
      <c r="D105" s="76"/>
      <c r="E105" s="76"/>
      <c r="F105" s="83">
        <v>100000</v>
      </c>
      <c r="G105" s="83"/>
      <c r="H105" s="83"/>
    </row>
    <row r="106" spans="1:12" s="37" customFormat="1" hidden="1" x14ac:dyDescent="0.3">
      <c r="A106" s="76" t="s">
        <v>100</v>
      </c>
      <c r="B106" s="76"/>
      <c r="C106" s="76"/>
      <c r="D106" s="76"/>
      <c r="E106" s="76"/>
      <c r="F106" s="83"/>
      <c r="G106" s="83"/>
      <c r="H106" s="83"/>
    </row>
    <row r="107" spans="1:12" s="37" customFormat="1" hidden="1" x14ac:dyDescent="0.3">
      <c r="A107" s="76" t="s">
        <v>101</v>
      </c>
      <c r="B107" s="76"/>
      <c r="C107" s="76"/>
      <c r="D107" s="76"/>
      <c r="E107" s="76"/>
      <c r="F107" s="83"/>
      <c r="G107" s="83"/>
      <c r="H107" s="83"/>
    </row>
    <row r="108" spans="1:12" s="37" customFormat="1" hidden="1" x14ac:dyDescent="0.3">
      <c r="A108" s="76" t="s">
        <v>102</v>
      </c>
      <c r="B108" s="76"/>
      <c r="C108" s="76"/>
      <c r="D108" s="76"/>
      <c r="E108" s="76"/>
      <c r="F108" s="83"/>
      <c r="G108" s="83"/>
      <c r="H108" s="83"/>
    </row>
    <row r="109" spans="1:12" s="37" customFormat="1" hidden="1" x14ac:dyDescent="0.3">
      <c r="A109" s="76" t="s">
        <v>103</v>
      </c>
      <c r="B109" s="76"/>
      <c r="C109" s="76"/>
      <c r="D109" s="76"/>
      <c r="E109" s="76"/>
      <c r="F109" s="83">
        <v>40000</v>
      </c>
      <c r="G109" s="83"/>
      <c r="H109" s="83"/>
    </row>
    <row r="110" spans="1:12" x14ac:dyDescent="0.35">
      <c r="A110" s="76" t="s">
        <v>52</v>
      </c>
      <c r="B110" s="76"/>
      <c r="C110" s="76"/>
      <c r="D110" s="76"/>
      <c r="E110" s="76"/>
      <c r="F110" s="83">
        <v>250000</v>
      </c>
      <c r="G110" s="83"/>
      <c r="H110" s="83"/>
    </row>
    <row r="111" spans="1:12" s="38" customFormat="1" x14ac:dyDescent="0.35">
      <c r="A111" s="94" t="s">
        <v>53</v>
      </c>
      <c r="B111" s="94"/>
      <c r="C111" s="94"/>
      <c r="D111" s="94"/>
      <c r="E111" s="94"/>
      <c r="F111" s="83">
        <f>F99*0.8</f>
        <v>3920</v>
      </c>
      <c r="G111" s="83"/>
      <c r="H111" s="83"/>
    </row>
    <row r="112" spans="1:12" s="39" customFormat="1" ht="15.75" customHeight="1" x14ac:dyDescent="0.35">
      <c r="A112" s="163" t="s">
        <v>78</v>
      </c>
      <c r="B112" s="163"/>
      <c r="C112" s="163"/>
      <c r="D112" s="163"/>
      <c r="E112" s="163"/>
      <c r="F112" s="163"/>
      <c r="G112" s="163"/>
      <c r="H112" s="163"/>
    </row>
    <row r="113" spans="1:14" s="39" customFormat="1" ht="15.75" customHeight="1" x14ac:dyDescent="0.35">
      <c r="A113" s="164" t="s">
        <v>54</v>
      </c>
      <c r="B113" s="164"/>
      <c r="C113" s="165" t="s">
        <v>81</v>
      </c>
      <c r="D113" s="165"/>
      <c r="E113" s="166" t="s">
        <v>55</v>
      </c>
      <c r="F113" s="166"/>
      <c r="G113" s="164" t="s">
        <v>56</v>
      </c>
      <c r="H113" s="164"/>
    </row>
    <row r="114" spans="1:14" s="39" customFormat="1" x14ac:dyDescent="0.35">
      <c r="A114" s="167" t="s">
        <v>170</v>
      </c>
      <c r="B114" s="167"/>
      <c r="C114" s="168">
        <f>COUNT(D126)</f>
        <v>1</v>
      </c>
      <c r="D114" s="169"/>
      <c r="E114" s="170">
        <f>SUM(D126)</f>
        <v>16618.109039999999</v>
      </c>
      <c r="F114" s="171"/>
      <c r="G114" s="170">
        <f>SUM(F126)</f>
        <v>25758.069012</v>
      </c>
      <c r="H114" s="171"/>
      <c r="J114" s="65">
        <f>G114+G119</f>
        <v>247629.29109449999</v>
      </c>
      <c r="K114" s="65">
        <f>E114+E119</f>
        <v>163563.42015000002</v>
      </c>
    </row>
    <row r="115" spans="1:14" s="39" customFormat="1" x14ac:dyDescent="0.35">
      <c r="A115" s="163" t="s">
        <v>72</v>
      </c>
      <c r="B115" s="163"/>
      <c r="C115" s="163"/>
      <c r="D115" s="163"/>
      <c r="E115" s="163"/>
      <c r="F115" s="163"/>
      <c r="G115" s="163"/>
      <c r="H115" s="163"/>
    </row>
    <row r="116" spans="1:14" s="39" customFormat="1" ht="15.75" customHeight="1" x14ac:dyDescent="0.35">
      <c r="A116" s="164" t="s">
        <v>54</v>
      </c>
      <c r="B116" s="164"/>
      <c r="C116" s="165" t="s">
        <v>81</v>
      </c>
      <c r="D116" s="165"/>
      <c r="E116" s="166" t="s">
        <v>55</v>
      </c>
      <c r="F116" s="166"/>
      <c r="G116" s="164" t="s">
        <v>56</v>
      </c>
      <c r="H116" s="164"/>
    </row>
    <row r="117" spans="1:14" s="39" customFormat="1" x14ac:dyDescent="0.35">
      <c r="A117" s="167" t="s">
        <v>170</v>
      </c>
      <c r="B117" s="167"/>
      <c r="C117" s="169">
        <f>COUNT(D133:D141)+COUNT(D143:D151)+COUNT(D153:D161)*7+COUNT(D163:D164,D166:D171)+COUNT(D173:D181)+COUNT(D183:D184,D186:D191,D203:D204,D206:D211)+COUNT(D193:D201)*3</f>
        <v>141</v>
      </c>
      <c r="D117" s="169"/>
      <c r="E117" s="170">
        <f>SUM(D133:D141)+SUM(D143:D151)+SUM(D153:D161)*7+SUM(D163:D164,D166:D171)+SUM(D173:D181)+SUM(D183:D184,D186:D191,D203:D204,D206:D211)+SUM(D193:D201)*3</f>
        <v>79793.370540000004</v>
      </c>
      <c r="F117" s="170"/>
      <c r="G117" s="170">
        <f>SUM(F133:F141)+SUM(F143:F151)+SUM(F153:F161)*7+SUM(F163:F164,F166:F171)+SUM(F173:F181)+SUM(F183:F184,F186:F191,F203:F204,F206:F211)+SUM(F193:F201)*3</f>
        <v>120560.71869749998</v>
      </c>
      <c r="H117" s="170"/>
    </row>
    <row r="118" spans="1:14" s="39" customFormat="1" x14ac:dyDescent="0.35">
      <c r="A118" s="167" t="s">
        <v>178</v>
      </c>
      <c r="B118" s="167"/>
      <c r="C118" s="169">
        <f>COUNT(D215:D222)+COUNT(D224:D231)*8+COUNT(D233:D237,D239:D240)+COUNT(D251:D255,D257:D258)+COUNT(D242:D249)+COUNT(D260:D267)*3</f>
        <v>118</v>
      </c>
      <c r="D118" s="169"/>
      <c r="E118" s="170">
        <f>SUM(D215:D222)+SUM(D224:D231)*8+SUM(D233:D237,D239:D240)+SUM(D251:D255,D257:D258)+SUM(D242:D249)+SUM(D260:D267)*3</f>
        <v>67151.940569999992</v>
      </c>
      <c r="F118" s="170"/>
      <c r="G118" s="170">
        <f>SUM(F215:F222)+SUM(F224:F231)*8+SUM(F233:F237,F239:F240)+SUM(F251:F255,F257:F258)+SUM(F242:F249)+SUM(F260:F267)*3</f>
        <v>101310.50338500002</v>
      </c>
      <c r="H118" s="170"/>
    </row>
    <row r="119" spans="1:14" s="39" customFormat="1" x14ac:dyDescent="0.35">
      <c r="A119" s="163" t="s">
        <v>157</v>
      </c>
      <c r="B119" s="163"/>
      <c r="C119" s="165">
        <f>SUM(C117:C118)</f>
        <v>259</v>
      </c>
      <c r="D119" s="165"/>
      <c r="E119" s="172">
        <f>SUM(E117:E118)</f>
        <v>146945.31111000001</v>
      </c>
      <c r="F119" s="166"/>
      <c r="G119" s="164">
        <f>SUM(G117:G118)</f>
        <v>221871.2220825</v>
      </c>
      <c r="H119" s="164"/>
    </row>
    <row r="120" spans="1:14" s="38" customFormat="1" x14ac:dyDescent="0.35">
      <c r="A120" s="124" t="s">
        <v>57</v>
      </c>
      <c r="B120" s="124"/>
      <c r="C120" s="124"/>
      <c r="D120" s="124"/>
      <c r="E120" s="124"/>
      <c r="F120" s="124"/>
      <c r="G120" s="124"/>
      <c r="H120" s="124"/>
    </row>
    <row r="121" spans="1:14" x14ac:dyDescent="0.35">
      <c r="A121" s="124" t="s">
        <v>58</v>
      </c>
      <c r="B121" s="124"/>
      <c r="C121" s="124"/>
      <c r="D121" s="124"/>
      <c r="E121" s="124"/>
      <c r="F121" s="124"/>
      <c r="G121" s="124"/>
      <c r="H121" s="124"/>
    </row>
    <row r="122" spans="1:14" ht="47.25" customHeight="1" x14ac:dyDescent="0.35">
      <c r="A122" s="173" t="s">
        <v>124</v>
      </c>
      <c r="B122" s="173" t="s">
        <v>123</v>
      </c>
      <c r="C122" s="173" t="s">
        <v>59</v>
      </c>
      <c r="D122" s="173" t="s">
        <v>60</v>
      </c>
      <c r="E122" s="175" t="s">
        <v>163</v>
      </c>
      <c r="F122" s="68" t="s">
        <v>156</v>
      </c>
      <c r="G122" s="177" t="s">
        <v>62</v>
      </c>
      <c r="H122" s="178"/>
    </row>
    <row r="123" spans="1:14" s="67" customFormat="1" x14ac:dyDescent="0.35">
      <c r="A123" s="174"/>
      <c r="B123" s="174"/>
      <c r="C123" s="174"/>
      <c r="D123" s="174"/>
      <c r="E123" s="176"/>
      <c r="F123" s="15">
        <v>0.55000000000000004</v>
      </c>
      <c r="G123" s="179"/>
      <c r="H123" s="180"/>
    </row>
    <row r="124" spans="1:14" x14ac:dyDescent="0.35">
      <c r="A124" s="124" t="s">
        <v>206</v>
      </c>
      <c r="B124" s="124"/>
      <c r="C124" s="124"/>
      <c r="D124" s="124"/>
      <c r="E124" s="124"/>
      <c r="F124" s="124"/>
      <c r="G124" s="124"/>
      <c r="H124" s="124"/>
    </row>
    <row r="125" spans="1:14" s="67" customFormat="1" x14ac:dyDescent="0.35">
      <c r="A125" s="181" t="s">
        <v>171</v>
      </c>
      <c r="B125" s="182"/>
      <c r="C125" s="182"/>
      <c r="D125" s="182"/>
      <c r="E125" s="182"/>
      <c r="F125" s="182"/>
      <c r="G125" s="182"/>
      <c r="H125" s="183"/>
      <c r="J125" s="40"/>
    </row>
    <row r="126" spans="1:14" s="67" customFormat="1" x14ac:dyDescent="0.35">
      <c r="A126" s="184">
        <v>1</v>
      </c>
      <c r="B126" s="185"/>
      <c r="C126" s="46" t="s">
        <v>172</v>
      </c>
      <c r="D126" s="46">
        <f>(1447.2+1.2*80.55)*10.764</f>
        <v>16618.109039999999</v>
      </c>
      <c r="E126" s="46">
        <v>0</v>
      </c>
      <c r="F126" s="46">
        <f>(D126+E126)*(($F$123)+1)</f>
        <v>25758.069012</v>
      </c>
      <c r="G126" s="184" t="str">
        <f>A125</f>
        <v>Ground Floor for Commercial &amp; Parking</v>
      </c>
      <c r="H126" s="185"/>
      <c r="I126" s="40"/>
      <c r="J126" s="67">
        <f>F126/D126</f>
        <v>1.55</v>
      </c>
      <c r="L126" s="186"/>
      <c r="M126" s="186"/>
      <c r="N126" s="40"/>
    </row>
    <row r="127" spans="1:14" s="67" customFormat="1" x14ac:dyDescent="0.35">
      <c r="A127" s="184"/>
      <c r="B127" s="187"/>
      <c r="C127" s="187"/>
      <c r="D127" s="187"/>
      <c r="E127" s="187"/>
      <c r="F127" s="187"/>
      <c r="G127" s="187"/>
      <c r="H127" s="185"/>
      <c r="I127" s="40"/>
      <c r="N127" s="40"/>
    </row>
    <row r="128" spans="1:14" ht="47.25" customHeight="1" x14ac:dyDescent="0.35">
      <c r="A128" s="177" t="s">
        <v>125</v>
      </c>
      <c r="B128" s="177" t="s">
        <v>126</v>
      </c>
      <c r="C128" s="173" t="s">
        <v>59</v>
      </c>
      <c r="D128" s="173" t="s">
        <v>60</v>
      </c>
      <c r="E128" s="175" t="s">
        <v>61</v>
      </c>
      <c r="F128" s="68" t="s">
        <v>156</v>
      </c>
      <c r="G128" s="177" t="s">
        <v>62</v>
      </c>
      <c r="H128" s="178"/>
      <c r="I128" s="40"/>
    </row>
    <row r="129" spans="1:16" s="67" customFormat="1" x14ac:dyDescent="0.35">
      <c r="A129" s="179"/>
      <c r="B129" s="179"/>
      <c r="C129" s="174"/>
      <c r="D129" s="174"/>
      <c r="E129" s="176"/>
      <c r="F129" s="15">
        <v>0.5</v>
      </c>
      <c r="G129" s="179"/>
      <c r="H129" s="180"/>
      <c r="I129" s="40"/>
    </row>
    <row r="130" spans="1:16" x14ac:dyDescent="0.35">
      <c r="A130" s="124" t="s">
        <v>170</v>
      </c>
      <c r="B130" s="124"/>
      <c r="C130" s="124"/>
      <c r="D130" s="124"/>
      <c r="E130" s="124"/>
      <c r="F130" s="124"/>
      <c r="G130" s="124"/>
      <c r="H130" s="124"/>
    </row>
    <row r="131" spans="1:16" x14ac:dyDescent="0.35">
      <c r="A131" s="124" t="s">
        <v>173</v>
      </c>
      <c r="B131" s="124"/>
      <c r="C131" s="124"/>
      <c r="D131" s="124"/>
      <c r="E131" s="124"/>
      <c r="F131" s="124"/>
      <c r="G131" s="124"/>
      <c r="H131" s="124"/>
    </row>
    <row r="132" spans="1:16" s="67" customFormat="1" x14ac:dyDescent="0.35">
      <c r="A132" s="181" t="s">
        <v>174</v>
      </c>
      <c r="B132" s="182"/>
      <c r="C132" s="182"/>
      <c r="D132" s="182"/>
      <c r="E132" s="182"/>
      <c r="F132" s="182"/>
      <c r="G132" s="182"/>
      <c r="H132" s="183"/>
      <c r="J132" s="40"/>
    </row>
    <row r="133" spans="1:16" s="67" customFormat="1" ht="15.75" customHeight="1" x14ac:dyDescent="0.35">
      <c r="A133" s="184">
        <v>1</v>
      </c>
      <c r="B133" s="185"/>
      <c r="C133" s="46" t="s">
        <v>175</v>
      </c>
      <c r="D133" s="46">
        <f>(3*4.35+2.1*3.05+2.75*3.05+2.75*3.5+2.1*1.2+1.2*1.8+0.9*4.5+1.2*0.5+1.5*2.1+1.2*2.75+0.6*5.3)*10.764</f>
        <v>607.38560999999993</v>
      </c>
      <c r="E133" s="46">
        <v>0</v>
      </c>
      <c r="F133" s="46">
        <f>D133*(($F$129)+1)+(IF(E133&lt;101,E133,IF(E133&lt;201,E133/2,IF(E133&lt;=301,E133/3,E133/4))))</f>
        <v>911.07841499999995</v>
      </c>
      <c r="G133" s="188" t="str">
        <f>A132</f>
        <v>1st Floor for Residential</v>
      </c>
      <c r="H133" s="189"/>
      <c r="I133" s="69">
        <f>3*4.35+2.1*3.05+2.75*3.05+2.75*3.5+2.1*1.2+1.2*1.8+0.9*4.5+1.2*0.5</f>
        <v>46.797500000000007</v>
      </c>
      <c r="J133" s="67">
        <f>49.46</f>
        <v>49.46</v>
      </c>
      <c r="K133" s="67">
        <f>1*10.764</f>
        <v>10.763999999999999</v>
      </c>
      <c r="L133" s="186">
        <f>J133*K133</f>
        <v>532.38743999999997</v>
      </c>
      <c r="M133" s="186"/>
      <c r="N133" s="73">
        <f>F133/D133</f>
        <v>1.5</v>
      </c>
    </row>
    <row r="134" spans="1:16" s="67" customFormat="1" ht="15.75" customHeight="1" x14ac:dyDescent="0.35">
      <c r="A134" s="184">
        <v>2</v>
      </c>
      <c r="B134" s="185"/>
      <c r="C134" s="46" t="s">
        <v>176</v>
      </c>
      <c r="D134" s="46">
        <f>(3*4.35+2.1*2.45+3.1*3.5+1.8*1.2+1.2*1.8+1.2*0.5+0.9*1.2+1.5*2.1+1.2*5.4)*10.764</f>
        <v>480.88169999999997</v>
      </c>
      <c r="E134" s="46">
        <v>0</v>
      </c>
      <c r="F134" s="46">
        <f t="shared" ref="F134:F141" si="0">D134*(($F$129)+1)+(IF(E134&lt;101,E134,IF(E134&lt;201,E134/2,IF(E134&lt;=301,E134/3,E134/4))))</f>
        <v>721.32254999999998</v>
      </c>
      <c r="G134" s="190"/>
      <c r="H134" s="191"/>
      <c r="I134" s="70">
        <f>3*4.35+2.1*2.45+3.1*3.5+1.8*1.2+1.2*1.8+1.2*0.5+0.9*1.2</f>
        <v>35.045000000000002</v>
      </c>
      <c r="J134" s="67">
        <v>37.130000000000003</v>
      </c>
      <c r="K134" s="67">
        <f t="shared" ref="K134:K139" si="1">1*10.764</f>
        <v>10.763999999999999</v>
      </c>
      <c r="L134" s="186">
        <f t="shared" ref="L134:L139" si="2">J134*K134</f>
        <v>399.66732000000002</v>
      </c>
      <c r="M134" s="186"/>
      <c r="N134" s="73">
        <f t="shared" ref="N134:N197" si="3">F134/D134</f>
        <v>1.5</v>
      </c>
    </row>
    <row r="135" spans="1:16" s="67" customFormat="1" ht="15.75" customHeight="1" x14ac:dyDescent="0.35">
      <c r="A135" s="184">
        <v>3</v>
      </c>
      <c r="B135" s="185"/>
      <c r="C135" s="46" t="s">
        <v>175</v>
      </c>
      <c r="D135" s="46">
        <f>(2.45*4.6+1.55*3.6+2.1*3.05+2.75*3.05+2.75*3.5+1.2*2.1+2.1*1.35+0.9*2.65+1.2*5.3)*10.764</f>
        <v>595.97577000000001</v>
      </c>
      <c r="E135" s="46">
        <f>(3.3*2.4+2.2*2.75)*10.764</f>
        <v>150.37307999999999</v>
      </c>
      <c r="F135" s="46">
        <f t="shared" si="0"/>
        <v>969.15019500000005</v>
      </c>
      <c r="G135" s="190"/>
      <c r="H135" s="191"/>
      <c r="I135" s="40"/>
      <c r="J135" s="67">
        <v>52.09</v>
      </c>
      <c r="K135" s="67">
        <f t="shared" si="1"/>
        <v>10.763999999999999</v>
      </c>
      <c r="L135" s="186">
        <f t="shared" si="2"/>
        <v>560.69676000000004</v>
      </c>
      <c r="M135" s="186"/>
      <c r="N135" s="73">
        <f t="shared" si="3"/>
        <v>1.6261570415857678</v>
      </c>
    </row>
    <row r="136" spans="1:16" s="67" customFormat="1" ht="15.75" customHeight="1" x14ac:dyDescent="0.35">
      <c r="A136" s="184">
        <v>4</v>
      </c>
      <c r="B136" s="185"/>
      <c r="C136" s="46" t="s">
        <v>176</v>
      </c>
      <c r="D136" s="46">
        <f>(2.75*4.6+2.1*2.45+2.75*3.5+1.8*1.2*2+0.9*2.1+1.2*5.1)*10.764</f>
        <v>427.86899999999991</v>
      </c>
      <c r="E136" s="46">
        <f>(2.75*3.3)*10.764</f>
        <v>97.683299999999988</v>
      </c>
      <c r="F136" s="46">
        <f t="shared" si="0"/>
        <v>739.4867999999999</v>
      </c>
      <c r="G136" s="190"/>
      <c r="H136" s="191"/>
      <c r="I136" s="40"/>
      <c r="J136" s="67">
        <v>35.21</v>
      </c>
      <c r="K136" s="67">
        <f t="shared" si="1"/>
        <v>10.763999999999999</v>
      </c>
      <c r="L136" s="186">
        <f t="shared" si="2"/>
        <v>379.00043999999997</v>
      </c>
      <c r="M136" s="186"/>
      <c r="N136" s="73">
        <f t="shared" si="3"/>
        <v>1.7283018867924529</v>
      </c>
    </row>
    <row r="137" spans="1:16" s="67" customFormat="1" ht="15.75" customHeight="1" x14ac:dyDescent="0.35">
      <c r="A137" s="184">
        <v>5</v>
      </c>
      <c r="B137" s="185"/>
      <c r="C137" s="46" t="s">
        <v>175</v>
      </c>
      <c r="D137" s="46">
        <f>(3.35*4.2+2.45*1.5+2.1*3.05+2.75*3.05+2.75*3.5+1.2*1.8+1.2*2.1+4*0.9+1.2*2.75+0.6*5.3)*10.764</f>
        <v>612.71379000000002</v>
      </c>
      <c r="E137" s="46">
        <f>(2.2*2.45)*10.764</f>
        <v>58.017960000000002</v>
      </c>
      <c r="F137" s="46">
        <f t="shared" si="0"/>
        <v>977.08864500000004</v>
      </c>
      <c r="G137" s="190"/>
      <c r="H137" s="191"/>
      <c r="I137" s="40"/>
      <c r="J137" s="67">
        <v>50.24</v>
      </c>
      <c r="K137" s="67">
        <f t="shared" si="1"/>
        <v>10.763999999999999</v>
      </c>
      <c r="L137" s="186">
        <f t="shared" si="2"/>
        <v>540.78336000000002</v>
      </c>
      <c r="M137" s="186"/>
      <c r="N137" s="73">
        <f t="shared" si="3"/>
        <v>1.5946901488866441</v>
      </c>
    </row>
    <row r="138" spans="1:16" s="67" customFormat="1" ht="15.75" customHeight="1" x14ac:dyDescent="0.35">
      <c r="A138" s="184">
        <v>6</v>
      </c>
      <c r="B138" s="185"/>
      <c r="C138" s="46" t="s">
        <v>177</v>
      </c>
      <c r="D138" s="46">
        <f>(2.75*5.7+2.4*3.1+2.45*3.1+2.75*3.8+3.85*3.75+1.35*1.95+2.4*1.35+1.5*2.25+5.3*0.9+1.4*1.5+1.2*5.3)*10.764</f>
        <v>840.39929999999981</v>
      </c>
      <c r="E138" s="46">
        <f>(1.5*2.75+1.5*2.75+1.2*1.8)*10.764</f>
        <v>112.05323999999999</v>
      </c>
      <c r="F138" s="46">
        <f t="shared" si="0"/>
        <v>1316.6255699999997</v>
      </c>
      <c r="G138" s="190"/>
      <c r="H138" s="191"/>
      <c r="I138" s="40"/>
      <c r="J138" s="67">
        <v>76.34</v>
      </c>
      <c r="K138" s="67">
        <f t="shared" si="1"/>
        <v>10.763999999999999</v>
      </c>
      <c r="L138" s="186">
        <f t="shared" si="2"/>
        <v>821.72375999999997</v>
      </c>
      <c r="M138" s="186"/>
      <c r="N138" s="73">
        <f t="shared" si="3"/>
        <v>1.5666666666666667</v>
      </c>
    </row>
    <row r="139" spans="1:16" s="67" customFormat="1" ht="15.75" customHeight="1" x14ac:dyDescent="0.35">
      <c r="A139" s="184">
        <v>7</v>
      </c>
      <c r="B139" s="185"/>
      <c r="C139" s="46" t="s">
        <v>176</v>
      </c>
      <c r="D139" s="46">
        <f>(4.3*2.75+2.2*2.45+3.25*3+1.45*1.1+1.95*1.2+0.5*1.1+0.9*2.45)*10.764</f>
        <v>362.26241999999996</v>
      </c>
      <c r="E139" s="46">
        <f>(4.4*5.75+2.75*5.45)*10.764</f>
        <v>433.65465</v>
      </c>
      <c r="F139" s="46">
        <f t="shared" si="0"/>
        <v>651.8072924999999</v>
      </c>
      <c r="G139" s="190"/>
      <c r="H139" s="191"/>
      <c r="I139" s="40"/>
      <c r="J139" s="67">
        <v>35.97</v>
      </c>
      <c r="K139" s="67">
        <f t="shared" si="1"/>
        <v>10.763999999999999</v>
      </c>
      <c r="L139" s="186">
        <f t="shared" si="2"/>
        <v>387.18107999999995</v>
      </c>
      <c r="M139" s="186"/>
      <c r="N139" s="73">
        <f t="shared" si="3"/>
        <v>1.7992683108007725</v>
      </c>
    </row>
    <row r="140" spans="1:16" s="67" customFormat="1" ht="15.75" customHeight="1" x14ac:dyDescent="0.35">
      <c r="A140" s="184">
        <v>8</v>
      </c>
      <c r="B140" s="185"/>
      <c r="C140" s="46" t="s">
        <v>176</v>
      </c>
      <c r="D140" s="46">
        <f>(2.75*4.5+2.15*2.45+2.75*3.5+1.8*1.2+1.2*1.75+0.5*1.2+0.9*2.15)*10.764</f>
        <v>366.64874999999995</v>
      </c>
      <c r="E140" s="46">
        <f>(2.75*5.8+5.35*4.4+3.15*8.2+5.05*2.3)*10.764</f>
        <v>828.12833999999987</v>
      </c>
      <c r="F140" s="46">
        <f t="shared" si="0"/>
        <v>757.00520999999992</v>
      </c>
      <c r="G140" s="190"/>
      <c r="H140" s="191"/>
      <c r="I140" s="40"/>
      <c r="L140" s="186"/>
      <c r="M140" s="186"/>
      <c r="N140" s="73">
        <f t="shared" si="3"/>
        <v>2.0646605504587159</v>
      </c>
    </row>
    <row r="141" spans="1:16" s="67" customFormat="1" ht="15.75" customHeight="1" x14ac:dyDescent="0.35">
      <c r="A141" s="184">
        <v>9</v>
      </c>
      <c r="B141" s="185"/>
      <c r="C141" s="46" t="s">
        <v>176</v>
      </c>
      <c r="D141" s="46">
        <f>(2.75*4.5+2.15*2.45+2.75*3.5+1.8*1.2+1.2*1.75+0.5*1.2+0.9*2.15)*10.764</f>
        <v>366.64874999999995</v>
      </c>
      <c r="E141" s="46">
        <f>(2.75*5.8+5.35*4.4)*10.764</f>
        <v>425.07035999999994</v>
      </c>
      <c r="F141" s="46">
        <f t="shared" si="0"/>
        <v>656.24071499999991</v>
      </c>
      <c r="G141" s="192"/>
      <c r="H141" s="193"/>
      <c r="I141" s="40"/>
      <c r="L141" s="186"/>
      <c r="M141" s="186"/>
      <c r="N141" s="73">
        <f t="shared" si="3"/>
        <v>1.7898348623853211</v>
      </c>
    </row>
    <row r="142" spans="1:16" s="67" customFormat="1" ht="15.75" customHeight="1" x14ac:dyDescent="0.35">
      <c r="A142" s="181" t="s">
        <v>224</v>
      </c>
      <c r="B142" s="182"/>
      <c r="C142" s="182"/>
      <c r="D142" s="182"/>
      <c r="E142" s="182"/>
      <c r="F142" s="182"/>
      <c r="G142" s="182"/>
      <c r="H142" s="183"/>
      <c r="I142" s="40"/>
      <c r="N142" s="73" t="e">
        <f t="shared" si="3"/>
        <v>#DIV/0!</v>
      </c>
      <c r="P142" s="41"/>
    </row>
    <row r="143" spans="1:16" s="67" customFormat="1" x14ac:dyDescent="0.35">
      <c r="A143" s="184">
        <v>1</v>
      </c>
      <c r="B143" s="185"/>
      <c r="C143" s="46" t="s">
        <v>175</v>
      </c>
      <c r="D143" s="46">
        <f>(3*4.35+2.1*3.05+2.75*3.05+2.75*3.5+2.1*1.2+1.2*1.8+2.75*0.9+1.2*1.3+1.5*2.1+1.2*2.75+0.75*5.3)*10.764</f>
        <v>609.32313000000011</v>
      </c>
      <c r="E143" s="46">
        <v>0</v>
      </c>
      <c r="F143" s="46">
        <f>D143*(($F$129)+1)+(IF(E143&lt;101,E143,IF(E143&lt;201,E143/2,IF(E143&lt;=301,E143/3,E143/4))))</f>
        <v>913.9846950000001</v>
      </c>
      <c r="G143" s="188" t="str">
        <f>A142</f>
        <v>2nd Floor</v>
      </c>
      <c r="H143" s="189"/>
      <c r="I143" s="40"/>
      <c r="N143" s="73">
        <f t="shared" si="3"/>
        <v>1.5</v>
      </c>
    </row>
    <row r="144" spans="1:16" s="67" customFormat="1" x14ac:dyDescent="0.35">
      <c r="A144" s="184">
        <v>2</v>
      </c>
      <c r="B144" s="185"/>
      <c r="C144" s="46" t="s">
        <v>176</v>
      </c>
      <c r="D144" s="46">
        <f>(3*4.35+2.1*2.45+3.1*3.5+1.8*1.2+1.2*1.8+1.2*1.4+1.2*5.4+1.5*2.1)*10.764</f>
        <v>480.88170000000002</v>
      </c>
      <c r="E144" s="46">
        <v>0</v>
      </c>
      <c r="F144" s="46">
        <f t="shared" ref="F144:F207" si="4">D144*(($F$129)+1)+(IF(E144&lt;101,E144,IF(E144&lt;201,E144/2,IF(E144&lt;=301,E144/3,E144/4))))</f>
        <v>721.32255000000009</v>
      </c>
      <c r="G144" s="190" t="str">
        <f t="shared" ref="G144:G151" si="5">G143</f>
        <v>2nd Floor</v>
      </c>
      <c r="H144" s="191"/>
      <c r="I144" s="40"/>
      <c r="N144" s="73">
        <f t="shared" si="3"/>
        <v>1.5000000000000002</v>
      </c>
    </row>
    <row r="145" spans="1:16" s="67" customFormat="1" ht="15.75" customHeight="1" x14ac:dyDescent="0.35">
      <c r="A145" s="184">
        <v>3</v>
      </c>
      <c r="B145" s="185"/>
      <c r="C145" s="46" t="s">
        <v>175</v>
      </c>
      <c r="D145" s="46">
        <f>(2.45*4.6+1.55*3.6+2.1*3.05+2.75*3.05+2.75*3.5+2.1*1.35+1.2*2.1+2.1*0.9+1.2*1.3+1.5*2.45+1.2*5.3+1.5*2.75)*10.764</f>
        <v>691.39863000000003</v>
      </c>
      <c r="E145" s="46">
        <v>0</v>
      </c>
      <c r="F145" s="46">
        <f t="shared" si="4"/>
        <v>1037.097945</v>
      </c>
      <c r="G145" s="190" t="str">
        <f t="shared" si="5"/>
        <v>2nd Floor</v>
      </c>
      <c r="H145" s="191"/>
      <c r="I145" s="40"/>
      <c r="N145" s="73">
        <f t="shared" si="3"/>
        <v>1.5</v>
      </c>
    </row>
    <row r="146" spans="1:16" s="67" customFormat="1" ht="15.75" customHeight="1" x14ac:dyDescent="0.35">
      <c r="A146" s="184">
        <v>4</v>
      </c>
      <c r="B146" s="185"/>
      <c r="C146" s="46" t="s">
        <v>176</v>
      </c>
      <c r="D146" s="46">
        <f>(2.75*4.6+2.1*2.45+2.75*3.5+1.8*1.2+1.2*1.8+2.1*0.9+1.2*0.5+1.5*2.75+1.2*5.1)*10.764</f>
        <v>478.7288999999999</v>
      </c>
      <c r="E146" s="46">
        <v>0</v>
      </c>
      <c r="F146" s="46">
        <f t="shared" si="4"/>
        <v>718.09334999999987</v>
      </c>
      <c r="G146" s="190" t="str">
        <f t="shared" si="5"/>
        <v>2nd Floor</v>
      </c>
      <c r="H146" s="191"/>
      <c r="I146" s="40"/>
      <c r="N146" s="73">
        <f t="shared" si="3"/>
        <v>1.5</v>
      </c>
    </row>
    <row r="147" spans="1:16" s="67" customFormat="1" ht="15.75" customHeight="1" x14ac:dyDescent="0.35">
      <c r="A147" s="184">
        <v>5</v>
      </c>
      <c r="B147" s="185"/>
      <c r="C147" s="46" t="s">
        <v>175</v>
      </c>
      <c r="D147" s="46">
        <f>(2.45*4.6+0.9*4.2+2.1*3.05+2.75*3.05+2.75*3.5+2.1*1.2+1.2*1.8+2.75*0.9+1.2*1.3+1.2*2.75+0.75*5.3)*10.764</f>
        <v>596.9445300000001</v>
      </c>
      <c r="E147" s="46">
        <f>(1.5*2.8)*10.764</f>
        <v>45.208799999999989</v>
      </c>
      <c r="F147" s="46">
        <f t="shared" si="4"/>
        <v>940.62559500000009</v>
      </c>
      <c r="G147" s="190" t="str">
        <f t="shared" si="5"/>
        <v>2nd Floor</v>
      </c>
      <c r="H147" s="191"/>
      <c r="I147" s="40"/>
      <c r="N147" s="73">
        <f t="shared" si="3"/>
        <v>1.5757336699274218</v>
      </c>
    </row>
    <row r="148" spans="1:16" s="67" customFormat="1" ht="15.75" customHeight="1" x14ac:dyDescent="0.35">
      <c r="A148" s="184">
        <v>6</v>
      </c>
      <c r="B148" s="185"/>
      <c r="C148" s="46" t="s">
        <v>177</v>
      </c>
      <c r="D148" s="46">
        <f>(2.75*4.6+0.9*3.55+2.1*3.1+2.75*3.1+2.75*3.8+1.35*1.95+2.75*3.75+1.25*2.25+1.2*1.95+1.25*1.4+2.75*0.9+1.2*1.4+1.2*5.3+1.5*2.9+1.2*1.8)*10.764</f>
        <v>841.77170999999976</v>
      </c>
      <c r="E148" s="46">
        <f>(1.5*2.75)*10.786</f>
        <v>44.492249999999999</v>
      </c>
      <c r="F148" s="46">
        <f t="shared" si="4"/>
        <v>1307.1498149999995</v>
      </c>
      <c r="G148" s="190" t="str">
        <f t="shared" si="5"/>
        <v>2nd Floor</v>
      </c>
      <c r="H148" s="191"/>
      <c r="I148" s="40"/>
      <c r="N148" s="73">
        <f t="shared" si="3"/>
        <v>1.5528554826343592</v>
      </c>
    </row>
    <row r="149" spans="1:16" s="67" customFormat="1" ht="15.75" customHeight="1" x14ac:dyDescent="0.35">
      <c r="A149" s="184">
        <v>7</v>
      </c>
      <c r="B149" s="185"/>
      <c r="C149" s="46" t="s">
        <v>176</v>
      </c>
      <c r="D149" s="46">
        <f>(4.3*2.75+2.2*2.45+3.25*3+1.95*1.2+1.45*1.1+2.45*0.9+1.1*0.5+1.5*2.75+1.2*5.75)*10.764</f>
        <v>480.93551999999988</v>
      </c>
      <c r="E149" s="46">
        <v>0</v>
      </c>
      <c r="F149" s="46">
        <f t="shared" si="4"/>
        <v>721.40327999999977</v>
      </c>
      <c r="G149" s="190" t="str">
        <f t="shared" si="5"/>
        <v>2nd Floor</v>
      </c>
      <c r="H149" s="191"/>
      <c r="I149" s="40"/>
      <c r="N149" s="73">
        <f t="shared" si="3"/>
        <v>1.4999999999999998</v>
      </c>
    </row>
    <row r="150" spans="1:16" s="67" customFormat="1" ht="15.75" customHeight="1" x14ac:dyDescent="0.35">
      <c r="A150" s="184">
        <v>8</v>
      </c>
      <c r="B150" s="185"/>
      <c r="C150" s="46" t="s">
        <v>176</v>
      </c>
      <c r="D150" s="46">
        <f>(2.75*4.5+2.15*2.45+2.75*3.5+1.8*1.2+1.2*1.75+2.15*0.9+0.5*1.2+1.5*2.75+1.2*5.35)*10.764</f>
        <v>480.15512999999999</v>
      </c>
      <c r="E150" s="46">
        <v>0</v>
      </c>
      <c r="F150" s="46">
        <f t="shared" si="4"/>
        <v>720.23269499999992</v>
      </c>
      <c r="G150" s="190" t="str">
        <f t="shared" si="5"/>
        <v>2nd Floor</v>
      </c>
      <c r="H150" s="191"/>
      <c r="I150" s="40"/>
      <c r="N150" s="73">
        <f t="shared" si="3"/>
        <v>1.4999999999999998</v>
      </c>
    </row>
    <row r="151" spans="1:16" s="67" customFormat="1" ht="15.75" customHeight="1" x14ac:dyDescent="0.35">
      <c r="A151" s="184">
        <v>9</v>
      </c>
      <c r="B151" s="185"/>
      <c r="C151" s="46" t="s">
        <v>176</v>
      </c>
      <c r="D151" s="46">
        <f>(2.75*4.5+2.15*2.45+2.75*3.5+1.8*1.2+1.2*1.75+2.15*0.9+0.5*1.2+1.5*2.75+1.2*5.35)*10.764</f>
        <v>480.15512999999999</v>
      </c>
      <c r="E151" s="46">
        <v>0</v>
      </c>
      <c r="F151" s="46">
        <f t="shared" si="4"/>
        <v>720.23269499999992</v>
      </c>
      <c r="G151" s="192" t="str">
        <f t="shared" si="5"/>
        <v>2nd Floor</v>
      </c>
      <c r="H151" s="193"/>
      <c r="I151" s="40"/>
      <c r="N151" s="73">
        <f t="shared" si="3"/>
        <v>1.4999999999999998</v>
      </c>
    </row>
    <row r="152" spans="1:16" s="67" customFormat="1" ht="15.75" customHeight="1" x14ac:dyDescent="0.35">
      <c r="A152" s="181" t="s">
        <v>225</v>
      </c>
      <c r="B152" s="182"/>
      <c r="C152" s="182"/>
      <c r="D152" s="182"/>
      <c r="E152" s="182"/>
      <c r="F152" s="182"/>
      <c r="G152" s="182"/>
      <c r="H152" s="183"/>
      <c r="I152" s="40"/>
      <c r="N152" s="73" t="e">
        <f t="shared" si="3"/>
        <v>#DIV/0!</v>
      </c>
      <c r="P152" s="41"/>
    </row>
    <row r="153" spans="1:16" s="67" customFormat="1" ht="15.75" customHeight="1" x14ac:dyDescent="0.35">
      <c r="A153" s="184">
        <v>1</v>
      </c>
      <c r="B153" s="185"/>
      <c r="C153" s="46" t="s">
        <v>175</v>
      </c>
      <c r="D153" s="46">
        <f>(3*4.35+2.1*3.05+2.75*3.05+2.75*3.5+2.1*1.2+1.2*1.8+2.75*0.9+1.2*1.3+1.5*2.1+1.2*2.75+0.75*5.3)*10.764</f>
        <v>609.32313000000011</v>
      </c>
      <c r="E153" s="46">
        <v>0</v>
      </c>
      <c r="F153" s="46">
        <f t="shared" si="4"/>
        <v>913.9846950000001</v>
      </c>
      <c r="G153" s="188" t="str">
        <f>A152</f>
        <v>3rd to 5th &amp; 7th to 10th Floor</v>
      </c>
      <c r="H153" s="189"/>
      <c r="I153" s="40">
        <f>3650000/F153</f>
        <v>3993.5023200798778</v>
      </c>
      <c r="N153" s="73">
        <f t="shared" si="3"/>
        <v>1.5</v>
      </c>
    </row>
    <row r="154" spans="1:16" s="67" customFormat="1" ht="15.75" customHeight="1" x14ac:dyDescent="0.35">
      <c r="A154" s="184">
        <v>2</v>
      </c>
      <c r="B154" s="185"/>
      <c r="C154" s="46" t="s">
        <v>176</v>
      </c>
      <c r="D154" s="46">
        <f>(3*4.35+2.1*2.45+3.1*3.5+1.8*1.2+1.2*1.8+1.2*1.4+1.2*5.4+1.5*2.1)*10.764</f>
        <v>480.88170000000002</v>
      </c>
      <c r="E154" s="46">
        <v>0</v>
      </c>
      <c r="F154" s="46">
        <f t="shared" si="4"/>
        <v>721.32255000000009</v>
      </c>
      <c r="G154" s="190" t="str">
        <f t="shared" ref="G154:G161" si="6">G153</f>
        <v>3rd to 5th &amp; 7th to 10th Floor</v>
      </c>
      <c r="H154" s="191"/>
      <c r="I154" s="40"/>
      <c r="N154" s="73">
        <f t="shared" si="3"/>
        <v>1.5000000000000002</v>
      </c>
    </row>
    <row r="155" spans="1:16" s="67" customFormat="1" ht="15.75" customHeight="1" x14ac:dyDescent="0.35">
      <c r="A155" s="184">
        <v>3</v>
      </c>
      <c r="B155" s="185"/>
      <c r="C155" s="46" t="s">
        <v>175</v>
      </c>
      <c r="D155" s="46">
        <f>(2.45*4.6+1.55*3.6+2.1*3.05+2.75*3.05+2.75*3.5+2.1*1.35+1.2*2.1+2.1*0.9+1.2*1.3+1.5*2.45+1.2*5.3+1.5*2.75)*10.764</f>
        <v>691.39863000000003</v>
      </c>
      <c r="E155" s="46">
        <v>0</v>
      </c>
      <c r="F155" s="46">
        <f t="shared" si="4"/>
        <v>1037.097945</v>
      </c>
      <c r="G155" s="190" t="str">
        <f t="shared" si="6"/>
        <v>3rd to 5th &amp; 7th to 10th Floor</v>
      </c>
      <c r="H155" s="191"/>
      <c r="I155" s="40">
        <f>4128000/F155</f>
        <v>3980.3376526794682</v>
      </c>
      <c r="N155" s="73">
        <f t="shared" si="3"/>
        <v>1.5</v>
      </c>
    </row>
    <row r="156" spans="1:16" s="67" customFormat="1" ht="15.75" customHeight="1" x14ac:dyDescent="0.35">
      <c r="A156" s="184">
        <v>4</v>
      </c>
      <c r="B156" s="185"/>
      <c r="C156" s="46" t="s">
        <v>176</v>
      </c>
      <c r="D156" s="46">
        <f>(2.75*4.6+2.1*2.45+2.75*3.5+1.8*1.2+1.2*1.8+2.1*0.9+1.2*0.5+1.5*2.75+1.2*5.1)*10.764</f>
        <v>478.7288999999999</v>
      </c>
      <c r="E156" s="46">
        <v>0</v>
      </c>
      <c r="F156" s="46">
        <f t="shared" si="4"/>
        <v>718.09334999999987</v>
      </c>
      <c r="G156" s="190" t="str">
        <f t="shared" si="6"/>
        <v>3rd to 5th &amp; 7th to 10th Floor</v>
      </c>
      <c r="H156" s="191"/>
      <c r="I156" s="40">
        <f>2900000/F156</f>
        <v>4038.4721568581585</v>
      </c>
      <c r="N156" s="73">
        <f t="shared" si="3"/>
        <v>1.5</v>
      </c>
    </row>
    <row r="157" spans="1:16" s="67" customFormat="1" ht="15.75" customHeight="1" x14ac:dyDescent="0.35">
      <c r="A157" s="184">
        <v>5</v>
      </c>
      <c r="B157" s="185"/>
      <c r="C157" s="46" t="s">
        <v>175</v>
      </c>
      <c r="D157" s="46">
        <f>(2.45*4.6+0.9*4.2+2.1*3.05+2.75*3.05+2.75*3.5+2.1*1.2+1.2*1.8+2.75*0.9+1.2*1.3+1.2*2.75+0.75*5.3+1.5*2.45)*10.764</f>
        <v>636.50223000000005</v>
      </c>
      <c r="E157" s="46">
        <v>0</v>
      </c>
      <c r="F157" s="46">
        <f t="shared" si="4"/>
        <v>954.75334500000008</v>
      </c>
      <c r="G157" s="190" t="str">
        <f t="shared" si="6"/>
        <v>3rd to 5th &amp; 7th to 10th Floor</v>
      </c>
      <c r="H157" s="191"/>
      <c r="I157" s="40"/>
      <c r="N157" s="73">
        <f t="shared" si="3"/>
        <v>1.5</v>
      </c>
    </row>
    <row r="158" spans="1:16" s="67" customFormat="1" ht="15.75" customHeight="1" x14ac:dyDescent="0.35">
      <c r="A158" s="184">
        <v>6</v>
      </c>
      <c r="B158" s="185"/>
      <c r="C158" s="46" t="s">
        <v>177</v>
      </c>
      <c r="D158" s="46">
        <f>(2.75*4.6+0.9*3.55+2.1*3.1+2.75*3.1+2.75*3.8+1.35*1.95+2.75*3.75+1.25*2.25+1.2*1.95+1.25*1.4+2.75*0.9+1.2*1.4+1.2*5.3+1.5*2.9+1.2*1.8+2.75*1.5)*10.764</f>
        <v>886.17320999999981</v>
      </c>
      <c r="E158" s="46">
        <v>0</v>
      </c>
      <c r="F158" s="46">
        <f t="shared" si="4"/>
        <v>1329.2598149999997</v>
      </c>
      <c r="G158" s="190" t="str">
        <f t="shared" si="6"/>
        <v>3rd to 5th &amp; 7th to 10th Floor</v>
      </c>
      <c r="H158" s="191"/>
      <c r="I158" s="40">
        <f>5900000/F158</f>
        <v>4438.5604179270258</v>
      </c>
      <c r="N158" s="73">
        <f t="shared" si="3"/>
        <v>1.5</v>
      </c>
    </row>
    <row r="159" spans="1:16" s="67" customFormat="1" ht="15.75" customHeight="1" x14ac:dyDescent="0.35">
      <c r="A159" s="184">
        <v>7</v>
      </c>
      <c r="B159" s="185"/>
      <c r="C159" s="46" t="s">
        <v>176</v>
      </c>
      <c r="D159" s="46">
        <f>(4.3*2.75+2.2*2.45+3.25*3+1.95*1.2+1.45*1.1+2.45*0.9+1.1*0.5+1.5*2.75+1.2*5.75)*10.764</f>
        <v>480.93551999999988</v>
      </c>
      <c r="E159" s="46">
        <v>0</v>
      </c>
      <c r="F159" s="46">
        <f t="shared" si="4"/>
        <v>721.40327999999977</v>
      </c>
      <c r="G159" s="190" t="str">
        <f t="shared" si="6"/>
        <v>3rd to 5th &amp; 7th to 10th Floor</v>
      </c>
      <c r="H159" s="191"/>
      <c r="I159" s="40"/>
      <c r="N159" s="73">
        <f t="shared" si="3"/>
        <v>1.4999999999999998</v>
      </c>
    </row>
    <row r="160" spans="1:16" s="67" customFormat="1" ht="15.75" customHeight="1" x14ac:dyDescent="0.35">
      <c r="A160" s="184">
        <v>8</v>
      </c>
      <c r="B160" s="185"/>
      <c r="C160" s="46" t="s">
        <v>176</v>
      </c>
      <c r="D160" s="46">
        <f>(2.75*4.5+2.15*2.45+2.75*3.5+1.8*1.2+1.2*1.75+2.15*0.9+0.5*1.2+1.5*2.75+1.2*5.35)*10.764</f>
        <v>480.15512999999999</v>
      </c>
      <c r="E160" s="46">
        <v>0</v>
      </c>
      <c r="F160" s="46">
        <f t="shared" si="4"/>
        <v>720.23269499999992</v>
      </c>
      <c r="G160" s="190" t="str">
        <f t="shared" si="6"/>
        <v>3rd to 5th &amp; 7th to 10th Floor</v>
      </c>
      <c r="H160" s="191"/>
      <c r="I160" s="40"/>
      <c r="N160" s="73">
        <f t="shared" si="3"/>
        <v>1.4999999999999998</v>
      </c>
    </row>
    <row r="161" spans="1:16" s="67" customFormat="1" ht="15.75" customHeight="1" x14ac:dyDescent="0.35">
      <c r="A161" s="184">
        <v>9</v>
      </c>
      <c r="B161" s="185"/>
      <c r="C161" s="46" t="s">
        <v>176</v>
      </c>
      <c r="D161" s="46">
        <f>(2.75*4.5+2.15*2.45+2.75*3.5+1.8*1.2+1.2*1.75+2.15*0.9+0.5*1.2+1.5*2.75+1.2*5.35)*10.764</f>
        <v>480.15512999999999</v>
      </c>
      <c r="E161" s="46">
        <v>0</v>
      </c>
      <c r="F161" s="46">
        <f t="shared" si="4"/>
        <v>720.23269499999992</v>
      </c>
      <c r="G161" s="192" t="str">
        <f t="shared" si="6"/>
        <v>3rd to 5th &amp; 7th to 10th Floor</v>
      </c>
      <c r="H161" s="193"/>
      <c r="I161" s="40">
        <f>3154000/F161</f>
        <v>4379.1402721588474</v>
      </c>
      <c r="N161" s="73">
        <f t="shared" si="3"/>
        <v>1.4999999999999998</v>
      </c>
    </row>
    <row r="162" spans="1:16" s="67" customFormat="1" ht="15.75" customHeight="1" x14ac:dyDescent="0.35">
      <c r="A162" s="181" t="s">
        <v>180</v>
      </c>
      <c r="B162" s="182"/>
      <c r="C162" s="182"/>
      <c r="D162" s="182"/>
      <c r="E162" s="182"/>
      <c r="F162" s="182"/>
      <c r="G162" s="182"/>
      <c r="H162" s="183"/>
      <c r="I162" s="40"/>
      <c r="N162" s="73" t="e">
        <f t="shared" si="3"/>
        <v>#DIV/0!</v>
      </c>
      <c r="P162" s="41"/>
    </row>
    <row r="163" spans="1:16" s="67" customFormat="1" ht="15.75" customHeight="1" x14ac:dyDescent="0.35">
      <c r="A163" s="184">
        <v>1</v>
      </c>
      <c r="B163" s="185"/>
      <c r="C163" s="46" t="s">
        <v>175</v>
      </c>
      <c r="D163" s="46">
        <f>(3*4.35+2.1*3.05+2.75*3.05+2.75*3.5+2.1*1.2+1.2*1.8+2.75*0.9+1.2*1.3+1.5*2.1+1.2*2.75+0.75*5.3)*10.764</f>
        <v>609.32313000000011</v>
      </c>
      <c r="E163" s="46">
        <v>0</v>
      </c>
      <c r="F163" s="46">
        <f t="shared" si="4"/>
        <v>913.9846950000001</v>
      </c>
      <c r="G163" s="188" t="str">
        <f>A162</f>
        <v>6th Floor (Part Refuge Area)</v>
      </c>
      <c r="H163" s="189"/>
      <c r="I163" s="40"/>
      <c r="N163" s="73">
        <f t="shared" si="3"/>
        <v>1.5</v>
      </c>
    </row>
    <row r="164" spans="1:16" s="67" customFormat="1" ht="15.75" customHeight="1" x14ac:dyDescent="0.35">
      <c r="A164" s="184">
        <v>2</v>
      </c>
      <c r="B164" s="185"/>
      <c r="C164" s="46" t="s">
        <v>176</v>
      </c>
      <c r="D164" s="46">
        <f>(3*4.35+2.1*2.45+3.1*3.5+1.8*1.2+1.2*1.8+1.2*1.4+1.2*5.4+1.5*2.1)*10.764</f>
        <v>480.88170000000002</v>
      </c>
      <c r="E164" s="46">
        <v>0</v>
      </c>
      <c r="F164" s="46">
        <f t="shared" si="4"/>
        <v>721.32255000000009</v>
      </c>
      <c r="G164" s="190" t="str">
        <f t="shared" ref="G164:G171" si="7">G163</f>
        <v>6th Floor (Part Refuge Area)</v>
      </c>
      <c r="H164" s="191"/>
      <c r="I164" s="40"/>
      <c r="N164" s="73">
        <f t="shared" si="3"/>
        <v>1.5000000000000002</v>
      </c>
    </row>
    <row r="165" spans="1:16" s="67" customFormat="1" ht="15.75" customHeight="1" x14ac:dyDescent="0.35">
      <c r="A165" s="184">
        <v>3</v>
      </c>
      <c r="B165" s="185"/>
      <c r="C165" s="184" t="s">
        <v>181</v>
      </c>
      <c r="D165" s="187"/>
      <c r="E165" s="187"/>
      <c r="F165" s="185"/>
      <c r="G165" s="190" t="str">
        <f t="shared" si="7"/>
        <v>6th Floor (Part Refuge Area)</v>
      </c>
      <c r="H165" s="191"/>
      <c r="I165" s="40"/>
      <c r="N165" s="73" t="e">
        <f t="shared" si="3"/>
        <v>#DIV/0!</v>
      </c>
    </row>
    <row r="166" spans="1:16" s="67" customFormat="1" ht="15.75" customHeight="1" x14ac:dyDescent="0.35">
      <c r="A166" s="184">
        <v>4</v>
      </c>
      <c r="B166" s="185"/>
      <c r="C166" s="46" t="s">
        <v>176</v>
      </c>
      <c r="D166" s="46">
        <f>(2.75*4.6+2.1*2.45+2.75*3.5+1.8*1.2+1.2*1.8+2.1*0.9+1.2*0.5+1.5*2.75+1.2*5.1)*10.764</f>
        <v>478.7288999999999</v>
      </c>
      <c r="E166" s="46">
        <v>0</v>
      </c>
      <c r="F166" s="46">
        <f t="shared" si="4"/>
        <v>718.09334999999987</v>
      </c>
      <c r="G166" s="190" t="str">
        <f t="shared" si="7"/>
        <v>6th Floor (Part Refuge Area)</v>
      </c>
      <c r="H166" s="191"/>
      <c r="I166" s="40"/>
      <c r="N166" s="73">
        <f t="shared" si="3"/>
        <v>1.5</v>
      </c>
    </row>
    <row r="167" spans="1:16" s="67" customFormat="1" ht="15.75" customHeight="1" x14ac:dyDescent="0.35">
      <c r="A167" s="184">
        <v>5</v>
      </c>
      <c r="B167" s="185"/>
      <c r="C167" s="46" t="s">
        <v>175</v>
      </c>
      <c r="D167" s="46">
        <f>(2.45*4.6+0.9*4.2+2.1*3.05+2.75*3.05+2.75*3.5+2.1*1.2+1.2*1.8+2.75*0.9+1.2*1.3+1.2*2.75+0.75*5.3+1.5*2.45)*10.764</f>
        <v>636.50223000000005</v>
      </c>
      <c r="E167" s="46">
        <v>0</v>
      </c>
      <c r="F167" s="46">
        <f t="shared" si="4"/>
        <v>954.75334500000008</v>
      </c>
      <c r="G167" s="190" t="str">
        <f t="shared" si="7"/>
        <v>6th Floor (Part Refuge Area)</v>
      </c>
      <c r="H167" s="191"/>
      <c r="I167" s="40"/>
      <c r="N167" s="73">
        <f t="shared" si="3"/>
        <v>1.5</v>
      </c>
    </row>
    <row r="168" spans="1:16" s="67" customFormat="1" ht="15.75" customHeight="1" x14ac:dyDescent="0.35">
      <c r="A168" s="184">
        <v>6</v>
      </c>
      <c r="B168" s="185"/>
      <c r="C168" s="46" t="s">
        <v>177</v>
      </c>
      <c r="D168" s="46">
        <f>(2.75*4.6+0.9*3.55+2.1*3.1+2.75*3.1+2.75*3.8+1.35*1.95+2.75*3.75+1.25*2.25+1.2*1.95+1.25*1.4+2.75*0.9+1.2*1.4+1.2*5.3+1.5*2.9+1.2*1.8+2.75*1.5)*10.764</f>
        <v>886.17320999999981</v>
      </c>
      <c r="E168" s="46">
        <v>0</v>
      </c>
      <c r="F168" s="46">
        <f t="shared" si="4"/>
        <v>1329.2598149999997</v>
      </c>
      <c r="G168" s="190" t="str">
        <f t="shared" si="7"/>
        <v>6th Floor (Part Refuge Area)</v>
      </c>
      <c r="H168" s="191"/>
      <c r="I168" s="40"/>
      <c r="N168" s="73">
        <f t="shared" si="3"/>
        <v>1.5</v>
      </c>
    </row>
    <row r="169" spans="1:16" s="67" customFormat="1" ht="15.75" customHeight="1" x14ac:dyDescent="0.35">
      <c r="A169" s="184">
        <v>7</v>
      </c>
      <c r="B169" s="185"/>
      <c r="C169" s="46" t="s">
        <v>176</v>
      </c>
      <c r="D169" s="46">
        <f>(4.3*2.75+2.2*2.45+3.25*3+1.95*1.2+1.45*1.1+2.45*0.9+1.1*0.5+1.5*2.75+1.2*5.75)*10.764</f>
        <v>480.93551999999988</v>
      </c>
      <c r="E169" s="46">
        <v>0</v>
      </c>
      <c r="F169" s="46">
        <f t="shared" si="4"/>
        <v>721.40327999999977</v>
      </c>
      <c r="G169" s="190" t="str">
        <f t="shared" si="7"/>
        <v>6th Floor (Part Refuge Area)</v>
      </c>
      <c r="H169" s="191"/>
      <c r="I169" s="40"/>
      <c r="N169" s="73">
        <f t="shared" si="3"/>
        <v>1.4999999999999998</v>
      </c>
    </row>
    <row r="170" spans="1:16" s="67" customFormat="1" ht="15.75" customHeight="1" x14ac:dyDescent="0.35">
      <c r="A170" s="184">
        <v>8</v>
      </c>
      <c r="B170" s="185"/>
      <c r="C170" s="46" t="s">
        <v>176</v>
      </c>
      <c r="D170" s="46">
        <f>(2.75*4.5+2.15*2.45+2.75*3.5+1.8*1.2+1.2*1.75+2.15*0.9+0.5*1.2+1.5*2.75+1.2*5.35)*10.764</f>
        <v>480.15512999999999</v>
      </c>
      <c r="E170" s="46">
        <v>0</v>
      </c>
      <c r="F170" s="46">
        <f t="shared" si="4"/>
        <v>720.23269499999992</v>
      </c>
      <c r="G170" s="190" t="str">
        <f t="shared" si="7"/>
        <v>6th Floor (Part Refuge Area)</v>
      </c>
      <c r="H170" s="191"/>
      <c r="I170" s="40"/>
      <c r="N170" s="73">
        <f t="shared" si="3"/>
        <v>1.4999999999999998</v>
      </c>
    </row>
    <row r="171" spans="1:16" s="67" customFormat="1" ht="15.75" customHeight="1" x14ac:dyDescent="0.35">
      <c r="A171" s="184">
        <v>9</v>
      </c>
      <c r="B171" s="185"/>
      <c r="C171" s="46" t="s">
        <v>176</v>
      </c>
      <c r="D171" s="46">
        <f>(2.75*4.5+2.15*2.45+2.75*3.5+1.8*1.2+1.2*1.75+2.15*0.9+0.5*1.2+1.5*2.75+1.2*5.35)*10.764</f>
        <v>480.15512999999999</v>
      </c>
      <c r="E171" s="46">
        <v>0</v>
      </c>
      <c r="F171" s="46">
        <f t="shared" si="4"/>
        <v>720.23269499999992</v>
      </c>
      <c r="G171" s="192" t="str">
        <f t="shared" si="7"/>
        <v>6th Floor (Part Refuge Area)</v>
      </c>
      <c r="H171" s="193"/>
      <c r="I171" s="40"/>
      <c r="N171" s="73">
        <f t="shared" si="3"/>
        <v>1.4999999999999998</v>
      </c>
    </row>
    <row r="172" spans="1:16" s="67" customFormat="1" ht="15.75" customHeight="1" x14ac:dyDescent="0.35">
      <c r="A172" s="181" t="s">
        <v>184</v>
      </c>
      <c r="B172" s="182"/>
      <c r="C172" s="182"/>
      <c r="D172" s="182"/>
      <c r="E172" s="182"/>
      <c r="F172" s="182"/>
      <c r="G172" s="182"/>
      <c r="H172" s="183"/>
      <c r="I172" s="40"/>
      <c r="N172" s="73" t="e">
        <f t="shared" si="3"/>
        <v>#DIV/0!</v>
      </c>
      <c r="P172" s="41"/>
    </row>
    <row r="173" spans="1:16" s="67" customFormat="1" x14ac:dyDescent="0.35">
      <c r="A173" s="184">
        <v>1</v>
      </c>
      <c r="B173" s="185"/>
      <c r="C173" s="46" t="s">
        <v>175</v>
      </c>
      <c r="D173" s="46">
        <f>(3*4.35+2.1*3.05+2.75*3.05+2.75*3.5+2.1*1.2+1.2*1.8+2.75*0.9+1.2*1.3+1.5*2.1+1.2*2.75+0.75*5.3)*10.764</f>
        <v>609.32313000000011</v>
      </c>
      <c r="E173" s="46">
        <v>0</v>
      </c>
      <c r="F173" s="46">
        <f t="shared" si="4"/>
        <v>913.9846950000001</v>
      </c>
      <c r="G173" s="188" t="str">
        <f>A172</f>
        <v>11th Floor</v>
      </c>
      <c r="H173" s="189"/>
      <c r="I173" s="40"/>
      <c r="N173" s="73">
        <f t="shared" si="3"/>
        <v>1.5</v>
      </c>
    </row>
    <row r="174" spans="1:16" s="67" customFormat="1" x14ac:dyDescent="0.35">
      <c r="A174" s="184">
        <v>2</v>
      </c>
      <c r="B174" s="185"/>
      <c r="C174" s="46" t="s">
        <v>176</v>
      </c>
      <c r="D174" s="46">
        <f>(3*4.35+2.1*2.45+3.1*3.5+1.8*1.2+1.2*1.8+1.2*1.4+1.2*5.4+1.5*2.1)*10.764</f>
        <v>480.88170000000002</v>
      </c>
      <c r="E174" s="46">
        <v>0</v>
      </c>
      <c r="F174" s="46">
        <f t="shared" si="4"/>
        <v>721.32255000000009</v>
      </c>
      <c r="G174" s="190" t="str">
        <f t="shared" ref="G174:G181" si="8">G173</f>
        <v>11th Floor</v>
      </c>
      <c r="H174" s="191"/>
      <c r="I174" s="40"/>
      <c r="N174" s="73">
        <f t="shared" si="3"/>
        <v>1.5000000000000002</v>
      </c>
    </row>
    <row r="175" spans="1:16" s="67" customFormat="1" ht="15.75" customHeight="1" x14ac:dyDescent="0.35">
      <c r="A175" s="184">
        <v>3</v>
      </c>
      <c r="B175" s="185"/>
      <c r="C175" s="46" t="s">
        <v>175</v>
      </c>
      <c r="D175" s="46">
        <f>(2.45*4.6+1.55*3.6+2.1*3.05+2.75*3.05+2.75*3.5+2.1*1.35+1.2*2.1+2.1*0.9+1.2*1.3+1.5*2.45+1.2*5.3+1.5*2.75)*10.764</f>
        <v>691.39863000000003</v>
      </c>
      <c r="E175" s="46">
        <v>0</v>
      </c>
      <c r="F175" s="46">
        <f t="shared" si="4"/>
        <v>1037.097945</v>
      </c>
      <c r="G175" s="190" t="str">
        <f t="shared" si="8"/>
        <v>11th Floor</v>
      </c>
      <c r="H175" s="191"/>
      <c r="I175" s="40"/>
      <c r="N175" s="73">
        <f t="shared" si="3"/>
        <v>1.5</v>
      </c>
    </row>
    <row r="176" spans="1:16" s="67" customFormat="1" ht="15.75" customHeight="1" x14ac:dyDescent="0.35">
      <c r="A176" s="184">
        <v>4</v>
      </c>
      <c r="B176" s="185"/>
      <c r="C176" s="46" t="s">
        <v>176</v>
      </c>
      <c r="D176" s="46">
        <f>(2.75*4.6+2.1*2.45+2.75*3.5+1.8*1.2+1.2*1.8+2.1*0.9+1.2*0.5+1.5*2.75+1.2*5.1)*10.764</f>
        <v>478.7288999999999</v>
      </c>
      <c r="E176" s="46">
        <v>0</v>
      </c>
      <c r="F176" s="46">
        <f t="shared" si="4"/>
        <v>718.09334999999987</v>
      </c>
      <c r="G176" s="190" t="str">
        <f t="shared" si="8"/>
        <v>11th Floor</v>
      </c>
      <c r="H176" s="191"/>
      <c r="I176" s="40"/>
      <c r="N176" s="73">
        <f t="shared" si="3"/>
        <v>1.5</v>
      </c>
    </row>
    <row r="177" spans="1:16" s="67" customFormat="1" ht="15.75" customHeight="1" x14ac:dyDescent="0.35">
      <c r="A177" s="184">
        <v>5</v>
      </c>
      <c r="B177" s="185"/>
      <c r="C177" s="46" t="s">
        <v>175</v>
      </c>
      <c r="D177" s="46">
        <f>(2.45*4.6+0.9*4.2+2.1*3.05+2.75*3.05+2.75*3.5+2.1*1.2+1.2*1.8+2.75*0.9+1.2*1.3+1.2*2.75+0.75*5.3+1.5*2.45)*10.764</f>
        <v>636.50223000000005</v>
      </c>
      <c r="E177" s="46">
        <v>0</v>
      </c>
      <c r="F177" s="46">
        <f t="shared" si="4"/>
        <v>954.75334500000008</v>
      </c>
      <c r="G177" s="190" t="str">
        <f t="shared" si="8"/>
        <v>11th Floor</v>
      </c>
      <c r="H177" s="191"/>
      <c r="I177" s="40"/>
      <c r="N177" s="73">
        <f t="shared" si="3"/>
        <v>1.5</v>
      </c>
    </row>
    <row r="178" spans="1:16" s="67" customFormat="1" ht="15.75" customHeight="1" x14ac:dyDescent="0.35">
      <c r="A178" s="184">
        <v>6</v>
      </c>
      <c r="B178" s="185"/>
      <c r="C178" s="46" t="s">
        <v>175</v>
      </c>
      <c r="D178" s="46">
        <f>(2.75*4.6+2.1*3.1+2.75*3.1+2.75*3.75+1.2*1.95+2.1*1.2+0.5*1.75*2+1.2*0.9+2.1*1.5+1.35*1.4+1.5*2.75+1.2*5.3+1.2*3.75)*10.764</f>
        <v>707.32934999999998</v>
      </c>
      <c r="E178" s="50">
        <f>(1.2*3.6+1.6*5.7)*10.764</f>
        <v>144.66816</v>
      </c>
      <c r="F178" s="46">
        <f t="shared" si="4"/>
        <v>1133.3281050000001</v>
      </c>
      <c r="G178" s="190" t="str">
        <f t="shared" si="8"/>
        <v>11th Floor</v>
      </c>
      <c r="H178" s="191"/>
      <c r="I178" s="40"/>
      <c r="N178" s="73">
        <f t="shared" si="3"/>
        <v>1.6022636484687085</v>
      </c>
    </row>
    <row r="179" spans="1:16" s="67" customFormat="1" ht="15.75" customHeight="1" x14ac:dyDescent="0.35">
      <c r="A179" s="184">
        <v>7</v>
      </c>
      <c r="B179" s="185"/>
      <c r="C179" s="46" t="s">
        <v>176</v>
      </c>
      <c r="D179" s="46">
        <f>(4.3*2.75+2.2*2.45+3.25*3+1.95*1.2+1.45*1.1+2.45*0.9+1.1*0.5+1.5*2.75+1.2*5.75)*10.764</f>
        <v>480.93551999999988</v>
      </c>
      <c r="E179" s="46">
        <v>0</v>
      </c>
      <c r="F179" s="46">
        <f t="shared" si="4"/>
        <v>721.40327999999977</v>
      </c>
      <c r="G179" s="190" t="str">
        <f t="shared" si="8"/>
        <v>11th Floor</v>
      </c>
      <c r="H179" s="191"/>
      <c r="I179" s="40"/>
      <c r="N179" s="73">
        <f t="shared" si="3"/>
        <v>1.4999999999999998</v>
      </c>
    </row>
    <row r="180" spans="1:16" s="67" customFormat="1" ht="15.75" customHeight="1" x14ac:dyDescent="0.35">
      <c r="A180" s="184">
        <v>8</v>
      </c>
      <c r="B180" s="185"/>
      <c r="C180" s="46" t="s">
        <v>176</v>
      </c>
      <c r="D180" s="46">
        <f>(2.75*4.5+2.15*2.45+2.75*3.5+1.8*1.2+1.2*1.75+2.15*0.9+0.5*1.2+1.5*2.75+1.2*5.35)*10.764</f>
        <v>480.15512999999999</v>
      </c>
      <c r="E180" s="46">
        <v>0</v>
      </c>
      <c r="F180" s="46">
        <f t="shared" si="4"/>
        <v>720.23269499999992</v>
      </c>
      <c r="G180" s="190" t="str">
        <f t="shared" si="8"/>
        <v>11th Floor</v>
      </c>
      <c r="H180" s="191"/>
      <c r="I180" s="40">
        <f>4500*F180</f>
        <v>3241047.1274999995</v>
      </c>
      <c r="N180" s="73">
        <f t="shared" si="3"/>
        <v>1.4999999999999998</v>
      </c>
    </row>
    <row r="181" spans="1:16" s="67" customFormat="1" ht="15.75" customHeight="1" x14ac:dyDescent="0.35">
      <c r="A181" s="184">
        <v>9</v>
      </c>
      <c r="B181" s="185"/>
      <c r="C181" s="46" t="s">
        <v>176</v>
      </c>
      <c r="D181" s="46">
        <f>(2.75*4.5+2.15*2.45+2.75*3.5+1.8*1.2+1.2*1.75+2.15*0.9+0.5*1.2+1.5*2.75+1.2*5.35)*10.764</f>
        <v>480.15512999999999</v>
      </c>
      <c r="E181" s="46">
        <v>0</v>
      </c>
      <c r="F181" s="46">
        <f t="shared" si="4"/>
        <v>720.23269499999992</v>
      </c>
      <c r="G181" s="192" t="str">
        <f t="shared" si="8"/>
        <v>11th Floor</v>
      </c>
      <c r="H181" s="193"/>
      <c r="I181" s="40"/>
      <c r="N181" s="73">
        <f t="shared" si="3"/>
        <v>1.4999999999999998</v>
      </c>
    </row>
    <row r="182" spans="1:16" s="67" customFormat="1" ht="15.75" customHeight="1" x14ac:dyDescent="0.35">
      <c r="A182" s="181" t="s">
        <v>182</v>
      </c>
      <c r="B182" s="182"/>
      <c r="C182" s="182"/>
      <c r="D182" s="182"/>
      <c r="E182" s="182"/>
      <c r="F182" s="182"/>
      <c r="G182" s="182"/>
      <c r="H182" s="183"/>
      <c r="I182" s="40"/>
      <c r="N182" s="73" t="e">
        <f t="shared" si="3"/>
        <v>#DIV/0!</v>
      </c>
      <c r="P182" s="41"/>
    </row>
    <row r="183" spans="1:16" s="67" customFormat="1" ht="15.75" customHeight="1" x14ac:dyDescent="0.35">
      <c r="A183" s="184">
        <v>1</v>
      </c>
      <c r="B183" s="185"/>
      <c r="C183" s="46" t="s">
        <v>175</v>
      </c>
      <c r="D183" s="46">
        <f>(3*4.35+2.1*3.05+2.75*3.05+2.75*3.5+2.1*1.2+1.2*1.8+2.75*0.9+1.2*1.3+1.5*2.1+1.2*2.75+0.75*5.3)*10.764</f>
        <v>609.32313000000011</v>
      </c>
      <c r="E183" s="46">
        <v>0</v>
      </c>
      <c r="F183" s="46">
        <f t="shared" si="4"/>
        <v>913.9846950000001</v>
      </c>
      <c r="G183" s="188" t="str">
        <f>A182</f>
        <v>12th Floor (Part Refuge Area)</v>
      </c>
      <c r="H183" s="189"/>
      <c r="I183" s="40"/>
      <c r="N183" s="73">
        <f t="shared" si="3"/>
        <v>1.5</v>
      </c>
    </row>
    <row r="184" spans="1:16" s="67" customFormat="1" ht="15.75" customHeight="1" x14ac:dyDescent="0.35">
      <c r="A184" s="184">
        <v>2</v>
      </c>
      <c r="B184" s="185"/>
      <c r="C184" s="46" t="s">
        <v>176</v>
      </c>
      <c r="D184" s="46">
        <f>(3*4.35+2.1*2.45+3.1*3.5+1.8*1.2+1.2*1.8+1.2*1.4+1.2*5.4+1.5*2.1)*10.764</f>
        <v>480.88170000000002</v>
      </c>
      <c r="E184" s="46">
        <v>0</v>
      </c>
      <c r="F184" s="46">
        <f t="shared" si="4"/>
        <v>721.32255000000009</v>
      </c>
      <c r="G184" s="190" t="str">
        <f t="shared" ref="G184:G191" si="9">G183</f>
        <v>12th Floor (Part Refuge Area)</v>
      </c>
      <c r="H184" s="191"/>
      <c r="I184" s="40">
        <f>3250000/F184</f>
        <v>4505.6126416677253</v>
      </c>
      <c r="N184" s="73">
        <f t="shared" si="3"/>
        <v>1.5000000000000002</v>
      </c>
    </row>
    <row r="185" spans="1:16" s="67" customFormat="1" ht="15.75" customHeight="1" x14ac:dyDescent="0.35">
      <c r="A185" s="184">
        <v>3</v>
      </c>
      <c r="B185" s="185"/>
      <c r="C185" s="184" t="s">
        <v>181</v>
      </c>
      <c r="D185" s="187"/>
      <c r="E185" s="187"/>
      <c r="F185" s="185"/>
      <c r="G185" s="190" t="str">
        <f t="shared" si="9"/>
        <v>12th Floor (Part Refuge Area)</v>
      </c>
      <c r="H185" s="191"/>
      <c r="I185" s="40"/>
      <c r="N185" s="73" t="e">
        <f t="shared" si="3"/>
        <v>#DIV/0!</v>
      </c>
    </row>
    <row r="186" spans="1:16" s="67" customFormat="1" ht="15.75" customHeight="1" x14ac:dyDescent="0.35">
      <c r="A186" s="184">
        <v>4</v>
      </c>
      <c r="B186" s="185"/>
      <c r="C186" s="46" t="s">
        <v>176</v>
      </c>
      <c r="D186" s="46">
        <f>(2.75*4.6+2.1*2.45+2.75*3.5+1.8*1.2+1.2*1.8+2.1*0.9+1.2*0.5+1.5*2.75+1.2*5.1)*10.764</f>
        <v>478.7288999999999</v>
      </c>
      <c r="E186" s="50">
        <v>0</v>
      </c>
      <c r="F186" s="46">
        <f t="shared" si="4"/>
        <v>718.09334999999987</v>
      </c>
      <c r="G186" s="190" t="str">
        <f t="shared" si="9"/>
        <v>12th Floor (Part Refuge Area)</v>
      </c>
      <c r="H186" s="191"/>
      <c r="I186" s="40"/>
      <c r="N186" s="73">
        <f t="shared" si="3"/>
        <v>1.5</v>
      </c>
    </row>
    <row r="187" spans="1:16" s="67" customFormat="1" ht="15.75" customHeight="1" x14ac:dyDescent="0.35">
      <c r="A187" s="184">
        <v>5</v>
      </c>
      <c r="B187" s="185"/>
      <c r="C187" s="46" t="s">
        <v>175</v>
      </c>
      <c r="D187" s="46">
        <f>(2.45*4.6+0.9*4.2+2.1*3.05+2.75*3.05+2.75*3.5+2.1*1.2+1.2*1.8+2.75*0.9+1.2*1.3+1.2*2.75+0.75*5.3+1.5*2.45)*10.764</f>
        <v>636.50223000000005</v>
      </c>
      <c r="E187" s="50">
        <v>0</v>
      </c>
      <c r="F187" s="46">
        <f t="shared" si="4"/>
        <v>954.75334500000008</v>
      </c>
      <c r="G187" s="190" t="str">
        <f t="shared" si="9"/>
        <v>12th Floor (Part Refuge Area)</v>
      </c>
      <c r="H187" s="191"/>
      <c r="I187" s="40">
        <f>3900000/F187</f>
        <v>4084.8246517533798</v>
      </c>
      <c r="N187" s="73">
        <f t="shared" si="3"/>
        <v>1.5</v>
      </c>
    </row>
    <row r="188" spans="1:16" s="67" customFormat="1" ht="15.75" customHeight="1" x14ac:dyDescent="0.35">
      <c r="A188" s="184">
        <v>6</v>
      </c>
      <c r="B188" s="185"/>
      <c r="C188" s="46" t="s">
        <v>175</v>
      </c>
      <c r="D188" s="46">
        <f>(2.75*4.6+2.1*3.1+2.75*3.1+2.75*3.75+1.2*1.95+2.1*1.2+0.5*1.75*2+1.2*0.9+2.1*1.5+1.35*1.4+1.5*2.75+1.2*5.3+1.2*3.75)*10.764</f>
        <v>707.32934999999998</v>
      </c>
      <c r="E188" s="50">
        <v>0</v>
      </c>
      <c r="F188" s="46">
        <f t="shared" si="4"/>
        <v>1060.994025</v>
      </c>
      <c r="G188" s="190" t="str">
        <f t="shared" si="9"/>
        <v>12th Floor (Part Refuge Area)</v>
      </c>
      <c r="H188" s="191"/>
      <c r="I188" s="40"/>
      <c r="N188" s="73">
        <f t="shared" si="3"/>
        <v>1.5</v>
      </c>
    </row>
    <row r="189" spans="1:16" s="67" customFormat="1" ht="15.75" customHeight="1" x14ac:dyDescent="0.35">
      <c r="A189" s="184">
        <v>7</v>
      </c>
      <c r="B189" s="185"/>
      <c r="C189" s="46" t="s">
        <v>176</v>
      </c>
      <c r="D189" s="46">
        <f>(4.3*2.75+2.2*2.45+3.25*3+1.95*1.2+1.45*1.1+2.45*0.9+1.1*0.5+1.5*2.75+1.2*5.75)*10.764</f>
        <v>480.93551999999988</v>
      </c>
      <c r="E189" s="50">
        <v>0</v>
      </c>
      <c r="F189" s="46">
        <f t="shared" si="4"/>
        <v>721.40327999999977</v>
      </c>
      <c r="G189" s="190" t="str">
        <f t="shared" si="9"/>
        <v>12th Floor (Part Refuge Area)</v>
      </c>
      <c r="H189" s="191"/>
      <c r="I189" s="40"/>
      <c r="N189" s="73">
        <f t="shared" si="3"/>
        <v>1.4999999999999998</v>
      </c>
    </row>
    <row r="190" spans="1:16" s="67" customFormat="1" ht="15.75" customHeight="1" x14ac:dyDescent="0.35">
      <c r="A190" s="184">
        <v>8</v>
      </c>
      <c r="B190" s="185"/>
      <c r="C190" s="46" t="s">
        <v>176</v>
      </c>
      <c r="D190" s="46">
        <f>(2.75*4.5+2.15*2.45+2.75*3.5+1.8*1.2+1.2*1.75+2.15*0.9+0.5*1.2+1.5*2.75+1.2*5.35)*10.764</f>
        <v>480.15512999999999</v>
      </c>
      <c r="E190" s="46">
        <v>0</v>
      </c>
      <c r="F190" s="46">
        <f t="shared" si="4"/>
        <v>720.23269499999992</v>
      </c>
      <c r="G190" s="190" t="str">
        <f t="shared" si="9"/>
        <v>12th Floor (Part Refuge Area)</v>
      </c>
      <c r="H190" s="191"/>
      <c r="I190" s="40"/>
      <c r="N190" s="73">
        <f t="shared" si="3"/>
        <v>1.4999999999999998</v>
      </c>
    </row>
    <row r="191" spans="1:16" s="67" customFormat="1" ht="15.75" customHeight="1" x14ac:dyDescent="0.35">
      <c r="A191" s="184">
        <v>9</v>
      </c>
      <c r="B191" s="185"/>
      <c r="C191" s="46" t="s">
        <v>176</v>
      </c>
      <c r="D191" s="46">
        <f>(2.75*4.5+2.15*2.45+2.75*3.5+1.8*1.2+1.2*1.75+2.15*0.9+0.5*1.2+1.5*2.75+1.2*5.35)*10.764</f>
        <v>480.15512999999999</v>
      </c>
      <c r="E191" s="46">
        <v>0</v>
      </c>
      <c r="F191" s="46">
        <f t="shared" si="4"/>
        <v>720.23269499999992</v>
      </c>
      <c r="G191" s="192" t="str">
        <f t="shared" si="9"/>
        <v>12th Floor (Part Refuge Area)</v>
      </c>
      <c r="H191" s="193"/>
      <c r="I191" s="40"/>
      <c r="N191" s="73">
        <f t="shared" si="3"/>
        <v>1.4999999999999998</v>
      </c>
    </row>
    <row r="192" spans="1:16" s="67" customFormat="1" ht="15.75" customHeight="1" x14ac:dyDescent="0.35">
      <c r="A192" s="181" t="s">
        <v>229</v>
      </c>
      <c r="B192" s="182"/>
      <c r="C192" s="182"/>
      <c r="D192" s="182"/>
      <c r="E192" s="182"/>
      <c r="F192" s="182"/>
      <c r="G192" s="182"/>
      <c r="H192" s="183"/>
      <c r="I192" s="40"/>
      <c r="N192" s="73" t="e">
        <f t="shared" si="3"/>
        <v>#DIV/0!</v>
      </c>
      <c r="P192" s="41"/>
    </row>
    <row r="193" spans="1:16" s="67" customFormat="1" ht="15.75" customHeight="1" x14ac:dyDescent="0.35">
      <c r="A193" s="184">
        <v>1</v>
      </c>
      <c r="B193" s="185"/>
      <c r="C193" s="46" t="s">
        <v>175</v>
      </c>
      <c r="D193" s="46">
        <f>(3*4.35+2.1*3.05+2.75*3.05+2.75*3.5+2.1*1.2+1.2*1.8+2.75*0.9+1.2*1.3+1.5*2.1+1.2*2.75+0.75*5.3)*10.764</f>
        <v>609.32313000000011</v>
      </c>
      <c r="E193" s="46">
        <v>0</v>
      </c>
      <c r="F193" s="46">
        <f t="shared" si="4"/>
        <v>913.9846950000001</v>
      </c>
      <c r="G193" s="188" t="str">
        <f>A192</f>
        <v xml:space="preserve"> 13th to 15th Floor</v>
      </c>
      <c r="H193" s="189"/>
      <c r="I193" s="40"/>
      <c r="N193" s="73">
        <f t="shared" si="3"/>
        <v>1.5</v>
      </c>
    </row>
    <row r="194" spans="1:16" s="67" customFormat="1" ht="15.75" customHeight="1" x14ac:dyDescent="0.35">
      <c r="A194" s="184">
        <v>2</v>
      </c>
      <c r="B194" s="185"/>
      <c r="C194" s="46" t="s">
        <v>176</v>
      </c>
      <c r="D194" s="46">
        <f>(3*4.35+2.1*2.45+3.1*3.5+1.8*1.2+1.2*1.8+1.2*1.4+1.2*5.4+1.5*2.1)*10.764</f>
        <v>480.88170000000002</v>
      </c>
      <c r="E194" s="46">
        <v>0</v>
      </c>
      <c r="F194" s="46">
        <f t="shared" si="4"/>
        <v>721.32255000000009</v>
      </c>
      <c r="G194" s="190"/>
      <c r="H194" s="191"/>
      <c r="I194" s="40"/>
      <c r="N194" s="73">
        <f t="shared" si="3"/>
        <v>1.5000000000000002</v>
      </c>
    </row>
    <row r="195" spans="1:16" s="67" customFormat="1" ht="15.75" customHeight="1" x14ac:dyDescent="0.35">
      <c r="A195" s="184">
        <v>3</v>
      </c>
      <c r="B195" s="185"/>
      <c r="C195" s="46" t="s">
        <v>175</v>
      </c>
      <c r="D195" s="46">
        <f>(2.45*4.6+1.55*3.6+2.1*3.05+2.75*3.05+2.75*3.5+2.1*1.35+1.2*2.1+2.1*0.9+1.2*1.3+1.5*2.45+1.2*5.3+1.5*2.75)*10.764</f>
        <v>691.39863000000003</v>
      </c>
      <c r="E195" s="46">
        <v>0</v>
      </c>
      <c r="F195" s="46">
        <f t="shared" si="4"/>
        <v>1037.097945</v>
      </c>
      <c r="G195" s="190"/>
      <c r="H195" s="191"/>
      <c r="I195" s="40"/>
      <c r="N195" s="73">
        <f t="shared" si="3"/>
        <v>1.5</v>
      </c>
    </row>
    <row r="196" spans="1:16" s="67" customFormat="1" ht="15.75" customHeight="1" x14ac:dyDescent="0.35">
      <c r="A196" s="184">
        <v>4</v>
      </c>
      <c r="B196" s="185"/>
      <c r="C196" s="46" t="s">
        <v>176</v>
      </c>
      <c r="D196" s="46">
        <f>(2.75*4.6+2.1*2.45+2.75*3.5+1.8*1.2+1.2*1.8+2.1*0.9+1.2*0.5+1.5*2.75+1.2*5.1)*10.764</f>
        <v>478.7288999999999</v>
      </c>
      <c r="E196" s="46">
        <v>0</v>
      </c>
      <c r="F196" s="46">
        <f t="shared" si="4"/>
        <v>718.09334999999987</v>
      </c>
      <c r="G196" s="190"/>
      <c r="H196" s="191"/>
      <c r="I196" s="40"/>
      <c r="N196" s="73">
        <f t="shared" si="3"/>
        <v>1.5</v>
      </c>
    </row>
    <row r="197" spans="1:16" s="67" customFormat="1" ht="15.75" customHeight="1" x14ac:dyDescent="0.35">
      <c r="A197" s="184">
        <v>5</v>
      </c>
      <c r="B197" s="185"/>
      <c r="C197" s="46" t="s">
        <v>175</v>
      </c>
      <c r="D197" s="46">
        <f>(2.45*4.6+0.9*4.2+2.1*3.05+2.75*3.05+2.75*3.5+2.1*1.2+1.2*1.8+2.75*0.9+1.2*1.3+1.2*2.75+0.75*5.3+1.5*2.45)*10.764</f>
        <v>636.50223000000005</v>
      </c>
      <c r="E197" s="46">
        <v>0</v>
      </c>
      <c r="F197" s="46">
        <f t="shared" si="4"/>
        <v>954.75334500000008</v>
      </c>
      <c r="G197" s="190"/>
      <c r="H197" s="191"/>
      <c r="I197" s="40"/>
      <c r="N197" s="73">
        <f t="shared" si="3"/>
        <v>1.5</v>
      </c>
    </row>
    <row r="198" spans="1:16" s="67" customFormat="1" ht="15.75" customHeight="1" x14ac:dyDescent="0.35">
      <c r="A198" s="184">
        <v>6</v>
      </c>
      <c r="B198" s="185"/>
      <c r="C198" s="46" t="s">
        <v>175</v>
      </c>
      <c r="D198" s="46">
        <f>(2.75*4.6+2.1*3.1+2.75*3.1+2.75*3.75+1.2*1.95+2.1*1.2+0.5*1.75*2+1.2*0.9+2.1*1.5+1.35*1.4+1.5*2.75+1.2*5.3+1.2*3.75)*10.764</f>
        <v>707.32934999999998</v>
      </c>
      <c r="E198" s="46">
        <v>0</v>
      </c>
      <c r="F198" s="46">
        <f t="shared" si="4"/>
        <v>1060.994025</v>
      </c>
      <c r="G198" s="190"/>
      <c r="H198" s="191"/>
      <c r="I198" s="40"/>
      <c r="N198" s="73">
        <f t="shared" ref="N198:N261" si="10">F198/D198</f>
        <v>1.5</v>
      </c>
    </row>
    <row r="199" spans="1:16" s="67" customFormat="1" ht="15.75" customHeight="1" x14ac:dyDescent="0.35">
      <c r="A199" s="184">
        <v>7</v>
      </c>
      <c r="B199" s="185"/>
      <c r="C199" s="46" t="s">
        <v>176</v>
      </c>
      <c r="D199" s="46">
        <f>(4.3*2.75+2.2*2.45+3.25*3+1.95*1.2+1.45*1.1+2.45*0.9+1.1*0.5+1.5*2.75+1.2*5.75)*10.764</f>
        <v>480.93551999999988</v>
      </c>
      <c r="E199" s="46">
        <v>0</v>
      </c>
      <c r="F199" s="46">
        <f t="shared" si="4"/>
        <v>721.40327999999977</v>
      </c>
      <c r="G199" s="190"/>
      <c r="H199" s="191"/>
      <c r="I199" s="40"/>
      <c r="N199" s="73">
        <f t="shared" si="10"/>
        <v>1.4999999999999998</v>
      </c>
    </row>
    <row r="200" spans="1:16" s="67" customFormat="1" ht="15.75" customHeight="1" x14ac:dyDescent="0.35">
      <c r="A200" s="184">
        <v>8</v>
      </c>
      <c r="B200" s="185"/>
      <c r="C200" s="46" t="s">
        <v>176</v>
      </c>
      <c r="D200" s="46">
        <f>(2.75*4.5+2.15*2.45+2.75*3.5+1.8*1.2+1.2*1.75+2.15*0.9+0.5*1.2+1.5*2.75+1.2*5.35)*10.764</f>
        <v>480.15512999999999</v>
      </c>
      <c r="E200" s="46">
        <v>0</v>
      </c>
      <c r="F200" s="46">
        <f t="shared" si="4"/>
        <v>720.23269499999992</v>
      </c>
      <c r="G200" s="190"/>
      <c r="H200" s="191"/>
      <c r="I200" s="40"/>
      <c r="N200" s="73">
        <f t="shared" si="10"/>
        <v>1.4999999999999998</v>
      </c>
    </row>
    <row r="201" spans="1:16" s="67" customFormat="1" ht="15.75" customHeight="1" x14ac:dyDescent="0.35">
      <c r="A201" s="184">
        <v>9</v>
      </c>
      <c r="B201" s="185"/>
      <c r="C201" s="46" t="s">
        <v>176</v>
      </c>
      <c r="D201" s="46">
        <f>(2.75*4.5+2.15*2.45+2.75*3.5+1.8*1.2+1.2*1.75+2.15*0.9+0.5*1.2+1.5*2.75+1.2*5.35)*10.764</f>
        <v>480.15512999999999</v>
      </c>
      <c r="E201" s="46">
        <v>0</v>
      </c>
      <c r="F201" s="46">
        <f t="shared" si="4"/>
        <v>720.23269499999992</v>
      </c>
      <c r="G201" s="192"/>
      <c r="H201" s="193"/>
      <c r="I201" s="40"/>
      <c r="N201" s="73">
        <f t="shared" si="10"/>
        <v>1.4999999999999998</v>
      </c>
    </row>
    <row r="202" spans="1:16" s="67" customFormat="1" ht="15.75" customHeight="1" x14ac:dyDescent="0.35">
      <c r="A202" s="181" t="s">
        <v>226</v>
      </c>
      <c r="B202" s="182"/>
      <c r="C202" s="182"/>
      <c r="D202" s="182"/>
      <c r="E202" s="182"/>
      <c r="F202" s="182"/>
      <c r="G202" s="182"/>
      <c r="H202" s="183"/>
      <c r="I202" s="40"/>
      <c r="N202" s="73" t="e">
        <f t="shared" si="10"/>
        <v>#DIV/0!</v>
      </c>
      <c r="P202" s="41"/>
    </row>
    <row r="203" spans="1:16" s="67" customFormat="1" x14ac:dyDescent="0.35">
      <c r="A203" s="184">
        <v>1</v>
      </c>
      <c r="B203" s="185"/>
      <c r="C203" s="46" t="s">
        <v>175</v>
      </c>
      <c r="D203" s="46">
        <f>(3*4.35+2.1*3.05+2.75*3.05+2.75*3.5+2.1*1.2+1.2*1.8+2.75*0.9+1.2*1.3+1.5*2.1+1.2*2.75+0.75*5.3)*10.764</f>
        <v>609.32313000000011</v>
      </c>
      <c r="E203" s="46">
        <v>0</v>
      </c>
      <c r="F203" s="46">
        <f t="shared" si="4"/>
        <v>913.9846950000001</v>
      </c>
      <c r="G203" s="188" t="str">
        <f>A202</f>
        <v>16th Floor</v>
      </c>
      <c r="H203" s="189"/>
      <c r="I203" s="40"/>
      <c r="N203" s="73">
        <f t="shared" si="10"/>
        <v>1.5</v>
      </c>
    </row>
    <row r="204" spans="1:16" s="67" customFormat="1" x14ac:dyDescent="0.35">
      <c r="A204" s="184">
        <v>2</v>
      </c>
      <c r="B204" s="185"/>
      <c r="C204" s="46" t="s">
        <v>176</v>
      </c>
      <c r="D204" s="46">
        <f>(3*4.35+2.1*2.45+3.1*3.5+1.8*1.2+1.2*1.8+1.2*1.4+1.2*5.4+1.5*2.1)*10.764</f>
        <v>480.88170000000002</v>
      </c>
      <c r="E204" s="46">
        <v>0</v>
      </c>
      <c r="F204" s="46">
        <f t="shared" si="4"/>
        <v>721.32255000000009</v>
      </c>
      <c r="G204" s="190"/>
      <c r="H204" s="191"/>
      <c r="I204" s="40">
        <f>3250000/F204</f>
        <v>4505.6126416677253</v>
      </c>
      <c r="N204" s="73">
        <f t="shared" si="10"/>
        <v>1.5000000000000002</v>
      </c>
    </row>
    <row r="205" spans="1:16" s="67" customFormat="1" ht="15.75" customHeight="1" x14ac:dyDescent="0.35">
      <c r="A205" s="184">
        <v>3</v>
      </c>
      <c r="B205" s="185"/>
      <c r="C205" s="184" t="s">
        <v>181</v>
      </c>
      <c r="D205" s="187"/>
      <c r="E205" s="187"/>
      <c r="F205" s="185"/>
      <c r="G205" s="190"/>
      <c r="H205" s="191"/>
      <c r="I205" s="40"/>
      <c r="N205" s="73" t="e">
        <f t="shared" si="10"/>
        <v>#DIV/0!</v>
      </c>
    </row>
    <row r="206" spans="1:16" s="67" customFormat="1" ht="15.75" customHeight="1" x14ac:dyDescent="0.35">
      <c r="A206" s="184">
        <v>4</v>
      </c>
      <c r="B206" s="185"/>
      <c r="C206" s="46" t="s">
        <v>176</v>
      </c>
      <c r="D206" s="46">
        <f>(2.75*4.6+2.1*2.45+2.75*3.5+1.8*1.2+1.2*1.8+2.1*0.9+1.2*0.5+1.5*2.75+1.2*5.1)*10.764</f>
        <v>478.7288999999999</v>
      </c>
      <c r="E206" s="50">
        <v>0</v>
      </c>
      <c r="F206" s="46">
        <f t="shared" si="4"/>
        <v>718.09334999999987</v>
      </c>
      <c r="G206" s="190"/>
      <c r="H206" s="191"/>
      <c r="I206" s="40"/>
      <c r="N206" s="73">
        <f t="shared" si="10"/>
        <v>1.5</v>
      </c>
    </row>
    <row r="207" spans="1:16" s="67" customFormat="1" ht="15.75" customHeight="1" x14ac:dyDescent="0.35">
      <c r="A207" s="184">
        <v>5</v>
      </c>
      <c r="B207" s="185"/>
      <c r="C207" s="46" t="s">
        <v>175</v>
      </c>
      <c r="D207" s="46">
        <f>(2.45*4.6+0.9*4.2+2.1*3.05+2.75*3.05+2.75*3.5+2.1*1.2+1.2*1.8+2.75*0.9+1.2*1.3+1.2*2.75+0.75*5.3+1.5*2.45)*10.764</f>
        <v>636.50223000000005</v>
      </c>
      <c r="E207" s="50">
        <v>0</v>
      </c>
      <c r="F207" s="46">
        <f t="shared" si="4"/>
        <v>954.75334500000008</v>
      </c>
      <c r="G207" s="190"/>
      <c r="H207" s="191"/>
      <c r="I207" s="40">
        <f>3900000/F207</f>
        <v>4084.8246517533798</v>
      </c>
      <c r="N207" s="73">
        <f t="shared" si="10"/>
        <v>1.5</v>
      </c>
    </row>
    <row r="208" spans="1:16" s="67" customFormat="1" ht="15.75" customHeight="1" x14ac:dyDescent="0.35">
      <c r="A208" s="184">
        <v>6</v>
      </c>
      <c r="B208" s="185"/>
      <c r="C208" s="46" t="s">
        <v>175</v>
      </c>
      <c r="D208" s="46">
        <f>(2.75*4.6+2.1*3.1+2.75*3.1+2.75*3.75+1.2*1.95+2.1*1.2+0.5*1.75*2+1.2*0.9+2.1*1.5+1.35*1.4+1.5*2.75+1.2*5.3+1.2*3.75)*10.764</f>
        <v>707.32934999999998</v>
      </c>
      <c r="E208" s="50">
        <v>0</v>
      </c>
      <c r="F208" s="46">
        <f t="shared" ref="F208:F211" si="11">D208*(($F$129)+1)+(IF(E208&lt;101,E208,IF(E208&lt;201,E208/2,IF(E208&lt;=301,E208/3,E208/4))))</f>
        <v>1060.994025</v>
      </c>
      <c r="G208" s="190"/>
      <c r="H208" s="191"/>
      <c r="I208" s="40"/>
      <c r="N208" s="73">
        <f t="shared" si="10"/>
        <v>1.5</v>
      </c>
    </row>
    <row r="209" spans="1:16" s="67" customFormat="1" ht="15.75" customHeight="1" x14ac:dyDescent="0.35">
      <c r="A209" s="184">
        <v>7</v>
      </c>
      <c r="B209" s="185"/>
      <c r="C209" s="46" t="s">
        <v>176</v>
      </c>
      <c r="D209" s="46">
        <f>(4.3*2.75+2.2*2.45+3.25*3+1.95*1.2+1.45*1.1+2.45*0.9+1.1*0.5+1.5*2.75+1.2*5.75)*10.764</f>
        <v>480.93551999999988</v>
      </c>
      <c r="E209" s="50">
        <v>0</v>
      </c>
      <c r="F209" s="46">
        <f t="shared" si="11"/>
        <v>721.40327999999977</v>
      </c>
      <c r="G209" s="190"/>
      <c r="H209" s="191"/>
      <c r="I209" s="40"/>
      <c r="N209" s="73">
        <f t="shared" si="10"/>
        <v>1.4999999999999998</v>
      </c>
    </row>
    <row r="210" spans="1:16" s="67" customFormat="1" ht="15.75" customHeight="1" x14ac:dyDescent="0.35">
      <c r="A210" s="184">
        <v>8</v>
      </c>
      <c r="B210" s="185"/>
      <c r="C210" s="46" t="s">
        <v>176</v>
      </c>
      <c r="D210" s="46">
        <f>(2.75*4.5+2.15*2.45+2.75*3.5+1.8*1.2+1.2*1.75+2.15*0.9+0.5*1.2+1.5*2.75+1.2*5.35)*10.764</f>
        <v>480.15512999999999</v>
      </c>
      <c r="E210" s="46">
        <v>0</v>
      </c>
      <c r="F210" s="46">
        <f t="shared" si="11"/>
        <v>720.23269499999992</v>
      </c>
      <c r="G210" s="190"/>
      <c r="H210" s="191"/>
      <c r="I210" s="40"/>
      <c r="N210" s="73">
        <f t="shared" si="10"/>
        <v>1.4999999999999998</v>
      </c>
    </row>
    <row r="211" spans="1:16" s="67" customFormat="1" ht="15.75" customHeight="1" x14ac:dyDescent="0.35">
      <c r="A211" s="184">
        <v>9</v>
      </c>
      <c r="B211" s="185"/>
      <c r="C211" s="46" t="s">
        <v>176</v>
      </c>
      <c r="D211" s="46">
        <f>(2.75*4.5+2.15*2.45+2.75*3.5+1.8*1.2+1.2*1.75+2.15*0.9+0.5*1.2+1.5*2.75+1.2*5.35)*10.764</f>
        <v>480.15512999999999</v>
      </c>
      <c r="E211" s="46">
        <v>0</v>
      </c>
      <c r="F211" s="46">
        <f t="shared" si="11"/>
        <v>720.23269499999992</v>
      </c>
      <c r="G211" s="192"/>
      <c r="H211" s="193"/>
      <c r="I211" s="40"/>
      <c r="N211" s="73">
        <f t="shared" si="10"/>
        <v>1.4999999999999998</v>
      </c>
    </row>
    <row r="212" spans="1:16" x14ac:dyDescent="0.35">
      <c r="A212" s="124" t="s">
        <v>178</v>
      </c>
      <c r="B212" s="124"/>
      <c r="C212" s="124"/>
      <c r="D212" s="124"/>
      <c r="E212" s="124"/>
      <c r="F212" s="124"/>
      <c r="G212" s="124"/>
      <c r="H212" s="124"/>
      <c r="N212" s="73" t="e">
        <f t="shared" si="10"/>
        <v>#DIV/0!</v>
      </c>
    </row>
    <row r="213" spans="1:16" x14ac:dyDescent="0.35">
      <c r="A213" s="124" t="s">
        <v>173</v>
      </c>
      <c r="B213" s="124"/>
      <c r="C213" s="124"/>
      <c r="D213" s="124"/>
      <c r="E213" s="124"/>
      <c r="F213" s="124"/>
      <c r="G213" s="124"/>
      <c r="H213" s="124"/>
      <c r="N213" s="73" t="e">
        <f t="shared" si="10"/>
        <v>#DIV/0!</v>
      </c>
    </row>
    <row r="214" spans="1:16" s="67" customFormat="1" x14ac:dyDescent="0.35">
      <c r="A214" s="181" t="s">
        <v>174</v>
      </c>
      <c r="B214" s="182"/>
      <c r="C214" s="182"/>
      <c r="D214" s="182"/>
      <c r="E214" s="182"/>
      <c r="F214" s="182"/>
      <c r="G214" s="182"/>
      <c r="H214" s="183"/>
      <c r="J214" s="40"/>
      <c r="N214" s="73" t="e">
        <f t="shared" si="10"/>
        <v>#DIV/0!</v>
      </c>
    </row>
    <row r="215" spans="1:16" s="67" customFormat="1" ht="15.75" customHeight="1" x14ac:dyDescent="0.35">
      <c r="A215" s="184">
        <v>1</v>
      </c>
      <c r="B215" s="185"/>
      <c r="C215" s="46" t="s">
        <v>176</v>
      </c>
      <c r="D215" s="46">
        <f>(2.95*4.35+3.05*3.5+2.1*2.45+1.35*1.8+1.25*1.6+1.4*1.25+1.2*3.05+1.2*2.1)*10.764</f>
        <v>441.45854999999995</v>
      </c>
      <c r="E215" s="46">
        <f>(2.1*3.8)*10.764</f>
        <v>85.896719999999988</v>
      </c>
      <c r="F215" s="46">
        <f t="shared" ref="F215:F267" si="12">D215*(($F$129)+1)+(IF(E215&lt;101,E215,IF(E215&lt;201,E215/2,IF(E215&lt;=301,E215/3,E215/4))))</f>
        <v>748.08454499999993</v>
      </c>
      <c r="G215" s="188" t="str">
        <f>A214</f>
        <v>1st Floor for Residential</v>
      </c>
      <c r="H215" s="189"/>
      <c r="I215" s="40">
        <f>3256000/F215</f>
        <v>4352.4492275134498</v>
      </c>
      <c r="L215" s="186"/>
      <c r="M215" s="186"/>
      <c r="N215" s="73">
        <f t="shared" si="10"/>
        <v>1.6945748247485524</v>
      </c>
    </row>
    <row r="216" spans="1:16" s="67" customFormat="1" ht="15.75" customHeight="1" x14ac:dyDescent="0.35">
      <c r="A216" s="184">
        <f t="shared" ref="A216:A222" si="13">A215+1</f>
        <v>2</v>
      </c>
      <c r="B216" s="185"/>
      <c r="C216" s="46" t="s">
        <v>175</v>
      </c>
      <c r="D216" s="46">
        <f>(2.85*4.35+2.1*2.45+2.75*3.5+2.75*3.45+1.2*2+2.1*1.35+0.9*2.75+0.5*1.2+1.2*6.65)*10.764</f>
        <v>569.89998000000003</v>
      </c>
      <c r="E216" s="46">
        <f>(3.8*2.1+2.9*3.6+3.55*1.35)*10.764</f>
        <v>249.85934999999998</v>
      </c>
      <c r="F216" s="46">
        <f t="shared" si="12"/>
        <v>938.13641999999993</v>
      </c>
      <c r="G216" s="190"/>
      <c r="H216" s="191"/>
      <c r="I216" s="40"/>
      <c r="L216" s="186"/>
      <c r="M216" s="186"/>
      <c r="N216" s="73">
        <f t="shared" si="10"/>
        <v>1.6461422230616676</v>
      </c>
    </row>
    <row r="217" spans="1:16" s="67" customFormat="1" ht="15.75" customHeight="1" x14ac:dyDescent="0.35">
      <c r="A217" s="184">
        <f t="shared" si="13"/>
        <v>3</v>
      </c>
      <c r="B217" s="185"/>
      <c r="C217" s="46" t="s">
        <v>175</v>
      </c>
      <c r="D217" s="46">
        <f>(2.75*4.6+3.6+2.2*3.05+2.75*3.05+2.75*3.8+2.1*1.35+1.2*2.1+0.5*1.2+4.05+1.2*5.4)*10.764</f>
        <v>627.35282999999993</v>
      </c>
      <c r="E217" s="46">
        <f>(2.75*3.3+2.9*1.9+3.3*1.9)*10.764</f>
        <v>224.48321999999996</v>
      </c>
      <c r="F217" s="46">
        <f t="shared" si="12"/>
        <v>1015.8569849999999</v>
      </c>
      <c r="G217" s="190"/>
      <c r="H217" s="191"/>
      <c r="I217" s="40"/>
      <c r="L217" s="186"/>
      <c r="M217" s="186"/>
      <c r="N217" s="73">
        <f t="shared" si="10"/>
        <v>1.619275368535438</v>
      </c>
    </row>
    <row r="218" spans="1:16" s="67" customFormat="1" ht="15.75" customHeight="1" x14ac:dyDescent="0.35">
      <c r="A218" s="184">
        <f t="shared" si="13"/>
        <v>4</v>
      </c>
      <c r="B218" s="185"/>
      <c r="C218" s="46" t="s">
        <v>175</v>
      </c>
      <c r="D218" s="46">
        <f>(48.73+1.2*2.75)*10.764</f>
        <v>560.05091999999991</v>
      </c>
      <c r="E218" s="46">
        <f>(2.45*3.3+0.5*5.3)*10.764</f>
        <v>115.55154</v>
      </c>
      <c r="F218" s="46">
        <f t="shared" si="12"/>
        <v>897.85214999999982</v>
      </c>
      <c r="G218" s="190"/>
      <c r="H218" s="191"/>
      <c r="I218" s="40"/>
      <c r="L218" s="186"/>
      <c r="M218" s="186"/>
      <c r="N218" s="73">
        <f t="shared" si="10"/>
        <v>1.6031616375168172</v>
      </c>
    </row>
    <row r="219" spans="1:16" s="67" customFormat="1" ht="15.75" customHeight="1" x14ac:dyDescent="0.35">
      <c r="A219" s="184">
        <f t="shared" si="13"/>
        <v>5</v>
      </c>
      <c r="B219" s="185"/>
      <c r="C219" s="46" t="s">
        <v>176</v>
      </c>
      <c r="D219" s="46">
        <f>(2.75*4.6+2.1*2.45+2.75*3.5+1.8*1.2+1.2*1.8+1.2*1.4+1.1*0.9+1.5*2.75+1.2*5)*10.764</f>
        <v>479.37474000000003</v>
      </c>
      <c r="E219" s="46">
        <f>(2.75*3.3)*10.764</f>
        <v>97.683299999999988</v>
      </c>
      <c r="F219" s="46">
        <f t="shared" si="12"/>
        <v>816.74541000000011</v>
      </c>
      <c r="G219" s="190"/>
      <c r="H219" s="191"/>
      <c r="I219" s="40"/>
      <c r="L219" s="186"/>
      <c r="M219" s="186"/>
      <c r="N219" s="73">
        <f t="shared" si="10"/>
        <v>1.7037723139104077</v>
      </c>
    </row>
    <row r="220" spans="1:16" s="67" customFormat="1" ht="15.75" customHeight="1" x14ac:dyDescent="0.35">
      <c r="A220" s="184">
        <f t="shared" si="13"/>
        <v>6</v>
      </c>
      <c r="B220" s="185"/>
      <c r="C220" s="46" t="s">
        <v>175</v>
      </c>
      <c r="D220" s="46">
        <f>(2.45*4.6+1.55*3.6+2.1*3.05+2.75*3.05+2.75*3.5+2.1*1.35+1.2*2.1+1.2*1.3+2.1*0.9+1.2*5.3)*10.764</f>
        <v>607.43943000000002</v>
      </c>
      <c r="E220" s="46">
        <f>(2.45*3.3+2.75*2.3)*10.764</f>
        <v>155.10924</v>
      </c>
      <c r="F220" s="46">
        <f t="shared" si="12"/>
        <v>988.71376500000008</v>
      </c>
      <c r="G220" s="190"/>
      <c r="H220" s="191"/>
      <c r="I220" s="40"/>
      <c r="L220" s="186"/>
      <c r="M220" s="186"/>
      <c r="N220" s="73">
        <f t="shared" si="10"/>
        <v>1.6276746555619546</v>
      </c>
    </row>
    <row r="221" spans="1:16" s="67" customFormat="1" ht="15.75" customHeight="1" x14ac:dyDescent="0.35">
      <c r="A221" s="184">
        <f t="shared" si="13"/>
        <v>7</v>
      </c>
      <c r="B221" s="185"/>
      <c r="C221" s="46" t="s">
        <v>176</v>
      </c>
      <c r="D221" s="46">
        <f>(3*4.35+2.1*2.45+3.1*3.5+1.8*1.2+1.2*1.8+1.2*1.2+1.5*2.2+1.2*5.4)*10.764</f>
        <v>479.91293999999988</v>
      </c>
      <c r="E221" s="46">
        <v>0</v>
      </c>
      <c r="F221" s="46">
        <f t="shared" si="12"/>
        <v>719.86940999999979</v>
      </c>
      <c r="G221" s="190"/>
      <c r="H221" s="191"/>
      <c r="I221" s="40"/>
      <c r="L221" s="186"/>
      <c r="M221" s="186"/>
      <c r="N221" s="73">
        <f t="shared" si="10"/>
        <v>1.5</v>
      </c>
    </row>
    <row r="222" spans="1:16" s="67" customFormat="1" ht="15.75" customHeight="1" x14ac:dyDescent="0.35">
      <c r="A222" s="184">
        <f t="shared" si="13"/>
        <v>8</v>
      </c>
      <c r="B222" s="185"/>
      <c r="C222" s="46" t="s">
        <v>175</v>
      </c>
      <c r="D222" s="46">
        <f>(3*4.35+2.1*3.05+2.75*3.05+2.75*3.5+2.1*1.2+1.2*1.8+2.75*0.9+1.2*1.3+1.2*2.75+0.75*5.3+1.5*2.15)*10.764</f>
        <v>610.13043000000005</v>
      </c>
      <c r="E222" s="46">
        <v>0</v>
      </c>
      <c r="F222" s="46">
        <f t="shared" si="12"/>
        <v>915.19564500000001</v>
      </c>
      <c r="G222" s="192"/>
      <c r="H222" s="193"/>
      <c r="I222" s="40"/>
      <c r="L222" s="186"/>
      <c r="M222" s="186"/>
      <c r="N222" s="73">
        <f t="shared" si="10"/>
        <v>1.5</v>
      </c>
    </row>
    <row r="223" spans="1:16" s="67" customFormat="1" ht="15.75" customHeight="1" x14ac:dyDescent="0.35">
      <c r="A223" s="181" t="s">
        <v>179</v>
      </c>
      <c r="B223" s="182"/>
      <c r="C223" s="182"/>
      <c r="D223" s="182"/>
      <c r="E223" s="182"/>
      <c r="F223" s="182"/>
      <c r="G223" s="182"/>
      <c r="H223" s="183"/>
      <c r="I223" s="40"/>
      <c r="N223" s="73" t="e">
        <f t="shared" si="10"/>
        <v>#DIV/0!</v>
      </c>
      <c r="P223" s="41"/>
    </row>
    <row r="224" spans="1:16" s="67" customFormat="1" ht="15.75" customHeight="1" x14ac:dyDescent="0.35">
      <c r="A224" s="184">
        <v>1</v>
      </c>
      <c r="B224" s="185"/>
      <c r="C224" s="46" t="s">
        <v>176</v>
      </c>
      <c r="D224" s="46">
        <f>(2.95*4.35+2.1*2.45+3.05*3.5+1.35*1.8+1.25*1.6+1.25*1.4+1.5*2.1+1.2*7)*10.764</f>
        <v>499.2612299999999</v>
      </c>
      <c r="E224" s="46">
        <v>0</v>
      </c>
      <c r="F224" s="46">
        <f t="shared" si="12"/>
        <v>748.89184499999988</v>
      </c>
      <c r="G224" s="188" t="str">
        <f>A223</f>
        <v>2nd to 5th &amp; 7th to 10th Floor</v>
      </c>
      <c r="H224" s="189"/>
      <c r="I224" s="40"/>
      <c r="N224" s="73">
        <f t="shared" si="10"/>
        <v>1.5</v>
      </c>
    </row>
    <row r="225" spans="1:16" s="67" customFormat="1" ht="15.75" customHeight="1" x14ac:dyDescent="0.35">
      <c r="A225" s="184">
        <f t="shared" ref="A225:A231" si="14">A224+1</f>
        <v>2</v>
      </c>
      <c r="B225" s="185"/>
      <c r="C225" s="46" t="s">
        <v>175</v>
      </c>
      <c r="D225" s="46">
        <f>(2.85*4.35+2.1*2.45+1.2*2+2.75*3.5+2.75*3.45+2.75*0.9+0.5*1.2+1.5*2.1+1.2*6.65+3.45*1.2)*10.764</f>
        <v>617.85360000000003</v>
      </c>
      <c r="E225" s="46">
        <v>0</v>
      </c>
      <c r="F225" s="46">
        <f t="shared" si="12"/>
        <v>926.7804000000001</v>
      </c>
      <c r="G225" s="190" t="str">
        <f t="shared" ref="G225:G231" si="15">G224</f>
        <v>2nd to 5th &amp; 7th to 10th Floor</v>
      </c>
      <c r="H225" s="191"/>
      <c r="I225" s="40"/>
      <c r="N225" s="73">
        <f t="shared" si="10"/>
        <v>1.5</v>
      </c>
    </row>
    <row r="226" spans="1:16" s="67" customFormat="1" ht="15.75" customHeight="1" x14ac:dyDescent="0.35">
      <c r="A226" s="184">
        <f t="shared" si="14"/>
        <v>3</v>
      </c>
      <c r="B226" s="185"/>
      <c r="C226" s="46" t="s">
        <v>175</v>
      </c>
      <c r="D226" s="46">
        <f>(2.75*4.6+1*3.6+2.2*3.05+2.75*3.05+2.75*3.8+2.1*1.35+1.2*2.1+3.8*0.9+1.2*(2.75+2.75)+1.2*5.4)*10.764</f>
        <v>685.15551000000005</v>
      </c>
      <c r="E226" s="46">
        <v>0</v>
      </c>
      <c r="F226" s="46">
        <f t="shared" si="12"/>
        <v>1027.7332650000001</v>
      </c>
      <c r="G226" s="190" t="str">
        <f t="shared" si="15"/>
        <v>2nd to 5th &amp; 7th to 10th Floor</v>
      </c>
      <c r="H226" s="191"/>
      <c r="I226" s="40"/>
      <c r="N226" s="73">
        <f t="shared" si="10"/>
        <v>1.5</v>
      </c>
    </row>
    <row r="227" spans="1:16" s="67" customFormat="1" ht="15.75" customHeight="1" x14ac:dyDescent="0.35">
      <c r="A227" s="184">
        <f t="shared" si="14"/>
        <v>4</v>
      </c>
      <c r="B227" s="185"/>
      <c r="C227" s="46" t="s">
        <v>175</v>
      </c>
      <c r="D227" s="46">
        <f>(2.45*4.6+0.9*4.2+2.1*3.05+2.75*3.05+2.75*3.5+2.1*1.2+1.2*1.8+2.75*0.9+1.2*1.4+1.5*2.45+0.75*5.3+1.2*2.75)*10.764</f>
        <v>637.79390999999998</v>
      </c>
      <c r="E227" s="46">
        <v>0</v>
      </c>
      <c r="F227" s="46">
        <f t="shared" si="12"/>
        <v>956.69086500000003</v>
      </c>
      <c r="G227" s="190" t="str">
        <f t="shared" si="15"/>
        <v>2nd to 5th &amp; 7th to 10th Floor</v>
      </c>
      <c r="H227" s="191"/>
      <c r="I227" s="40"/>
      <c r="N227" s="73">
        <f t="shared" si="10"/>
        <v>1.5</v>
      </c>
    </row>
    <row r="228" spans="1:16" s="67" customFormat="1" ht="15.75" customHeight="1" x14ac:dyDescent="0.35">
      <c r="A228" s="184">
        <f t="shared" si="14"/>
        <v>5</v>
      </c>
      <c r="B228" s="185"/>
      <c r="C228" s="46" t="s">
        <v>176</v>
      </c>
      <c r="D228" s="46">
        <f>(2.75*4.6+2.1*2.45+2.75*3.5+1.8*1.2+1.2*1.8+1.2*1.4+1.1*0.9+1.5*2.75+1.2*5)*10.764</f>
        <v>479.37474000000003</v>
      </c>
      <c r="E228" s="46">
        <v>0</v>
      </c>
      <c r="F228" s="46">
        <f t="shared" si="12"/>
        <v>719.06211000000008</v>
      </c>
      <c r="G228" s="190" t="str">
        <f t="shared" si="15"/>
        <v>2nd to 5th &amp; 7th to 10th Floor</v>
      </c>
      <c r="H228" s="191"/>
      <c r="I228" s="40"/>
      <c r="N228" s="73">
        <f t="shared" si="10"/>
        <v>1.5</v>
      </c>
    </row>
    <row r="229" spans="1:16" s="67" customFormat="1" ht="15.75" customHeight="1" x14ac:dyDescent="0.35">
      <c r="A229" s="184">
        <f t="shared" si="14"/>
        <v>6</v>
      </c>
      <c r="B229" s="185"/>
      <c r="C229" s="46" t="s">
        <v>175</v>
      </c>
      <c r="D229" s="46">
        <f>(2.75*4.6+1*3.6+2.2*3.05+2.75*3.05+2.75*3.8+2.1*1.35+1.2*2.1+3.8*0.9+1.2*(2.75+2.75)+1.2*5.4)*10.764</f>
        <v>685.15551000000005</v>
      </c>
      <c r="E229" s="46">
        <v>0</v>
      </c>
      <c r="F229" s="46">
        <f t="shared" si="12"/>
        <v>1027.7332650000001</v>
      </c>
      <c r="G229" s="190" t="str">
        <f t="shared" si="15"/>
        <v>2nd to 5th &amp; 7th to 10th Floor</v>
      </c>
      <c r="H229" s="191"/>
      <c r="I229" s="40"/>
      <c r="N229" s="73">
        <f t="shared" si="10"/>
        <v>1.5</v>
      </c>
    </row>
    <row r="230" spans="1:16" s="67" customFormat="1" ht="15.75" customHeight="1" x14ac:dyDescent="0.35">
      <c r="A230" s="184">
        <f t="shared" si="14"/>
        <v>7</v>
      </c>
      <c r="B230" s="185"/>
      <c r="C230" s="46" t="s">
        <v>176</v>
      </c>
      <c r="D230" s="46">
        <f>(3*4.35+2.1*2.45+3.1*3.5+1.8*1.2+1.2*1.8+1.2*1.3+1.5*2.1+1.2*5.4)*10.764</f>
        <v>479.59002000000004</v>
      </c>
      <c r="E230" s="46">
        <v>0</v>
      </c>
      <c r="F230" s="46">
        <f t="shared" si="12"/>
        <v>719.38503000000003</v>
      </c>
      <c r="G230" s="190" t="str">
        <f t="shared" si="15"/>
        <v>2nd to 5th &amp; 7th to 10th Floor</v>
      </c>
      <c r="H230" s="191"/>
      <c r="I230" s="40"/>
      <c r="N230" s="73">
        <f t="shared" si="10"/>
        <v>1.5</v>
      </c>
    </row>
    <row r="231" spans="1:16" s="67" customFormat="1" ht="15.75" customHeight="1" x14ac:dyDescent="0.35">
      <c r="A231" s="184">
        <f t="shared" si="14"/>
        <v>8</v>
      </c>
      <c r="B231" s="185"/>
      <c r="C231" s="46" t="s">
        <v>175</v>
      </c>
      <c r="D231" s="46">
        <f>(3*4.35+2.1*3.05+2.75*3.05+2.75*3.5+2.1*1.2+1.2*1.8+2.75*0.9+1.2*1.4+1.5*2.1+0.75*5.3+1.2*2.75)*10.764</f>
        <v>610.61481000000003</v>
      </c>
      <c r="E231" s="46">
        <v>0</v>
      </c>
      <c r="F231" s="46">
        <f t="shared" si="12"/>
        <v>915.92221500000005</v>
      </c>
      <c r="G231" s="192" t="str">
        <f t="shared" si="15"/>
        <v>2nd to 5th &amp; 7th to 10th Floor</v>
      </c>
      <c r="H231" s="193"/>
      <c r="I231" s="40"/>
      <c r="N231" s="73">
        <f t="shared" si="10"/>
        <v>1.5</v>
      </c>
    </row>
    <row r="232" spans="1:16" s="67" customFormat="1" ht="15.75" customHeight="1" x14ac:dyDescent="0.35">
      <c r="A232" s="181" t="s">
        <v>180</v>
      </c>
      <c r="B232" s="182"/>
      <c r="C232" s="182"/>
      <c r="D232" s="182"/>
      <c r="E232" s="182"/>
      <c r="F232" s="182"/>
      <c r="G232" s="182"/>
      <c r="H232" s="183"/>
      <c r="I232" s="40"/>
      <c r="N232" s="73" t="e">
        <f t="shared" si="10"/>
        <v>#DIV/0!</v>
      </c>
      <c r="P232" s="41"/>
    </row>
    <row r="233" spans="1:16" s="67" customFormat="1" ht="15.75" customHeight="1" x14ac:dyDescent="0.35">
      <c r="A233" s="184">
        <v>1</v>
      </c>
      <c r="B233" s="185"/>
      <c r="C233" s="46" t="s">
        <v>176</v>
      </c>
      <c r="D233" s="46">
        <f>(2.95*4.35+2.1*2.45+3.05*3.5+1.35*1.8+1.25*1.6+1.25*1.4+1.5*2.1+1.2*7)*10.764</f>
        <v>499.2612299999999</v>
      </c>
      <c r="E233" s="46">
        <v>0</v>
      </c>
      <c r="F233" s="46">
        <f t="shared" si="12"/>
        <v>748.89184499999988</v>
      </c>
      <c r="G233" s="188" t="str">
        <f>A232</f>
        <v>6th Floor (Part Refuge Area)</v>
      </c>
      <c r="H233" s="189"/>
      <c r="I233" s="40"/>
      <c r="N233" s="73">
        <f t="shared" si="10"/>
        <v>1.5</v>
      </c>
    </row>
    <row r="234" spans="1:16" s="67" customFormat="1" ht="15.75" customHeight="1" x14ac:dyDescent="0.35">
      <c r="A234" s="184">
        <f t="shared" ref="A234:A240" si="16">A233+1</f>
        <v>2</v>
      </c>
      <c r="B234" s="185"/>
      <c r="C234" s="46" t="s">
        <v>175</v>
      </c>
      <c r="D234" s="46">
        <f>(2.85*4.35+2.1*2.45+1.2*2+2.75*3.5+2.75*3.45+2.75*0.9+0.5*1.2+1.5*2.1+1.2*6.65+3.45*1.2)*10.764</f>
        <v>617.85360000000003</v>
      </c>
      <c r="E234" s="46">
        <v>0</v>
      </c>
      <c r="F234" s="46">
        <f t="shared" si="12"/>
        <v>926.7804000000001</v>
      </c>
      <c r="G234" s="190" t="str">
        <f t="shared" ref="G234:G240" si="17">G233</f>
        <v>6th Floor (Part Refuge Area)</v>
      </c>
      <c r="H234" s="191"/>
      <c r="I234" s="40"/>
      <c r="N234" s="73">
        <f t="shared" si="10"/>
        <v>1.5</v>
      </c>
    </row>
    <row r="235" spans="1:16" s="67" customFormat="1" ht="15.75" customHeight="1" x14ac:dyDescent="0.35">
      <c r="A235" s="184">
        <f t="shared" si="16"/>
        <v>3</v>
      </c>
      <c r="B235" s="185"/>
      <c r="C235" s="46" t="s">
        <v>175</v>
      </c>
      <c r="D235" s="46">
        <f>(2.75*4.6+1*3.6+2.2*3.05+2.75*3.05+2.75*3.8+2.1*1.35+1.2*2.1+3.8*0.9+1.2*(2.75+2.75)+1.2*5.4)*10.764</f>
        <v>685.15551000000005</v>
      </c>
      <c r="E235" s="46">
        <v>0</v>
      </c>
      <c r="F235" s="46">
        <f t="shared" si="12"/>
        <v>1027.7332650000001</v>
      </c>
      <c r="G235" s="190" t="str">
        <f t="shared" si="17"/>
        <v>6th Floor (Part Refuge Area)</v>
      </c>
      <c r="H235" s="191"/>
      <c r="I235" s="40"/>
      <c r="N235" s="73">
        <f t="shared" si="10"/>
        <v>1.5</v>
      </c>
    </row>
    <row r="236" spans="1:16" s="67" customFormat="1" ht="15.75" customHeight="1" x14ac:dyDescent="0.35">
      <c r="A236" s="184">
        <f t="shared" si="16"/>
        <v>4</v>
      </c>
      <c r="B236" s="185"/>
      <c r="C236" s="46" t="s">
        <v>175</v>
      </c>
      <c r="D236" s="46">
        <f>(2.45*4.6+0.9*4.2+2.1*3.05+2.75*3.05+2.75*3.5+2.1*1.2+1.2*1.8+2.75*0.9+1.2*1.4+1.5*2.45+0.75*5.3+1.2*2.75)*10.764</f>
        <v>637.79390999999998</v>
      </c>
      <c r="E236" s="46">
        <v>0</v>
      </c>
      <c r="F236" s="46">
        <f t="shared" si="12"/>
        <v>956.69086500000003</v>
      </c>
      <c r="G236" s="190" t="str">
        <f t="shared" si="17"/>
        <v>6th Floor (Part Refuge Area)</v>
      </c>
      <c r="H236" s="191"/>
      <c r="I236" s="40"/>
      <c r="N236" s="73">
        <f t="shared" si="10"/>
        <v>1.5</v>
      </c>
    </row>
    <row r="237" spans="1:16" s="67" customFormat="1" ht="15.75" customHeight="1" x14ac:dyDescent="0.35">
      <c r="A237" s="184">
        <f t="shared" si="16"/>
        <v>5</v>
      </c>
      <c r="B237" s="185"/>
      <c r="C237" s="46" t="s">
        <v>176</v>
      </c>
      <c r="D237" s="46">
        <f>(2.75*4.6+2.1*2.45+2.75*3.5+1.8*1.2+1.2*1.8+1.2*1.4+1.1*0.9+1.5*2.75+1.2*5)*10.764</f>
        <v>479.37474000000003</v>
      </c>
      <c r="E237" s="46">
        <v>0</v>
      </c>
      <c r="F237" s="46">
        <f t="shared" si="12"/>
        <v>719.06211000000008</v>
      </c>
      <c r="G237" s="190" t="str">
        <f t="shared" si="17"/>
        <v>6th Floor (Part Refuge Area)</v>
      </c>
      <c r="H237" s="191"/>
      <c r="I237" s="40"/>
      <c r="N237" s="73">
        <f t="shared" si="10"/>
        <v>1.5</v>
      </c>
    </row>
    <row r="238" spans="1:16" s="67" customFormat="1" ht="15.75" customHeight="1" x14ac:dyDescent="0.35">
      <c r="A238" s="184">
        <f t="shared" si="16"/>
        <v>6</v>
      </c>
      <c r="B238" s="185"/>
      <c r="C238" s="184" t="s">
        <v>181</v>
      </c>
      <c r="D238" s="187"/>
      <c r="E238" s="187"/>
      <c r="F238" s="185"/>
      <c r="G238" s="190" t="str">
        <f t="shared" si="17"/>
        <v>6th Floor (Part Refuge Area)</v>
      </c>
      <c r="H238" s="191"/>
      <c r="I238" s="40"/>
      <c r="N238" s="73" t="e">
        <f t="shared" si="10"/>
        <v>#DIV/0!</v>
      </c>
    </row>
    <row r="239" spans="1:16" s="67" customFormat="1" ht="15.75" customHeight="1" x14ac:dyDescent="0.35">
      <c r="A239" s="184">
        <f t="shared" si="16"/>
        <v>7</v>
      </c>
      <c r="B239" s="185"/>
      <c r="C239" s="46" t="s">
        <v>176</v>
      </c>
      <c r="D239" s="46">
        <f>(3*4.35+2.1*2.45+3.1*3.5+1.8*1.2+1.2*1.8+1.2*1.3+1.5*2.1+1.2*5.4)*10.764</f>
        <v>479.59002000000004</v>
      </c>
      <c r="E239" s="46">
        <v>0</v>
      </c>
      <c r="F239" s="46">
        <f t="shared" si="12"/>
        <v>719.38503000000003</v>
      </c>
      <c r="G239" s="190" t="str">
        <f t="shared" si="17"/>
        <v>6th Floor (Part Refuge Area)</v>
      </c>
      <c r="H239" s="191"/>
      <c r="I239" s="40">
        <f>3256000/F239</f>
        <v>4526.0880671926134</v>
      </c>
      <c r="N239" s="73">
        <f t="shared" si="10"/>
        <v>1.5</v>
      </c>
    </row>
    <row r="240" spans="1:16" s="67" customFormat="1" ht="15.75" customHeight="1" x14ac:dyDescent="0.35">
      <c r="A240" s="184">
        <f t="shared" si="16"/>
        <v>8</v>
      </c>
      <c r="B240" s="185"/>
      <c r="C240" s="46" t="s">
        <v>175</v>
      </c>
      <c r="D240" s="46">
        <f>(3*4.35+2.1*3.05+2.75*3.05+2.75*3.5+2.1*1.2+1.2*1.8+2.75*0.9+1.2*1.4+1.5*2.1+0.75*5.3+1.2*2.75)*10.764</f>
        <v>610.61481000000003</v>
      </c>
      <c r="E240" s="46">
        <v>0</v>
      </c>
      <c r="F240" s="46">
        <f t="shared" si="12"/>
        <v>915.92221500000005</v>
      </c>
      <c r="G240" s="192" t="str">
        <f t="shared" si="17"/>
        <v>6th Floor (Part Refuge Area)</v>
      </c>
      <c r="H240" s="193"/>
      <c r="I240" s="40"/>
      <c r="N240" s="73">
        <f t="shared" si="10"/>
        <v>1.5</v>
      </c>
    </row>
    <row r="241" spans="1:16" s="67" customFormat="1" ht="15.75" customHeight="1" x14ac:dyDescent="0.35">
      <c r="A241" s="181" t="s">
        <v>184</v>
      </c>
      <c r="B241" s="182"/>
      <c r="C241" s="182"/>
      <c r="D241" s="182"/>
      <c r="E241" s="182"/>
      <c r="F241" s="182"/>
      <c r="G241" s="182"/>
      <c r="H241" s="183"/>
      <c r="I241" s="40"/>
      <c r="N241" s="73" t="e">
        <f t="shared" si="10"/>
        <v>#DIV/0!</v>
      </c>
      <c r="P241" s="41"/>
    </row>
    <row r="242" spans="1:16" s="67" customFormat="1" x14ac:dyDescent="0.35">
      <c r="A242" s="184">
        <v>1</v>
      </c>
      <c r="B242" s="185"/>
      <c r="C242" s="46" t="s">
        <v>176</v>
      </c>
      <c r="D242" s="46">
        <f>(2.95*4.35+2.1*2.45+3.05*3.5+1.35*1.8+1.25*1.6+1.25*1.4+1.5*2.1+1.2*7)*10.764</f>
        <v>499.2612299999999</v>
      </c>
      <c r="E242" s="46">
        <v>0</v>
      </c>
      <c r="F242" s="46">
        <f t="shared" si="12"/>
        <v>748.89184499999988</v>
      </c>
      <c r="G242" s="188" t="str">
        <f>A241</f>
        <v>11th Floor</v>
      </c>
      <c r="H242" s="189"/>
      <c r="I242" s="40"/>
      <c r="N242" s="73">
        <f t="shared" si="10"/>
        <v>1.5</v>
      </c>
    </row>
    <row r="243" spans="1:16" s="67" customFormat="1" x14ac:dyDescent="0.35">
      <c r="A243" s="184">
        <f t="shared" ref="A243:A249" si="18">A242+1</f>
        <v>2</v>
      </c>
      <c r="B243" s="185"/>
      <c r="C243" s="46" t="s">
        <v>176</v>
      </c>
      <c r="D243" s="46">
        <f>(2.85*4.35+2.1*2.45+1.2*1.7+2.75*3.45+1.5*2.2+1.2*2.4+2.1*1.35+0.9*2.75+1.2*3.45)*10.764</f>
        <v>481.1508</v>
      </c>
      <c r="E243" s="50">
        <f>(2.75*3.5)*10.764</f>
        <v>103.6035</v>
      </c>
      <c r="F243" s="46">
        <f t="shared" si="12"/>
        <v>773.52795000000003</v>
      </c>
      <c r="G243" s="190" t="str">
        <f t="shared" ref="G243:G249" si="19">G242</f>
        <v>11th Floor</v>
      </c>
      <c r="H243" s="191"/>
      <c r="I243" s="40"/>
      <c r="N243" s="73">
        <f t="shared" si="10"/>
        <v>1.607662192393736</v>
      </c>
    </row>
    <row r="244" spans="1:16" s="67" customFormat="1" ht="15.75" customHeight="1" x14ac:dyDescent="0.35">
      <c r="A244" s="184">
        <f t="shared" si="18"/>
        <v>3</v>
      </c>
      <c r="B244" s="185"/>
      <c r="C244" s="46" t="s">
        <v>176</v>
      </c>
      <c r="D244" s="46">
        <f>(2.75*4.6+2.2*3.05+2.75*3.5+2.1*1.35+1.2*2.1+2.2*0.9+0.5*1.2+1.2*2.75+1.2*2.2+1.5*2.75)*10.764</f>
        <v>505.74653999999998</v>
      </c>
      <c r="E244" s="50">
        <f>(2.7*3.7)*10.764</f>
        <v>107.53236000000001</v>
      </c>
      <c r="F244" s="46">
        <f t="shared" si="12"/>
        <v>812.38598999999988</v>
      </c>
      <c r="G244" s="190" t="str">
        <f t="shared" si="19"/>
        <v>11th Floor</v>
      </c>
      <c r="H244" s="191"/>
      <c r="I244" s="40"/>
      <c r="N244" s="73">
        <f t="shared" si="10"/>
        <v>1.6063105246355218</v>
      </c>
    </row>
    <row r="245" spans="1:16" s="67" customFormat="1" ht="15.75" customHeight="1" x14ac:dyDescent="0.35">
      <c r="A245" s="184">
        <f t="shared" si="18"/>
        <v>4</v>
      </c>
      <c r="B245" s="185"/>
      <c r="C245" s="46" t="s">
        <v>175</v>
      </c>
      <c r="D245" s="46">
        <f>(2.45*4.6+0.9*4.2+2.1*3.05+2.75*3.05+2.75*3.5+2.1*1.2+1.2*1.8+2.75*0.9+1.2*1.4+1.5*2.45+0.75*5.3+1.2*2.75)*10.764</f>
        <v>637.79390999999998</v>
      </c>
      <c r="E245" s="46">
        <v>0</v>
      </c>
      <c r="F245" s="46">
        <f t="shared" si="12"/>
        <v>956.69086500000003</v>
      </c>
      <c r="G245" s="190" t="str">
        <f t="shared" si="19"/>
        <v>11th Floor</v>
      </c>
      <c r="H245" s="191"/>
      <c r="I245" s="40"/>
      <c r="N245" s="73">
        <f t="shared" si="10"/>
        <v>1.5</v>
      </c>
    </row>
    <row r="246" spans="1:16" s="67" customFormat="1" ht="15.75" customHeight="1" x14ac:dyDescent="0.35">
      <c r="A246" s="184">
        <f t="shared" si="18"/>
        <v>5</v>
      </c>
      <c r="B246" s="185"/>
      <c r="C246" s="46" t="s">
        <v>176</v>
      </c>
      <c r="D246" s="46">
        <f>(2.75*4.6+2.1*2.45+2.75*3.5+1.8*1.2+1.2*1.8+1.2*1.4+1.1*0.9+1.5*2.75+1.2*5)*10.764</f>
        <v>479.37474000000003</v>
      </c>
      <c r="E246" s="46">
        <v>0</v>
      </c>
      <c r="F246" s="46">
        <f t="shared" si="12"/>
        <v>719.06211000000008</v>
      </c>
      <c r="G246" s="190" t="str">
        <f t="shared" si="19"/>
        <v>11th Floor</v>
      </c>
      <c r="H246" s="191"/>
      <c r="I246" s="40"/>
      <c r="N246" s="73">
        <f t="shared" si="10"/>
        <v>1.5</v>
      </c>
    </row>
    <row r="247" spans="1:16" s="67" customFormat="1" ht="15.75" customHeight="1" x14ac:dyDescent="0.35">
      <c r="A247" s="184">
        <f t="shared" si="18"/>
        <v>6</v>
      </c>
      <c r="B247" s="185"/>
      <c r="C247" s="46" t="s">
        <v>175</v>
      </c>
      <c r="D247" s="46">
        <f>(2.75*4.6+1*3.6+2.2*3.05+2.75*3.05+2.75*3.8+2.1*1.35+1.2*2.1+3.8*0.9+1.2*(2.75+2.75)+1.2*5.4)*10.764</f>
        <v>685.15551000000005</v>
      </c>
      <c r="E247" s="46">
        <v>0</v>
      </c>
      <c r="F247" s="46">
        <f t="shared" si="12"/>
        <v>1027.7332650000001</v>
      </c>
      <c r="G247" s="190" t="str">
        <f t="shared" si="19"/>
        <v>11th Floor</v>
      </c>
      <c r="H247" s="191"/>
      <c r="I247" s="40"/>
      <c r="N247" s="73">
        <f t="shared" si="10"/>
        <v>1.5</v>
      </c>
    </row>
    <row r="248" spans="1:16" s="67" customFormat="1" ht="15.75" customHeight="1" x14ac:dyDescent="0.35">
      <c r="A248" s="184">
        <f t="shared" si="18"/>
        <v>7</v>
      </c>
      <c r="B248" s="185"/>
      <c r="C248" s="46" t="s">
        <v>176</v>
      </c>
      <c r="D248" s="46">
        <f>(3*4.35+2.1*2.45+3.1*3.5+1.8*1.2+1.2*1.8+1.2*1.3+1.5*2.1+1.2*5.4)*10.764</f>
        <v>479.59002000000004</v>
      </c>
      <c r="E248" s="46">
        <v>0</v>
      </c>
      <c r="F248" s="46">
        <f t="shared" si="12"/>
        <v>719.38503000000003</v>
      </c>
      <c r="G248" s="190" t="str">
        <f t="shared" si="19"/>
        <v>11th Floor</v>
      </c>
      <c r="H248" s="191"/>
      <c r="I248" s="40"/>
      <c r="N248" s="73">
        <f t="shared" si="10"/>
        <v>1.5</v>
      </c>
    </row>
    <row r="249" spans="1:16" s="67" customFormat="1" ht="15.75" customHeight="1" x14ac:dyDescent="0.35">
      <c r="A249" s="184">
        <f t="shared" si="18"/>
        <v>8</v>
      </c>
      <c r="B249" s="185"/>
      <c r="C249" s="46" t="s">
        <v>175</v>
      </c>
      <c r="D249" s="46">
        <f>(3*4.35+2.1*3.05+2.75*3.05+2.75*3.5+2.1*1.2+1.2*1.8+2.75*0.9+1.2*1.4+1.5*2.1+0.75*5.3+1.2*2.75)*10.764</f>
        <v>610.61481000000003</v>
      </c>
      <c r="E249" s="46">
        <v>0</v>
      </c>
      <c r="F249" s="46">
        <f t="shared" si="12"/>
        <v>915.92221500000005</v>
      </c>
      <c r="G249" s="192" t="str">
        <f t="shared" si="19"/>
        <v>11th Floor</v>
      </c>
      <c r="H249" s="193"/>
      <c r="I249" s="40"/>
      <c r="N249" s="73">
        <f t="shared" si="10"/>
        <v>1.5</v>
      </c>
    </row>
    <row r="250" spans="1:16" s="67" customFormat="1" ht="15.75" customHeight="1" x14ac:dyDescent="0.35">
      <c r="A250" s="194" t="s">
        <v>182</v>
      </c>
      <c r="B250" s="195"/>
      <c r="C250" s="195"/>
      <c r="D250" s="195"/>
      <c r="E250" s="195"/>
      <c r="F250" s="195"/>
      <c r="G250" s="195"/>
      <c r="H250" s="196"/>
      <c r="I250" s="40"/>
      <c r="N250" s="73" t="e">
        <f t="shared" si="10"/>
        <v>#DIV/0!</v>
      </c>
      <c r="P250" s="41"/>
    </row>
    <row r="251" spans="1:16" s="67" customFormat="1" ht="15.75" customHeight="1" x14ac:dyDescent="0.35">
      <c r="A251" s="184">
        <v>1</v>
      </c>
      <c r="B251" s="185"/>
      <c r="C251" s="50" t="s">
        <v>176</v>
      </c>
      <c r="D251" s="46">
        <f>(2.95*4.35+2.1*2.45+3.05*3.5+1.35*1.8+1.25*1.6+1.25*1.4+1.5*2.1+1.2*7)*10.764</f>
        <v>499.2612299999999</v>
      </c>
      <c r="E251" s="50">
        <v>0</v>
      </c>
      <c r="F251" s="46">
        <f t="shared" si="12"/>
        <v>748.89184499999988</v>
      </c>
      <c r="G251" s="188" t="str">
        <f>A250</f>
        <v>12th Floor (Part Refuge Area)</v>
      </c>
      <c r="H251" s="189"/>
      <c r="I251" s="40"/>
      <c r="N251" s="73">
        <f t="shared" si="10"/>
        <v>1.5</v>
      </c>
    </row>
    <row r="252" spans="1:16" s="67" customFormat="1" ht="15.75" customHeight="1" x14ac:dyDescent="0.35">
      <c r="A252" s="184">
        <f t="shared" ref="A252:A258" si="20">A251+1</f>
        <v>2</v>
      </c>
      <c r="B252" s="185"/>
      <c r="C252" s="50" t="s">
        <v>176</v>
      </c>
      <c r="D252" s="46">
        <f>(2.85*4.35+2.1*2.45+1.2*1.7+2.75*3.45+1.5*2.2+1.2*2.4+2.1*1.35+0.9*2.75+1.2*3.45)*10.764</f>
        <v>481.1508</v>
      </c>
      <c r="E252" s="50">
        <v>0</v>
      </c>
      <c r="F252" s="46">
        <f t="shared" si="12"/>
        <v>721.72620000000006</v>
      </c>
      <c r="G252" s="190" t="str">
        <f t="shared" ref="G252:G258" si="21">G251</f>
        <v>12th Floor (Part Refuge Area)</v>
      </c>
      <c r="H252" s="191"/>
      <c r="I252" s="40"/>
      <c r="N252" s="73">
        <f t="shared" si="10"/>
        <v>1.5000000000000002</v>
      </c>
    </row>
    <row r="253" spans="1:16" s="67" customFormat="1" ht="15.75" customHeight="1" x14ac:dyDescent="0.35">
      <c r="A253" s="184">
        <f t="shared" si="20"/>
        <v>3</v>
      </c>
      <c r="B253" s="185"/>
      <c r="C253" s="50" t="s">
        <v>176</v>
      </c>
      <c r="D253" s="46">
        <f>(2.75*4.6+2.2*3.05+2.75*3.5+2.1*1.35+1.2*2.1+2.2*0.9+0.5*1.2+1.2*2.75+1.2*2.2+1.5*2.75)*10.764</f>
        <v>505.74653999999998</v>
      </c>
      <c r="E253" s="50">
        <v>0</v>
      </c>
      <c r="F253" s="46">
        <f t="shared" si="12"/>
        <v>758.61980999999992</v>
      </c>
      <c r="G253" s="190" t="str">
        <f t="shared" si="21"/>
        <v>12th Floor (Part Refuge Area)</v>
      </c>
      <c r="H253" s="191"/>
      <c r="I253" s="40"/>
      <c r="N253" s="73">
        <f t="shared" si="10"/>
        <v>1.4999999999999998</v>
      </c>
    </row>
    <row r="254" spans="1:16" s="67" customFormat="1" ht="15.75" customHeight="1" x14ac:dyDescent="0.35">
      <c r="A254" s="184">
        <f t="shared" si="20"/>
        <v>4</v>
      </c>
      <c r="B254" s="185"/>
      <c r="C254" s="50" t="s">
        <v>175</v>
      </c>
      <c r="D254" s="46">
        <f>(2.45*4.6+0.9*4.2+2.1*3.05+2.75*3.05+2.75*3.5+2.1*1.2+1.2*1.8+2.75*0.9+1.2*1.4+1.5*2.45+0.75*5.3+1.2*2.75)*10.764</f>
        <v>637.79390999999998</v>
      </c>
      <c r="E254" s="50">
        <v>0</v>
      </c>
      <c r="F254" s="46">
        <f t="shared" si="12"/>
        <v>956.69086500000003</v>
      </c>
      <c r="G254" s="190" t="str">
        <f t="shared" si="21"/>
        <v>12th Floor (Part Refuge Area)</v>
      </c>
      <c r="H254" s="191"/>
      <c r="I254" s="40"/>
      <c r="N254" s="73">
        <f t="shared" si="10"/>
        <v>1.5</v>
      </c>
    </row>
    <row r="255" spans="1:16" s="67" customFormat="1" ht="15.75" customHeight="1" x14ac:dyDescent="0.35">
      <c r="A255" s="184">
        <f t="shared" si="20"/>
        <v>5</v>
      </c>
      <c r="B255" s="185"/>
      <c r="C255" s="50" t="s">
        <v>176</v>
      </c>
      <c r="D255" s="46">
        <f>(2.75*4.6+2.1*2.45+2.75*3.5+1.8*1.2+1.2*1.8+1.2*1.4+1.1*0.9+1.5*2.75+1.2*5)*10.764</f>
        <v>479.37474000000003</v>
      </c>
      <c r="E255" s="50">
        <v>0</v>
      </c>
      <c r="F255" s="46">
        <f t="shared" si="12"/>
        <v>719.06211000000008</v>
      </c>
      <c r="G255" s="190" t="str">
        <f t="shared" si="21"/>
        <v>12th Floor (Part Refuge Area)</v>
      </c>
      <c r="H255" s="191"/>
      <c r="I255" s="40"/>
      <c r="N255" s="73">
        <f t="shared" si="10"/>
        <v>1.5</v>
      </c>
    </row>
    <row r="256" spans="1:16" s="67" customFormat="1" ht="15.75" customHeight="1" x14ac:dyDescent="0.35">
      <c r="A256" s="184">
        <f t="shared" si="20"/>
        <v>6</v>
      </c>
      <c r="B256" s="185"/>
      <c r="C256" s="184" t="s">
        <v>181</v>
      </c>
      <c r="D256" s="187"/>
      <c r="E256" s="187"/>
      <c r="F256" s="185"/>
      <c r="G256" s="190" t="str">
        <f t="shared" si="21"/>
        <v>12th Floor (Part Refuge Area)</v>
      </c>
      <c r="H256" s="191"/>
      <c r="I256" s="40"/>
      <c r="N256" s="73" t="e">
        <f t="shared" si="10"/>
        <v>#DIV/0!</v>
      </c>
    </row>
    <row r="257" spans="1:16" s="67" customFormat="1" ht="15.75" customHeight="1" x14ac:dyDescent="0.35">
      <c r="A257" s="184">
        <f t="shared" si="20"/>
        <v>7</v>
      </c>
      <c r="B257" s="185"/>
      <c r="C257" s="46" t="s">
        <v>176</v>
      </c>
      <c r="D257" s="46">
        <f>(3*4.35+2.1*2.45+3.1*3.5+1.8*1.2+1.2*1.8+1.2*1.3+1.5*2.1+1.2*5.4)*10.764</f>
        <v>479.59002000000004</v>
      </c>
      <c r="E257" s="46">
        <v>0</v>
      </c>
      <c r="F257" s="46">
        <f t="shared" si="12"/>
        <v>719.38503000000003</v>
      </c>
      <c r="G257" s="190" t="str">
        <f t="shared" si="21"/>
        <v>12th Floor (Part Refuge Area)</v>
      </c>
      <c r="H257" s="191"/>
      <c r="I257" s="40"/>
      <c r="N257" s="73">
        <f t="shared" si="10"/>
        <v>1.5</v>
      </c>
    </row>
    <row r="258" spans="1:16" s="67" customFormat="1" ht="15.75" customHeight="1" x14ac:dyDescent="0.35">
      <c r="A258" s="184">
        <f t="shared" si="20"/>
        <v>8</v>
      </c>
      <c r="B258" s="185"/>
      <c r="C258" s="46" t="s">
        <v>175</v>
      </c>
      <c r="D258" s="46">
        <f>(3*4.35+2.1*3.05+2.75*3.05+2.75*3.5+2.1*1.2+1.2*1.8+2.75*0.9+1.2*1.4+1.5*2.1+0.75*5.3+1.2*2.75)*10.764</f>
        <v>610.61481000000003</v>
      </c>
      <c r="E258" s="46">
        <v>0</v>
      </c>
      <c r="F258" s="46">
        <f t="shared" si="12"/>
        <v>915.92221500000005</v>
      </c>
      <c r="G258" s="192" t="str">
        <f t="shared" si="21"/>
        <v>12th Floor (Part Refuge Area)</v>
      </c>
      <c r="H258" s="193"/>
      <c r="I258" s="40"/>
      <c r="N258" s="73">
        <f t="shared" si="10"/>
        <v>1.5</v>
      </c>
    </row>
    <row r="259" spans="1:16" s="67" customFormat="1" ht="15.75" customHeight="1" x14ac:dyDescent="0.35">
      <c r="A259" s="181" t="s">
        <v>183</v>
      </c>
      <c r="B259" s="182"/>
      <c r="C259" s="182"/>
      <c r="D259" s="182"/>
      <c r="E259" s="182"/>
      <c r="F259" s="182"/>
      <c r="G259" s="182"/>
      <c r="H259" s="183"/>
      <c r="I259" s="40"/>
      <c r="N259" s="73" t="e">
        <f t="shared" si="10"/>
        <v>#DIV/0!</v>
      </c>
      <c r="P259" s="41"/>
    </row>
    <row r="260" spans="1:16" s="67" customFormat="1" ht="15.75" customHeight="1" x14ac:dyDescent="0.35">
      <c r="A260" s="184">
        <v>1</v>
      </c>
      <c r="B260" s="185"/>
      <c r="C260" s="46" t="s">
        <v>176</v>
      </c>
      <c r="D260" s="46">
        <f>(2.95*4.35+2.1*2.45+3.05*3.5+1.35*1.8+1.25*1.6+1.25*1.4+1.5*2.1+1.2*7)*10.764</f>
        <v>499.2612299999999</v>
      </c>
      <c r="E260" s="46">
        <v>0</v>
      </c>
      <c r="F260" s="46">
        <f t="shared" si="12"/>
        <v>748.89184499999988</v>
      </c>
      <c r="G260" s="188" t="str">
        <f>A259</f>
        <v>13th to 15th Floor</v>
      </c>
      <c r="H260" s="189"/>
      <c r="I260" s="40">
        <f>3250000/F260</f>
        <v>4339.74548087114</v>
      </c>
      <c r="N260" s="73">
        <f t="shared" si="10"/>
        <v>1.5</v>
      </c>
    </row>
    <row r="261" spans="1:16" s="67" customFormat="1" ht="15.75" customHeight="1" x14ac:dyDescent="0.35">
      <c r="A261" s="184">
        <f t="shared" ref="A261:A267" si="22">A260+1</f>
        <v>2</v>
      </c>
      <c r="B261" s="185"/>
      <c r="C261" s="46" t="s">
        <v>176</v>
      </c>
      <c r="D261" s="46">
        <f>(2.85*4.35+2.1*2.45+1.2*1.7+2.75*3.45+1.5*2.2+1.2*2.4+2.1*1.35+0.9*2.75+1.2*3.45)*10.764</f>
        <v>481.1508</v>
      </c>
      <c r="E261" s="46">
        <v>0</v>
      </c>
      <c r="F261" s="46">
        <f t="shared" si="12"/>
        <v>721.72620000000006</v>
      </c>
      <c r="G261" s="190" t="str">
        <f t="shared" ref="G261:G267" si="23">G260</f>
        <v>13th to 15th Floor</v>
      </c>
      <c r="H261" s="191"/>
      <c r="I261" s="40">
        <f t="shared" ref="I261:I262" si="24">3250000/F261</f>
        <v>4503.0927240828996</v>
      </c>
      <c r="N261" s="73">
        <f t="shared" si="10"/>
        <v>1.5000000000000002</v>
      </c>
    </row>
    <row r="262" spans="1:16" s="67" customFormat="1" ht="15.75" customHeight="1" x14ac:dyDescent="0.35">
      <c r="A262" s="184">
        <f t="shared" si="22"/>
        <v>3</v>
      </c>
      <c r="B262" s="185"/>
      <c r="C262" s="46" t="s">
        <v>176</v>
      </c>
      <c r="D262" s="46">
        <f>(2.75*4.6+2.2*3.05+2.75*3.5+2.1*1.35+1.2*2.1+2.2*0.9+0.5*1.2+1.2*2.75+1.2*2.2+1.5*2.75)*10.764</f>
        <v>505.74653999999998</v>
      </c>
      <c r="E262" s="46">
        <v>0</v>
      </c>
      <c r="F262" s="46">
        <f t="shared" si="12"/>
        <v>758.61980999999992</v>
      </c>
      <c r="G262" s="190" t="str">
        <f t="shared" si="23"/>
        <v>13th to 15th Floor</v>
      </c>
      <c r="H262" s="191"/>
      <c r="I262" s="40">
        <f t="shared" si="24"/>
        <v>4284.0958766948106</v>
      </c>
      <c r="N262" s="73">
        <f t="shared" ref="N262:N267" si="25">F262/D262</f>
        <v>1.4999999999999998</v>
      </c>
    </row>
    <row r="263" spans="1:16" s="67" customFormat="1" ht="15.75" customHeight="1" x14ac:dyDescent="0.35">
      <c r="A263" s="184">
        <f t="shared" si="22"/>
        <v>4</v>
      </c>
      <c r="B263" s="185"/>
      <c r="C263" s="46" t="s">
        <v>175</v>
      </c>
      <c r="D263" s="46">
        <f>(2.45*4.6+0.9*4.2+2.1*3.05+2.75*3.05+2.75*3.5+2.1*1.2+1.2*1.8+2.75*0.9+1.2*1.4+1.5*2.45+0.75*5.3+1.2*2.75)*10.764</f>
        <v>637.79390999999998</v>
      </c>
      <c r="E263" s="46">
        <v>0</v>
      </c>
      <c r="F263" s="46">
        <f t="shared" si="12"/>
        <v>956.69086500000003</v>
      </c>
      <c r="G263" s="190" t="str">
        <f t="shared" si="23"/>
        <v>13th to 15th Floor</v>
      </c>
      <c r="H263" s="191"/>
      <c r="I263" s="40">
        <f>4600000/F263</f>
        <v>4808.2407476525868</v>
      </c>
      <c r="N263" s="73">
        <f t="shared" si="25"/>
        <v>1.5</v>
      </c>
    </row>
    <row r="264" spans="1:16" s="67" customFormat="1" ht="15.75" customHeight="1" x14ac:dyDescent="0.35">
      <c r="A264" s="184">
        <f t="shared" si="22"/>
        <v>5</v>
      </c>
      <c r="B264" s="185"/>
      <c r="C264" s="46" t="s">
        <v>176</v>
      </c>
      <c r="D264" s="46">
        <f>(2.75*4.6+2.1*2.45+2.75*3.5+1.8*1.2+1.2*1.8+1.2*1.4+1.1*0.9+1.5*2.75+1.2*5)*10.764</f>
        <v>479.37474000000003</v>
      </c>
      <c r="E264" s="46">
        <v>0</v>
      </c>
      <c r="F264" s="46">
        <f t="shared" si="12"/>
        <v>719.06211000000008</v>
      </c>
      <c r="G264" s="190" t="str">
        <f t="shared" si="23"/>
        <v>13th to 15th Floor</v>
      </c>
      <c r="H264" s="191"/>
      <c r="I264" s="40"/>
      <c r="N264" s="73">
        <f t="shared" si="25"/>
        <v>1.5</v>
      </c>
    </row>
    <row r="265" spans="1:16" s="67" customFormat="1" ht="15.75" customHeight="1" x14ac:dyDescent="0.35">
      <c r="A265" s="184">
        <f t="shared" si="22"/>
        <v>6</v>
      </c>
      <c r="B265" s="185"/>
      <c r="C265" s="46" t="s">
        <v>175</v>
      </c>
      <c r="D265" s="46">
        <f>(2.75*4.6+1*3.6+2.2*3.05+2.75*3.05+2.75*3.8+2.1*1.35+1.2*2.1+3.8*0.9+1.2*(2.75+2.75)+1.2*5.4)*10.764</f>
        <v>685.15551000000005</v>
      </c>
      <c r="E265" s="46">
        <v>0</v>
      </c>
      <c r="F265" s="46">
        <f t="shared" si="12"/>
        <v>1027.7332650000001</v>
      </c>
      <c r="G265" s="190" t="str">
        <f t="shared" si="23"/>
        <v>13th to 15th Floor</v>
      </c>
      <c r="H265" s="191"/>
      <c r="I265" s="40">
        <f>4600000/F265</f>
        <v>4475.8695243750817</v>
      </c>
      <c r="N265" s="73">
        <f t="shared" si="25"/>
        <v>1.5</v>
      </c>
    </row>
    <row r="266" spans="1:16" s="67" customFormat="1" ht="15.75" customHeight="1" x14ac:dyDescent="0.35">
      <c r="A266" s="184">
        <f t="shared" si="22"/>
        <v>7</v>
      </c>
      <c r="B266" s="185"/>
      <c r="C266" s="46" t="s">
        <v>176</v>
      </c>
      <c r="D266" s="46">
        <f>(3*4.35+2.1*2.45+3.1*3.5+1.8*1.2+1.2*1.8+1.2*1.3+1.5*2.1+1.2*5.4)*10.764</f>
        <v>479.59002000000004</v>
      </c>
      <c r="E266" s="46">
        <v>0</v>
      </c>
      <c r="F266" s="46">
        <f t="shared" si="12"/>
        <v>719.38503000000003</v>
      </c>
      <c r="G266" s="190" t="str">
        <f t="shared" si="23"/>
        <v>13th to 15th Floor</v>
      </c>
      <c r="H266" s="191"/>
      <c r="I266" s="40"/>
      <c r="N266" s="73">
        <f t="shared" si="25"/>
        <v>1.5</v>
      </c>
    </row>
    <row r="267" spans="1:16" s="67" customFormat="1" ht="15.75" customHeight="1" x14ac:dyDescent="0.35">
      <c r="A267" s="184">
        <f t="shared" si="22"/>
        <v>8</v>
      </c>
      <c r="B267" s="185"/>
      <c r="C267" s="46" t="s">
        <v>175</v>
      </c>
      <c r="D267" s="46">
        <f>(3*4.35+2.1*3.05+2.75*3.05+2.75*3.5+2.1*1.2+1.2*1.8+2.75*0.9+1.2*1.4+1.5*2.1+0.75*5.3+1.2*2.75)*10.764</f>
        <v>610.61481000000003</v>
      </c>
      <c r="E267" s="46">
        <v>0</v>
      </c>
      <c r="F267" s="46">
        <f t="shared" si="12"/>
        <v>915.92221500000005</v>
      </c>
      <c r="G267" s="192" t="str">
        <f t="shared" si="23"/>
        <v>13th to 15th Floor</v>
      </c>
      <c r="H267" s="193"/>
      <c r="I267" s="40">
        <f>3194625/F267</f>
        <v>3487.8780617849734</v>
      </c>
      <c r="N267" s="73">
        <f t="shared" si="25"/>
        <v>1.5</v>
      </c>
    </row>
    <row r="268" spans="1:16" s="39" customFormat="1" x14ac:dyDescent="0.35">
      <c r="A268" s="95" t="s">
        <v>70</v>
      </c>
      <c r="B268" s="95"/>
      <c r="C268" s="95"/>
      <c r="D268" s="95"/>
      <c r="E268" s="95"/>
      <c r="F268" s="95"/>
      <c r="G268" s="95"/>
      <c r="H268" s="95"/>
    </row>
    <row r="269" spans="1:16" s="39" customFormat="1" x14ac:dyDescent="0.35">
      <c r="A269" s="59" t="s">
        <v>160</v>
      </c>
      <c r="B269" s="87" t="s">
        <v>109</v>
      </c>
      <c r="C269" s="88"/>
      <c r="D269" s="88"/>
      <c r="E269" s="88"/>
      <c r="F269" s="88"/>
      <c r="G269" s="88"/>
      <c r="H269" s="89"/>
    </row>
    <row r="270" spans="1:16" s="39" customFormat="1" x14ac:dyDescent="0.35">
      <c r="A270" s="59" t="s">
        <v>160</v>
      </c>
      <c r="B270" s="87" t="s">
        <v>227</v>
      </c>
      <c r="C270" s="88"/>
      <c r="D270" s="88"/>
      <c r="E270" s="88"/>
      <c r="F270" s="88"/>
      <c r="G270" s="88"/>
      <c r="H270" s="89"/>
    </row>
    <row r="271" spans="1:16" s="39" customFormat="1" x14ac:dyDescent="0.35">
      <c r="A271" s="48" t="s">
        <v>160</v>
      </c>
      <c r="B271" s="87" t="s">
        <v>228</v>
      </c>
      <c r="C271" s="88"/>
      <c r="D271" s="88"/>
      <c r="E271" s="88"/>
      <c r="F271" s="88"/>
      <c r="G271" s="88"/>
      <c r="H271" s="89"/>
    </row>
    <row r="272" spans="1:16" s="39" customFormat="1" x14ac:dyDescent="0.35">
      <c r="A272" s="48" t="s">
        <v>160</v>
      </c>
      <c r="B272" s="77" t="s">
        <v>129</v>
      </c>
      <c r="C272" s="78"/>
      <c r="D272" s="78"/>
      <c r="E272" s="78"/>
      <c r="F272" s="78"/>
      <c r="G272" s="78"/>
      <c r="H272" s="79"/>
    </row>
    <row r="273" spans="1:8" s="39" customFormat="1" x14ac:dyDescent="0.35">
      <c r="A273" s="48" t="s">
        <v>160</v>
      </c>
      <c r="B273" s="77" t="s">
        <v>205</v>
      </c>
      <c r="C273" s="78"/>
      <c r="D273" s="78"/>
      <c r="E273" s="78"/>
      <c r="F273" s="78"/>
      <c r="G273" s="78"/>
      <c r="H273" s="79"/>
    </row>
    <row r="274" spans="1:8" s="39" customFormat="1" x14ac:dyDescent="0.35">
      <c r="A274" s="48" t="s">
        <v>160</v>
      </c>
      <c r="B274" s="77" t="s">
        <v>159</v>
      </c>
      <c r="C274" s="78"/>
      <c r="D274" s="78"/>
      <c r="E274" s="78"/>
      <c r="F274" s="78"/>
      <c r="G274" s="78"/>
      <c r="H274" s="79"/>
    </row>
    <row r="275" spans="1:8" s="39" customFormat="1" x14ac:dyDescent="0.35">
      <c r="A275" s="48" t="s">
        <v>160</v>
      </c>
      <c r="B275" s="77" t="s">
        <v>130</v>
      </c>
      <c r="C275" s="78"/>
      <c r="D275" s="78"/>
      <c r="E275" s="78"/>
      <c r="F275" s="78"/>
      <c r="G275" s="78"/>
      <c r="H275" s="79"/>
    </row>
    <row r="276" spans="1:8" s="39" customFormat="1" ht="34.5" customHeight="1" x14ac:dyDescent="0.35">
      <c r="A276" s="48" t="s">
        <v>160</v>
      </c>
      <c r="B276" s="77" t="s">
        <v>161</v>
      </c>
      <c r="C276" s="78"/>
      <c r="D276" s="78"/>
      <c r="E276" s="78"/>
      <c r="F276" s="78"/>
      <c r="G276" s="78"/>
      <c r="H276" s="79"/>
    </row>
    <row r="277" spans="1:8" s="39" customFormat="1" x14ac:dyDescent="0.35">
      <c r="A277" s="48" t="s">
        <v>160</v>
      </c>
      <c r="B277" s="77" t="s">
        <v>131</v>
      </c>
      <c r="C277" s="78"/>
      <c r="D277" s="78"/>
      <c r="E277" s="78"/>
      <c r="F277" s="78"/>
      <c r="G277" s="78"/>
      <c r="H277" s="79"/>
    </row>
    <row r="278" spans="1:8" s="39" customFormat="1" hidden="1" x14ac:dyDescent="0.35">
      <c r="A278" s="48" t="s">
        <v>160</v>
      </c>
      <c r="B278" s="87" t="s">
        <v>213</v>
      </c>
      <c r="C278" s="88"/>
      <c r="D278" s="88"/>
      <c r="E278" s="88"/>
      <c r="F278" s="88"/>
      <c r="G278" s="88"/>
      <c r="H278" s="89"/>
    </row>
    <row r="279" spans="1:8" s="39" customFormat="1" x14ac:dyDescent="0.35">
      <c r="A279" s="66" t="s">
        <v>160</v>
      </c>
      <c r="B279" s="77" t="s">
        <v>235</v>
      </c>
      <c r="C279" s="78"/>
      <c r="D279" s="78"/>
      <c r="E279" s="78"/>
      <c r="F279" s="78"/>
      <c r="G279" s="78"/>
      <c r="H279" s="79"/>
    </row>
    <row r="280" spans="1:8" s="39" customFormat="1" ht="33.75" hidden="1" customHeight="1" x14ac:dyDescent="0.35">
      <c r="A280" s="66" t="s">
        <v>160</v>
      </c>
      <c r="B280" s="77" t="s">
        <v>222</v>
      </c>
      <c r="C280" s="78"/>
      <c r="D280" s="78"/>
      <c r="E280" s="78"/>
      <c r="F280" s="78"/>
      <c r="G280" s="78"/>
      <c r="H280" s="79"/>
    </row>
    <row r="281" spans="1:8" s="39" customFormat="1" hidden="1" x14ac:dyDescent="0.35">
      <c r="A281" s="66" t="s">
        <v>160</v>
      </c>
      <c r="B281" s="77" t="s">
        <v>220</v>
      </c>
      <c r="C281" s="78"/>
      <c r="D281" s="78"/>
      <c r="E281" s="78"/>
      <c r="F281" s="78"/>
      <c r="G281" s="78"/>
      <c r="H281" s="79"/>
    </row>
    <row r="282" spans="1:8" s="39" customFormat="1" x14ac:dyDescent="0.35">
      <c r="A282" s="71" t="s">
        <v>160</v>
      </c>
      <c r="B282" s="77" t="s">
        <v>240</v>
      </c>
      <c r="C282" s="78"/>
      <c r="D282" s="78"/>
      <c r="E282" s="78"/>
      <c r="F282" s="78"/>
      <c r="G282" s="78"/>
      <c r="H282" s="79"/>
    </row>
    <row r="283" spans="1:8" x14ac:dyDescent="0.35">
      <c r="A283" s="96" t="s">
        <v>63</v>
      </c>
      <c r="B283" s="96"/>
      <c r="C283" s="96"/>
      <c r="D283" s="96"/>
      <c r="E283" s="96"/>
      <c r="F283" s="96"/>
      <c r="G283" s="96"/>
      <c r="H283" s="96"/>
    </row>
    <row r="284" spans="1:8" x14ac:dyDescent="0.35">
      <c r="A284" s="76" t="s">
        <v>64</v>
      </c>
      <c r="B284" s="76"/>
      <c r="C284" s="76"/>
      <c r="D284" s="76"/>
      <c r="E284" s="76"/>
      <c r="F284" s="76"/>
      <c r="G284" s="76"/>
      <c r="H284" s="76"/>
    </row>
    <row r="285" spans="1:8" ht="15.75" customHeight="1" x14ac:dyDescent="0.35">
      <c r="A285" s="100" t="s">
        <v>65</v>
      </c>
      <c r="B285" s="100"/>
      <c r="C285" s="100"/>
      <c r="D285" s="100"/>
      <c r="E285" s="100"/>
      <c r="F285" s="100"/>
      <c r="G285" s="100"/>
      <c r="H285" s="100"/>
    </row>
    <row r="286" spans="1:8" x14ac:dyDescent="0.35">
      <c r="A286" s="76" t="s">
        <v>66</v>
      </c>
      <c r="B286" s="76"/>
      <c r="C286" s="76"/>
      <c r="D286" s="76"/>
      <c r="E286" s="76"/>
      <c r="F286" s="76"/>
      <c r="G286" s="76"/>
      <c r="H286" s="76"/>
    </row>
    <row r="287" spans="1:8" x14ac:dyDescent="0.35">
      <c r="A287" s="76" t="s">
        <v>67</v>
      </c>
      <c r="B287" s="76"/>
      <c r="C287" s="76"/>
      <c r="D287" s="76"/>
      <c r="E287" s="76"/>
      <c r="F287" s="76"/>
      <c r="G287" s="76"/>
      <c r="H287" s="76"/>
    </row>
    <row r="288" spans="1:8" hidden="1" x14ac:dyDescent="0.35">
      <c r="A288" s="76" t="s">
        <v>132</v>
      </c>
      <c r="B288" s="76"/>
      <c r="C288" s="76"/>
      <c r="D288" s="76"/>
      <c r="E288" s="76"/>
      <c r="F288" s="76"/>
      <c r="G288" s="76"/>
      <c r="H288" s="76"/>
    </row>
    <row r="289" spans="1:8" ht="35.25" hidden="1" customHeight="1" x14ac:dyDescent="0.35">
      <c r="A289" s="99" t="s">
        <v>133</v>
      </c>
      <c r="B289" s="99"/>
      <c r="C289" s="99"/>
      <c r="D289" s="99"/>
      <c r="E289" s="99"/>
      <c r="F289" s="99"/>
      <c r="G289" s="99"/>
      <c r="H289" s="99"/>
    </row>
    <row r="290" spans="1:8" x14ac:dyDescent="0.35">
      <c r="A290" s="98" t="s">
        <v>80</v>
      </c>
      <c r="B290" s="98"/>
      <c r="C290" s="98" t="s">
        <v>221</v>
      </c>
      <c r="D290" s="98"/>
      <c r="E290" s="98" t="s">
        <v>110</v>
      </c>
      <c r="F290" s="98"/>
      <c r="G290" s="98" t="s">
        <v>237</v>
      </c>
      <c r="H290" s="98"/>
    </row>
    <row r="291" spans="1:8" x14ac:dyDescent="0.35">
      <c r="A291" s="97" t="s">
        <v>82</v>
      </c>
      <c r="B291" s="97"/>
      <c r="C291" s="97"/>
      <c r="D291" s="97"/>
      <c r="E291" s="97"/>
      <c r="F291" s="97"/>
      <c r="G291" s="97"/>
      <c r="H291" s="97"/>
    </row>
    <row r="292" spans="1:8" x14ac:dyDescent="0.35">
      <c r="A292" s="97"/>
      <c r="B292" s="97"/>
      <c r="C292" s="97"/>
      <c r="D292" s="97"/>
      <c r="E292" s="97"/>
      <c r="F292" s="97"/>
      <c r="G292" s="97"/>
      <c r="H292" s="97"/>
    </row>
    <row r="293" spans="1:8" x14ac:dyDescent="0.35">
      <c r="A293" s="97"/>
      <c r="B293" s="97"/>
      <c r="C293" s="97"/>
      <c r="D293" s="97"/>
      <c r="E293" s="97"/>
      <c r="F293" s="97"/>
      <c r="G293" s="97"/>
      <c r="H293" s="97"/>
    </row>
    <row r="294" spans="1:8" x14ac:dyDescent="0.35">
      <c r="A294" s="97"/>
      <c r="B294" s="97"/>
      <c r="C294" s="97"/>
      <c r="D294" s="97"/>
      <c r="E294" s="97"/>
      <c r="F294" s="97"/>
      <c r="G294" s="97"/>
      <c r="H294" s="97"/>
    </row>
    <row r="295" spans="1:8" x14ac:dyDescent="0.35">
      <c r="A295" s="42" t="s">
        <v>68</v>
      </c>
      <c r="B295" s="43"/>
      <c r="C295" s="43"/>
      <c r="D295" s="42" t="str">
        <f>E8</f>
        <v>Thanekar Palacio</v>
      </c>
      <c r="F295" s="43"/>
      <c r="G295" s="43"/>
      <c r="H295" s="43"/>
    </row>
    <row r="296" spans="1:8" x14ac:dyDescent="0.35">
      <c r="A296" s="43"/>
      <c r="B296" s="43"/>
      <c r="C296" s="43"/>
      <c r="D296" s="43"/>
      <c r="E296" s="43"/>
      <c r="F296" s="43"/>
      <c r="G296" s="43"/>
      <c r="H296" s="43"/>
    </row>
    <row r="297" spans="1:8" x14ac:dyDescent="0.35">
      <c r="A297" s="43"/>
      <c r="B297" s="43"/>
      <c r="C297" s="43"/>
      <c r="D297" s="43"/>
      <c r="E297" s="43"/>
      <c r="F297" s="43"/>
      <c r="G297" s="43"/>
      <c r="H297" s="43"/>
    </row>
    <row r="298" spans="1:8" ht="15" customHeight="1" x14ac:dyDescent="0.35"/>
    <row r="339" spans="1:1" x14ac:dyDescent="0.35">
      <c r="A339" s="45" t="s">
        <v>69</v>
      </c>
    </row>
  </sheetData>
  <mergeCells count="458">
    <mergeCell ref="C85:D86"/>
    <mergeCell ref="E85:F86"/>
    <mergeCell ref="G85:H86"/>
    <mergeCell ref="B282:H282"/>
    <mergeCell ref="A267:B267"/>
    <mergeCell ref="G260:H267"/>
    <mergeCell ref="A262:B262"/>
    <mergeCell ref="A263:B263"/>
    <mergeCell ref="A264:B264"/>
    <mergeCell ref="A265:B265"/>
    <mergeCell ref="A266:B266"/>
    <mergeCell ref="A257:B257"/>
    <mergeCell ref="A258:B258"/>
    <mergeCell ref="A259:H259"/>
    <mergeCell ref="A260:B260"/>
    <mergeCell ref="A261:B261"/>
    <mergeCell ref="G251:H258"/>
    <mergeCell ref="A253:B253"/>
    <mergeCell ref="A254:B254"/>
    <mergeCell ref="A255:B255"/>
    <mergeCell ref="A256:B256"/>
    <mergeCell ref="C256:F256"/>
    <mergeCell ref="A248:B248"/>
    <mergeCell ref="A249:B249"/>
    <mergeCell ref="A250:H250"/>
    <mergeCell ref="A251:B251"/>
    <mergeCell ref="A252:B252"/>
    <mergeCell ref="G242:H249"/>
    <mergeCell ref="A243:B243"/>
    <mergeCell ref="A244:B244"/>
    <mergeCell ref="A245:B245"/>
    <mergeCell ref="A246:B246"/>
    <mergeCell ref="A247:B247"/>
    <mergeCell ref="A238:B238"/>
    <mergeCell ref="C238:F238"/>
    <mergeCell ref="A239:B239"/>
    <mergeCell ref="A240:B240"/>
    <mergeCell ref="A241:H241"/>
    <mergeCell ref="A242:B242"/>
    <mergeCell ref="G233:H240"/>
    <mergeCell ref="A233:B233"/>
    <mergeCell ref="A234:B234"/>
    <mergeCell ref="A235:B235"/>
    <mergeCell ref="A236:B236"/>
    <mergeCell ref="A237:B237"/>
    <mergeCell ref="A228:B228"/>
    <mergeCell ref="A229:B229"/>
    <mergeCell ref="A230:B230"/>
    <mergeCell ref="A231:B231"/>
    <mergeCell ref="A232:H232"/>
    <mergeCell ref="G224:H231"/>
    <mergeCell ref="A223:H223"/>
    <mergeCell ref="A224:B224"/>
    <mergeCell ref="A225:B225"/>
    <mergeCell ref="A226:B226"/>
    <mergeCell ref="A227:B227"/>
    <mergeCell ref="A221:B221"/>
    <mergeCell ref="L221:M221"/>
    <mergeCell ref="A222:B222"/>
    <mergeCell ref="L222:M222"/>
    <mergeCell ref="G215:H222"/>
    <mergeCell ref="A217:B217"/>
    <mergeCell ref="L217:M217"/>
    <mergeCell ref="A218:B218"/>
    <mergeCell ref="L218:M218"/>
    <mergeCell ref="A219:B219"/>
    <mergeCell ref="L219:M219"/>
    <mergeCell ref="A212:H212"/>
    <mergeCell ref="A213:H213"/>
    <mergeCell ref="A214:H214"/>
    <mergeCell ref="A215:B215"/>
    <mergeCell ref="L215:M215"/>
    <mergeCell ref="A216:B216"/>
    <mergeCell ref="L216:M216"/>
    <mergeCell ref="A202:H202"/>
    <mergeCell ref="A220:B220"/>
    <mergeCell ref="L220:M220"/>
    <mergeCell ref="G203:H211"/>
    <mergeCell ref="A203:B203"/>
    <mergeCell ref="A204:B204"/>
    <mergeCell ref="A205:B205"/>
    <mergeCell ref="C205:F205"/>
    <mergeCell ref="A206:B206"/>
    <mergeCell ref="A207:B207"/>
    <mergeCell ref="A208:B208"/>
    <mergeCell ref="A209:B209"/>
    <mergeCell ref="A210:B210"/>
    <mergeCell ref="A211:B211"/>
    <mergeCell ref="A196:B196"/>
    <mergeCell ref="A197:B197"/>
    <mergeCell ref="A198:B198"/>
    <mergeCell ref="A199:B199"/>
    <mergeCell ref="A200:B200"/>
    <mergeCell ref="G193:H201"/>
    <mergeCell ref="A191:B191"/>
    <mergeCell ref="A192:H192"/>
    <mergeCell ref="A193:B193"/>
    <mergeCell ref="A194:B194"/>
    <mergeCell ref="A195:B195"/>
    <mergeCell ref="G183:H191"/>
    <mergeCell ref="A186:B186"/>
    <mergeCell ref="A187:B187"/>
    <mergeCell ref="A188:B188"/>
    <mergeCell ref="A189:B189"/>
    <mergeCell ref="A190:B190"/>
    <mergeCell ref="A201:B201"/>
    <mergeCell ref="A181:B181"/>
    <mergeCell ref="A182:H182"/>
    <mergeCell ref="A183:B183"/>
    <mergeCell ref="A184:B184"/>
    <mergeCell ref="A185:B185"/>
    <mergeCell ref="C185:F185"/>
    <mergeCell ref="G173:H181"/>
    <mergeCell ref="A176:B176"/>
    <mergeCell ref="A177:B177"/>
    <mergeCell ref="A178:B178"/>
    <mergeCell ref="A179:B179"/>
    <mergeCell ref="A180:B180"/>
    <mergeCell ref="A171:B171"/>
    <mergeCell ref="A172:H172"/>
    <mergeCell ref="A173:B173"/>
    <mergeCell ref="A174:B174"/>
    <mergeCell ref="A175:B175"/>
    <mergeCell ref="G163:H171"/>
    <mergeCell ref="A166:B166"/>
    <mergeCell ref="A167:B167"/>
    <mergeCell ref="A168:B168"/>
    <mergeCell ref="A169:B169"/>
    <mergeCell ref="A170:B170"/>
    <mergeCell ref="A161:B161"/>
    <mergeCell ref="A162:H162"/>
    <mergeCell ref="A163:B163"/>
    <mergeCell ref="A164:B164"/>
    <mergeCell ref="A165:B165"/>
    <mergeCell ref="C165:F165"/>
    <mergeCell ref="G153:H161"/>
    <mergeCell ref="A156:B156"/>
    <mergeCell ref="A157:B157"/>
    <mergeCell ref="A158:B158"/>
    <mergeCell ref="A159:B159"/>
    <mergeCell ref="A160:B160"/>
    <mergeCell ref="A151:B151"/>
    <mergeCell ref="A152:H152"/>
    <mergeCell ref="A153:B153"/>
    <mergeCell ref="A154:B154"/>
    <mergeCell ref="A155:B155"/>
    <mergeCell ref="A145:B145"/>
    <mergeCell ref="A144:B144"/>
    <mergeCell ref="A143:B143"/>
    <mergeCell ref="A142:H142"/>
    <mergeCell ref="G143:H151"/>
    <mergeCell ref="A146:B146"/>
    <mergeCell ref="A147:B147"/>
    <mergeCell ref="A148:B148"/>
    <mergeCell ref="A149:B149"/>
    <mergeCell ref="A150:B150"/>
    <mergeCell ref="A141:B141"/>
    <mergeCell ref="L141:M141"/>
    <mergeCell ref="G133:H141"/>
    <mergeCell ref="A138:B138"/>
    <mergeCell ref="L138:M138"/>
    <mergeCell ref="A139:B139"/>
    <mergeCell ref="L139:M139"/>
    <mergeCell ref="A140:B140"/>
    <mergeCell ref="L140:M140"/>
    <mergeCell ref="A135:B135"/>
    <mergeCell ref="L135:M135"/>
    <mergeCell ref="A136:B136"/>
    <mergeCell ref="L136:M136"/>
    <mergeCell ref="A137:B137"/>
    <mergeCell ref="L137:M137"/>
    <mergeCell ref="A130:H130"/>
    <mergeCell ref="A131:H131"/>
    <mergeCell ref="A132:H132"/>
    <mergeCell ref="A133:B133"/>
    <mergeCell ref="L133:M133"/>
    <mergeCell ref="A134:B134"/>
    <mergeCell ref="L134:M134"/>
    <mergeCell ref="A126:B126"/>
    <mergeCell ref="G126:H126"/>
    <mergeCell ref="L126:M126"/>
    <mergeCell ref="A127:H127"/>
    <mergeCell ref="A128:A129"/>
    <mergeCell ref="B128:B129"/>
    <mergeCell ref="C128:C129"/>
    <mergeCell ref="D128:D129"/>
    <mergeCell ref="E128:E129"/>
    <mergeCell ref="G128:H129"/>
    <mergeCell ref="A121:H121"/>
    <mergeCell ref="A122:A123"/>
    <mergeCell ref="B122:B123"/>
    <mergeCell ref="C122:C123"/>
    <mergeCell ref="D122:D123"/>
    <mergeCell ref="E122:E123"/>
    <mergeCell ref="G122:H123"/>
    <mergeCell ref="A124:H124"/>
    <mergeCell ref="A125:H125"/>
    <mergeCell ref="A118:B118"/>
    <mergeCell ref="C118:D118"/>
    <mergeCell ref="E118:F118"/>
    <mergeCell ref="G118:H118"/>
    <mergeCell ref="A119:B119"/>
    <mergeCell ref="C119:D119"/>
    <mergeCell ref="E119:F119"/>
    <mergeCell ref="G119:H119"/>
    <mergeCell ref="A120:H120"/>
    <mergeCell ref="A115:H115"/>
    <mergeCell ref="A116:B116"/>
    <mergeCell ref="C116:D116"/>
    <mergeCell ref="E116:F116"/>
    <mergeCell ref="G116:H116"/>
    <mergeCell ref="A117:B117"/>
    <mergeCell ref="C117:D117"/>
    <mergeCell ref="E117:F117"/>
    <mergeCell ref="G117:H117"/>
    <mergeCell ref="A112:H112"/>
    <mergeCell ref="A113:B113"/>
    <mergeCell ref="C113:D113"/>
    <mergeCell ref="E113:F113"/>
    <mergeCell ref="G113:H113"/>
    <mergeCell ref="A114:B114"/>
    <mergeCell ref="C114:D114"/>
    <mergeCell ref="E114:F114"/>
    <mergeCell ref="G114:H114"/>
    <mergeCell ref="A53:H53"/>
    <mergeCell ref="A54:C54"/>
    <mergeCell ref="A55:C55"/>
    <mergeCell ref="D55:H55"/>
    <mergeCell ref="G52:H52"/>
    <mergeCell ref="A91:B91"/>
    <mergeCell ref="A90:B90"/>
    <mergeCell ref="A66:B66"/>
    <mergeCell ref="C66:H66"/>
    <mergeCell ref="A68:B68"/>
    <mergeCell ref="D59:H59"/>
    <mergeCell ref="D60:H60"/>
    <mergeCell ref="D61:H61"/>
    <mergeCell ref="G71:H71"/>
    <mergeCell ref="A72:B72"/>
    <mergeCell ref="E72:F81"/>
    <mergeCell ref="G72:H81"/>
    <mergeCell ref="A73:B73"/>
    <mergeCell ref="A74:B74"/>
    <mergeCell ref="A75:B75"/>
    <mergeCell ref="A76:B76"/>
    <mergeCell ref="A77:B77"/>
    <mergeCell ref="A78:B78"/>
    <mergeCell ref="A79:B79"/>
    <mergeCell ref="A57:C58"/>
    <mergeCell ref="A71:B71"/>
    <mergeCell ref="E71:F71"/>
    <mergeCell ref="A59:C59"/>
    <mergeCell ref="A60:C60"/>
    <mergeCell ref="A104:E104"/>
    <mergeCell ref="F104:H104"/>
    <mergeCell ref="E88:F97"/>
    <mergeCell ref="G88:H97"/>
    <mergeCell ref="A96:B96"/>
    <mergeCell ref="A97:B97"/>
    <mergeCell ref="A94:B94"/>
    <mergeCell ref="A80:B80"/>
    <mergeCell ref="A81:B81"/>
    <mergeCell ref="C68:H68"/>
    <mergeCell ref="A69:B70"/>
    <mergeCell ref="C69:D70"/>
    <mergeCell ref="E69:F70"/>
    <mergeCell ref="G69:H70"/>
    <mergeCell ref="A85:B86"/>
    <mergeCell ref="A105:E105"/>
    <mergeCell ref="A107:E107"/>
    <mergeCell ref="B276:H276"/>
    <mergeCell ref="A45:B45"/>
    <mergeCell ref="C45:H45"/>
    <mergeCell ref="B274:H274"/>
    <mergeCell ref="F100:H100"/>
    <mergeCell ref="A100:E100"/>
    <mergeCell ref="A102:E102"/>
    <mergeCell ref="A103:E103"/>
    <mergeCell ref="F108:H108"/>
    <mergeCell ref="A109:E109"/>
    <mergeCell ref="F98:H98"/>
    <mergeCell ref="F103:H103"/>
    <mergeCell ref="F102:H102"/>
    <mergeCell ref="B275:H275"/>
    <mergeCell ref="B271:H271"/>
    <mergeCell ref="B269:H269"/>
    <mergeCell ref="B270:H270"/>
    <mergeCell ref="B272:H272"/>
    <mergeCell ref="B273:H273"/>
    <mergeCell ref="A95:B95"/>
    <mergeCell ref="F105:H105"/>
    <mergeCell ref="A99:E99"/>
    <mergeCell ref="F106:H106"/>
    <mergeCell ref="F109:H109"/>
    <mergeCell ref="F107:H107"/>
    <mergeCell ref="F101:H101"/>
    <mergeCell ref="A106:E106"/>
    <mergeCell ref="A101:E101"/>
    <mergeCell ref="A98:E98"/>
    <mergeCell ref="A38:D38"/>
    <mergeCell ref="E38:H3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6:H56"/>
    <mergeCell ref="A56:C56"/>
    <mergeCell ref="G47:H47"/>
    <mergeCell ref="A48:B49"/>
    <mergeCell ref="C52:E52"/>
    <mergeCell ref="A47:B47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0:B51"/>
    <mergeCell ref="C50:E50"/>
    <mergeCell ref="G50:H50"/>
    <mergeCell ref="C51:H51"/>
    <mergeCell ref="C48:E48"/>
    <mergeCell ref="C84:H84"/>
    <mergeCell ref="A89:B89"/>
    <mergeCell ref="E87:F87"/>
    <mergeCell ref="A62:C62"/>
    <mergeCell ref="D62:H62"/>
    <mergeCell ref="A65:C65"/>
    <mergeCell ref="D65:H65"/>
    <mergeCell ref="A63:C63"/>
    <mergeCell ref="D63:H63"/>
    <mergeCell ref="A64:C64"/>
    <mergeCell ref="D64:H64"/>
    <mergeCell ref="A88:B88"/>
    <mergeCell ref="G87:H87"/>
    <mergeCell ref="A87:B87"/>
    <mergeCell ref="A84:B84"/>
    <mergeCell ref="A82:B82"/>
    <mergeCell ref="C82:H82"/>
    <mergeCell ref="C49:H49"/>
    <mergeCell ref="D57:H57"/>
    <mergeCell ref="A286:H286"/>
    <mergeCell ref="A268:H268"/>
    <mergeCell ref="A283:H283"/>
    <mergeCell ref="A284:H284"/>
    <mergeCell ref="A291:H294"/>
    <mergeCell ref="A290:B290"/>
    <mergeCell ref="E290:F290"/>
    <mergeCell ref="C290:D290"/>
    <mergeCell ref="G290:H290"/>
    <mergeCell ref="A289:H289"/>
    <mergeCell ref="A287:H287"/>
    <mergeCell ref="A288:H288"/>
    <mergeCell ref="A285:H285"/>
    <mergeCell ref="D58:H58"/>
    <mergeCell ref="A108:E108"/>
    <mergeCell ref="B280:H280"/>
    <mergeCell ref="B281:H281"/>
    <mergeCell ref="B279:H279"/>
    <mergeCell ref="A92:B92"/>
    <mergeCell ref="A61:C61"/>
    <mergeCell ref="E39:H39"/>
    <mergeCell ref="A39:D39"/>
    <mergeCell ref="A93:B93"/>
    <mergeCell ref="F99:H99"/>
    <mergeCell ref="A46:B46"/>
    <mergeCell ref="C46:E46"/>
    <mergeCell ref="B277:H277"/>
    <mergeCell ref="B278:H278"/>
    <mergeCell ref="G46:H46"/>
    <mergeCell ref="G48:H48"/>
    <mergeCell ref="D54:H54"/>
    <mergeCell ref="A110:E110"/>
    <mergeCell ref="F110:H110"/>
    <mergeCell ref="A111:E111"/>
    <mergeCell ref="F111:H111"/>
    <mergeCell ref="C47:E47"/>
    <mergeCell ref="A52:B52"/>
  </mergeCells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94" max="16383" man="1"/>
    <brk id="33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8" sqref="B18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97" t="s">
        <v>111</v>
      </c>
      <c r="C3" s="197"/>
      <c r="D3" s="197"/>
      <c r="E3" s="197"/>
      <c r="F3" s="197"/>
      <c r="G3" s="197"/>
      <c r="H3" s="197"/>
    </row>
    <row r="4" spans="1:9" x14ac:dyDescent="0.35">
      <c r="A4" s="3"/>
      <c r="B4" s="4" t="s">
        <v>112</v>
      </c>
      <c r="C4" s="4" t="s">
        <v>113</v>
      </c>
      <c r="D4" s="4" t="s">
        <v>71</v>
      </c>
      <c r="E4" s="4" t="s">
        <v>114</v>
      </c>
      <c r="F4" s="4" t="s">
        <v>120</v>
      </c>
      <c r="G4" s="4" t="s">
        <v>121</v>
      </c>
      <c r="H4" s="4" t="s">
        <v>115</v>
      </c>
    </row>
    <row r="5" spans="1:9" ht="15" customHeight="1" x14ac:dyDescent="0.35">
      <c r="A5" s="3"/>
      <c r="B5" s="6" t="s">
        <v>116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116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116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116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116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117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117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118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119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2024-12-20T05:37:49Z</cp:lastPrinted>
  <dcterms:created xsi:type="dcterms:W3CDTF">2019-07-16T09:29:46Z</dcterms:created>
  <dcterms:modified xsi:type="dcterms:W3CDTF">2025-07-23T10:55:20Z</dcterms:modified>
</cp:coreProperties>
</file>