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3-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4" i="1" s="1"/>
  <c r="G45" i="1" s="1"/>
  <c r="E46" i="1"/>
  <c r="E42" i="1"/>
  <c r="M203" i="1" l="1"/>
  <c r="M210" i="1"/>
  <c r="F213" i="1"/>
  <c r="O213" i="1" s="1"/>
  <c r="O198" i="1"/>
  <c r="G223" i="1"/>
  <c r="G222" i="1"/>
  <c r="G210" i="1"/>
  <c r="G208" i="1"/>
  <c r="G197" i="1"/>
  <c r="G196" i="1"/>
  <c r="G195" i="1"/>
  <c r="E228" i="1"/>
  <c r="D228" i="1"/>
  <c r="F228" i="1" s="1"/>
  <c r="M228" i="1" s="1"/>
  <c r="E227" i="1"/>
  <c r="D227" i="1"/>
  <c r="E226" i="1"/>
  <c r="D226" i="1"/>
  <c r="E224" i="1"/>
  <c r="D224" i="1"/>
  <c r="E223" i="1"/>
  <c r="D223" i="1"/>
  <c r="E222" i="1"/>
  <c r="D222" i="1"/>
  <c r="E218" i="1"/>
  <c r="D218" i="1"/>
  <c r="E216" i="1"/>
  <c r="F216" i="1" s="1"/>
  <c r="M216" i="1" s="1"/>
  <c r="D216" i="1"/>
  <c r="E214" i="1"/>
  <c r="E213" i="1"/>
  <c r="E212" i="1"/>
  <c r="D214" i="1"/>
  <c r="F214" i="1" s="1"/>
  <c r="D213" i="1"/>
  <c r="D212" i="1"/>
  <c r="E209" i="1"/>
  <c r="E208" i="1"/>
  <c r="D210" i="1"/>
  <c r="D209" i="1"/>
  <c r="D208" i="1"/>
  <c r="E205" i="1"/>
  <c r="D205" i="1"/>
  <c r="E204" i="1"/>
  <c r="D204" i="1"/>
  <c r="E203" i="1"/>
  <c r="D203" i="1"/>
  <c r="E201" i="1"/>
  <c r="D201" i="1"/>
  <c r="E200" i="1"/>
  <c r="D200" i="1"/>
  <c r="E199" i="1"/>
  <c r="D199" i="1"/>
  <c r="E197" i="1"/>
  <c r="E196" i="1"/>
  <c r="D197" i="1"/>
  <c r="D196" i="1"/>
  <c r="D195" i="1"/>
  <c r="D188" i="1"/>
  <c r="D187" i="1"/>
  <c r="H187" i="1" s="1"/>
  <c r="D185" i="1"/>
  <c r="H185" i="1" s="1"/>
  <c r="D184" i="1"/>
  <c r="D183" i="1"/>
  <c r="D182" i="1"/>
  <c r="D181" i="1"/>
  <c r="F181" i="1" s="1"/>
  <c r="D180" i="1"/>
  <c r="H180" i="1" s="1"/>
  <c r="D179" i="1"/>
  <c r="F179" i="1" s="1"/>
  <c r="D178" i="1"/>
  <c r="H178" i="1" s="1"/>
  <c r="D174" i="1"/>
  <c r="H174" i="1" s="1"/>
  <c r="G138" i="1" s="1"/>
  <c r="D172" i="1"/>
  <c r="D171" i="1"/>
  <c r="D170" i="1"/>
  <c r="D169" i="1"/>
  <c r="F169" i="1" s="1"/>
  <c r="D168" i="1"/>
  <c r="H168" i="1" s="1"/>
  <c r="D167" i="1"/>
  <c r="F167" i="1" s="1"/>
  <c r="D164" i="1"/>
  <c r="H164" i="1" s="1"/>
  <c r="G137" i="1" s="1"/>
  <c r="D162" i="1"/>
  <c r="D161" i="1"/>
  <c r="D160" i="1"/>
  <c r="D159" i="1"/>
  <c r="D158" i="1"/>
  <c r="D157" i="1"/>
  <c r="D156" i="1"/>
  <c r="D155" i="1"/>
  <c r="J223" i="1"/>
  <c r="I223" i="1"/>
  <c r="I181" i="1"/>
  <c r="I178" i="1"/>
  <c r="J197" i="1"/>
  <c r="I197" i="1"/>
  <c r="J195" i="1"/>
  <c r="I195" i="1"/>
  <c r="J208" i="1"/>
  <c r="I208" i="1"/>
  <c r="I164" i="1"/>
  <c r="I174" i="1"/>
  <c r="I171" i="1"/>
  <c r="I161" i="1"/>
  <c r="I157" i="1"/>
  <c r="I156" i="1"/>
  <c r="I155" i="1"/>
  <c r="A227" i="1"/>
  <c r="A228" i="1" s="1"/>
  <c r="F223" i="1"/>
  <c r="M223" i="1" s="1"/>
  <c r="A223" i="1"/>
  <c r="A224" i="1" s="1"/>
  <c r="F222" i="1"/>
  <c r="M222" i="1" s="1"/>
  <c r="H188" i="1"/>
  <c r="H183" i="1"/>
  <c r="H182" i="1"/>
  <c r="H184" i="1"/>
  <c r="H179" i="1"/>
  <c r="A179" i="1"/>
  <c r="A180" i="1" s="1"/>
  <c r="A181" i="1" s="1"/>
  <c r="A182" i="1" s="1"/>
  <c r="A183" i="1" s="1"/>
  <c r="A184" i="1" s="1"/>
  <c r="A185" i="1" s="1"/>
  <c r="F210" i="1"/>
  <c r="A218" i="1"/>
  <c r="A213" i="1"/>
  <c r="A214" i="1" s="1"/>
  <c r="A209" i="1"/>
  <c r="A210" i="1" s="1"/>
  <c r="F208" i="1"/>
  <c r="M208" i="1" s="1"/>
  <c r="A204" i="1"/>
  <c r="A205" i="1" s="1"/>
  <c r="F203" i="1"/>
  <c r="F199" i="1"/>
  <c r="M199" i="1" s="1"/>
  <c r="A200" i="1"/>
  <c r="A201" i="1" s="1"/>
  <c r="H172" i="1"/>
  <c r="F171" i="1"/>
  <c r="H170" i="1"/>
  <c r="F162" i="1"/>
  <c r="F161" i="1"/>
  <c r="F160" i="1"/>
  <c r="H159" i="1"/>
  <c r="F172" i="1"/>
  <c r="H171" i="1"/>
  <c r="O214" i="1" l="1"/>
  <c r="M214" i="1"/>
  <c r="F212" i="1"/>
  <c r="F218" i="1"/>
  <c r="M218" i="1" s="1"/>
  <c r="F226" i="1"/>
  <c r="M226" i="1" s="1"/>
  <c r="O199" i="1"/>
  <c r="M213" i="1"/>
  <c r="G139" i="1"/>
  <c r="G140" i="1" s="1"/>
  <c r="F224" i="1"/>
  <c r="M224" i="1" s="1"/>
  <c r="G144" i="1"/>
  <c r="F200" i="1"/>
  <c r="F209" i="1"/>
  <c r="M209" i="1" s="1"/>
  <c r="F201" i="1"/>
  <c r="F227" i="1"/>
  <c r="M227" i="1" s="1"/>
  <c r="F188" i="1"/>
  <c r="F187" i="1"/>
  <c r="H181" i="1"/>
  <c r="G135" i="1" s="1"/>
  <c r="F178" i="1"/>
  <c r="F180" i="1"/>
  <c r="F182" i="1"/>
  <c r="F184" i="1"/>
  <c r="F183" i="1"/>
  <c r="F185" i="1"/>
  <c r="F204" i="1"/>
  <c r="M204" i="1" s="1"/>
  <c r="F205" i="1"/>
  <c r="M205" i="1" s="1"/>
  <c r="F174" i="1"/>
  <c r="F164" i="1"/>
  <c r="F170" i="1"/>
  <c r="H169" i="1"/>
  <c r="F168" i="1"/>
  <c r="E134" i="1" s="1"/>
  <c r="H167" i="1"/>
  <c r="H162" i="1"/>
  <c r="H161" i="1"/>
  <c r="H160" i="1"/>
  <c r="F159" i="1"/>
  <c r="B231" i="1"/>
  <c r="C144" i="1" l="1"/>
  <c r="O201" i="1"/>
  <c r="M201" i="1"/>
  <c r="M200" i="1"/>
  <c r="O200" i="1"/>
  <c r="O212" i="1"/>
  <c r="M212" i="1"/>
  <c r="G134" i="1"/>
  <c r="E144" i="1"/>
  <c r="E137" i="1"/>
  <c r="C137" i="1"/>
  <c r="C134" i="1"/>
  <c r="E138" i="1"/>
  <c r="C138" i="1"/>
  <c r="E135" i="1"/>
  <c r="C135" i="1"/>
  <c r="C139" i="1"/>
  <c r="E139" i="1"/>
  <c r="G145" i="1"/>
  <c r="E145" i="1"/>
  <c r="C145" i="1"/>
  <c r="G58" i="1"/>
  <c r="C58" i="1"/>
  <c r="G56" i="1"/>
  <c r="C56" i="1"/>
  <c r="C54" i="1"/>
  <c r="C140" i="1" l="1"/>
  <c r="E140" i="1"/>
  <c r="S33" i="1"/>
  <c r="F11" i="5" l="1"/>
  <c r="G11" i="5" s="1"/>
  <c r="F10" i="5"/>
  <c r="G10" i="5" s="1"/>
  <c r="F9" i="5"/>
  <c r="G9" i="5" s="1"/>
  <c r="F8" i="5"/>
  <c r="G8" i="5" s="1"/>
  <c r="G7" i="5"/>
  <c r="F7" i="5"/>
  <c r="F6" i="5"/>
  <c r="G6" i="5" s="1"/>
  <c r="F5" i="5"/>
  <c r="G5" i="5" s="1"/>
  <c r="G12" i="5" s="1"/>
  <c r="D254" i="1"/>
  <c r="B232" i="1"/>
  <c r="F197" i="1"/>
  <c r="F196" i="1"/>
  <c r="A196" i="1"/>
  <c r="A197" i="1" s="1"/>
  <c r="F195" i="1"/>
  <c r="H158" i="1"/>
  <c r="F158" i="1"/>
  <c r="H157" i="1"/>
  <c r="F157" i="1"/>
  <c r="H156" i="1"/>
  <c r="F156" i="1"/>
  <c r="A156" i="1"/>
  <c r="A157" i="1" s="1"/>
  <c r="A158" i="1" s="1"/>
  <c r="A159" i="1" s="1"/>
  <c r="A160" i="1" s="1"/>
  <c r="A161" i="1" s="1"/>
  <c r="A162" i="1" s="1"/>
  <c r="A167" i="1" s="1"/>
  <c r="A168" i="1" s="1"/>
  <c r="A169" i="1" s="1"/>
  <c r="A170" i="1" s="1"/>
  <c r="A171" i="1" s="1"/>
  <c r="A172" i="1" s="1"/>
  <c r="H155" i="1"/>
  <c r="F155" i="1"/>
  <c r="F130" i="1"/>
  <c r="C103" i="1"/>
  <c r="D69" i="1"/>
  <c r="D62" i="1"/>
  <c r="G51" i="1"/>
  <c r="G52" i="1" s="1"/>
  <c r="C51" i="1"/>
  <c r="E44" i="1"/>
  <c r="E45" i="1" s="1"/>
  <c r="E31" i="1"/>
  <c r="E28" i="1"/>
  <c r="E26" i="1"/>
  <c r="C16" i="1"/>
  <c r="I15" i="1"/>
  <c r="Z13" i="1"/>
  <c r="E8" i="1"/>
  <c r="E3" i="1"/>
  <c r="H76" i="1"/>
  <c r="H90" i="1"/>
  <c r="H104" i="1"/>
  <c r="O196" i="1" l="1"/>
  <c r="M196" i="1"/>
  <c r="M197" i="1"/>
  <c r="O197" i="1"/>
  <c r="O195" i="1"/>
  <c r="M195" i="1"/>
  <c r="E133" i="1"/>
  <c r="E136" i="1" s="1"/>
  <c r="C133" i="1"/>
  <c r="C136" i="1" s="1"/>
  <c r="G133" i="1"/>
  <c r="G136" i="1" s="1"/>
  <c r="G143" i="1"/>
  <c r="G146" i="1" s="1"/>
  <c r="C143" i="1"/>
  <c r="C146" i="1" s="1"/>
  <c r="E143" i="1"/>
  <c r="E146" i="1" s="1"/>
  <c r="E147" i="1" s="1"/>
  <c r="J75" i="1"/>
  <c r="J77" i="1" s="1"/>
  <c r="J78" i="1"/>
  <c r="J79" i="1"/>
  <c r="J80" i="1"/>
  <c r="C79" i="1" s="1"/>
  <c r="J94" i="1"/>
  <c r="C93" i="1" s="1"/>
  <c r="D93" i="1" s="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C147" i="1" l="1"/>
  <c r="G147" i="1"/>
  <c r="D79" i="1"/>
  <c r="D109" i="1"/>
  <c r="J114" i="1"/>
  <c r="J111" i="1"/>
  <c r="J113" i="1"/>
  <c r="J112" i="1"/>
  <c r="J109" i="1"/>
  <c r="J110" i="1" s="1"/>
  <c r="J115" i="1" s="1"/>
  <c r="J100" i="1"/>
  <c r="J97" i="1"/>
  <c r="J99" i="1"/>
  <c r="J98" i="1"/>
  <c r="J95" i="1"/>
  <c r="J96" i="1" s="1"/>
  <c r="J85" i="1"/>
  <c r="J83" i="1"/>
  <c r="J84" i="1"/>
  <c r="J82" i="1"/>
  <c r="J87" i="1" s="1"/>
  <c r="J88" i="1" s="1"/>
  <c r="C80" i="1" s="1"/>
  <c r="J86" i="1"/>
  <c r="J116" i="1" l="1"/>
  <c r="C108" i="1" s="1"/>
  <c r="E107" i="1" s="1"/>
  <c r="J76" i="1"/>
  <c r="J101" i="1"/>
  <c r="J102" i="1" s="1"/>
  <c r="E79" i="1"/>
  <c r="D80" i="1"/>
  <c r="I76" i="1" s="1"/>
  <c r="G79" i="1"/>
  <c r="D73" i="1" s="1"/>
  <c r="C94" i="1" l="1"/>
  <c r="G107" i="1"/>
  <c r="J104" i="1"/>
  <c r="D108" i="1"/>
  <c r="I104" i="1" s="1"/>
  <c r="I105" i="1" s="1"/>
  <c r="F74" i="1"/>
  <c r="D74" i="1"/>
  <c r="I77" i="1"/>
  <c r="I75" i="1" s="1"/>
  <c r="C77" i="1" s="1"/>
  <c r="E93" i="1" l="1"/>
  <c r="D94" i="1"/>
  <c r="I90" i="1" s="1"/>
  <c r="I91" i="1" s="1"/>
  <c r="G93" i="1"/>
  <c r="J90" i="1"/>
  <c r="I103" i="1"/>
  <c r="C105" i="1" s="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<sst xmlns="http://schemas.openxmlformats.org/spreadsheetml/2006/main" count="682" uniqueCount="365">
  <si>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</si>
  <si>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</si>
  <si>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</si>
  <si>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</si>
  <si>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</si>
  <si>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</si>
  <si>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</si>
  <si>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</si>
  <si>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</si>
  <si>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</si>
  <si>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</si>
  <si>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</si>
  <si>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</si>
  <si>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</si>
  <si>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</si>
  <si>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</si>
  <si>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</si>
  <si>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</si>
  <si>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</si>
  <si>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</si>
  <si>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</si>
  <si>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</si>
  <si>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</si>
  <si>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</si>
  <si>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</si>
  <si>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</si>
  <si>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</si>
  <si>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</si>
  <si>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</si>
  <si>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</si>
  <si>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</si>
  <si>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</si>
  <si>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</si>
  <si>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</si>
  <si>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</si>
  <si>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</si>
  <si>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</si>
  <si>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</si>
  <si>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</si>
  <si>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</si>
  <si>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</si>
  <si>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</si>
  <si>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</si>
  <si>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</si>
  <si>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</si>
  <si>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</si>
  <si>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</si>
  <si>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</si>
  <si>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</si>
  <si>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</si>
  <si>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</si>
  <si>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</si>
  <si>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</si>
  <si>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</si>
  <si>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</si>
  <si>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</si>
  <si>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</si>
  <si>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</si>
  <si>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</si>
  <si>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</si>
  <si>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</si>
  <si>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</si>
  <si>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</si>
  <si>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</si>
  <si>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</si>
  <si>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</si>
  <si>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</si>
  <si>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</si>
  <si>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</si>
  <si>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</si>
  <si>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</si>
  <si>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</si>
  <si>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</si>
  <si>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</si>
  <si>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</si>
  <si>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</si>
  <si>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</si>
  <si>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</si>
  <si>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</si>
  <si>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</si>
  <si>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</si>
  <si>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</si>
  <si>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</si>
  <si>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</si>
  <si>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</si>
  <si>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</si>
  <si>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</si>
  <si>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</si>
  <si>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</si>
  <si>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</si>
  <si>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</si>
  <si>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</si>
  <si>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</si>
  <si>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</si>
  <si>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</si>
  <si>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</si>
  <si>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</si>
  <si>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</si>
  <si>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</si>
  <si>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</si>
  <si>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</si>
  <si>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</si>
  <si>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</si>
  <si>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</si>
  <si>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</si>
  <si>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</si>
  <si>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</si>
  <si>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</si>
  <si>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</si>
  <si>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</si>
  <si>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</si>
  <si>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</si>
  <si>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</si>
  <si>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</si>
  <si>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</si>
  <si>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</si>
  <si>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</si>
  <si>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</si>
  <si>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</si>
  <si>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</si>
  <si>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</si>
  <si>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</si>
  <si>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</si>
  <si>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</si>
  <si>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</si>
  <si>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</si>
  <si>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</si>
  <si>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</si>
  <si>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</si>
  <si>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</si>
  <si>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</si>
  <si>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</si>
  <si>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</si>
  <si>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</si>
  <si>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</si>
  <si>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</si>
  <si>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</si>
  <si>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</si>
  <si>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</si>
  <si>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</si>
  <si>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</si>
  <si>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</si>
  <si>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</si>
  <si>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</si>
  <si>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</si>
  <si>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</si>
  <si>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</si>
  <si>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</si>
  <si>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</si>
  <si>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</si>
  <si>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</si>
  <si>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</si>
  <si>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</si>
  <si>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</si>
  <si>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</si>
  <si>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</si>
  <si>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</si>
  <si>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</si>
  <si>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</si>
  <si>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</si>
  <si>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</si>
  <si>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</si>
  <si>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</si>
  <si>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</si>
  <si>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</si>
  <si>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</si>
  <si>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</si>
  <si>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</si>
  <si>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</si>
  <si>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</si>
  <si>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</si>
  <si>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</si>
  <si>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</si>
  <si>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</si>
  <si>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</si>
  <si>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</si>
  <si>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</si>
  <si>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</si>
  <si>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</si>
  <si>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</si>
  <si>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</si>
  <si>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</si>
  <si>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</si>
  <si>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</si>
  <si>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</si>
  <si>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</si>
  <si>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</si>
  <si>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</si>
  <si>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</si>
  <si>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</si>
  <si>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</si>
  <si>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</si>
  <si>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</si>
  <si>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</si>
  <si>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</si>
  <si>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</si>
  <si>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</si>
  <si>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</si>
  <si>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</si>
  <si>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</si>
  <si>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</si>
  <si>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</si>
  <si>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</si>
  <si>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</si>
  <si>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</si>
  <si>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</si>
  <si>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</si>
  <si>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</si>
  <si>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</si>
  <si>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</si>
  <si>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</si>
  <si>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</si>
  <si>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</si>
  <si>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</si>
  <si>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</si>
  <si>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</si>
  <si>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</si>
  <si>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</si>
  <si>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</si>
  <si>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</si>
  <si>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</si>
  <si>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</si>
  <si>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</si>
  <si>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</si>
  <si>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</si>
  <si>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</si>
  <si>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</si>
  <si>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</si>
  <si>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</si>
  <si>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</si>
  <si>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</si>
  <si>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</si>
  <si>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</si>
  <si>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</si>
  <si>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</si>
  <si>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</si>
  <si>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</si>
  <si>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</si>
  <si>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</si>
  <si>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</si>
  <si>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</si>
  <si>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</si>
  <si>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</si>
  <si>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</si>
  <si>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</si>
  <si>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</si>
  <si>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</si>
  <si>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</si>
  <si>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</si>
  <si>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</si>
  <si>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</si>
  <si>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</si>
  <si>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</si>
  <si>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</si>
  <si>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</si>
  <si>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</si>
  <si>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</si>
  <si>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</si>
  <si>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</si>
  <si>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</si>
  <si>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</si>
  <si>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</si>
  <si>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</si>
  <si>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</si>
  <si>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</si>
  <si>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</si>
  <si>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</si>
  <si>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</si>
  <si>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</si>
  <si>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</si>
  <si>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</si>
  <si>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</si>
  <si>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</si>
  <si>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</si>
  <si>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</si>
  <si>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</si>
  <si>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</si>
  <si>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</si>
  <si>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</si>
  <si>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</si>
  <si>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</si>
  <si>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</si>
  <si>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</si>
  <si>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</si>
  <si>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</si>
  <si>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</si>
  <si>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</si>
  <si>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</si>
  <si>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</si>
  <si>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</si>
  <si>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</si>
  <si>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</si>
  <si>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</si>
  <si>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</si>
  <si>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</si>
  <si>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</si>
  <si>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</si>
  <si>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</si>
  <si>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</si>
  <si>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Laxmi Infra</t>
  </si>
  <si>
    <t>Laxmi Residency</t>
  </si>
  <si>
    <t>Mr. Kamlakar Gorpade 9011068251</t>
  </si>
  <si>
    <t>Wing A, B &amp; C</t>
  </si>
  <si>
    <t>P51700054069</t>
  </si>
  <si>
    <t>Survey No</t>
  </si>
  <si>
    <t>Katrap</t>
  </si>
  <si>
    <t>19.168388,73.224038</t>
  </si>
  <si>
    <t>https://maps.app.goo.gl/pJNgFwoKGAAyM7gj6</t>
  </si>
  <si>
    <t>Katrap Gaon</t>
  </si>
  <si>
    <t>Proposed Panvel Highway</t>
  </si>
  <si>
    <t>1.70KM from Badlapur Railway Station</t>
  </si>
  <si>
    <t>Other Plot</t>
  </si>
  <si>
    <t>30.00 M. Wide D.P. Road</t>
  </si>
  <si>
    <t>Open Plot</t>
  </si>
  <si>
    <t>Patils Hills View</t>
  </si>
  <si>
    <t>Ekdant smaran apt/
Katrap School Road</t>
  </si>
  <si>
    <t>Other Plot/
12.00 M. Wide Road</t>
  </si>
  <si>
    <t>KBNP/NRV/BP/329-168</t>
  </si>
  <si>
    <t>K.B.N.P./NRV/B.P./329/2022-2023 Unique No. 168</t>
  </si>
  <si>
    <t>Wing B = Gr + 1st to 6th Floor</t>
  </si>
  <si>
    <r>
      <t xml:space="preserve">Proposed Amenities :                                                                                                                                                                                                                         </t>
    </r>
    <r>
      <rPr>
        <b/>
        <sz val="12"/>
        <rFont val="Times New Roman"/>
        <family val="1"/>
      </rPr>
      <t xml:space="preserve">                                               </t>
    </r>
  </si>
  <si>
    <t>As per RERA - 31/12/2026</t>
  </si>
  <si>
    <t>Vitrified tiles flooring, Granite Kitchen Platform, Decorative Entrance, Landscaping &amp; Garden, etc.</t>
  </si>
  <si>
    <t>Wing A</t>
  </si>
  <si>
    <t>Ground Floor For Commercial &amp; Entrance Lobby</t>
  </si>
  <si>
    <t>Shop</t>
  </si>
  <si>
    <t>Wing B</t>
  </si>
  <si>
    <t>1BHK</t>
  </si>
  <si>
    <t>2BHK</t>
  </si>
  <si>
    <t>2nd Floor For Residential</t>
  </si>
  <si>
    <t xml:space="preserve">3rd to 5th Floor </t>
  </si>
  <si>
    <t xml:space="preserve">6th Floor </t>
  </si>
  <si>
    <t>-</t>
  </si>
  <si>
    <t>6th Floor (Drivers Room &amp; Society Office)</t>
  </si>
  <si>
    <t>Drivers Room &amp; Society Office</t>
  </si>
  <si>
    <t>Wing C</t>
  </si>
  <si>
    <t xml:space="preserve">3rd to 7th Floor </t>
  </si>
  <si>
    <t>Construction work is in process at the time of Visit (labour found).</t>
  </si>
  <si>
    <t>We considered Gross carpet area = Net carpet + Enclose balcony + Open Balcony + EP Area.</t>
  </si>
  <si>
    <t>Sudhir Bhosale</t>
  </si>
  <si>
    <t>Office</t>
  </si>
  <si>
    <t>Total Shops</t>
  </si>
  <si>
    <t>Total Offices</t>
  </si>
  <si>
    <t>Flats - 47, Shops - 22, Offices - 04</t>
  </si>
  <si>
    <t>59, H. No 6</t>
  </si>
  <si>
    <t>Builder Saleable Area :</t>
  </si>
  <si>
    <t>Plot A</t>
  </si>
  <si>
    <t>Plot B</t>
  </si>
  <si>
    <t>Encl + Open Balcony + EP Area</t>
  </si>
  <si>
    <t>1st Floor</t>
  </si>
  <si>
    <t>Approved Plans, CC, Builder Saleable Area &amp; Cost Sheet.</t>
  </si>
  <si>
    <t>Ekdant Smaran apt</t>
  </si>
  <si>
    <t>Badlapur East</t>
  </si>
  <si>
    <t>03 Wings</t>
  </si>
  <si>
    <t xml:space="preserve">Plot A (Wing A &amp; B) = Ground + 1st to 6th Floor 
Plot B (Wing C) = Ground + 1st to 7th Floor </t>
  </si>
  <si>
    <t>Plot A (Wing A &amp; B) = Gr + 1st to 6th Floor
Plot B (Wing C) = Gr + 1st to 7th Floor</t>
  </si>
  <si>
    <t>Plot A (Wing A &amp; B) = Gr + 1st to 6th Floor</t>
  </si>
  <si>
    <t>Plot B (Wing C) = Gr + 1st to 7th Floor</t>
  </si>
  <si>
    <t>Plot A (Wing B) = Gr + 1st to 6th Floor</t>
  </si>
  <si>
    <t>Plot A (Wing A) = Gr + 1st to 6th Floor</t>
  </si>
  <si>
    <t>Office No. 1031, Wing J, Akshar Business Park, Plot No. 03 Sector 25, Near APMC Market, Vashi, 
Navi Mumbai, Maharashtra 400703 TEL: 022-46090378/79/80                                                                       
E mail : vsjcapf@gmail.com. Web site : www.vsjadon.com</t>
  </si>
  <si>
    <t>Pooja Kawale</t>
  </si>
  <si>
    <t>Grill Charges</t>
  </si>
  <si>
    <t>Rate 4800, Dev 100000, grill charges50000 &amp; society charges 50000 by bhargav from cost sheet on 22/07/2025</t>
  </si>
  <si>
    <t>Recommended Rates &amp; Other charges of the Property have been revised on 22/07/2025.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</si>
</sst>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 xfId="0" applyFill="1" applyBorder="1" applyAlignment="1"/>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2" fontId="7" fillId="0" borderId="0" xfId="1" applyNumberFormat="1" applyFont="1" applyAlignment="1">
      <alignment horizontal="center" vertical="center"/>
    </xf>
    <xf numFmtId="0" fontId="7" fillId="0" borderId="0" xfId="1" applyFont="1" applyAlignment="1">
      <alignment vertical="center"/>
    </xf>
    <xf numFmtId="168" fontId="7" fillId="0" borderId="0" xfId="1" applyNumberFormat="1" applyFont="1" applyAlignment="1">
      <alignment vertical="center"/>
    </xf>
    <xf numFmtId="9" fontId="13"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8"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16"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5"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 fontId="7" fillId="0" borderId="8" xfId="0" applyNumberFormat="1" applyFont="1" applyBorder="1" applyAlignment="1" applyProtection="1">
      <alignment horizontal="center" vertical="top" wrapText="1"/>
      <protection locked="0"/>
    </xf>
    <xf numFmtId="1" fontId="7" fillId="0" borderId="9"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8" fillId="0" borderId="21" xfId="1" applyFont="1" applyBorder="1" applyAlignment="1" applyProtection="1">
      <alignment horizontal="left" vertical="top"/>
      <protection locked="0"/>
    </xf>
    <xf numFmtId="0" fontId="8" fillId="0" borderId="8" xfId="1" applyFont="1" applyBorder="1" applyAlignment="1" applyProtection="1">
      <alignment horizontal="center" vertical="top"/>
      <protection locked="0"/>
    </xf>
    <xf numFmtId="0" fontId="8" fillId="0" borderId="9" xfId="1" applyFont="1" applyBorder="1" applyAlignment="1" applyProtection="1">
      <alignment horizontal="center" vertical="top"/>
      <protection locked="0"/>
    </xf>
    <xf numFmtId="2" fontId="6" fillId="0" borderId="8" xfId="1" applyNumberFormat="1" applyFont="1" applyBorder="1" applyAlignment="1" applyProtection="1">
      <alignment horizontal="center" vertical="top" wrapText="1"/>
      <protection locked="0"/>
    </xf>
    <xf numFmtId="2" fontId="6" fillId="0" borderId="9" xfId="1" applyNumberFormat="1" applyFont="1" applyBorder="1" applyAlignment="1" applyProtection="1">
      <alignment horizontal="center" vertical="top" wrapText="1"/>
      <protection locked="0"/>
    </xf>
    <xf numFmtId="164" fontId="6" fillId="0" borderId="1" xfId="1" applyNumberFormat="1" applyFont="1" applyBorder="1" applyAlignment="1" applyProtection="1">
      <alignment horizontal="center" vertical="top" wrapText="1"/>
      <protection locked="0"/>
    </xf>
    <xf numFmtId="2" fontId="6" fillId="0" borderId="1"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15</xdr:row>
      <xdr:rowOff>476250</xdr:rowOff>
    </xdr:from>
    <xdr:to>
      <xdr:col>15</xdr:col>
      <xdr:colOff>73575</xdr:colOff>
      <xdr:row>21</xdr:row>
      <xdr:rowOff>145897</xdr:rowOff>
    </xdr:to>
    <xdr:pic>
      <xdr:nvPicPr>
        <xdr:cNvPr id="2" name="Picture 1"/>
        <xdr:cNvPicPr>
          <a:picLocks noChangeAspect="1"/>
        </xdr:cNvPicPr>
      </xdr:nvPicPr>
      <xdr:blipFill>
        <a:blip xmlns:r="http://schemas.openxmlformats.org/officeDocument/2006/relationships" r:embed="rId1"/>
        <a:stretch>
          <a:fillRect/>
        </a:stretch>
      </xdr:blipFill>
      <xdr:spPr>
        <a:xfrm>
          <a:off x="6619875" y="4067175"/>
          <a:ext cx="5760000" cy="1149197"/>
        </a:xfrm>
        <a:prstGeom prst="rect">
          <a:avLst/>
        </a:prstGeom>
        <a:ln>
          <a:solidFill>
            <a:sysClr val="windowText" lastClr="000000"/>
          </a:solidFill>
        </a:ln>
      </xdr:spPr>
    </xdr:pic>
    <xdr:clientData/>
  </xdr:twoCellAnchor>
  <xdr:twoCellAnchor editAs="oneCell">
    <xdr:from>
      <xdr:col>8</xdr:col>
      <xdr:colOff>466725</xdr:colOff>
      <xdr:row>132</xdr:row>
      <xdr:rowOff>190501</xdr:rowOff>
    </xdr:from>
    <xdr:to>
      <xdr:col>15</xdr:col>
      <xdr:colOff>235500</xdr:colOff>
      <xdr:row>142</xdr:row>
      <xdr:rowOff>172690</xdr:rowOff>
    </xdr:to>
    <xdr:pic>
      <xdr:nvPicPr>
        <xdr:cNvPr id="3" name="Picture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81800" y="24841201"/>
          <a:ext cx="5760000" cy="1982439"/>
        </a:xfrm>
        <a:prstGeom prst="rect">
          <a:avLst/>
        </a:prstGeom>
        <a:ln>
          <a:solidFill>
            <a:sysClr val="windowText" lastClr="000000"/>
          </a:solidFill>
        </a:ln>
      </xdr:spPr>
    </xdr:pic>
    <xdr:clientData/>
  </xdr:twoCellAnchor>
  <xdr:twoCellAnchor>
    <xdr:from>
      <xdr:col>0</xdr:col>
      <xdr:colOff>276225</xdr:colOff>
      <xdr:row>343</xdr:row>
      <xdr:rowOff>28575</xdr:rowOff>
    </xdr:from>
    <xdr:to>
      <xdr:col>7</xdr:col>
      <xdr:colOff>419100</xdr:colOff>
      <xdr:row>383</xdr:row>
      <xdr:rowOff>0</xdr:rowOff>
    </xdr:to>
    <xdr:grpSp>
      <xdr:nvGrpSpPr>
        <xdr:cNvPr id="4" name="Group 3"/>
        <xdr:cNvGrpSpPr/>
      </xdr:nvGrpSpPr>
      <xdr:grpSpPr>
        <a:xfrm>
          <a:off x="276225" y="68907025"/>
          <a:ext cx="5997575" cy="7845425"/>
          <a:chOff x="549000" y="171451"/>
          <a:chExt cx="5760000" cy="8285200"/>
        </a:xfrm>
      </xdr:grpSpPr>
      <xdr:pic>
        <xdr:nvPicPr>
          <xdr:cNvPr id="5" name="Picture 4"/>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49000" y="171451"/>
            <a:ext cx="5760000" cy="3975211"/>
          </a:xfrm>
          <a:prstGeom prst="rect">
            <a:avLst/>
          </a:prstGeom>
          <a:ln>
            <a:solidFill>
              <a:schemeClr val="tx1"/>
            </a:solidFill>
          </a:ln>
        </xdr:spPr>
      </xdr:pic>
      <xdr:grpSp>
        <xdr:nvGrpSpPr>
          <xdr:cNvPr id="6" name="Group 5"/>
          <xdr:cNvGrpSpPr/>
        </xdr:nvGrpSpPr>
        <xdr:grpSpPr>
          <a:xfrm>
            <a:off x="729000" y="4305299"/>
            <a:ext cx="5400000" cy="4151352"/>
            <a:chOff x="637200" y="4305299"/>
            <a:chExt cx="5400000" cy="4151352"/>
          </a:xfrm>
        </xdr:grpSpPr>
        <xdr:pic>
          <xdr:nvPicPr>
            <xdr:cNvPr id="7" name="Picture 6"/>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37200" y="4305299"/>
              <a:ext cx="5400000" cy="4151352"/>
            </a:xfrm>
            <a:prstGeom prst="rect">
              <a:avLst/>
            </a:prstGeom>
            <a:ln>
              <a:solidFill>
                <a:schemeClr val="tx1"/>
              </a:solidFill>
            </a:ln>
          </xdr:spPr>
        </xdr:pic>
        <xdr:sp macro="" textlink="">
          <xdr:nvSpPr>
            <xdr:cNvPr id="8" name="Rectangle 7"/>
            <xdr:cNvSpPr/>
          </xdr:nvSpPr>
          <xdr:spPr>
            <a:xfrm rot="212356">
              <a:off x="3003824" y="4639204"/>
              <a:ext cx="666750" cy="161847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xdr:cNvSpPr/>
          </xdr:nvSpPr>
          <xdr:spPr>
            <a:xfrm rot="254119">
              <a:off x="2807660" y="6609717"/>
              <a:ext cx="666750" cy="1513932"/>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5"/>
            <xdr:cNvSpPr txBox="1"/>
          </xdr:nvSpPr>
          <xdr:spPr>
            <a:xfrm>
              <a:off x="4057650" y="5448441"/>
              <a:ext cx="822661"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FF00"/>
                  </a:solidFill>
                </a:rPr>
                <a:t>Plot A</a:t>
              </a:r>
              <a:endParaRPr lang="en-IN" sz="2000" b="1">
                <a:solidFill>
                  <a:srgbClr val="FFFF00"/>
                </a:solidFill>
              </a:endParaRPr>
            </a:p>
          </xdr:txBody>
        </xdr:sp>
        <xdr:sp macro="" textlink="">
          <xdr:nvSpPr>
            <xdr:cNvPr id="11" name="TextBox 6"/>
            <xdr:cNvSpPr txBox="1"/>
          </xdr:nvSpPr>
          <xdr:spPr>
            <a:xfrm>
              <a:off x="1930005" y="6966573"/>
              <a:ext cx="811441"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FF00"/>
                  </a:solidFill>
                </a:rPr>
                <a:t>Plot B</a:t>
              </a:r>
              <a:endParaRPr lang="en-IN" sz="2000" b="1">
                <a:solidFill>
                  <a:srgbClr val="FFFF00"/>
                </a:solidFill>
              </a:endParaRPr>
            </a:p>
          </xdr:txBody>
        </xdr:sp>
      </xdr:grpSp>
    </xdr:grpSp>
    <xdr:clientData/>
  </xdr:twoCellAnchor>
  <xdr:twoCellAnchor>
    <xdr:from>
      <xdr:col>0</xdr:col>
      <xdr:colOff>104775</xdr:colOff>
      <xdr:row>299</xdr:row>
      <xdr:rowOff>38100</xdr:rowOff>
    </xdr:from>
    <xdr:to>
      <xdr:col>7</xdr:col>
      <xdr:colOff>600075</xdr:colOff>
      <xdr:row>334</xdr:row>
      <xdr:rowOff>152400</xdr:rowOff>
    </xdr:to>
    <xdr:grpSp>
      <xdr:nvGrpSpPr>
        <xdr:cNvPr id="37" name="Group 36"/>
        <xdr:cNvGrpSpPr/>
      </xdr:nvGrpSpPr>
      <xdr:grpSpPr>
        <a:xfrm>
          <a:off x="104775" y="60255150"/>
          <a:ext cx="6350000" cy="7004050"/>
          <a:chOff x="368999" y="428625"/>
          <a:chExt cx="6120000" cy="7228581"/>
        </a:xfrm>
      </xdr:grpSpPr>
      <xdr:pic>
        <xdr:nvPicPr>
          <xdr:cNvPr id="38" name="Picture 37"/>
          <xdr:cNvPicPr>
            <a:picLocks noChangeAspect="1"/>
          </xdr:cNvPicPr>
        </xdr:nvPicPr>
        <xdr:blipFill>
          <a:blip xmlns:r="http://schemas.openxmlformats.org/officeDocument/2006/relationships" r:embed="rId5"/>
          <a:stretch>
            <a:fillRect/>
          </a:stretch>
        </xdr:blipFill>
        <xdr:spPr>
          <a:xfrm>
            <a:off x="1100136" y="3656706"/>
            <a:ext cx="4657725" cy="4000500"/>
          </a:xfrm>
          <a:prstGeom prst="rect">
            <a:avLst/>
          </a:prstGeom>
          <a:ln>
            <a:solidFill>
              <a:schemeClr val="tx1"/>
            </a:solidFill>
          </a:ln>
        </xdr:spPr>
      </xdr:pic>
      <xdr:grpSp>
        <xdr:nvGrpSpPr>
          <xdr:cNvPr id="39" name="Group 38"/>
          <xdr:cNvGrpSpPr/>
        </xdr:nvGrpSpPr>
        <xdr:grpSpPr>
          <a:xfrm>
            <a:off x="368999" y="428625"/>
            <a:ext cx="6120000" cy="3021706"/>
            <a:chOff x="368999" y="428625"/>
            <a:chExt cx="6120000" cy="3021706"/>
          </a:xfrm>
        </xdr:grpSpPr>
        <xdr:pic>
          <xdr:nvPicPr>
            <xdr:cNvPr id="40" name="Picture 39"/>
            <xdr:cNvPicPr>
              <a:picLocks noChangeAspect="1"/>
            </xdr:cNvPicPr>
          </xdr:nvPicPr>
          <xdr:blipFill>
            <a:blip xmlns:r="http://schemas.openxmlformats.org/officeDocument/2006/relationships" r:embed="rId6"/>
            <a:stretch>
              <a:fillRect/>
            </a:stretch>
          </xdr:blipFill>
          <xdr:spPr>
            <a:xfrm>
              <a:off x="368999" y="428625"/>
              <a:ext cx="6120000" cy="3021706"/>
            </a:xfrm>
            <a:prstGeom prst="rect">
              <a:avLst/>
            </a:prstGeom>
            <a:ln>
              <a:solidFill>
                <a:schemeClr val="tx1"/>
              </a:solidFill>
            </a:ln>
          </xdr:spPr>
        </xdr:pic>
        <xdr:cxnSp macro="">
          <xdr:nvCxnSpPr>
            <xdr:cNvPr id="41" name="Straight Arrow Connector 40"/>
            <xdr:cNvCxnSpPr/>
          </xdr:nvCxnSpPr>
          <xdr:spPr>
            <a:xfrm flipH="1" flipV="1">
              <a:off x="654050" y="635000"/>
              <a:ext cx="565150" cy="635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2" name="TextBox 8"/>
            <xdr:cNvSpPr txBox="1"/>
          </xdr:nvSpPr>
          <xdr:spPr>
            <a:xfrm>
              <a:off x="419100" y="472073"/>
              <a:ext cx="317716" cy="3385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a:solidFill>
                    <a:srgbClr val="FF0000"/>
                  </a:solidFill>
                </a:rPr>
                <a:t>N</a:t>
              </a:r>
              <a:endParaRPr lang="en-IN" sz="1600">
                <a:solidFill>
                  <a:srgbClr val="FF0000"/>
                </a:solidFill>
              </a:endParaRPr>
            </a:p>
          </xdr:txBody>
        </xdr:sp>
        <xdr:sp macro="" textlink="">
          <xdr:nvSpPr>
            <xdr:cNvPr id="43" name="Rectangle 42"/>
            <xdr:cNvSpPr/>
          </xdr:nvSpPr>
          <xdr:spPr>
            <a:xfrm>
              <a:off x="1149350" y="1219200"/>
              <a:ext cx="1060450" cy="514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4" name="Rectangle 43"/>
            <xdr:cNvSpPr/>
          </xdr:nvSpPr>
          <xdr:spPr>
            <a:xfrm>
              <a:off x="2254250" y="1219200"/>
              <a:ext cx="800100" cy="52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5" name="Rectangle 44"/>
            <xdr:cNvSpPr/>
          </xdr:nvSpPr>
          <xdr:spPr>
            <a:xfrm>
              <a:off x="3632200" y="1219200"/>
              <a:ext cx="1473200" cy="52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TextBox 12"/>
            <xdr:cNvSpPr txBox="1"/>
          </xdr:nvSpPr>
          <xdr:spPr>
            <a:xfrm>
              <a:off x="1166024" y="1739900"/>
              <a:ext cx="77777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47" name="TextBox 13"/>
            <xdr:cNvSpPr txBox="1"/>
          </xdr:nvSpPr>
          <xdr:spPr>
            <a:xfrm>
              <a:off x="2306969" y="1739900"/>
              <a:ext cx="769763"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B</a:t>
              </a:r>
              <a:endParaRPr lang="en-IN" sz="1400" b="1">
                <a:solidFill>
                  <a:srgbClr val="FF0000"/>
                </a:solidFill>
              </a:endParaRPr>
            </a:p>
          </xdr:txBody>
        </xdr:sp>
        <xdr:sp macro="" textlink="">
          <xdr:nvSpPr>
            <xdr:cNvPr id="48" name="TextBox 14"/>
            <xdr:cNvSpPr txBox="1"/>
          </xdr:nvSpPr>
          <xdr:spPr>
            <a:xfrm>
              <a:off x="3970859" y="1744289"/>
              <a:ext cx="76335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C</a:t>
              </a:r>
              <a:endParaRPr lang="en-IN" sz="1400" b="1">
                <a:solidFill>
                  <a:srgbClr val="FF0000"/>
                </a:solidFill>
              </a:endParaRPr>
            </a:p>
          </xdr:txBody>
        </xdr:sp>
        <xdr:sp macro="" textlink="">
          <xdr:nvSpPr>
            <xdr:cNvPr id="49" name="Rectangle 48"/>
            <xdr:cNvSpPr/>
          </xdr:nvSpPr>
          <xdr:spPr>
            <a:xfrm>
              <a:off x="936625" y="901700"/>
              <a:ext cx="2225675" cy="1289050"/>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0" name="Rectangle 49"/>
            <xdr:cNvSpPr/>
          </xdr:nvSpPr>
          <xdr:spPr>
            <a:xfrm>
              <a:off x="3472749" y="917377"/>
              <a:ext cx="2775651" cy="1273373"/>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1" name="TextBox 18"/>
            <xdr:cNvSpPr txBox="1"/>
          </xdr:nvSpPr>
          <xdr:spPr>
            <a:xfrm>
              <a:off x="1629347" y="542091"/>
              <a:ext cx="84023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PLOT A</a:t>
              </a:r>
              <a:endParaRPr lang="en-IN"/>
            </a:p>
          </xdr:txBody>
        </xdr:sp>
        <xdr:sp macro="" textlink="">
          <xdr:nvSpPr>
            <xdr:cNvPr id="52" name="TextBox 19"/>
            <xdr:cNvSpPr txBox="1"/>
          </xdr:nvSpPr>
          <xdr:spPr>
            <a:xfrm>
              <a:off x="4588447" y="571799"/>
              <a:ext cx="83221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PLOT B</a:t>
              </a:r>
              <a:endParaRPr lang="en-IN"/>
            </a:p>
          </xdr:txBody>
        </xdr:sp>
      </xdr:grpSp>
    </xdr:grpSp>
    <xdr:clientData/>
  </xdr:twoCellAnchor>
  <xdr:twoCellAnchor editAs="oneCell">
    <xdr:from>
      <xdr:col>8</xdr:col>
      <xdr:colOff>942975</xdr:colOff>
      <xdr:row>42</xdr:row>
      <xdr:rowOff>104775</xdr:rowOff>
    </xdr:from>
    <xdr:to>
      <xdr:col>12</xdr:col>
      <xdr:colOff>721289</xdr:colOff>
      <xdr:row>51</xdr:row>
      <xdr:rowOff>235950</xdr:rowOff>
    </xdr:to>
    <xdr:pic>
      <xdr:nvPicPr>
        <xdr:cNvPr id="12" name="Picture 11"/>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258050" y="9906000"/>
          <a:ext cx="3331139" cy="2160000"/>
        </a:xfrm>
        <a:prstGeom prst="rect">
          <a:avLst/>
        </a:prstGeom>
        <a:ln>
          <a:solidFill>
            <a:sysClr val="windowText" lastClr="000000"/>
          </a:solidFill>
        </a:ln>
      </xdr:spPr>
    </xdr:pic>
    <xdr:clientData/>
  </xdr:twoCellAnchor>
  <xdr:twoCellAnchor editAs="oneCell">
    <xdr:from>
      <xdr:col>8</xdr:col>
      <xdr:colOff>942975</xdr:colOff>
      <xdr:row>51</xdr:row>
      <xdr:rowOff>323850</xdr:rowOff>
    </xdr:from>
    <xdr:to>
      <xdr:col>15</xdr:col>
      <xdr:colOff>351750</xdr:colOff>
      <xdr:row>60</xdr:row>
      <xdr:rowOff>13402</xdr:rowOff>
    </xdr:to>
    <xdr:pic>
      <xdr:nvPicPr>
        <xdr:cNvPr id="13" name="Picture 12"/>
        <xdr:cNvPicPr>
          <a:picLocks noChangeAspect="1"/>
        </xdr:cNvPicPr>
      </xdr:nvPicPr>
      <xdr:blipFill>
        <a:blip xmlns:r="http://schemas.openxmlformats.org/officeDocument/2006/relationships" r:embed="rId8"/>
        <a:stretch>
          <a:fillRect/>
        </a:stretch>
      </xdr:blipFill>
      <xdr:spPr>
        <a:xfrm>
          <a:off x="7258050" y="12153900"/>
          <a:ext cx="5400000" cy="756352"/>
        </a:xfrm>
        <a:prstGeom prst="rect">
          <a:avLst/>
        </a:prstGeom>
        <a:ln>
          <a:solidFill>
            <a:sysClr val="windowText" lastClr="000000"/>
          </a:solidFill>
        </a:ln>
      </xdr:spPr>
    </xdr:pic>
    <xdr:clientData/>
  </xdr:twoCellAnchor>
  <xdr:twoCellAnchor editAs="oneCell">
    <xdr:from>
      <xdr:col>8</xdr:col>
      <xdr:colOff>828675</xdr:colOff>
      <xdr:row>61</xdr:row>
      <xdr:rowOff>0</xdr:rowOff>
    </xdr:from>
    <xdr:to>
      <xdr:col>14</xdr:col>
      <xdr:colOff>675646</xdr:colOff>
      <xdr:row>63</xdr:row>
      <xdr:rowOff>123760</xdr:rowOff>
    </xdr:to>
    <xdr:pic>
      <xdr:nvPicPr>
        <xdr:cNvPr id="14" name="Picture 13"/>
        <xdr:cNvPicPr>
          <a:picLocks noChangeAspect="1"/>
        </xdr:cNvPicPr>
      </xdr:nvPicPr>
      <xdr:blipFill>
        <a:blip xmlns:r="http://schemas.openxmlformats.org/officeDocument/2006/relationships" r:embed="rId9"/>
        <a:stretch>
          <a:fillRect/>
        </a:stretch>
      </xdr:blipFill>
      <xdr:spPr>
        <a:xfrm>
          <a:off x="7143750" y="13096875"/>
          <a:ext cx="5028571" cy="523810"/>
        </a:xfrm>
        <a:prstGeom prst="rect">
          <a:avLst/>
        </a:prstGeom>
      </xdr:spPr>
    </xdr:pic>
    <xdr:clientData/>
  </xdr:twoCellAnchor>
  <xdr:twoCellAnchor>
    <xdr:from>
      <xdr:col>8</xdr:col>
      <xdr:colOff>219075</xdr:colOff>
      <xdr:row>254</xdr:row>
      <xdr:rowOff>180975</xdr:rowOff>
    </xdr:from>
    <xdr:to>
      <xdr:col>15</xdr:col>
      <xdr:colOff>330092</xdr:colOff>
      <xdr:row>287</xdr:row>
      <xdr:rowOff>190275</xdr:rowOff>
    </xdr:to>
    <xdr:grpSp>
      <xdr:nvGrpSpPr>
        <xdr:cNvPr id="15" name="Group 14"/>
        <xdr:cNvGrpSpPr/>
      </xdr:nvGrpSpPr>
      <xdr:grpSpPr>
        <a:xfrm>
          <a:off x="8080375" y="51546125"/>
          <a:ext cx="6384817" cy="6499000"/>
          <a:chOff x="104775" y="48968025"/>
          <a:chExt cx="6102242" cy="6600600"/>
        </a:xfrm>
      </xdr:grpSpPr>
      <xdr:grpSp>
        <xdr:nvGrpSpPr>
          <xdr:cNvPr id="28" name="Group 27"/>
          <xdr:cNvGrpSpPr/>
        </xdr:nvGrpSpPr>
        <xdr:grpSpPr>
          <a:xfrm>
            <a:off x="104775" y="48968025"/>
            <a:ext cx="6102242" cy="2217079"/>
            <a:chOff x="413229" y="157199"/>
            <a:chExt cx="6102242" cy="2217079"/>
          </a:xfrm>
        </xdr:grpSpPr>
        <xdr:pic>
          <xdr:nvPicPr>
            <xdr:cNvPr id="35" name="Picture 34"/>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13229" y="157199"/>
              <a:ext cx="2952000" cy="2217079"/>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563471" y="157199"/>
              <a:ext cx="2952000" cy="2217079"/>
            </a:xfrm>
            <a:prstGeom prst="rect">
              <a:avLst/>
            </a:prstGeom>
            <a:ln>
              <a:solidFill>
                <a:schemeClr val="tx1"/>
              </a:solidFill>
            </a:ln>
          </xdr:spPr>
        </xdr:pic>
      </xdr:grpSp>
      <xdr:grpSp>
        <xdr:nvGrpSpPr>
          <xdr:cNvPr id="30" name="Group 29"/>
          <xdr:cNvGrpSpPr/>
        </xdr:nvGrpSpPr>
        <xdr:grpSpPr>
          <a:xfrm>
            <a:off x="806155" y="51437026"/>
            <a:ext cx="4699482" cy="2163600"/>
            <a:chOff x="1744783" y="2740500"/>
            <a:chExt cx="4699482" cy="2163600"/>
          </a:xfrm>
        </xdr:grpSpPr>
        <xdr:pic>
          <xdr:nvPicPr>
            <xdr:cNvPr id="31" name="Picture 30"/>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744783" y="2740500"/>
              <a:ext cx="1620446" cy="21636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563471" y="2740500"/>
              <a:ext cx="2880794" cy="2163600"/>
            </a:xfrm>
            <a:prstGeom prst="rect">
              <a:avLst/>
            </a:prstGeom>
            <a:ln>
              <a:solidFill>
                <a:schemeClr val="tx1"/>
              </a:solidFill>
            </a:ln>
          </xdr:spPr>
        </xdr:pic>
      </xdr:grpSp>
      <xdr:sp macro="" textlink="">
        <xdr:nvSpPr>
          <xdr:cNvPr id="24" name="TextBox 18"/>
          <xdr:cNvSpPr txBox="1"/>
        </xdr:nvSpPr>
        <xdr:spPr>
          <a:xfrm>
            <a:off x="376389" y="49306126"/>
            <a:ext cx="875561"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5" name="TextBox 19"/>
          <xdr:cNvSpPr txBox="1"/>
        </xdr:nvSpPr>
        <xdr:spPr>
          <a:xfrm>
            <a:off x="4293236" y="49063019"/>
            <a:ext cx="865943"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26" name="TextBox 20"/>
          <xdr:cNvSpPr txBox="1"/>
        </xdr:nvSpPr>
        <xdr:spPr>
          <a:xfrm>
            <a:off x="1560658" y="53175758"/>
            <a:ext cx="857927"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27" name="TextBox 21"/>
          <xdr:cNvSpPr txBox="1"/>
        </xdr:nvSpPr>
        <xdr:spPr>
          <a:xfrm>
            <a:off x="3250792" y="53175758"/>
            <a:ext cx="857927"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pic>
        <xdr:nvPicPr>
          <xdr:cNvPr id="53" name="Picture 52"/>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3060132" y="53768625"/>
            <a:ext cx="3000001" cy="1800000"/>
          </a:xfrm>
          <a:prstGeom prst="rect">
            <a:avLst/>
          </a:prstGeom>
          <a:ln>
            <a:solidFill>
              <a:sysClr val="windowText" lastClr="000000"/>
            </a:solidFill>
          </a:ln>
        </xdr:spPr>
      </xdr:pic>
      <xdr:pic>
        <xdr:nvPicPr>
          <xdr:cNvPr id="54" name="Picture 53"/>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47676" y="53768625"/>
            <a:ext cx="2396666" cy="1800000"/>
          </a:xfrm>
          <a:prstGeom prst="rect">
            <a:avLst/>
          </a:prstGeom>
          <a:ln>
            <a:solidFill>
              <a:schemeClr val="tx1"/>
            </a:solidFill>
          </a:ln>
        </xdr:spPr>
      </xdr:pic>
    </xdr:grpSp>
    <xdr:clientData/>
  </xdr:twoCellAnchor>
  <xdr:oneCellAnchor>
    <xdr:from>
      <xdr:col>9</xdr:col>
      <xdr:colOff>0</xdr:colOff>
      <xdr:row>251</xdr:row>
      <xdr:rowOff>139700</xdr:rowOff>
    </xdr:from>
    <xdr:ext cx="596574" cy="264560"/>
    <xdr:sp macro="" textlink="">
      <xdr:nvSpPr>
        <xdr:cNvPr id="62" name="TextBox 61"/>
        <xdr:cNvSpPr txBox="1"/>
      </xdr:nvSpPr>
      <xdr:spPr>
        <a:xfrm>
          <a:off x="9080500" y="507047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oneCellAnchor>
    <xdr:from>
      <xdr:col>10</xdr:col>
      <xdr:colOff>120650</xdr:colOff>
      <xdr:row>249</xdr:row>
      <xdr:rowOff>0</xdr:rowOff>
    </xdr:from>
    <xdr:ext cx="591700" cy="264560"/>
    <xdr:sp macro="" textlink="">
      <xdr:nvSpPr>
        <xdr:cNvPr id="63" name="TextBox 62"/>
        <xdr:cNvSpPr txBox="1"/>
      </xdr:nvSpPr>
      <xdr:spPr>
        <a:xfrm>
          <a:off x="10001250" y="5017135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clientData/>
  </xdr:oneCellAnchor>
  <xdr:twoCellAnchor>
    <xdr:from>
      <xdr:col>0</xdr:col>
      <xdr:colOff>622300</xdr:colOff>
      <xdr:row>254</xdr:row>
      <xdr:rowOff>63500</xdr:rowOff>
    </xdr:from>
    <xdr:to>
      <xdr:col>7</xdr:col>
      <xdr:colOff>1358440</xdr:colOff>
      <xdr:row>296</xdr:row>
      <xdr:rowOff>62221</xdr:rowOff>
    </xdr:to>
    <xdr:grpSp>
      <xdr:nvGrpSpPr>
        <xdr:cNvPr id="16" name="Group 15"/>
        <xdr:cNvGrpSpPr/>
      </xdr:nvGrpSpPr>
      <xdr:grpSpPr>
        <a:xfrm>
          <a:off x="622300" y="51428650"/>
          <a:ext cx="6590840" cy="8260071"/>
          <a:chOff x="622300" y="51219100"/>
          <a:chExt cx="6590840" cy="8260071"/>
        </a:xfrm>
      </xdr:grpSpPr>
      <xdr:pic>
        <xdr:nvPicPr>
          <xdr:cNvPr id="64" name="Picture 6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966743" y="57679171"/>
            <a:ext cx="2246397" cy="1800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632268" y="51219100"/>
            <a:ext cx="1543294" cy="2052000"/>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647351" y="53372457"/>
            <a:ext cx="1543294" cy="2052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308990" y="53372457"/>
            <a:ext cx="1543294" cy="2052000"/>
          </a:xfrm>
          <a:prstGeom prst="rect">
            <a:avLst/>
          </a:prstGeom>
          <a:ln>
            <a:solidFill>
              <a:schemeClr val="tx1"/>
            </a:solidFill>
          </a:ln>
        </xdr:spPr>
      </xdr:pic>
      <xdr:pic>
        <xdr:nvPicPr>
          <xdr:cNvPr id="84" name="Picture 8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519692" y="57679171"/>
            <a:ext cx="1352122" cy="1800000"/>
          </a:xfrm>
          <a:prstGeom prst="rect">
            <a:avLst/>
          </a:prstGeom>
          <a:ln>
            <a:solidFill>
              <a:schemeClr val="tx1"/>
            </a:solidFill>
          </a:ln>
        </xdr:spPr>
      </xdr:pic>
      <xdr:pic>
        <xdr:nvPicPr>
          <xdr:cNvPr id="85" name="Picture 8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970629" y="53372457"/>
            <a:ext cx="1543294" cy="2052000"/>
          </a:xfrm>
          <a:prstGeom prst="rect">
            <a:avLst/>
          </a:prstGeom>
          <a:ln>
            <a:solidFill>
              <a:schemeClr val="tx1"/>
            </a:solidFill>
          </a:ln>
        </xdr:spPr>
      </xdr:pic>
      <xdr:pic>
        <xdr:nvPicPr>
          <xdr:cNvPr id="86" name="Picture 8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632268" y="53369497"/>
            <a:ext cx="1543294" cy="2052000"/>
          </a:xfrm>
          <a:prstGeom prst="rect">
            <a:avLst/>
          </a:prstGeom>
          <a:ln>
            <a:solidFill>
              <a:schemeClr val="tx1"/>
            </a:solidFill>
          </a:ln>
        </xdr:spPr>
      </xdr:pic>
      <xdr:pic>
        <xdr:nvPicPr>
          <xdr:cNvPr id="87" name="Picture 8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632268" y="55525814"/>
            <a:ext cx="1543294" cy="2052000"/>
          </a:xfrm>
          <a:prstGeom prst="rect">
            <a:avLst/>
          </a:prstGeom>
          <a:ln>
            <a:solidFill>
              <a:schemeClr val="tx1"/>
            </a:solidFill>
          </a:ln>
        </xdr:spPr>
      </xdr:pic>
      <xdr:pic>
        <xdr:nvPicPr>
          <xdr:cNvPr id="88" name="Picture 8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647351" y="55525814"/>
            <a:ext cx="1543294" cy="2052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622300" y="57679171"/>
            <a:ext cx="1353767" cy="1800000"/>
          </a:xfrm>
          <a:prstGeom prst="rect">
            <a:avLst/>
          </a:prstGeom>
          <a:ln>
            <a:solidFill>
              <a:schemeClr val="tx1"/>
            </a:solidFill>
          </a:ln>
        </xdr:spPr>
      </xdr:pic>
      <xdr:pic>
        <xdr:nvPicPr>
          <xdr:cNvPr id="90" name="Picture 8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308990" y="55525814"/>
            <a:ext cx="1543294" cy="2052000"/>
          </a:xfrm>
          <a:prstGeom prst="rect">
            <a:avLst/>
          </a:prstGeom>
          <a:ln>
            <a:solidFill>
              <a:schemeClr val="tx1"/>
            </a:solidFill>
          </a:ln>
        </xdr:spPr>
      </xdr:pic>
      <xdr:pic>
        <xdr:nvPicPr>
          <xdr:cNvPr id="91" name="Picture 9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970629" y="55525814"/>
            <a:ext cx="1543294" cy="2052000"/>
          </a:xfrm>
          <a:prstGeom prst="rect">
            <a:avLst/>
          </a:prstGeom>
          <a:ln>
            <a:solidFill>
              <a:schemeClr val="tx1"/>
            </a:solidFill>
          </a:ln>
        </xdr:spPr>
      </xdr:pic>
      <xdr:pic>
        <xdr:nvPicPr>
          <xdr:cNvPr id="92" name="Picture 91"/>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3970629" y="51219100"/>
            <a:ext cx="1543294" cy="2052000"/>
          </a:xfrm>
          <a:prstGeom prst="rect">
            <a:avLst/>
          </a:prstGeom>
          <a:ln>
            <a:solidFill>
              <a:schemeClr val="tx1"/>
            </a:solidFill>
          </a:ln>
        </xdr:spPr>
      </xdr:pic>
      <xdr:pic>
        <xdr:nvPicPr>
          <xdr:cNvPr id="93" name="Picture 92"/>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647351" y="51219100"/>
            <a:ext cx="1543294" cy="2052000"/>
          </a:xfrm>
          <a:prstGeom prst="rect">
            <a:avLst/>
          </a:prstGeom>
          <a:ln>
            <a:solidFill>
              <a:schemeClr val="tx1"/>
            </a:solidFill>
          </a:ln>
        </xdr:spPr>
      </xdr:pic>
      <xdr:pic>
        <xdr:nvPicPr>
          <xdr:cNvPr id="94" name="Picture 93"/>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2308990" y="51219100"/>
            <a:ext cx="1543294" cy="2052000"/>
          </a:xfrm>
          <a:prstGeom prst="rect">
            <a:avLst/>
          </a:prstGeom>
          <a:ln>
            <a:solidFill>
              <a:schemeClr val="tx1"/>
            </a:solidFill>
          </a:ln>
        </xdr:spPr>
      </xdr:pic>
      <xdr:pic>
        <xdr:nvPicPr>
          <xdr:cNvPr id="95" name="Picture 94"/>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2070996" y="57679171"/>
            <a:ext cx="1353767" cy="1800000"/>
          </a:xfrm>
          <a:prstGeom prst="rect">
            <a:avLst/>
          </a:prstGeom>
          <a:ln>
            <a:solidFill>
              <a:schemeClr val="tx1"/>
            </a:solidFill>
          </a:ln>
        </xdr:spPr>
      </xdr:pic>
      <xdr:sp macro="" textlink="">
        <xdr:nvSpPr>
          <xdr:cNvPr id="96" name="TextBox 95"/>
          <xdr:cNvSpPr txBox="1"/>
        </xdr:nvSpPr>
        <xdr:spPr>
          <a:xfrm>
            <a:off x="863251" y="513461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97" name="TextBox 96"/>
          <xdr:cNvSpPr txBox="1"/>
        </xdr:nvSpPr>
        <xdr:spPr>
          <a:xfrm>
            <a:off x="3255140" y="5125720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sp macro="" textlink="">
        <xdr:nvSpPr>
          <xdr:cNvPr id="98" name="TextBox 97"/>
          <xdr:cNvSpPr txBox="1"/>
        </xdr:nvSpPr>
        <xdr:spPr>
          <a:xfrm>
            <a:off x="4745329" y="5135880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C Wing</a:t>
            </a:r>
          </a:p>
        </xdr:txBody>
      </xdr:sp>
      <xdr:sp macro="" textlink="">
        <xdr:nvSpPr>
          <xdr:cNvPr id="99" name="TextBox 98"/>
          <xdr:cNvSpPr txBox="1"/>
        </xdr:nvSpPr>
        <xdr:spPr>
          <a:xfrm>
            <a:off x="6222818" y="5260340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C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JNgFwoKGAAyM7gj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2"/>
  <sheetViews>
    <sheetView tabSelected="1" view="pageBreakPreview" topLeftCell="A117" zoomScaleNormal="100" zoomScaleSheetLayoutView="100" zoomScalePageLayoutView="85" workbookViewId="0">
      <selection activeCell="F127" sqref="F127:H127"/>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7" width="11" style="39" customWidth="1"/>
    <col min="8" max="8" width="28.7265625"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63" t="s">
        <v>360</v>
      </c>
      <c r="B1" s="163"/>
      <c r="C1" s="163"/>
      <c r="D1" s="163"/>
      <c r="E1" s="163"/>
      <c r="F1" s="163"/>
      <c r="G1" s="163"/>
      <c r="H1" s="163"/>
    </row>
    <row r="2" spans="1:26" ht="16.5" customHeight="1" x14ac:dyDescent="0.35">
      <c r="A2" s="164" t="s">
        <v>0</v>
      </c>
      <c r="B2" s="164"/>
      <c r="C2" s="164"/>
      <c r="D2" s="164"/>
      <c r="E2" s="164"/>
      <c r="F2" s="164"/>
      <c r="G2" s="164"/>
      <c r="H2" s="164"/>
    </row>
    <row r="3" spans="1:26" x14ac:dyDescent="0.35">
      <c r="A3" s="143" t="s">
        <v>1</v>
      </c>
      <c r="B3" s="143"/>
      <c r="C3" s="143"/>
      <c r="D3" s="143"/>
      <c r="E3" s="143" t="str">
        <f ca="1">TEXT(TODAY(),"DD/MM/YYYY")</f>
        <v>23/07/2025</v>
      </c>
      <c r="F3" s="143"/>
      <c r="G3" s="143"/>
      <c r="H3" s="143"/>
      <c r="K3" s="61" t="s">
        <v>234</v>
      </c>
      <c r="L3" s="57" t="s">
        <v>232</v>
      </c>
      <c r="M3" s="57" t="s">
        <v>237</v>
      </c>
      <c r="N3" s="57" t="s">
        <v>235</v>
      </c>
      <c r="O3" s="57" t="s">
        <v>236</v>
      </c>
      <c r="P3" s="57" t="s">
        <v>238</v>
      </c>
    </row>
    <row r="4" spans="1:26" ht="15" customHeight="1" x14ac:dyDescent="0.35">
      <c r="A4" s="143" t="s">
        <v>231</v>
      </c>
      <c r="B4" s="143"/>
      <c r="C4" s="143"/>
      <c r="D4" s="143"/>
      <c r="E4" s="143" t="s">
        <v>232</v>
      </c>
      <c r="F4" s="143"/>
      <c r="G4" s="143"/>
      <c r="H4" s="143"/>
      <c r="K4" s="56" t="s">
        <v>233</v>
      </c>
      <c r="L4" s="57" t="s">
        <v>167</v>
      </c>
      <c r="M4" s="57" t="s">
        <v>242</v>
      </c>
      <c r="N4" s="57" t="s">
        <v>244</v>
      </c>
      <c r="O4" s="57" t="s">
        <v>246</v>
      </c>
      <c r="P4" s="57"/>
    </row>
    <row r="5" spans="1:26" ht="15" customHeight="1" x14ac:dyDescent="0.35">
      <c r="A5" s="143" t="s">
        <v>2</v>
      </c>
      <c r="B5" s="143"/>
      <c r="C5" s="143"/>
      <c r="D5" s="143"/>
      <c r="E5" s="143" t="s">
        <v>241</v>
      </c>
      <c r="F5" s="143"/>
      <c r="G5" s="143"/>
      <c r="H5" s="143"/>
      <c r="K5" s="56"/>
      <c r="L5" s="57" t="s">
        <v>239</v>
      </c>
      <c r="M5" s="57" t="s">
        <v>243</v>
      </c>
      <c r="N5" s="57" t="s">
        <v>245</v>
      </c>
      <c r="O5" s="57" t="s">
        <v>247</v>
      </c>
      <c r="P5" s="57"/>
    </row>
    <row r="6" spans="1:26" x14ac:dyDescent="0.35">
      <c r="A6" s="143" t="s">
        <v>3</v>
      </c>
      <c r="B6" s="143"/>
      <c r="C6" s="143"/>
      <c r="D6" s="143"/>
      <c r="E6" s="166">
        <v>45861</v>
      </c>
      <c r="F6" s="143"/>
      <c r="G6" s="143"/>
      <c r="H6" s="143"/>
      <c r="K6" s="56"/>
      <c r="L6" s="57" t="s">
        <v>240</v>
      </c>
      <c r="M6" s="57"/>
      <c r="N6" s="57"/>
      <c r="O6" s="57" t="s">
        <v>248</v>
      </c>
      <c r="P6" s="57"/>
    </row>
    <row r="7" spans="1:26" ht="16.5" customHeight="1" x14ac:dyDescent="0.35">
      <c r="A7" s="143" t="s">
        <v>4</v>
      </c>
      <c r="B7" s="143"/>
      <c r="C7" s="143"/>
      <c r="D7" s="143"/>
      <c r="E7" s="143" t="s">
        <v>299</v>
      </c>
      <c r="F7" s="143"/>
      <c r="G7" s="143"/>
      <c r="H7" s="143"/>
      <c r="K7" s="56"/>
      <c r="L7" s="57" t="s">
        <v>241</v>
      </c>
      <c r="M7" s="57"/>
      <c r="N7" s="57"/>
      <c r="O7" s="57" t="s">
        <v>248</v>
      </c>
      <c r="P7" s="57"/>
    </row>
    <row r="8" spans="1:26" ht="15" customHeight="1" x14ac:dyDescent="0.35">
      <c r="A8" s="143" t="s">
        <v>5</v>
      </c>
      <c r="B8" s="143"/>
      <c r="C8" s="143"/>
      <c r="D8" s="143"/>
      <c r="E8" s="143" t="str">
        <f>E7</f>
        <v>Laxmi Infra</v>
      </c>
      <c r="F8" s="143"/>
      <c r="G8" s="143"/>
      <c r="H8" s="143"/>
      <c r="K8" s="56"/>
      <c r="L8" s="57"/>
      <c r="M8" s="57"/>
      <c r="N8" s="57"/>
      <c r="O8" s="57" t="s">
        <v>249</v>
      </c>
      <c r="P8" s="57"/>
    </row>
    <row r="9" spans="1:26" x14ac:dyDescent="0.35">
      <c r="A9" s="143" t="s">
        <v>6</v>
      </c>
      <c r="B9" s="143"/>
      <c r="C9" s="143"/>
      <c r="D9" s="143"/>
      <c r="E9" s="165" t="s">
        <v>300</v>
      </c>
      <c r="F9" s="165"/>
      <c r="G9" s="165"/>
      <c r="H9" s="165"/>
      <c r="K9" s="56"/>
      <c r="L9" s="57"/>
      <c r="M9" s="57"/>
      <c r="N9" s="57"/>
      <c r="O9" s="57" t="s">
        <v>250</v>
      </c>
      <c r="P9" s="57"/>
    </row>
    <row r="10" spans="1:26" x14ac:dyDescent="0.35">
      <c r="A10" s="143" t="s">
        <v>164</v>
      </c>
      <c r="B10" s="143"/>
      <c r="C10" s="143"/>
      <c r="D10" s="143"/>
      <c r="E10" s="143" t="s">
        <v>301</v>
      </c>
      <c r="F10" s="143"/>
      <c r="G10" s="143"/>
      <c r="H10" s="143"/>
      <c r="K10" s="56"/>
      <c r="L10" s="57"/>
      <c r="M10" s="57"/>
      <c r="N10" s="57"/>
      <c r="O10" s="57"/>
      <c r="P10" s="57"/>
    </row>
    <row r="11" spans="1:26" hidden="1" x14ac:dyDescent="0.35">
      <c r="A11" s="143" t="s">
        <v>165</v>
      </c>
      <c r="B11" s="143"/>
      <c r="C11" s="143"/>
      <c r="D11" s="143"/>
      <c r="E11" s="143">
        <v>9923240196</v>
      </c>
      <c r="F11" s="143"/>
      <c r="G11" s="143"/>
      <c r="H11" s="143"/>
    </row>
    <row r="12" spans="1:26" x14ac:dyDescent="0.35">
      <c r="A12" s="143" t="s">
        <v>7</v>
      </c>
      <c r="B12" s="143"/>
      <c r="C12" s="143"/>
      <c r="D12" s="143"/>
      <c r="E12" s="143" t="s">
        <v>302</v>
      </c>
      <c r="F12" s="143"/>
      <c r="G12" s="143"/>
      <c r="H12" s="143"/>
    </row>
    <row r="13" spans="1:26" x14ac:dyDescent="0.35">
      <c r="A13" s="143" t="s">
        <v>168</v>
      </c>
      <c r="B13" s="143"/>
      <c r="C13" s="143"/>
      <c r="D13" s="143"/>
      <c r="E13" s="143" t="s">
        <v>28</v>
      </c>
      <c r="F13" s="143"/>
      <c r="G13" s="143"/>
      <c r="H13" s="143"/>
      <c r="S13" s="57" t="s">
        <v>177</v>
      </c>
      <c r="T13" s="57" t="s">
        <v>186</v>
      </c>
      <c r="U13" s="57" t="s">
        <v>169</v>
      </c>
      <c r="V13" s="57" t="s">
        <v>191</v>
      </c>
      <c r="W13" s="57" t="s">
        <v>209</v>
      </c>
      <c r="X13"/>
      <c r="Y13" t="s">
        <v>191</v>
      </c>
      <c r="Z13" t="e">
        <f ca="1">OFFSET($S$13,1,MATCH($G20,$S$13:$W$13,0)-1,15,1)</f>
        <v>#VALUE!</v>
      </c>
    </row>
    <row r="14" spans="1:26" x14ac:dyDescent="0.35">
      <c r="A14" s="83" t="s">
        <v>277</v>
      </c>
      <c r="B14" s="83"/>
      <c r="C14" s="83"/>
      <c r="D14" s="83"/>
      <c r="E14" s="144" t="s">
        <v>350</v>
      </c>
      <c r="F14" s="144"/>
      <c r="G14" s="144"/>
      <c r="H14" s="144"/>
      <c r="S14" s="57" t="s">
        <v>177</v>
      </c>
      <c r="T14" s="57" t="s">
        <v>184</v>
      </c>
      <c r="U14" s="57" t="s">
        <v>206</v>
      </c>
      <c r="V14" s="57" t="s">
        <v>192</v>
      </c>
      <c r="W14" s="57" t="s">
        <v>210</v>
      </c>
      <c r="X14"/>
      <c r="Y14"/>
      <c r="Z14"/>
    </row>
    <row r="15" spans="1:26" x14ac:dyDescent="0.35">
      <c r="A15" s="83" t="s">
        <v>8</v>
      </c>
      <c r="B15" s="83"/>
      <c r="C15" s="83"/>
      <c r="D15" s="83"/>
      <c r="E15" s="144" t="s">
        <v>303</v>
      </c>
      <c r="F15" s="143"/>
      <c r="G15" s="143"/>
      <c r="H15" s="143"/>
      <c r="I15" s="98" t="e">
        <f ca="1">OFFSET($D$5,1,MATCH($J13,$D$5:$H$5,0)-1,15,1)</f>
        <v>#N/A</v>
      </c>
      <c r="J15" s="99"/>
      <c r="K15" s="99"/>
      <c r="L15" s="99"/>
      <c r="M15" s="99"/>
      <c r="N15" s="99"/>
      <c r="O15" s="99"/>
      <c r="P15" s="99"/>
      <c r="S15" s="57" t="s">
        <v>178</v>
      </c>
      <c r="T15" s="57" t="s">
        <v>185</v>
      </c>
      <c r="U15" s="57" t="s">
        <v>207</v>
      </c>
      <c r="V15" s="57" t="s">
        <v>193</v>
      </c>
      <c r="W15" s="57" t="s">
        <v>223</v>
      </c>
      <c r="X15"/>
      <c r="Y15"/>
      <c r="Z15"/>
    </row>
    <row r="16" spans="1:26" ht="33.5" customHeight="1" x14ac:dyDescent="0.35">
      <c r="A16" s="103" t="s">
        <v>9</v>
      </c>
      <c r="B16" s="103"/>
      <c r="C16" s="103" t="str">
        <f>CONCATENATE((IF(OR(E9="",E9="NA"),"",E9)),", ",(IF(OR(A17="",A17="NA"),"",A17)),".",(IF(OR(C17="",C17="NA"),"",C17)),", near ",(IF(OR(C22="",C22="NA"),"",C22)),", ",(IF(OR(C19="",C19="NA"),"",C19)),", ",(IF(OR(C18="",C18="NA"),"",C18)),", ",(IF(OR(G19="",G19="NA"),"",G19)),", ",(IF(OR(C20="",C20="NA"),"",C20)),", ",(IF(OR(C21="",C21="NA"),"",C21)),", ",(IF(OR(G20="",G20="NA"),"",G20))," - ",(IF(OR(G21="",G21="NA"),"",G21)),".")</f>
        <v>Laxmi Residency, Survey No.59, H. No 6, near Ekdant Smaran apt, Proposed Panvel Highway, Katrap Gaon, Katrap, Badlapur East, Ambernath, Thane - 421503.</v>
      </c>
      <c r="D16" s="103"/>
      <c r="E16" s="103"/>
      <c r="F16" s="103"/>
      <c r="G16" s="103"/>
      <c r="H16" s="103"/>
      <c r="S16" s="57" t="s">
        <v>179</v>
      </c>
      <c r="T16" s="57" t="s">
        <v>187</v>
      </c>
      <c r="U16" s="57" t="s">
        <v>208</v>
      </c>
      <c r="V16" s="57" t="s">
        <v>194</v>
      </c>
      <c r="W16" s="57" t="s">
        <v>211</v>
      </c>
      <c r="X16"/>
      <c r="Y16"/>
      <c r="Z16"/>
    </row>
    <row r="17" spans="1:26" x14ac:dyDescent="0.35">
      <c r="A17" s="144" t="s">
        <v>304</v>
      </c>
      <c r="B17" s="144"/>
      <c r="C17" s="144" t="s">
        <v>344</v>
      </c>
      <c r="D17" s="144"/>
      <c r="E17" s="144"/>
      <c r="F17" s="144"/>
      <c r="G17" s="144"/>
      <c r="H17" s="144"/>
      <c r="S17" s="57" t="s">
        <v>180</v>
      </c>
      <c r="T17" s="57" t="s">
        <v>188</v>
      </c>
      <c r="U17" s="57" t="s">
        <v>169</v>
      </c>
      <c r="V17" s="57" t="s">
        <v>195</v>
      </c>
      <c r="W17" s="57" t="s">
        <v>212</v>
      </c>
      <c r="X17"/>
      <c r="Y17"/>
      <c r="Z17"/>
    </row>
    <row r="18" spans="1:26" ht="15.75" customHeight="1" x14ac:dyDescent="0.35">
      <c r="A18" s="144" t="s">
        <v>160</v>
      </c>
      <c r="B18" s="144"/>
      <c r="C18" s="144" t="s">
        <v>308</v>
      </c>
      <c r="D18" s="144"/>
      <c r="E18" s="144"/>
      <c r="F18" s="144"/>
      <c r="G18" s="144"/>
      <c r="H18" s="144"/>
      <c r="S18" s="57" t="s">
        <v>181</v>
      </c>
      <c r="T18" s="57" t="s">
        <v>186</v>
      </c>
      <c r="U18" s="57"/>
      <c r="V18" s="57" t="s">
        <v>196</v>
      </c>
      <c r="W18" s="57" t="s">
        <v>213</v>
      </c>
      <c r="X18"/>
      <c r="Y18"/>
      <c r="Z18"/>
    </row>
    <row r="19" spans="1:26" ht="15.75" customHeight="1" x14ac:dyDescent="0.35">
      <c r="A19" s="103" t="s">
        <v>10</v>
      </c>
      <c r="B19" s="103"/>
      <c r="C19" s="143" t="s">
        <v>309</v>
      </c>
      <c r="D19" s="143"/>
      <c r="E19" s="103" t="s">
        <v>70</v>
      </c>
      <c r="F19" s="103"/>
      <c r="G19" s="144" t="s">
        <v>305</v>
      </c>
      <c r="H19" s="144"/>
      <c r="S19" s="57" t="s">
        <v>182</v>
      </c>
      <c r="T19" s="57" t="s">
        <v>189</v>
      </c>
      <c r="U19" s="57"/>
      <c r="V19" s="57" t="s">
        <v>197</v>
      </c>
      <c r="W19" s="57" t="s">
        <v>214</v>
      </c>
      <c r="X19"/>
      <c r="Y19"/>
      <c r="Z19"/>
    </row>
    <row r="20" spans="1:26" x14ac:dyDescent="0.35">
      <c r="A20" s="83" t="s">
        <v>12</v>
      </c>
      <c r="B20" s="83"/>
      <c r="C20" s="144" t="s">
        <v>352</v>
      </c>
      <c r="D20" s="144"/>
      <c r="E20" s="144" t="s">
        <v>11</v>
      </c>
      <c r="F20" s="144"/>
      <c r="G20" s="170" t="s">
        <v>177</v>
      </c>
      <c r="H20" s="170"/>
      <c r="S20" s="57" t="s">
        <v>183</v>
      </c>
      <c r="T20" s="57" t="s">
        <v>190</v>
      </c>
      <c r="U20" s="57"/>
      <c r="V20" s="57" t="s">
        <v>198</v>
      </c>
      <c r="W20" s="57" t="s">
        <v>215</v>
      </c>
      <c r="X20"/>
      <c r="Y20"/>
      <c r="Z20"/>
    </row>
    <row r="21" spans="1:26" x14ac:dyDescent="0.35">
      <c r="A21" s="83" t="s">
        <v>71</v>
      </c>
      <c r="B21" s="83"/>
      <c r="C21" s="144" t="s">
        <v>182</v>
      </c>
      <c r="D21" s="144"/>
      <c r="E21" s="144" t="s">
        <v>13</v>
      </c>
      <c r="F21" s="144"/>
      <c r="G21" s="144">
        <v>421503</v>
      </c>
      <c r="H21" s="144"/>
      <c r="S21" s="57"/>
      <c r="T21" s="57"/>
      <c r="U21" s="57"/>
      <c r="V21" s="57" t="s">
        <v>199</v>
      </c>
      <c r="W21" s="57" t="s">
        <v>216</v>
      </c>
      <c r="X21"/>
      <c r="Y21"/>
      <c r="Z21"/>
    </row>
    <row r="22" spans="1:26" ht="32.25" customHeight="1" x14ac:dyDescent="0.35">
      <c r="A22" s="83" t="s">
        <v>119</v>
      </c>
      <c r="B22" s="83"/>
      <c r="C22" s="144" t="s">
        <v>351</v>
      </c>
      <c r="D22" s="144"/>
      <c r="E22" s="103" t="s">
        <v>14</v>
      </c>
      <c r="F22" s="103"/>
      <c r="G22" s="144" t="s">
        <v>310</v>
      </c>
      <c r="H22" s="144"/>
      <c r="S22" s="57"/>
      <c r="T22" s="57"/>
      <c r="U22" s="57"/>
      <c r="V22" s="57" t="s">
        <v>200</v>
      </c>
      <c r="W22" s="57" t="s">
        <v>217</v>
      </c>
      <c r="X22"/>
      <c r="Y22"/>
      <c r="Z22"/>
    </row>
    <row r="23" spans="1:26" ht="15" customHeight="1" x14ac:dyDescent="0.35">
      <c r="A23" s="103" t="s">
        <v>73</v>
      </c>
      <c r="B23" s="103"/>
      <c r="C23" s="103"/>
      <c r="D23" s="103"/>
      <c r="E23" s="143" t="s">
        <v>15</v>
      </c>
      <c r="F23" s="143"/>
      <c r="G23" s="143"/>
      <c r="H23" s="143"/>
      <c r="S23" s="57"/>
      <c r="T23" s="57"/>
      <c r="U23" s="57"/>
      <c r="V23" s="57" t="s">
        <v>201</v>
      </c>
      <c r="W23" s="57" t="s">
        <v>218</v>
      </c>
      <c r="X23"/>
      <c r="Y23"/>
      <c r="Z23"/>
    </row>
    <row r="24" spans="1:26" ht="18.75" customHeight="1" x14ac:dyDescent="0.35">
      <c r="A24" s="103"/>
      <c r="B24" s="103"/>
      <c r="C24" s="103"/>
      <c r="D24" s="103"/>
      <c r="E24" s="143"/>
      <c r="F24" s="143"/>
      <c r="G24" s="143"/>
      <c r="H24" s="143"/>
      <c r="S24" s="57"/>
      <c r="T24" s="57"/>
      <c r="U24" s="57"/>
      <c r="V24" s="57" t="s">
        <v>202</v>
      </c>
      <c r="W24" s="57" t="s">
        <v>219</v>
      </c>
      <c r="X24"/>
      <c r="Y24"/>
      <c r="Z24"/>
    </row>
    <row r="25" spans="1:26" ht="15" customHeight="1" x14ac:dyDescent="0.35">
      <c r="A25" s="103" t="s">
        <v>16</v>
      </c>
      <c r="B25" s="103"/>
      <c r="C25" s="103"/>
      <c r="D25" s="103"/>
      <c r="E25" s="144" t="s">
        <v>17</v>
      </c>
      <c r="F25" s="144"/>
      <c r="G25" s="144"/>
      <c r="H25" s="144"/>
      <c r="S25" s="57"/>
      <c r="T25" s="57"/>
      <c r="U25" s="57"/>
      <c r="V25" s="57" t="s">
        <v>203</v>
      </c>
      <c r="W25" s="57" t="s">
        <v>220</v>
      </c>
      <c r="X25"/>
      <c r="Y25"/>
      <c r="Z25"/>
    </row>
    <row r="26" spans="1:26" ht="15" customHeight="1" x14ac:dyDescent="0.35">
      <c r="A26" s="83" t="s">
        <v>18</v>
      </c>
      <c r="B26" s="83"/>
      <c r="C26" s="83"/>
      <c r="D26" s="83"/>
      <c r="E26" s="144" t="str">
        <f>IF(AND(G20="Mumbai"),"Upper Class","Middle Class")</f>
        <v>Middle Class</v>
      </c>
      <c r="F26" s="144"/>
      <c r="G26" s="144"/>
      <c r="H26" s="144"/>
      <c r="S26" s="57"/>
      <c r="T26" s="57"/>
      <c r="U26" s="57"/>
      <c r="V26" s="57" t="s">
        <v>204</v>
      </c>
      <c r="W26" s="57" t="s">
        <v>221</v>
      </c>
      <c r="X26"/>
      <c r="Y26"/>
      <c r="Z26"/>
    </row>
    <row r="27" spans="1:26" x14ac:dyDescent="0.35">
      <c r="A27" s="83" t="s">
        <v>19</v>
      </c>
      <c r="B27" s="83"/>
      <c r="C27" s="83"/>
      <c r="D27" s="83"/>
      <c r="E27" s="144" t="s">
        <v>20</v>
      </c>
      <c r="F27" s="144"/>
      <c r="G27" s="144"/>
      <c r="H27" s="144"/>
      <c r="S27" s="57"/>
      <c r="T27" s="57"/>
      <c r="U27" s="57"/>
      <c r="V27" s="57" t="s">
        <v>205</v>
      </c>
      <c r="W27" s="57" t="s">
        <v>222</v>
      </c>
      <c r="X27"/>
      <c r="Y27"/>
      <c r="Z27"/>
    </row>
    <row r="28" spans="1:26" ht="15.75" customHeight="1" x14ac:dyDescent="0.35">
      <c r="A28" s="83" t="s">
        <v>21</v>
      </c>
      <c r="B28" s="83"/>
      <c r="C28" s="83"/>
      <c r="D28" s="83"/>
      <c r="E28" s="144" t="str">
        <f>IF(AND(G20="Mumbai"),"Developed","Developing")</f>
        <v>Developing</v>
      </c>
      <c r="F28" s="144"/>
      <c r="G28" s="144"/>
      <c r="H28" s="144"/>
    </row>
    <row r="29" spans="1:26" x14ac:dyDescent="0.35">
      <c r="A29" s="83" t="s">
        <v>22</v>
      </c>
      <c r="B29" s="83"/>
      <c r="C29" s="83"/>
      <c r="D29" s="83"/>
      <c r="E29" s="144" t="s">
        <v>23</v>
      </c>
      <c r="F29" s="144"/>
      <c r="G29" s="144"/>
      <c r="H29" s="144"/>
    </row>
    <row r="30" spans="1:26" ht="15.75" customHeight="1" x14ac:dyDescent="0.35">
      <c r="A30" s="83" t="s">
        <v>78</v>
      </c>
      <c r="B30" s="83"/>
      <c r="C30" s="83"/>
      <c r="D30" s="83"/>
      <c r="E30" s="144" t="s">
        <v>79</v>
      </c>
      <c r="F30" s="144"/>
      <c r="G30" s="144"/>
      <c r="H30" s="144"/>
    </row>
    <row r="31" spans="1:26" ht="15" customHeight="1" x14ac:dyDescent="0.35">
      <c r="A31" s="83" t="s">
        <v>30</v>
      </c>
      <c r="B31" s="83"/>
      <c r="C31" s="83"/>
      <c r="D31" s="83"/>
      <c r="E31" s="14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4"/>
      <c r="G31" s="144"/>
      <c r="H31" s="144"/>
    </row>
    <row r="32" spans="1:26" ht="15.75" customHeight="1" x14ac:dyDescent="0.35">
      <c r="A32" s="83" t="s">
        <v>90</v>
      </c>
      <c r="B32" s="83"/>
      <c r="C32" s="83"/>
      <c r="D32" s="83"/>
      <c r="E32" s="144" t="s">
        <v>31</v>
      </c>
      <c r="F32" s="144"/>
      <c r="G32" s="144"/>
      <c r="H32" s="144"/>
    </row>
    <row r="33" spans="1:19" s="21" customFormat="1" x14ac:dyDescent="0.35">
      <c r="A33" s="178" t="s">
        <v>91</v>
      </c>
      <c r="B33" s="178"/>
      <c r="C33" s="175" t="s">
        <v>170</v>
      </c>
      <c r="D33" s="176"/>
      <c r="E33" s="177"/>
      <c r="F33" s="175" t="s">
        <v>29</v>
      </c>
      <c r="G33" s="176"/>
      <c r="H33" s="177"/>
      <c r="S33" s="21" t="e">
        <f ca="1">OFFSET($S$13,1,MATCH($G20,$S$13:$W$13,0)-1,15,1)</f>
        <v>#VALUE!</v>
      </c>
    </row>
    <row r="34" spans="1:19" s="21" customFormat="1" ht="31.5" customHeight="1" x14ac:dyDescent="0.35">
      <c r="A34" s="174" t="s">
        <v>24</v>
      </c>
      <c r="B34" s="174" t="s">
        <v>28</v>
      </c>
      <c r="C34" s="171" t="s">
        <v>316</v>
      </c>
      <c r="D34" s="172"/>
      <c r="E34" s="173"/>
      <c r="F34" s="171" t="s">
        <v>315</v>
      </c>
      <c r="G34" s="172"/>
      <c r="H34" s="173"/>
    </row>
    <row r="35" spans="1:19" x14ac:dyDescent="0.35">
      <c r="A35" s="174" t="s">
        <v>25</v>
      </c>
      <c r="B35" s="174" t="s">
        <v>28</v>
      </c>
      <c r="C35" s="167" t="s">
        <v>312</v>
      </c>
      <c r="D35" s="168"/>
      <c r="E35" s="169"/>
      <c r="F35" s="167" t="s">
        <v>309</v>
      </c>
      <c r="G35" s="168"/>
      <c r="H35" s="169"/>
    </row>
    <row r="36" spans="1:19" s="21" customFormat="1" x14ac:dyDescent="0.35">
      <c r="A36" s="174" t="s">
        <v>27</v>
      </c>
      <c r="B36" s="174" t="s">
        <v>28</v>
      </c>
      <c r="C36" s="167" t="s">
        <v>311</v>
      </c>
      <c r="D36" s="168"/>
      <c r="E36" s="169"/>
      <c r="F36" s="167" t="s">
        <v>313</v>
      </c>
      <c r="G36" s="168"/>
      <c r="H36" s="169"/>
    </row>
    <row r="37" spans="1:19" x14ac:dyDescent="0.35">
      <c r="A37" s="174" t="s">
        <v>26</v>
      </c>
      <c r="B37" s="174" t="s">
        <v>28</v>
      </c>
      <c r="C37" s="167" t="s">
        <v>311</v>
      </c>
      <c r="D37" s="168"/>
      <c r="E37" s="169"/>
      <c r="F37" s="171" t="s">
        <v>314</v>
      </c>
      <c r="G37" s="168"/>
      <c r="H37" s="169"/>
    </row>
    <row r="38" spans="1:19" x14ac:dyDescent="0.35">
      <c r="A38" s="83" t="s">
        <v>278</v>
      </c>
      <c r="B38" s="83"/>
      <c r="C38" s="83"/>
      <c r="D38" s="83"/>
      <c r="E38" s="83"/>
      <c r="F38" s="83"/>
      <c r="G38" s="83"/>
      <c r="H38" s="83"/>
    </row>
    <row r="39" spans="1:19" ht="15.75" customHeight="1" x14ac:dyDescent="0.35">
      <c r="A39" s="83" t="s">
        <v>162</v>
      </c>
      <c r="B39" s="83"/>
      <c r="C39" s="137" t="s">
        <v>306</v>
      </c>
      <c r="D39" s="137"/>
      <c r="E39" s="137"/>
      <c r="F39" s="137"/>
      <c r="G39" s="137"/>
      <c r="H39" s="137"/>
    </row>
    <row r="40" spans="1:19" x14ac:dyDescent="0.35">
      <c r="A40" s="83" t="s">
        <v>159</v>
      </c>
      <c r="B40" s="83"/>
      <c r="C40" s="199" t="s">
        <v>307</v>
      </c>
      <c r="D40" s="144"/>
      <c r="E40" s="144"/>
      <c r="F40" s="144"/>
      <c r="G40" s="144"/>
      <c r="H40" s="144"/>
    </row>
    <row r="41" spans="1:19" x14ac:dyDescent="0.35">
      <c r="A41" s="188" t="s">
        <v>32</v>
      </c>
      <c r="B41" s="228"/>
      <c r="C41" s="228"/>
      <c r="D41" s="189"/>
      <c r="E41" s="229" t="s">
        <v>346</v>
      </c>
      <c r="F41" s="230"/>
      <c r="G41" s="229" t="s">
        <v>347</v>
      </c>
      <c r="H41" s="230"/>
    </row>
    <row r="42" spans="1:19" x14ac:dyDescent="0.35">
      <c r="A42" s="83" t="s">
        <v>33</v>
      </c>
      <c r="B42" s="83"/>
      <c r="C42" s="83"/>
      <c r="D42" s="83"/>
      <c r="E42" s="231">
        <f>602</f>
        <v>602</v>
      </c>
      <c r="F42" s="232"/>
      <c r="G42" s="231">
        <v>300</v>
      </c>
      <c r="H42" s="232"/>
    </row>
    <row r="43" spans="1:19" x14ac:dyDescent="0.35">
      <c r="A43" s="83" t="s">
        <v>34</v>
      </c>
      <c r="B43" s="83"/>
      <c r="C43" s="83"/>
      <c r="D43" s="83"/>
      <c r="E43" s="233">
        <v>1.1000000000000001</v>
      </c>
      <c r="F43" s="233"/>
      <c r="G43" s="233">
        <v>1.1000000000000001</v>
      </c>
      <c r="H43" s="233"/>
    </row>
    <row r="44" spans="1:19" x14ac:dyDescent="0.35">
      <c r="A44" s="83" t="s">
        <v>35</v>
      </c>
      <c r="B44" s="83"/>
      <c r="C44" s="83"/>
      <c r="D44" s="83"/>
      <c r="E44" s="233">
        <f>E46/E42-E43</f>
        <v>2.2304817275747508</v>
      </c>
      <c r="F44" s="233"/>
      <c r="G44" s="233">
        <f>G46/G42-G43</f>
        <v>2.8669666666666664</v>
      </c>
      <c r="H44" s="233"/>
    </row>
    <row r="45" spans="1:19" x14ac:dyDescent="0.35">
      <c r="A45" s="83" t="s">
        <v>36</v>
      </c>
      <c r="B45" s="83"/>
      <c r="C45" s="83"/>
      <c r="D45" s="83"/>
      <c r="E45" s="233">
        <f>E43+E44</f>
        <v>3.3304817275747509</v>
      </c>
      <c r="F45" s="233"/>
      <c r="G45" s="233">
        <f>G43+G44</f>
        <v>3.9669666666666665</v>
      </c>
      <c r="H45" s="233"/>
    </row>
    <row r="46" spans="1:19" x14ac:dyDescent="0.35">
      <c r="A46" s="83" t="s">
        <v>89</v>
      </c>
      <c r="B46" s="83"/>
      <c r="C46" s="83"/>
      <c r="D46" s="83"/>
      <c r="E46" s="234">
        <f>2004.95</f>
        <v>2004.95</v>
      </c>
      <c r="F46" s="234"/>
      <c r="G46" s="234">
        <f>1190.09</f>
        <v>1190.0899999999999</v>
      </c>
      <c r="H46" s="234"/>
    </row>
    <row r="47" spans="1:19" x14ac:dyDescent="0.35">
      <c r="A47" s="143" t="s">
        <v>37</v>
      </c>
      <c r="B47" s="143"/>
      <c r="C47" s="143"/>
      <c r="D47" s="143"/>
      <c r="E47" s="143" t="s">
        <v>353</v>
      </c>
      <c r="F47" s="143"/>
      <c r="G47" s="143"/>
      <c r="H47" s="143"/>
    </row>
    <row r="48" spans="1:19" x14ac:dyDescent="0.35">
      <c r="A48" s="137" t="s">
        <v>38</v>
      </c>
      <c r="B48" s="137"/>
      <c r="C48" s="137"/>
      <c r="D48" s="137"/>
      <c r="E48" s="137"/>
      <c r="F48" s="137"/>
      <c r="G48" s="137"/>
      <c r="H48" s="137"/>
    </row>
    <row r="49" spans="1:24" ht="33.75" customHeight="1" x14ac:dyDescent="0.35">
      <c r="A49" s="92" t="s">
        <v>148</v>
      </c>
      <c r="B49" s="82"/>
      <c r="C49" s="208" t="s">
        <v>260</v>
      </c>
      <c r="D49" s="209"/>
      <c r="E49" s="209"/>
      <c r="F49" s="209"/>
      <c r="G49" s="209"/>
      <c r="H49" s="210"/>
      <c r="R49" t="s">
        <v>251</v>
      </c>
      <c r="S49" t="s">
        <v>169</v>
      </c>
      <c r="T49" t="s">
        <v>176</v>
      </c>
      <c r="U49" t="s">
        <v>191</v>
      </c>
      <c r="V49" t="s">
        <v>186</v>
      </c>
    </row>
    <row r="50" spans="1:24" ht="15.75" customHeight="1" x14ac:dyDescent="0.35">
      <c r="A50" s="92" t="s">
        <v>39</v>
      </c>
      <c r="B50" s="82"/>
      <c r="C50" s="92" t="s">
        <v>317</v>
      </c>
      <c r="D50" s="93"/>
      <c r="E50" s="82"/>
      <c r="F50" s="17" t="s">
        <v>40</v>
      </c>
      <c r="G50" s="107">
        <v>44970</v>
      </c>
      <c r="H50" s="108"/>
      <c r="R50"/>
      <c r="S50" t="s">
        <v>252</v>
      </c>
      <c r="T50" t="s">
        <v>257</v>
      </c>
      <c r="U50" t="s">
        <v>268</v>
      </c>
      <c r="V50" t="s">
        <v>273</v>
      </c>
    </row>
    <row r="51" spans="1:24" ht="15.75" customHeight="1" x14ac:dyDescent="0.35">
      <c r="A51" s="92" t="s">
        <v>41</v>
      </c>
      <c r="B51" s="82"/>
      <c r="C51" s="92" t="str">
        <f>C50</f>
        <v>KBNP/NRV/BP/329-168</v>
      </c>
      <c r="D51" s="93"/>
      <c r="E51" s="82"/>
      <c r="F51" s="17" t="s">
        <v>40</v>
      </c>
      <c r="G51" s="81">
        <f>G50</f>
        <v>44970</v>
      </c>
      <c r="H51" s="82"/>
      <c r="R51"/>
      <c r="S51" t="s">
        <v>253</v>
      </c>
      <c r="T51" t="s">
        <v>258</v>
      </c>
      <c r="U51" t="s">
        <v>266</v>
      </c>
      <c r="V51" t="s">
        <v>274</v>
      </c>
    </row>
    <row r="52" spans="1:24" s="22" customFormat="1" ht="34.5" customHeight="1" x14ac:dyDescent="0.35">
      <c r="A52" s="94" t="s">
        <v>152</v>
      </c>
      <c r="B52" s="95"/>
      <c r="C52" s="92" t="s">
        <v>318</v>
      </c>
      <c r="D52" s="93"/>
      <c r="E52" s="82"/>
      <c r="F52" s="17" t="s">
        <v>40</v>
      </c>
      <c r="G52" s="81">
        <f>G51</f>
        <v>44970</v>
      </c>
      <c r="H52" s="82"/>
      <c r="R52"/>
      <c r="S52" t="s">
        <v>254</v>
      </c>
      <c r="T52" t="s">
        <v>259</v>
      </c>
      <c r="U52" t="s">
        <v>256</v>
      </c>
      <c r="V52" t="s">
        <v>275</v>
      </c>
    </row>
    <row r="53" spans="1:24" s="22" customFormat="1" ht="33.75" customHeight="1" x14ac:dyDescent="0.35">
      <c r="A53" s="96"/>
      <c r="B53" s="97"/>
      <c r="C53" s="92" t="s">
        <v>354</v>
      </c>
      <c r="D53" s="93"/>
      <c r="E53" s="93"/>
      <c r="F53" s="93"/>
      <c r="G53" s="93"/>
      <c r="H53" s="82"/>
      <c r="R53"/>
      <c r="S53" t="s">
        <v>255</v>
      </c>
      <c r="T53" t="s">
        <v>262</v>
      </c>
      <c r="U53" t="s">
        <v>269</v>
      </c>
    </row>
    <row r="54" spans="1:24" s="22" customFormat="1" hidden="1" x14ac:dyDescent="0.35">
      <c r="A54" s="88" t="s">
        <v>279</v>
      </c>
      <c r="B54" s="89"/>
      <c r="C54" s="92" t="str">
        <f>C53</f>
        <v xml:space="preserve">Plot A (Wing A &amp; B) = Ground + 1st to 6th Floor 
Plot B (Wing C) = Ground + 1st to 7th Floor </v>
      </c>
      <c r="D54" s="93"/>
      <c r="E54" s="82"/>
      <c r="F54" s="17" t="s">
        <v>40</v>
      </c>
      <c r="G54" s="92"/>
      <c r="H54" s="82"/>
      <c r="R54"/>
      <c r="S54" t="s">
        <v>254</v>
      </c>
      <c r="T54" t="s">
        <v>259</v>
      </c>
      <c r="U54" t="s">
        <v>256</v>
      </c>
      <c r="V54" t="s">
        <v>275</v>
      </c>
    </row>
    <row r="55" spans="1:24" s="22" customFormat="1" ht="32.25" hidden="1" customHeight="1" x14ac:dyDescent="0.35">
      <c r="A55" s="90"/>
      <c r="B55" s="91"/>
      <c r="C55" s="203"/>
      <c r="D55" s="204"/>
      <c r="E55" s="204"/>
      <c r="F55" s="204"/>
      <c r="G55" s="204"/>
      <c r="H55" s="205"/>
      <c r="R55"/>
      <c r="S55" t="s">
        <v>256</v>
      </c>
      <c r="T55" t="s">
        <v>260</v>
      </c>
      <c r="U55" t="s">
        <v>270</v>
      </c>
      <c r="V55" s="20"/>
      <c r="W55" s="20"/>
      <c r="X55" s="20"/>
    </row>
    <row r="56" spans="1:24" s="22" customFormat="1" ht="34.5" hidden="1" customHeight="1" x14ac:dyDescent="0.35">
      <c r="A56" s="88" t="s">
        <v>280</v>
      </c>
      <c r="B56" s="89"/>
      <c r="C56" s="92">
        <f>C55</f>
        <v>0</v>
      </c>
      <c r="D56" s="93"/>
      <c r="E56" s="82"/>
      <c r="F56" s="17" t="s">
        <v>40</v>
      </c>
      <c r="G56" s="92">
        <f>G55</f>
        <v>0</v>
      </c>
      <c r="H56" s="82"/>
      <c r="R56"/>
      <c r="S56" s="20"/>
      <c r="T56" t="s">
        <v>261</v>
      </c>
      <c r="U56" t="s">
        <v>271</v>
      </c>
      <c r="V56" s="20"/>
      <c r="W56" s="20"/>
      <c r="X56" s="20"/>
    </row>
    <row r="57" spans="1:24" s="22" customFormat="1" ht="41.25" hidden="1" customHeight="1" x14ac:dyDescent="0.35">
      <c r="A57" s="90"/>
      <c r="B57" s="91"/>
      <c r="C57" s="92"/>
      <c r="D57" s="93"/>
      <c r="E57" s="93"/>
      <c r="F57" s="93"/>
      <c r="G57" s="93"/>
      <c r="H57" s="82"/>
      <c r="R57"/>
      <c r="S57" s="20"/>
      <c r="T57" t="s">
        <v>263</v>
      </c>
      <c r="U57" t="s">
        <v>272</v>
      </c>
      <c r="V57" s="20"/>
      <c r="W57" s="20"/>
      <c r="X57" s="20"/>
    </row>
    <row r="58" spans="1:24" s="22" customFormat="1" ht="15.75" hidden="1" customHeight="1" x14ac:dyDescent="0.35">
      <c r="A58" s="88" t="s">
        <v>281</v>
      </c>
      <c r="B58" s="89"/>
      <c r="C58" s="92">
        <f>C57</f>
        <v>0</v>
      </c>
      <c r="D58" s="93"/>
      <c r="E58" s="82"/>
      <c r="F58" s="17" t="s">
        <v>40</v>
      </c>
      <c r="G58" s="92">
        <f>G57</f>
        <v>0</v>
      </c>
      <c r="H58" s="82"/>
      <c r="R58"/>
      <c r="S58" s="20"/>
      <c r="T58" t="s">
        <v>264</v>
      </c>
      <c r="U58" s="20" t="s">
        <v>295</v>
      </c>
      <c r="V58" s="20"/>
      <c r="W58" s="20"/>
      <c r="X58" s="20"/>
    </row>
    <row r="59" spans="1:24" s="22" customFormat="1" ht="33.75" hidden="1" customHeight="1" x14ac:dyDescent="0.35">
      <c r="A59" s="90"/>
      <c r="B59" s="91"/>
      <c r="C59" s="92"/>
      <c r="D59" s="93"/>
      <c r="E59" s="93"/>
      <c r="F59" s="93"/>
      <c r="G59" s="93"/>
      <c r="H59" s="82"/>
      <c r="R59"/>
      <c r="S59" s="20"/>
      <c r="T59" t="s">
        <v>265</v>
      </c>
      <c r="U59" s="20"/>
      <c r="V59" s="20"/>
      <c r="W59" s="20"/>
      <c r="X59" s="20"/>
    </row>
    <row r="60" spans="1:24" x14ac:dyDescent="0.35">
      <c r="A60" s="100" t="s">
        <v>42</v>
      </c>
      <c r="B60" s="101"/>
      <c r="C60" s="100" t="s">
        <v>103</v>
      </c>
      <c r="D60" s="102"/>
      <c r="E60" s="101"/>
      <c r="F60" s="44" t="s">
        <v>40</v>
      </c>
      <c r="G60" s="188" t="s">
        <v>28</v>
      </c>
      <c r="H60" s="189"/>
      <c r="R60"/>
      <c r="T60" t="s">
        <v>267</v>
      </c>
    </row>
    <row r="61" spans="1:24" x14ac:dyDescent="0.35">
      <c r="A61" s="139" t="s">
        <v>44</v>
      </c>
      <c r="B61" s="139"/>
      <c r="C61" s="139"/>
      <c r="D61" s="139"/>
      <c r="E61" s="139"/>
      <c r="F61" s="139"/>
      <c r="G61" s="139"/>
      <c r="H61" s="139"/>
      <c r="T61" t="s">
        <v>276</v>
      </c>
    </row>
    <row r="62" spans="1:24" x14ac:dyDescent="0.35">
      <c r="A62" s="103" t="s">
        <v>88</v>
      </c>
      <c r="B62" s="103"/>
      <c r="C62" s="103"/>
      <c r="D62" s="83">
        <f>E46</f>
        <v>2004.95</v>
      </c>
      <c r="E62" s="83"/>
      <c r="F62" s="83"/>
      <c r="G62" s="83"/>
      <c r="H62" s="83"/>
      <c r="R62"/>
    </row>
    <row r="63" spans="1:24" x14ac:dyDescent="0.35">
      <c r="A63" s="144" t="s">
        <v>45</v>
      </c>
      <c r="B63" s="143"/>
      <c r="C63" s="143"/>
      <c r="D63" s="143" t="s">
        <v>343</v>
      </c>
      <c r="E63" s="143"/>
      <c r="F63" s="143"/>
      <c r="G63" s="143"/>
      <c r="H63" s="143"/>
      <c r="I63" s="23"/>
      <c r="R63"/>
    </row>
    <row r="64" spans="1:24" ht="30.75" customHeight="1" x14ac:dyDescent="0.35">
      <c r="A64" s="151" t="s">
        <v>46</v>
      </c>
      <c r="B64" s="152"/>
      <c r="C64" s="186"/>
      <c r="D64" s="146" t="s">
        <v>355</v>
      </c>
      <c r="E64" s="185"/>
      <c r="F64" s="185"/>
      <c r="G64" s="185"/>
      <c r="H64" s="185"/>
      <c r="R64"/>
    </row>
    <row r="65" spans="1:19" ht="15.75" customHeight="1" x14ac:dyDescent="0.35">
      <c r="A65" s="151" t="s">
        <v>86</v>
      </c>
      <c r="B65" s="152"/>
      <c r="C65" s="152"/>
      <c r="D65" s="157" t="s">
        <v>356</v>
      </c>
      <c r="E65" s="158"/>
      <c r="F65" s="158"/>
      <c r="G65" s="158"/>
      <c r="H65" s="159"/>
      <c r="R65"/>
    </row>
    <row r="66" spans="1:19" ht="15.75" hidden="1" customHeight="1" x14ac:dyDescent="0.35">
      <c r="A66" s="153"/>
      <c r="B66" s="154"/>
      <c r="C66" s="154"/>
      <c r="D66" s="160" t="s">
        <v>319</v>
      </c>
      <c r="E66" s="161"/>
      <c r="F66" s="161"/>
      <c r="G66" s="161"/>
      <c r="H66" s="162"/>
      <c r="R66"/>
    </row>
    <row r="67" spans="1:19" ht="15.75" customHeight="1" x14ac:dyDescent="0.35">
      <c r="A67" s="155"/>
      <c r="B67" s="156"/>
      <c r="C67" s="156"/>
      <c r="D67" s="148" t="s">
        <v>357</v>
      </c>
      <c r="E67" s="149"/>
      <c r="F67" s="149"/>
      <c r="G67" s="149"/>
      <c r="H67" s="150"/>
      <c r="S67"/>
    </row>
    <row r="68" spans="1:19" ht="15.75" customHeight="1" x14ac:dyDescent="0.35">
      <c r="A68" s="83" t="s">
        <v>43</v>
      </c>
      <c r="B68" s="83"/>
      <c r="C68" s="83"/>
      <c r="D68" s="182" t="s">
        <v>321</v>
      </c>
      <c r="E68" s="182"/>
      <c r="F68" s="182"/>
      <c r="G68" s="182"/>
      <c r="H68" s="182"/>
      <c r="J68" s="24"/>
      <c r="K68" s="23"/>
      <c r="N68" s="23"/>
      <c r="S68"/>
    </row>
    <row r="69" spans="1:19" ht="15.75" customHeight="1" x14ac:dyDescent="0.35">
      <c r="A69" s="83" t="s">
        <v>84</v>
      </c>
      <c r="B69" s="83"/>
      <c r="C69" s="83"/>
      <c r="D69" s="184" t="str">
        <f>(IF(G60="NA","60 Years After Completion",IF(G60&lt;&gt;"NA",""&amp;60-ROUNDDOWN((E3-G60)/360,0)&amp;" Years"," ")))</f>
        <v>60 Years After Completion</v>
      </c>
      <c r="E69" s="184"/>
      <c r="F69" s="184"/>
      <c r="G69" s="184"/>
      <c r="H69" s="184"/>
      <c r="N69" s="23"/>
      <c r="S69"/>
    </row>
    <row r="70" spans="1:19" ht="15.75" customHeight="1" x14ac:dyDescent="0.35">
      <c r="A70" s="83" t="s">
        <v>85</v>
      </c>
      <c r="B70" s="83"/>
      <c r="C70" s="83"/>
      <c r="D70" s="103" t="s">
        <v>23</v>
      </c>
      <c r="E70" s="103"/>
      <c r="F70" s="103"/>
      <c r="G70" s="103"/>
      <c r="H70" s="103"/>
      <c r="J70" s="25"/>
      <c r="K70" s="25"/>
      <c r="S70"/>
    </row>
    <row r="71" spans="1:19" ht="30.75" customHeight="1" x14ac:dyDescent="0.35">
      <c r="A71" s="143" t="s">
        <v>320</v>
      </c>
      <c r="B71" s="143"/>
      <c r="C71" s="143"/>
      <c r="D71" s="144" t="s">
        <v>322</v>
      </c>
      <c r="E71" s="103"/>
      <c r="F71" s="103"/>
      <c r="G71" s="103"/>
      <c r="H71" s="103"/>
      <c r="S71"/>
    </row>
    <row r="72" spans="1:19" x14ac:dyDescent="0.35">
      <c r="A72" s="103" t="s">
        <v>145</v>
      </c>
      <c r="B72" s="103"/>
      <c r="C72" s="103"/>
      <c r="D72" s="103" t="s">
        <v>28</v>
      </c>
      <c r="E72" s="103"/>
      <c r="F72" s="103"/>
      <c r="G72" s="103"/>
      <c r="H72" s="103"/>
      <c r="I72" s="26"/>
      <c r="J72" s="26"/>
      <c r="K72" s="26"/>
      <c r="L72" s="26"/>
      <c r="M72" s="26"/>
      <c r="N72" s="26"/>
    </row>
    <row r="73" spans="1:19" ht="15.75" customHeight="1" x14ac:dyDescent="0.35">
      <c r="A73" s="104" t="s">
        <v>83</v>
      </c>
      <c r="B73" s="104"/>
      <c r="C73" s="104"/>
      <c r="D73" s="146" t="str">
        <f ca="1">(IF(G79&gt;95%,"Nothing",IF(G79&gt;0%,"Cement, Aggregate, Steel, etc",IF(G79=0%,"Work not yet Started"))))</f>
        <v>Cement, Aggregate, Steel, etc</v>
      </c>
      <c r="E73" s="146"/>
      <c r="F73" s="146"/>
      <c r="G73" s="146"/>
      <c r="H73" s="146"/>
      <c r="J73" s="25"/>
      <c r="S73"/>
    </row>
    <row r="74" spans="1:19" ht="33.75" customHeight="1" thickBot="1" x14ac:dyDescent="0.4">
      <c r="A74" s="145" t="s">
        <v>116</v>
      </c>
      <c r="B74" s="145"/>
      <c r="C74" s="145"/>
      <c r="D74" s="146" t="str">
        <f ca="1">(IF(D73="Nothing","Yes",IF(D73="Cement, Aggregate, Steel, etc","Under Construction",IF(D73="Work not yet Started","Work not yet Started"))))</f>
        <v>Under Construction</v>
      </c>
      <c r="E74" s="146"/>
      <c r="F74" s="146" t="str">
        <f ca="1">(IF(D73="Nothing","Yes",IF(D73="Cement, Aggregate, Steel, etc","Under Construction",IF(D73="Work not yet Started","Work not yet Started"))))</f>
        <v>Under Construction</v>
      </c>
      <c r="G74" s="146"/>
      <c r="H74" s="146"/>
      <c r="S74"/>
    </row>
    <row r="75" spans="1:19" ht="15.75" customHeight="1" x14ac:dyDescent="0.35">
      <c r="A75" s="192" t="s">
        <v>137</v>
      </c>
      <c r="B75" s="193"/>
      <c r="C75" s="194" t="s">
        <v>359</v>
      </c>
      <c r="D75" s="195"/>
      <c r="E75" s="195"/>
      <c r="F75" s="195"/>
      <c r="G75" s="195"/>
      <c r="H75" s="196"/>
      <c r="I75" s="48" t="str">
        <f ca="1">IF(D88=100%,"All work Completed. Possession granted to the Building.",IF(D87=100%,"All work Completed, Waiting for OC",I76&amp;""&amp;I77&amp;""&amp;J76&amp;""&amp;J75&amp;" "&amp;J77))</f>
        <v>Excavation, Plinth, RCC Slab, Brickwork, Internal Plaster Completed, External Plaster upto 5 Floor, Flooring upto 4 Floor, Painting upto 3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5 Floor, Flooring upto 4 Floor, Painting upto 3 Floor</v>
      </c>
      <c r="S75"/>
    </row>
    <row r="76" spans="1:19" x14ac:dyDescent="0.35">
      <c r="A76" s="15" t="s">
        <v>139</v>
      </c>
      <c r="B76" s="52">
        <f>IF(AND(ISNUMBER(SEARCH("1B",C75))),1,IF(AND(ISNUMBER(SEARCH("2B",C75))),2,IF(AND(ISNUMBER(SEARCH("3B",C75))),3,IF(AND(ISNUMBER(SEARCH("4B",C75))),4,IF(ISNUMBER(SEARCH("5B",C75)),5,0)))))</f>
        <v>0</v>
      </c>
      <c r="C76" s="46" t="s">
        <v>69</v>
      </c>
      <c r="D76" s="46">
        <v>1</v>
      </c>
      <c r="E76" s="46" t="s">
        <v>68</v>
      </c>
      <c r="F76" s="53">
        <v>0</v>
      </c>
      <c r="G76" s="47" t="s">
        <v>77</v>
      </c>
      <c r="H76" s="16">
        <f ca="1">--TRIM(RIGHT(SUBSTITUTE(LEFT(C75,_xlfn.AGGREGATE(16,6,FIND({0,1,2,3,4,5,6,7,8,9},C75,ROW(INDIRECT("1:"&amp;LEN(C75)))),1))," ",REPT(" ",LEN(C75))),LEN(C75)))</f>
        <v>6</v>
      </c>
      <c r="I76" s="50"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25" customHeight="1" x14ac:dyDescent="0.35">
      <c r="A77" s="165" t="s">
        <v>87</v>
      </c>
      <c r="B77" s="165"/>
      <c r="C77" s="187" t="str">
        <f ca="1">I75</f>
        <v>Excavation, Plinth, RCC Slab, Brickwork, Internal Plaster Completed, External Plaster upto 5 Floor, Flooring upto 4 Floor, Painting upto 3 Floor Completed</v>
      </c>
      <c r="D77" s="187"/>
      <c r="E77" s="187"/>
      <c r="F77" s="187"/>
      <c r="G77" s="187"/>
      <c r="H77" s="187"/>
      <c r="I77" s="77" t="str">
        <f ca="1">IF(I76&lt;&gt;""," Completed","")</f>
        <v xml:space="preserve"> Completed</v>
      </c>
      <c r="J77" s="51" t="str">
        <f ca="1">IF(J75&lt;&gt;"","Completed","")</f>
        <v>Completed</v>
      </c>
      <c r="S77"/>
    </row>
    <row r="78" spans="1:19" ht="15.75" customHeight="1" x14ac:dyDescent="0.35">
      <c r="A78" s="106" t="s">
        <v>47</v>
      </c>
      <c r="B78" s="106"/>
      <c r="C78" s="80" t="s">
        <v>136</v>
      </c>
      <c r="D78" s="80" t="s">
        <v>80</v>
      </c>
      <c r="E78" s="106" t="s">
        <v>82</v>
      </c>
      <c r="F78" s="106"/>
      <c r="G78" s="106" t="s">
        <v>81</v>
      </c>
      <c r="H78" s="106"/>
      <c r="I78" s="13" t="s">
        <v>138</v>
      </c>
      <c r="J78" s="27">
        <f ca="1">H76*25%</f>
        <v>1.5</v>
      </c>
      <c r="S78"/>
    </row>
    <row r="79" spans="1:19" x14ac:dyDescent="0.35">
      <c r="A79" s="106" t="s">
        <v>125</v>
      </c>
      <c r="B79" s="106"/>
      <c r="C79" s="80">
        <f ca="1">J80</f>
        <v>6</v>
      </c>
      <c r="D79" s="18">
        <f ca="1">((100/H76)*C79)/100</f>
        <v>1</v>
      </c>
      <c r="E79" s="183">
        <f ca="1">(((C80/H76*10)+(40/(D76+F76+H76)*C81)+(7.5/(H76)*C82)+(7.5/(H76)*C83)+(10/H76*C84)+(10/H76*C85)+(5/H76*C86)+(5/H76*C87)+(5/H76*C88))/100)</f>
        <v>0.82499999999999996</v>
      </c>
      <c r="F79" s="183"/>
      <c r="G79" s="183">
        <f ca="1">((((C79/H76)*20)+((C80/H76)*25)+(30/(H76+F76+D76)*C81)+(5/H76*C82)+(5/H76*C83)+(5/H76*C84)+(5/H76*C85)+(0/H76*C86)+(0/H76*C87)+(5/H76*C88))/100)</f>
        <v>0.92500000000000004</v>
      </c>
      <c r="H79" s="183"/>
      <c r="I79" s="13" t="s">
        <v>98</v>
      </c>
      <c r="J79" s="28">
        <f ca="1">H76*50%</f>
        <v>3</v>
      </c>
    </row>
    <row r="80" spans="1:19" x14ac:dyDescent="0.35">
      <c r="A80" s="106" t="s">
        <v>48</v>
      </c>
      <c r="B80" s="106"/>
      <c r="C80" s="80">
        <f ca="1">J88</f>
        <v>6</v>
      </c>
      <c r="D80" s="18">
        <f ca="1">((100/H76)*C80)/100</f>
        <v>1</v>
      </c>
      <c r="E80" s="183"/>
      <c r="F80" s="183"/>
      <c r="G80" s="183"/>
      <c r="H80" s="183"/>
      <c r="I80" s="13" t="s">
        <v>99</v>
      </c>
      <c r="J80" s="28">
        <f ca="1">H76</f>
        <v>6</v>
      </c>
      <c r="S80"/>
    </row>
    <row r="81" spans="1:19" ht="15.75" customHeight="1" x14ac:dyDescent="0.35">
      <c r="A81" s="106" t="s">
        <v>126</v>
      </c>
      <c r="B81" s="106"/>
      <c r="C81" s="80">
        <v>7</v>
      </c>
      <c r="D81" s="18">
        <f ca="1">((100/(D76+F76+H76))*C81)/100</f>
        <v>1</v>
      </c>
      <c r="E81" s="183"/>
      <c r="F81" s="183"/>
      <c r="G81" s="183"/>
      <c r="H81" s="183"/>
      <c r="I81" s="13" t="s">
        <v>100</v>
      </c>
      <c r="J81" s="29">
        <f ca="1">(IF(B76&gt;1,(H76/(B76+2)),H76/4))</f>
        <v>1.5</v>
      </c>
      <c r="S81"/>
    </row>
    <row r="82" spans="1:19" ht="15.75" customHeight="1" x14ac:dyDescent="0.35">
      <c r="A82" s="106" t="s">
        <v>133</v>
      </c>
      <c r="B82" s="106" t="s">
        <v>127</v>
      </c>
      <c r="C82" s="80">
        <v>6</v>
      </c>
      <c r="D82" s="18">
        <f ca="1">((100/H76)*C82)/100</f>
        <v>1</v>
      </c>
      <c r="E82" s="183"/>
      <c r="F82" s="183"/>
      <c r="G82" s="183"/>
      <c r="H82" s="183"/>
      <c r="I82" s="13" t="s">
        <v>101</v>
      </c>
      <c r="J82" s="29">
        <f ca="1">(IF(B76&gt;1,(H76/(B76+2)+J81),H76/4+J81))</f>
        <v>3</v>
      </c>
    </row>
    <row r="83" spans="1:19" ht="15.75" customHeight="1" x14ac:dyDescent="0.35">
      <c r="A83" s="106" t="s">
        <v>134</v>
      </c>
      <c r="B83" s="106" t="s">
        <v>127</v>
      </c>
      <c r="C83" s="80">
        <v>6</v>
      </c>
      <c r="D83" s="18">
        <f ca="1">((100/H76)*C83)/100</f>
        <v>1</v>
      </c>
      <c r="E83" s="183"/>
      <c r="F83" s="183"/>
      <c r="G83" s="183"/>
      <c r="H83" s="183"/>
      <c r="I83" s="13" t="s">
        <v>143</v>
      </c>
      <c r="J83" s="29">
        <f>(IF(B76&gt;1,(H76/(B76+2)+J82),0))</f>
        <v>0</v>
      </c>
    </row>
    <row r="84" spans="1:19" ht="15" customHeight="1" x14ac:dyDescent="0.35">
      <c r="A84" s="106" t="s">
        <v>132</v>
      </c>
      <c r="B84" s="106" t="s">
        <v>129</v>
      </c>
      <c r="C84" s="80">
        <v>5</v>
      </c>
      <c r="D84" s="18">
        <f ca="1">((100/(H76))*C84)/100</f>
        <v>0.83333333333333348</v>
      </c>
      <c r="E84" s="183"/>
      <c r="F84" s="183"/>
      <c r="G84" s="183"/>
      <c r="H84" s="183"/>
      <c r="I84" s="13" t="s">
        <v>140</v>
      </c>
      <c r="J84" s="29">
        <f>(IF(B76&gt;2,(H76/(B76+2)+J83),0))</f>
        <v>0</v>
      </c>
    </row>
    <row r="85" spans="1:19" ht="15.75" customHeight="1" x14ac:dyDescent="0.35">
      <c r="A85" s="106" t="s">
        <v>128</v>
      </c>
      <c r="B85" s="106" t="s">
        <v>128</v>
      </c>
      <c r="C85" s="80">
        <v>4</v>
      </c>
      <c r="D85" s="18">
        <f ca="1">((100/H76)*C85)/100</f>
        <v>0.66666666666666674</v>
      </c>
      <c r="E85" s="183"/>
      <c r="F85" s="183"/>
      <c r="G85" s="183"/>
      <c r="H85" s="183"/>
      <c r="I85" s="13" t="s">
        <v>141</v>
      </c>
      <c r="J85" s="30">
        <f>(IF(B76&gt;3,(H76/(B76+2)+J84),0))</f>
        <v>0</v>
      </c>
    </row>
    <row r="86" spans="1:19" ht="15.75" customHeight="1" x14ac:dyDescent="0.35">
      <c r="A86" s="106" t="s">
        <v>135</v>
      </c>
      <c r="B86" s="106"/>
      <c r="C86" s="80">
        <v>3</v>
      </c>
      <c r="D86" s="18">
        <f ca="1">((100/H76)*C86)/100</f>
        <v>0.5</v>
      </c>
      <c r="E86" s="183"/>
      <c r="F86" s="183"/>
      <c r="G86" s="183"/>
      <c r="H86" s="183"/>
      <c r="I86" s="13" t="s">
        <v>142</v>
      </c>
      <c r="J86" s="29">
        <f>(IF(B76&gt;4,(H76/(B76+2)+J85),0))</f>
        <v>0</v>
      </c>
    </row>
    <row r="87" spans="1:19" ht="15.75" customHeight="1" x14ac:dyDescent="0.35">
      <c r="A87" s="106" t="s">
        <v>130</v>
      </c>
      <c r="B87" s="106" t="s">
        <v>130</v>
      </c>
      <c r="C87" s="80">
        <v>0</v>
      </c>
      <c r="D87" s="18">
        <f ca="1">((100/(H76))*C87)/100</f>
        <v>0</v>
      </c>
      <c r="E87" s="183"/>
      <c r="F87" s="183"/>
      <c r="G87" s="183"/>
      <c r="H87" s="183"/>
      <c r="I87" s="13" t="s">
        <v>144</v>
      </c>
      <c r="J87" s="29">
        <f ca="1">(IF(B76=1,(H76/(B76+3)+J82),IF(B76=0,(H76/4+J82),IF(B76&gt;1,0))))</f>
        <v>4.5</v>
      </c>
    </row>
    <row r="88" spans="1:19" ht="16" thickBot="1" x14ac:dyDescent="0.4">
      <c r="A88" s="106" t="s">
        <v>131</v>
      </c>
      <c r="B88" s="106"/>
      <c r="C88" s="80">
        <v>0</v>
      </c>
      <c r="D88" s="18">
        <f ca="1">((100/(H76))*C88)/100</f>
        <v>0</v>
      </c>
      <c r="E88" s="183"/>
      <c r="F88" s="183"/>
      <c r="G88" s="183"/>
      <c r="H88" s="183"/>
      <c r="I88" s="14" t="s">
        <v>102</v>
      </c>
      <c r="J88" s="31">
        <f ca="1">(IF(B76&gt;1.5,(H76/(B76+2)+J82+MAX(0,J83-J82)+MAX(0,J84-J83)+MAX(0,J85-J84)+MAX(0,J86-J85)+MAX(0,J87-J86)),IF(B76=1,(H76/(B76+3)+J87),IF(B76=0,H76/4+J87))))</f>
        <v>6</v>
      </c>
    </row>
    <row r="89" spans="1:19" ht="15.75" customHeight="1" x14ac:dyDescent="0.35">
      <c r="A89" s="105" t="s">
        <v>137</v>
      </c>
      <c r="B89" s="105"/>
      <c r="C89" s="105" t="s">
        <v>358</v>
      </c>
      <c r="D89" s="105"/>
      <c r="E89" s="105"/>
      <c r="F89" s="105"/>
      <c r="G89" s="105"/>
      <c r="H89" s="105"/>
      <c r="I89" s="76" t="str">
        <f ca="1">IF(D102=100%,"All work Completed. Possession granted to the Building.",IF(D101=100%,"All work Completed, Waiting for OC",I90&amp;""&amp;I91&amp;""&amp;J90&amp;""&amp;J89&amp;" "&amp;J91))</f>
        <v>Excavation, Plinth, RCC Slab, Brickwork, Internal Plaster Completed, External Plaster upto 5 Floor, Flooring upto 1 Floor Completed</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External Plaster upto 5 Floor, Flooring upto 1 Floor</v>
      </c>
    </row>
    <row r="90" spans="1:19" x14ac:dyDescent="0.35">
      <c r="A90" s="53" t="s">
        <v>139</v>
      </c>
      <c r="B90" s="53">
        <f>IF(AND(ISNUMBER(SEARCH("1B",C89))),1,IF(AND(ISNUMBER(SEARCH("2B",C89))),2,IF(AND(ISNUMBER(SEARCH("3B",C89))),3,IF(AND(ISNUMBER(SEARCH("4B",C89))),4,IF(ISNUMBER(SEARCH("5B",C89)),5,0)))))</f>
        <v>0</v>
      </c>
      <c r="C90" s="53" t="s">
        <v>69</v>
      </c>
      <c r="D90" s="53">
        <v>1</v>
      </c>
      <c r="E90" s="53" t="s">
        <v>68</v>
      </c>
      <c r="F90" s="74">
        <v>0</v>
      </c>
      <c r="G90" s="47" t="s">
        <v>77</v>
      </c>
      <c r="H90" s="53">
        <f ca="1">--TRIM(RIGHT(SUBSTITUTE(LEFT(C89,_xlfn.AGGREGATE(16,6,FIND({0,1,2,3,4,5,6,7,8,9},C89,ROW(INDIRECT("1:"&amp;LEN(C89)))),1))," ",REPT(" ",LEN(C89))),LEN(C89)))</f>
        <v>6</v>
      </c>
      <c r="I90" s="77" t="str">
        <f ca="1">IF(D93=100%,"Excavation","")&amp;IF(D94=100%,", Plinth","")&amp;IF(D95=100%,", RCC Slab","")&amp;IF(D96=100%,", Brickwork","")&amp;IF(D97=100%,", Internal Plaster","")&amp;IF(D98=100%,", External Plaster","")&amp;IF(D99=100%,", Flooring","")&amp;IF(D100=100%,", Painting","")&amp;IF(D101=100%,", Building common Amenities","")</f>
        <v>Excavation, Plinth, RCC Slab, Brickwork, Internal Plaster</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3.75" customHeight="1" x14ac:dyDescent="0.35">
      <c r="A91" s="165" t="s">
        <v>87</v>
      </c>
      <c r="B91" s="165"/>
      <c r="C91" s="187" t="str">
        <f ca="1">(IF($G$60="NA",I89,"All work Completed. OC Received."))</f>
        <v>Excavation, Plinth, RCC Slab, Brickwork, Internal Plaster Completed, External Plaster upto 5 Floor, Flooring upto 1 Floor Completed</v>
      </c>
      <c r="D91" s="187"/>
      <c r="E91" s="187"/>
      <c r="F91" s="187"/>
      <c r="G91" s="187"/>
      <c r="H91" s="187"/>
      <c r="I91" s="77" t="str">
        <f ca="1">IF(I90&lt;&gt;""," Completed","")</f>
        <v xml:space="preserve"> Completed</v>
      </c>
      <c r="J91" s="51" t="str">
        <f ca="1">IF(J89&lt;&gt;"","Completed","")</f>
        <v>Completed</v>
      </c>
    </row>
    <row r="92" spans="1:19" ht="15.75" customHeight="1" x14ac:dyDescent="0.35">
      <c r="A92" s="106" t="s">
        <v>47</v>
      </c>
      <c r="B92" s="106"/>
      <c r="C92" s="80" t="s">
        <v>136</v>
      </c>
      <c r="D92" s="80" t="s">
        <v>80</v>
      </c>
      <c r="E92" s="106" t="s">
        <v>82</v>
      </c>
      <c r="F92" s="106"/>
      <c r="G92" s="106" t="s">
        <v>81</v>
      </c>
      <c r="H92" s="106"/>
      <c r="I92" s="13" t="s">
        <v>138</v>
      </c>
      <c r="J92" s="27">
        <f ca="1">H90*25%</f>
        <v>1.5</v>
      </c>
    </row>
    <row r="93" spans="1:19" x14ac:dyDescent="0.35">
      <c r="A93" s="106" t="s">
        <v>125</v>
      </c>
      <c r="B93" s="106"/>
      <c r="C93" s="80">
        <f ca="1">J94</f>
        <v>6</v>
      </c>
      <c r="D93" s="18">
        <f ca="1">((100/H90)*C93)/100</f>
        <v>1</v>
      </c>
      <c r="E93" s="183">
        <f ca="1">(((C94/H90*10)+(40/(D90+F90+H90)*C95)+(7.5/(H90)*C96)+(7.5/(H90)*C97)+(10/H90*C98)+(10/H90*C99)+(5/H90*C100)+(5/H90*C101)+(5/H90*C102))/100)</f>
        <v>0.75</v>
      </c>
      <c r="F93" s="183"/>
      <c r="G93" s="183">
        <f ca="1">((((C93/H90)*20)+((C94/H90)*25)+(30/(H90+F90+D90)*C95)+(5/H90*C96)+(5/H90*C97)+(5/H90*C98)+(5/H90*C99)+(0/H90*C100)+(0/H90*C101)+(5/H90*C102))/100)</f>
        <v>0.9</v>
      </c>
      <c r="H93" s="183"/>
      <c r="I93" s="13" t="s">
        <v>98</v>
      </c>
      <c r="J93" s="28">
        <f ca="1">H90*50%</f>
        <v>3</v>
      </c>
    </row>
    <row r="94" spans="1:19" x14ac:dyDescent="0.35">
      <c r="A94" s="106" t="s">
        <v>48</v>
      </c>
      <c r="B94" s="106"/>
      <c r="C94" s="54">
        <f ca="1">J102</f>
        <v>6</v>
      </c>
      <c r="D94" s="18">
        <f ca="1">((100/H90)*C94)/100</f>
        <v>1</v>
      </c>
      <c r="E94" s="183"/>
      <c r="F94" s="183"/>
      <c r="G94" s="183"/>
      <c r="H94" s="183"/>
      <c r="I94" s="13" t="s">
        <v>99</v>
      </c>
      <c r="J94" s="28">
        <f ca="1">H90</f>
        <v>6</v>
      </c>
    </row>
    <row r="95" spans="1:19" ht="15.75" customHeight="1" x14ac:dyDescent="0.35">
      <c r="A95" s="106" t="s">
        <v>126</v>
      </c>
      <c r="B95" s="106"/>
      <c r="C95" s="80">
        <v>7</v>
      </c>
      <c r="D95" s="18">
        <f ca="1">((100/(D90+F90+H90))*C95)/100</f>
        <v>1</v>
      </c>
      <c r="E95" s="183"/>
      <c r="F95" s="183"/>
      <c r="G95" s="183"/>
      <c r="H95" s="183"/>
      <c r="I95" s="13" t="s">
        <v>100</v>
      </c>
      <c r="J95" s="29">
        <f ca="1">(IF(B90&gt;1,(H90/(B90+2)),H90/4))</f>
        <v>1.5</v>
      </c>
    </row>
    <row r="96" spans="1:19" ht="15.75" customHeight="1" x14ac:dyDescent="0.35">
      <c r="A96" s="106" t="s">
        <v>133</v>
      </c>
      <c r="B96" s="106" t="s">
        <v>127</v>
      </c>
      <c r="C96" s="80">
        <v>6</v>
      </c>
      <c r="D96" s="18">
        <f ca="1">((100/H90)*C96)/100</f>
        <v>1</v>
      </c>
      <c r="E96" s="183"/>
      <c r="F96" s="183"/>
      <c r="G96" s="183"/>
      <c r="H96" s="183"/>
      <c r="I96" s="13" t="s">
        <v>101</v>
      </c>
      <c r="J96" s="29">
        <f ca="1">(IF(B90&gt;1,(H90/(B90+2)+J95),H90/4+J95))</f>
        <v>3</v>
      </c>
    </row>
    <row r="97" spans="1:10" ht="15.75" customHeight="1" x14ac:dyDescent="0.35">
      <c r="A97" s="106" t="s">
        <v>134</v>
      </c>
      <c r="B97" s="106" t="s">
        <v>127</v>
      </c>
      <c r="C97" s="80">
        <v>6</v>
      </c>
      <c r="D97" s="18">
        <f ca="1">((100/H90)*C97)/100</f>
        <v>1</v>
      </c>
      <c r="E97" s="183"/>
      <c r="F97" s="183"/>
      <c r="G97" s="183"/>
      <c r="H97" s="183"/>
      <c r="I97" s="13" t="s">
        <v>143</v>
      </c>
      <c r="J97" s="29">
        <f>(IF(B90&gt;1,(H90/(B90+2)+J96),0))</f>
        <v>0</v>
      </c>
    </row>
    <row r="98" spans="1:10" ht="15" customHeight="1" x14ac:dyDescent="0.35">
      <c r="A98" s="106" t="s">
        <v>132</v>
      </c>
      <c r="B98" s="106" t="s">
        <v>129</v>
      </c>
      <c r="C98" s="80">
        <v>5</v>
      </c>
      <c r="D98" s="18">
        <f ca="1">((100/(H90))*C98)/100</f>
        <v>0.83333333333333348</v>
      </c>
      <c r="E98" s="183"/>
      <c r="F98" s="183"/>
      <c r="G98" s="183"/>
      <c r="H98" s="183"/>
      <c r="I98" s="13" t="s">
        <v>140</v>
      </c>
      <c r="J98" s="29">
        <f>(IF(B90&gt;2,(H90/(B90+2)+J97),0))</f>
        <v>0</v>
      </c>
    </row>
    <row r="99" spans="1:10" ht="15.75" customHeight="1" x14ac:dyDescent="0.35">
      <c r="A99" s="106" t="s">
        <v>128</v>
      </c>
      <c r="B99" s="106" t="s">
        <v>128</v>
      </c>
      <c r="C99" s="80">
        <v>1</v>
      </c>
      <c r="D99" s="18">
        <f ca="1">((100/H90)*C99)/100</f>
        <v>0.16666666666666669</v>
      </c>
      <c r="E99" s="183"/>
      <c r="F99" s="183"/>
      <c r="G99" s="183"/>
      <c r="H99" s="183"/>
      <c r="I99" s="13" t="s">
        <v>141</v>
      </c>
      <c r="J99" s="30">
        <f>(IF(B90&gt;3,(H90/(B90+2)+J98),0))</f>
        <v>0</v>
      </c>
    </row>
    <row r="100" spans="1:10" ht="15.75" customHeight="1" x14ac:dyDescent="0.35">
      <c r="A100" s="106" t="s">
        <v>135</v>
      </c>
      <c r="B100" s="106"/>
      <c r="C100" s="80">
        <v>0</v>
      </c>
      <c r="D100" s="18">
        <f ca="1">((100/H90)*C100)/100</f>
        <v>0</v>
      </c>
      <c r="E100" s="183"/>
      <c r="F100" s="183"/>
      <c r="G100" s="183"/>
      <c r="H100" s="183"/>
      <c r="I100" s="13" t="s">
        <v>142</v>
      </c>
      <c r="J100" s="29">
        <f>(IF(B90&gt;4,(H90/(B90+2)+J99),0))</f>
        <v>0</v>
      </c>
    </row>
    <row r="101" spans="1:10" ht="15.75" customHeight="1" x14ac:dyDescent="0.35">
      <c r="A101" s="106" t="s">
        <v>130</v>
      </c>
      <c r="B101" s="106" t="s">
        <v>130</v>
      </c>
      <c r="C101" s="80">
        <v>0</v>
      </c>
      <c r="D101" s="18">
        <f ca="1">((100/(H90))*C101)/100</f>
        <v>0</v>
      </c>
      <c r="E101" s="183"/>
      <c r="F101" s="183"/>
      <c r="G101" s="183"/>
      <c r="H101" s="183"/>
      <c r="I101" s="13" t="s">
        <v>144</v>
      </c>
      <c r="J101" s="29">
        <f ca="1">(IF(B90=1,(H90/(B90+3)+J96),IF(B90=0,(H90/4+J96),IF(B90&gt;1,0))))</f>
        <v>4.5</v>
      </c>
    </row>
    <row r="102" spans="1:10" ht="16" thickBot="1" x14ac:dyDescent="0.4">
      <c r="A102" s="106" t="s">
        <v>131</v>
      </c>
      <c r="B102" s="106"/>
      <c r="C102" s="80">
        <v>0</v>
      </c>
      <c r="D102" s="18">
        <f ca="1">((100/(H90))*C102)/100</f>
        <v>0</v>
      </c>
      <c r="E102" s="183"/>
      <c r="F102" s="183"/>
      <c r="G102" s="183"/>
      <c r="H102" s="183"/>
      <c r="I102" s="14" t="s">
        <v>102</v>
      </c>
      <c r="J102" s="31">
        <f ca="1">(IF(B90&gt;1.5,(H90/(B90+2)+J96+MAX(0,J97-J96)+MAX(0,J98-J97)+MAX(0,J99-J98)+MAX(0,J100-J99)+MAX(0,J101-J100)),IF(B90=1,(H90/(B90+3)+J101),IF(B90=0,H90/4+J101))))</f>
        <v>6</v>
      </c>
    </row>
    <row r="103" spans="1:10" ht="15.75" customHeight="1" x14ac:dyDescent="0.35">
      <c r="A103" s="236" t="s">
        <v>137</v>
      </c>
      <c r="B103" s="237"/>
      <c r="C103" s="238" t="str">
        <f>D67</f>
        <v>Plot B (Wing C) = Gr + 1st to 7th Floor</v>
      </c>
      <c r="D103" s="239"/>
      <c r="E103" s="239"/>
      <c r="F103" s="239"/>
      <c r="G103" s="239"/>
      <c r="H103" s="240"/>
      <c r="I103" s="48" t="str">
        <f ca="1">IF(D116=100%,"All work Completed. Possession granted to the Building.",IF(D115=100%,"All work Completed, Waiting for OC",I104&amp;""&amp;I105&amp;""&amp;J104&amp;""&amp;J103&amp;" "&amp;J105))</f>
        <v>Excavation, Plinth, RCC Slab, Brickwork Completed, Internal Plaster upto 4 Floor, External Plaster upto 1 Floor Completed</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Internal Plaster upto 4 Floor, External Plaster upto 1 Floor</v>
      </c>
    </row>
    <row r="104" spans="1:10" x14ac:dyDescent="0.35">
      <c r="A104" s="15" t="s">
        <v>139</v>
      </c>
      <c r="B104" s="53">
        <f>IF(AND(ISNUMBER(SEARCH("1B",C103))),1,IF(AND(ISNUMBER(SEARCH("2B",C103))),2,IF(AND(ISNUMBER(SEARCH("3B",C103))),3,IF(AND(ISNUMBER(SEARCH("4B",C103))),4,IF(ISNUMBER(SEARCH("5B",C103)),5,0)))))</f>
        <v>0</v>
      </c>
      <c r="C104" s="46" t="s">
        <v>69</v>
      </c>
      <c r="D104" s="46">
        <v>1</v>
      </c>
      <c r="E104" s="46" t="s">
        <v>68</v>
      </c>
      <c r="F104" s="53">
        <v>0</v>
      </c>
      <c r="G104" s="47" t="s">
        <v>77</v>
      </c>
      <c r="H104" s="16">
        <f ca="1">--TRIM(RIGHT(SUBSTITUTE(LEFT(C103,_xlfn.AGGREGATE(16,6,FIND({0,1,2,3,4,5,6,7,8,9},C103,ROW(INDIRECT("1:"&amp;LEN(C103)))),1))," ",REPT(" ",LEN(C103))),LEN(C103)))</f>
        <v>7</v>
      </c>
      <c r="I104" s="50" t="str">
        <f ca="1">IF(D107=100%,"Excavation","")&amp;IF(D108=100%,", Plinth","")&amp;IF(D109=100%,", RCC Slab","")&amp;IF(D110=100%,", Brickwork","")&amp;IF(D111=100%,", Internal Plaster","")&amp;IF(D112=100%,", External Plaster","")&amp;IF(D113=100%,", Flooring","")&amp;IF(D114=100%,", Painting","")&amp;IF(D115=100%,", Building common Amenities","")</f>
        <v>Excavation, Plinth, RCC Slab, Brickwork</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32" customHeight="1" x14ac:dyDescent="0.35">
      <c r="A105" s="206" t="s">
        <v>87</v>
      </c>
      <c r="B105" s="165"/>
      <c r="C105" s="187" t="str">
        <f ca="1">(IF($G$60="NA",I103,"All work Completed. OC Received."))</f>
        <v>Excavation, Plinth, RCC Slab, Brickwork Completed, Internal Plaster upto 4 Floor, External Plaster upto 1 Floor Completed</v>
      </c>
      <c r="D105" s="187"/>
      <c r="E105" s="187"/>
      <c r="F105" s="187"/>
      <c r="G105" s="187"/>
      <c r="H105" s="207"/>
      <c r="I105" s="50" t="str">
        <f ca="1">IF(I104&lt;&gt;""," Completed","")</f>
        <v xml:space="preserve"> Completed</v>
      </c>
      <c r="J105" s="51" t="str">
        <f ca="1">IF(J103&lt;&gt;"","Completed","")</f>
        <v>Completed</v>
      </c>
    </row>
    <row r="106" spans="1:10" ht="15.75" customHeight="1" x14ac:dyDescent="0.35">
      <c r="A106" s="112" t="s">
        <v>47</v>
      </c>
      <c r="B106" s="106"/>
      <c r="C106" s="42" t="s">
        <v>136</v>
      </c>
      <c r="D106" s="42" t="s">
        <v>80</v>
      </c>
      <c r="E106" s="106" t="s">
        <v>82</v>
      </c>
      <c r="F106" s="106"/>
      <c r="G106" s="106" t="s">
        <v>81</v>
      </c>
      <c r="H106" s="147"/>
      <c r="I106" s="13" t="s">
        <v>138</v>
      </c>
      <c r="J106" s="27">
        <f ca="1">H104*25%</f>
        <v>1.75</v>
      </c>
    </row>
    <row r="107" spans="1:10" x14ac:dyDescent="0.35">
      <c r="A107" s="112" t="s">
        <v>125</v>
      </c>
      <c r="B107" s="106"/>
      <c r="C107" s="42">
        <f ca="1">J108</f>
        <v>7</v>
      </c>
      <c r="D107" s="18">
        <f ca="1">((100/H104)*C107)/100</f>
        <v>1</v>
      </c>
      <c r="E107" s="125">
        <f ca="1">(((C108/H104*10)+(40/(D104+F104+H104)*C109)+(7.5/(H104)*C110)+(7.5/(H104)*C111)+(10/H104*C112)+(10/H104*C113)+(5/H104*C114)+(5/H104*C115)+(5/H104*C116))/100)</f>
        <v>0.63214285714285712</v>
      </c>
      <c r="F107" s="126"/>
      <c r="G107" s="125">
        <f ca="1">((((C107/H104)*20)+((C108/H104)*25)+(30/(H104+F104+D104)*C109)+(5/H104*C110)+(5/H104*C111)+(5/H104*C112)+(5/H104*C113)+(0/H104*C114)+(0/H104*C115)+(5/H104*C116))/100)</f>
        <v>0.83571428571428574</v>
      </c>
      <c r="H107" s="179"/>
      <c r="I107" s="13" t="s">
        <v>98</v>
      </c>
      <c r="J107" s="28">
        <f ca="1">H104*50%</f>
        <v>3.5</v>
      </c>
    </row>
    <row r="108" spans="1:10" x14ac:dyDescent="0.35">
      <c r="A108" s="112" t="s">
        <v>48</v>
      </c>
      <c r="B108" s="106"/>
      <c r="C108" s="54">
        <f ca="1">J116</f>
        <v>7</v>
      </c>
      <c r="D108" s="18">
        <f ca="1">((100/H104)*C108)/100</f>
        <v>1</v>
      </c>
      <c r="E108" s="127"/>
      <c r="F108" s="128"/>
      <c r="G108" s="127"/>
      <c r="H108" s="180"/>
      <c r="I108" s="13" t="s">
        <v>99</v>
      </c>
      <c r="J108" s="28">
        <f ca="1">H104</f>
        <v>7</v>
      </c>
    </row>
    <row r="109" spans="1:10" ht="15.75" customHeight="1" x14ac:dyDescent="0.35">
      <c r="A109" s="112" t="s">
        <v>126</v>
      </c>
      <c r="B109" s="106"/>
      <c r="C109" s="42">
        <v>8</v>
      </c>
      <c r="D109" s="18">
        <f ca="1">((100/(D104+F104+H104))*C109)/100</f>
        <v>1</v>
      </c>
      <c r="E109" s="127"/>
      <c r="F109" s="128"/>
      <c r="G109" s="127"/>
      <c r="H109" s="180"/>
      <c r="I109" s="13" t="s">
        <v>100</v>
      </c>
      <c r="J109" s="29">
        <f ca="1">(IF(B104&gt;1,(H104/(B104+2)),H104/4))</f>
        <v>1.75</v>
      </c>
    </row>
    <row r="110" spans="1:10" ht="15.75" customHeight="1" x14ac:dyDescent="0.35">
      <c r="A110" s="112" t="s">
        <v>133</v>
      </c>
      <c r="B110" s="106" t="s">
        <v>127</v>
      </c>
      <c r="C110" s="42">
        <v>7</v>
      </c>
      <c r="D110" s="18">
        <f ca="1">((100/H104)*C110)/100</f>
        <v>1</v>
      </c>
      <c r="E110" s="127"/>
      <c r="F110" s="128"/>
      <c r="G110" s="127"/>
      <c r="H110" s="180"/>
      <c r="I110" s="13" t="s">
        <v>101</v>
      </c>
      <c r="J110" s="29">
        <f ca="1">(IF(B104&gt;1,(H104/(B104+2)+J109),H104/4+J109))</f>
        <v>3.5</v>
      </c>
    </row>
    <row r="111" spans="1:10" ht="15.75" customHeight="1" x14ac:dyDescent="0.35">
      <c r="A111" s="112" t="s">
        <v>134</v>
      </c>
      <c r="B111" s="106" t="s">
        <v>127</v>
      </c>
      <c r="C111" s="42">
        <v>4</v>
      </c>
      <c r="D111" s="18">
        <f ca="1">((100/H104)*C111)/100</f>
        <v>0.57142857142857151</v>
      </c>
      <c r="E111" s="127"/>
      <c r="F111" s="128"/>
      <c r="G111" s="127"/>
      <c r="H111" s="180"/>
      <c r="I111" s="13" t="s">
        <v>143</v>
      </c>
      <c r="J111" s="29">
        <f>(IF(B104&gt;1,(H104/(B104+2)+J110),0))</f>
        <v>0</v>
      </c>
    </row>
    <row r="112" spans="1:10" ht="15" customHeight="1" x14ac:dyDescent="0.35">
      <c r="A112" s="112" t="s">
        <v>132</v>
      </c>
      <c r="B112" s="106" t="s">
        <v>129</v>
      </c>
      <c r="C112" s="42">
        <v>1</v>
      </c>
      <c r="D112" s="18">
        <f ca="1">((100/(H104))*C112)/100</f>
        <v>0.14285714285714288</v>
      </c>
      <c r="E112" s="127"/>
      <c r="F112" s="128"/>
      <c r="G112" s="127"/>
      <c r="H112" s="180"/>
      <c r="I112" s="13" t="s">
        <v>140</v>
      </c>
      <c r="J112" s="29">
        <f>(IF(B104&gt;2,(H104/(B104+2)+J111),0))</f>
        <v>0</v>
      </c>
    </row>
    <row r="113" spans="1:22" ht="15.75" customHeight="1" x14ac:dyDescent="0.35">
      <c r="A113" s="112" t="s">
        <v>128</v>
      </c>
      <c r="B113" s="106" t="s">
        <v>128</v>
      </c>
      <c r="C113" s="42">
        <v>0</v>
      </c>
      <c r="D113" s="18">
        <f ca="1">((100/H104)*C113)/100</f>
        <v>0</v>
      </c>
      <c r="E113" s="127"/>
      <c r="F113" s="128"/>
      <c r="G113" s="127"/>
      <c r="H113" s="180"/>
      <c r="I113" s="13" t="s">
        <v>141</v>
      </c>
      <c r="J113" s="30">
        <f>(IF(B104&gt;3,(H104/(B104+2)+J112),0))</f>
        <v>0</v>
      </c>
    </row>
    <row r="114" spans="1:22" ht="15.75" customHeight="1" x14ac:dyDescent="0.35">
      <c r="A114" s="112" t="s">
        <v>135</v>
      </c>
      <c r="B114" s="106"/>
      <c r="C114" s="42">
        <v>0</v>
      </c>
      <c r="D114" s="18">
        <f ca="1">((100/H104)*C114)/100</f>
        <v>0</v>
      </c>
      <c r="E114" s="127"/>
      <c r="F114" s="128"/>
      <c r="G114" s="127"/>
      <c r="H114" s="180"/>
      <c r="I114" s="13" t="s">
        <v>142</v>
      </c>
      <c r="J114" s="29">
        <f>(IF(B104&gt;4,(H104/(B104+2)+J113),0))</f>
        <v>0</v>
      </c>
    </row>
    <row r="115" spans="1:22" ht="15.75" customHeight="1" x14ac:dyDescent="0.35">
      <c r="A115" s="112" t="s">
        <v>130</v>
      </c>
      <c r="B115" s="106" t="s">
        <v>130</v>
      </c>
      <c r="C115" s="42">
        <v>0</v>
      </c>
      <c r="D115" s="18">
        <f ca="1">((100/(H104))*C115)/100</f>
        <v>0</v>
      </c>
      <c r="E115" s="127"/>
      <c r="F115" s="128"/>
      <c r="G115" s="127"/>
      <c r="H115" s="180"/>
      <c r="I115" s="13" t="s">
        <v>144</v>
      </c>
      <c r="J115" s="29">
        <f ca="1">(IF(B104=1,(H104/(B104+3)+J110),IF(B104=0,(H104/4+J110),IF(B104&gt;1,0))))</f>
        <v>5.25</v>
      </c>
    </row>
    <row r="116" spans="1:22" ht="16" thickBot="1" x14ac:dyDescent="0.4">
      <c r="A116" s="114" t="s">
        <v>131</v>
      </c>
      <c r="B116" s="115"/>
      <c r="C116" s="43">
        <v>0</v>
      </c>
      <c r="D116" s="19">
        <f ca="1">((100/(H104))*C116)/100</f>
        <v>0</v>
      </c>
      <c r="E116" s="129"/>
      <c r="F116" s="130"/>
      <c r="G116" s="129"/>
      <c r="H116" s="181"/>
      <c r="I116" s="14" t="s">
        <v>102</v>
      </c>
      <c r="J116" s="31">
        <f ca="1">(IF(B104&gt;1.5,(H104/(B104+2)+J110+MAX(0,J111-J110)+MAX(0,J112-J111)+MAX(0,J113-J112)+MAX(0,J114-J113)+MAX(0,J115-J114)),IF(B104=1,(H104/(B104+3)+J115),IF(B104=0,H104/4+J115))))</f>
        <v>7</v>
      </c>
    </row>
    <row r="117" spans="1:22" x14ac:dyDescent="0.35">
      <c r="A117" s="211" t="s">
        <v>154</v>
      </c>
      <c r="B117" s="211"/>
      <c r="C117" s="211"/>
      <c r="D117" s="211"/>
      <c r="E117" s="211"/>
      <c r="F117" s="142" t="s">
        <v>158</v>
      </c>
      <c r="G117" s="142"/>
      <c r="H117" s="142"/>
      <c r="R117" t="s">
        <v>251</v>
      </c>
      <c r="S117" t="s">
        <v>169</v>
      </c>
      <c r="T117" t="s">
        <v>176</v>
      </c>
      <c r="U117" t="s">
        <v>191</v>
      </c>
      <c r="V117" t="s">
        <v>186</v>
      </c>
    </row>
    <row r="118" spans="1:22" x14ac:dyDescent="0.35">
      <c r="A118" s="83" t="s">
        <v>156</v>
      </c>
      <c r="B118" s="83"/>
      <c r="C118" s="83"/>
      <c r="D118" s="83"/>
      <c r="E118" s="83"/>
      <c r="F118" s="84">
        <v>4800</v>
      </c>
      <c r="G118" s="84"/>
      <c r="H118" s="84"/>
      <c r="I118" s="20" t="s">
        <v>363</v>
      </c>
      <c r="R118"/>
      <c r="S118">
        <v>800000</v>
      </c>
      <c r="T118">
        <v>300000</v>
      </c>
      <c r="U118">
        <v>100000</v>
      </c>
      <c r="V118">
        <v>100000</v>
      </c>
    </row>
    <row r="119" spans="1:22" x14ac:dyDescent="0.35">
      <c r="A119" s="83" t="s">
        <v>155</v>
      </c>
      <c r="B119" s="83"/>
      <c r="C119" s="83"/>
      <c r="D119" s="83"/>
      <c r="E119" s="83"/>
      <c r="F119" s="84">
        <v>10000</v>
      </c>
      <c r="G119" s="84"/>
      <c r="H119" s="84"/>
      <c r="R119"/>
      <c r="S119">
        <v>900000</v>
      </c>
      <c r="T119">
        <v>350000</v>
      </c>
      <c r="U119">
        <v>150000</v>
      </c>
      <c r="V119">
        <v>150000</v>
      </c>
    </row>
    <row r="120" spans="1:22" x14ac:dyDescent="0.35">
      <c r="A120" s="83" t="s">
        <v>157</v>
      </c>
      <c r="B120" s="83"/>
      <c r="C120" s="83"/>
      <c r="D120" s="83"/>
      <c r="E120" s="83"/>
      <c r="F120" s="84">
        <v>8000</v>
      </c>
      <c r="G120" s="84"/>
      <c r="H120" s="84"/>
      <c r="R120"/>
      <c r="S120">
        <v>1000000</v>
      </c>
      <c r="T120">
        <v>400000</v>
      </c>
      <c r="U120">
        <v>200000</v>
      </c>
      <c r="V120">
        <v>200000</v>
      </c>
    </row>
    <row r="121" spans="1:22" s="32" customFormat="1" hidden="1" x14ac:dyDescent="0.35">
      <c r="A121" s="83" t="s">
        <v>172</v>
      </c>
      <c r="B121" s="83"/>
      <c r="C121" s="83"/>
      <c r="D121" s="83"/>
      <c r="E121" s="83"/>
      <c r="F121" s="84"/>
      <c r="G121" s="84"/>
      <c r="H121" s="84"/>
      <c r="R121"/>
      <c r="S121">
        <v>1100000</v>
      </c>
      <c r="T121">
        <v>500000</v>
      </c>
      <c r="U121">
        <v>250000</v>
      </c>
      <c r="V121" s="22">
        <v>250000</v>
      </c>
    </row>
    <row r="122" spans="1:22" s="32" customFormat="1" x14ac:dyDescent="0.35">
      <c r="A122" s="83" t="s">
        <v>92</v>
      </c>
      <c r="B122" s="83"/>
      <c r="C122" s="83"/>
      <c r="D122" s="83"/>
      <c r="E122" s="83"/>
      <c r="F122" s="84">
        <v>100000</v>
      </c>
      <c r="G122" s="84"/>
      <c r="H122" s="84"/>
      <c r="R122"/>
      <c r="S122">
        <v>1200000</v>
      </c>
      <c r="T122">
        <v>600000</v>
      </c>
      <c r="U122">
        <v>300000</v>
      </c>
      <c r="V122">
        <v>300000</v>
      </c>
    </row>
    <row r="123" spans="1:22" s="32" customFormat="1" x14ac:dyDescent="0.35">
      <c r="A123" s="83" t="s">
        <v>362</v>
      </c>
      <c r="B123" s="83"/>
      <c r="C123" s="83"/>
      <c r="D123" s="83"/>
      <c r="E123" s="83"/>
      <c r="F123" s="84">
        <v>50000</v>
      </c>
      <c r="G123" s="84"/>
      <c r="H123" s="84"/>
      <c r="R123"/>
      <c r="S123">
        <v>1300000</v>
      </c>
      <c r="T123">
        <v>700000</v>
      </c>
      <c r="U123">
        <v>350000</v>
      </c>
      <c r="V123" s="22">
        <v>400000</v>
      </c>
    </row>
    <row r="124" spans="1:22" s="32" customFormat="1" hidden="1" x14ac:dyDescent="0.35">
      <c r="A124" s="83" t="s">
        <v>93</v>
      </c>
      <c r="B124" s="83"/>
      <c r="C124" s="83"/>
      <c r="D124" s="83"/>
      <c r="E124" s="83"/>
      <c r="F124" s="84"/>
      <c r="G124" s="84"/>
      <c r="H124" s="84"/>
      <c r="R124"/>
      <c r="S124">
        <v>1300000</v>
      </c>
      <c r="T124">
        <v>700000</v>
      </c>
      <c r="U124">
        <v>350000</v>
      </c>
      <c r="V124" s="22">
        <v>400000</v>
      </c>
    </row>
    <row r="125" spans="1:22" s="32" customFormat="1" hidden="1" x14ac:dyDescent="0.35">
      <c r="A125" s="83" t="s">
        <v>94</v>
      </c>
      <c r="B125" s="83"/>
      <c r="C125" s="83"/>
      <c r="D125" s="83"/>
      <c r="E125" s="83"/>
      <c r="F125" s="84"/>
      <c r="G125" s="84"/>
      <c r="H125" s="84"/>
      <c r="R125"/>
      <c r="S125">
        <v>1400000</v>
      </c>
      <c r="T125">
        <v>800000</v>
      </c>
      <c r="U125">
        <v>400000</v>
      </c>
      <c r="V125"/>
    </row>
    <row r="126" spans="1:22" s="32" customFormat="1" hidden="1" x14ac:dyDescent="0.35">
      <c r="A126" s="83" t="s">
        <v>95</v>
      </c>
      <c r="B126" s="83"/>
      <c r="C126" s="83"/>
      <c r="D126" s="83"/>
      <c r="E126" s="83"/>
      <c r="F126" s="84"/>
      <c r="G126" s="84"/>
      <c r="H126" s="84"/>
      <c r="R126"/>
      <c r="S126">
        <v>1500000</v>
      </c>
      <c r="T126">
        <v>900000</v>
      </c>
      <c r="U126">
        <v>500000</v>
      </c>
      <c r="V126" s="22"/>
    </row>
    <row r="127" spans="1:22" s="32" customFormat="1" x14ac:dyDescent="0.35">
      <c r="A127" s="83" t="s">
        <v>96</v>
      </c>
      <c r="B127" s="83"/>
      <c r="C127" s="83"/>
      <c r="D127" s="83"/>
      <c r="E127" s="83"/>
      <c r="F127" s="84">
        <v>50000</v>
      </c>
      <c r="G127" s="84"/>
      <c r="H127" s="84"/>
      <c r="R127"/>
      <c r="S127">
        <v>1600000</v>
      </c>
      <c r="T127">
        <v>1000000</v>
      </c>
      <c r="U127">
        <v>600000</v>
      </c>
      <c r="V127"/>
    </row>
    <row r="128" spans="1:22" s="32" customFormat="1" hidden="1" x14ac:dyDescent="0.35">
      <c r="A128" s="83" t="s">
        <v>97</v>
      </c>
      <c r="B128" s="83"/>
      <c r="C128" s="83"/>
      <c r="D128" s="83"/>
      <c r="E128" s="83"/>
      <c r="F128" s="84"/>
      <c r="G128" s="84"/>
      <c r="H128" s="84"/>
      <c r="R128"/>
      <c r="S128">
        <v>1700000</v>
      </c>
      <c r="T128"/>
      <c r="U128"/>
      <c r="V128" s="22"/>
    </row>
    <row r="129" spans="1:22" x14ac:dyDescent="0.35">
      <c r="A129" s="83" t="s">
        <v>49</v>
      </c>
      <c r="B129" s="83"/>
      <c r="C129" s="83"/>
      <c r="D129" s="83"/>
      <c r="E129" s="83"/>
      <c r="F129" s="84">
        <v>200000</v>
      </c>
      <c r="G129" s="84"/>
      <c r="H129" s="84"/>
      <c r="R129"/>
      <c r="S129">
        <v>1800000</v>
      </c>
      <c r="T129"/>
      <c r="U129"/>
    </row>
    <row r="130" spans="1:22" s="33" customFormat="1" x14ac:dyDescent="0.35">
      <c r="A130" s="137" t="s">
        <v>50</v>
      </c>
      <c r="B130" s="137"/>
      <c r="C130" s="137"/>
      <c r="D130" s="137"/>
      <c r="E130" s="137"/>
      <c r="F130" s="84">
        <f>F118*0.8</f>
        <v>3840</v>
      </c>
      <c r="G130" s="84"/>
      <c r="H130" s="84"/>
      <c r="R130" s="20"/>
      <c r="S130" s="20"/>
      <c r="T130"/>
      <c r="U130"/>
      <c r="V130" s="20"/>
    </row>
    <row r="131" spans="1:22" s="34" customFormat="1" ht="15.75" customHeight="1" x14ac:dyDescent="0.35">
      <c r="A131" s="136" t="s">
        <v>72</v>
      </c>
      <c r="B131" s="136"/>
      <c r="C131" s="136"/>
      <c r="D131" s="136"/>
      <c r="E131" s="136"/>
      <c r="F131" s="136"/>
      <c r="G131" s="136"/>
      <c r="H131" s="136"/>
      <c r="R131"/>
      <c r="S131" s="20"/>
      <c r="T131"/>
      <c r="U131"/>
      <c r="V131" s="20"/>
    </row>
    <row r="132" spans="1:22" s="34" customFormat="1" ht="15.75" customHeight="1" x14ac:dyDescent="0.35">
      <c r="A132" s="110" t="s">
        <v>51</v>
      </c>
      <c r="B132" s="110"/>
      <c r="C132" s="116" t="s">
        <v>75</v>
      </c>
      <c r="D132" s="116"/>
      <c r="E132" s="141" t="s">
        <v>52</v>
      </c>
      <c r="F132" s="141"/>
      <c r="G132" s="110" t="s">
        <v>53</v>
      </c>
      <c r="H132" s="110"/>
      <c r="R132"/>
      <c r="S132" s="20"/>
      <c r="T132"/>
      <c r="U132" s="20"/>
      <c r="V132" s="20"/>
    </row>
    <row r="133" spans="1:22" s="34" customFormat="1" x14ac:dyDescent="0.35">
      <c r="A133" s="138" t="s">
        <v>325</v>
      </c>
      <c r="B133" s="67" t="s">
        <v>323</v>
      </c>
      <c r="C133" s="191">
        <f>COUNT(F155:F162)</f>
        <v>8</v>
      </c>
      <c r="D133" s="191"/>
      <c r="E133" s="113">
        <f>SUM(F155:F162)</f>
        <v>978.33995999999991</v>
      </c>
      <c r="F133" s="113"/>
      <c r="G133" s="113">
        <f>SUM(H155:H162)</f>
        <v>1467.5099399999999</v>
      </c>
      <c r="H133" s="113"/>
      <c r="R133"/>
      <c r="S133" s="20"/>
      <c r="T133"/>
      <c r="U133" s="20"/>
      <c r="V133" s="20"/>
    </row>
    <row r="134" spans="1:22" s="34" customFormat="1" x14ac:dyDescent="0.35">
      <c r="A134" s="138"/>
      <c r="B134" s="67" t="s">
        <v>326</v>
      </c>
      <c r="C134" s="191">
        <f>COUNT(F167:F172)</f>
        <v>6</v>
      </c>
      <c r="D134" s="191"/>
      <c r="E134" s="113">
        <f>SUM(F167:F172)</f>
        <v>820.00152000000003</v>
      </c>
      <c r="F134" s="113"/>
      <c r="G134" s="113">
        <f>SUM(H167:H172)</f>
        <v>1230.0022799999999</v>
      </c>
      <c r="H134" s="113"/>
      <c r="R134"/>
      <c r="S134" s="20"/>
      <c r="T134"/>
      <c r="U134" s="20"/>
      <c r="V134" s="20"/>
    </row>
    <row r="135" spans="1:22" s="34" customFormat="1" x14ac:dyDescent="0.35">
      <c r="A135" s="138"/>
      <c r="B135" s="67" t="s">
        <v>335</v>
      </c>
      <c r="C135" s="212">
        <f>COUNT(F178:F185)</f>
        <v>8</v>
      </c>
      <c r="D135" s="213"/>
      <c r="E135" s="214">
        <f>SUM(F178:F185)</f>
        <v>822.36959999999988</v>
      </c>
      <c r="F135" s="215"/>
      <c r="G135" s="214">
        <f>SUM(H178:H185)</f>
        <v>1233.5543999999998</v>
      </c>
      <c r="H135" s="215"/>
      <c r="R135"/>
      <c r="S135" s="20"/>
      <c r="T135"/>
      <c r="U135" s="20"/>
      <c r="V135" s="20"/>
    </row>
    <row r="136" spans="1:22" s="34" customFormat="1" x14ac:dyDescent="0.35">
      <c r="A136" s="216" t="s">
        <v>341</v>
      </c>
      <c r="B136" s="217"/>
      <c r="C136" s="117">
        <f>SUM(C133:D135)</f>
        <v>22</v>
      </c>
      <c r="D136" s="117"/>
      <c r="E136" s="117">
        <f t="shared" ref="E136" si="0">SUM(E133:F135)</f>
        <v>2620.71108</v>
      </c>
      <c r="F136" s="117"/>
      <c r="G136" s="117">
        <f>SUM(G133:H135)</f>
        <v>3931.0666199999996</v>
      </c>
      <c r="H136" s="117"/>
      <c r="R136"/>
      <c r="S136" s="20"/>
      <c r="T136"/>
      <c r="U136" s="20"/>
      <c r="V136" s="20"/>
    </row>
    <row r="137" spans="1:22" s="34" customFormat="1" x14ac:dyDescent="0.35">
      <c r="A137" s="138" t="s">
        <v>340</v>
      </c>
      <c r="B137" s="67" t="s">
        <v>323</v>
      </c>
      <c r="C137" s="212">
        <f>COUNT(F164)</f>
        <v>1</v>
      </c>
      <c r="D137" s="213"/>
      <c r="E137" s="214">
        <f>SUM(F164)</f>
        <v>1481.34168</v>
      </c>
      <c r="F137" s="215"/>
      <c r="G137" s="214">
        <f>SUM(H164)</f>
        <v>2222.0125200000002</v>
      </c>
      <c r="H137" s="215"/>
      <c r="R137"/>
      <c r="S137" s="20"/>
      <c r="T137"/>
      <c r="U137" s="20"/>
      <c r="V137" s="20"/>
    </row>
    <row r="138" spans="1:22" s="34" customFormat="1" x14ac:dyDescent="0.35">
      <c r="A138" s="138"/>
      <c r="B138" s="67" t="s">
        <v>326</v>
      </c>
      <c r="C138" s="191">
        <f>COUNT(F174)</f>
        <v>1</v>
      </c>
      <c r="D138" s="191"/>
      <c r="E138" s="113">
        <f>SUM(F174)</f>
        <v>1166.8176000000001</v>
      </c>
      <c r="F138" s="113"/>
      <c r="G138" s="113">
        <f>SUM(H174)</f>
        <v>1750.2264</v>
      </c>
      <c r="H138" s="113"/>
      <c r="R138"/>
      <c r="S138" s="20"/>
      <c r="T138"/>
      <c r="U138" s="20"/>
      <c r="V138" s="20"/>
    </row>
    <row r="139" spans="1:22" s="34" customFormat="1" x14ac:dyDescent="0.35">
      <c r="A139" s="138"/>
      <c r="B139" s="67" t="s">
        <v>335</v>
      </c>
      <c r="C139" s="191">
        <f>COUNT(F187:F188)</f>
        <v>2</v>
      </c>
      <c r="D139" s="191"/>
      <c r="E139" s="113">
        <f>SUM(F187:F188)</f>
        <v>1388.23308</v>
      </c>
      <c r="F139" s="113"/>
      <c r="G139" s="113">
        <f>SUM(H187:H188)</f>
        <v>2082.34962</v>
      </c>
      <c r="H139" s="113"/>
      <c r="R139"/>
      <c r="S139" s="20"/>
      <c r="T139"/>
      <c r="U139" s="20"/>
      <c r="V139" s="20"/>
    </row>
    <row r="140" spans="1:22" s="34" customFormat="1" x14ac:dyDescent="0.35">
      <c r="A140" s="216" t="s">
        <v>342</v>
      </c>
      <c r="B140" s="217"/>
      <c r="C140" s="117">
        <f>SUM(C137:D139)</f>
        <v>4</v>
      </c>
      <c r="D140" s="117"/>
      <c r="E140" s="117">
        <f t="shared" ref="E140" si="1">SUM(E137:F139)</f>
        <v>4036.3923599999998</v>
      </c>
      <c r="F140" s="117"/>
      <c r="G140" s="117">
        <f>SUM(G137:H139)</f>
        <v>6054.5885400000006</v>
      </c>
      <c r="H140" s="117"/>
      <c r="R140"/>
      <c r="S140" s="20"/>
      <c r="T140"/>
      <c r="U140" s="20"/>
      <c r="V140" s="20"/>
    </row>
    <row r="141" spans="1:22" s="34" customFormat="1" x14ac:dyDescent="0.35">
      <c r="A141" s="136" t="s">
        <v>67</v>
      </c>
      <c r="B141" s="136"/>
      <c r="C141" s="136"/>
      <c r="D141" s="136"/>
      <c r="E141" s="136"/>
      <c r="F141" s="136"/>
      <c r="G141" s="136"/>
      <c r="H141" s="136"/>
      <c r="T141"/>
    </row>
    <row r="142" spans="1:22" s="34" customFormat="1" ht="15.75" customHeight="1" x14ac:dyDescent="0.35">
      <c r="A142" s="110" t="s">
        <v>51</v>
      </c>
      <c r="B142" s="110"/>
      <c r="C142" s="116" t="s">
        <v>75</v>
      </c>
      <c r="D142" s="116"/>
      <c r="E142" s="141" t="s">
        <v>52</v>
      </c>
      <c r="F142" s="141"/>
      <c r="G142" s="110" t="s">
        <v>53</v>
      </c>
      <c r="H142" s="110"/>
      <c r="T142"/>
    </row>
    <row r="143" spans="1:22" s="34" customFormat="1" x14ac:dyDescent="0.35">
      <c r="A143" s="138" t="s">
        <v>323</v>
      </c>
      <c r="B143" s="138"/>
      <c r="C143" s="191">
        <f>COUNT(F195:F197)+COUNT(F199:F201)*3+COUNT(F203:F205)</f>
        <v>15</v>
      </c>
      <c r="D143" s="191"/>
      <c r="E143" s="113">
        <f>SUM(F195:F197)+SUM(F199:F201)*3+SUM(F203:F205)</f>
        <v>7216.7237999999988</v>
      </c>
      <c r="F143" s="113"/>
      <c r="G143" s="113">
        <f>SUM(H195:H197)+SUM(H199:H201)*3+SUM(H203:H205)</f>
        <v>10455</v>
      </c>
      <c r="H143" s="113"/>
      <c r="T143"/>
    </row>
    <row r="144" spans="1:22" s="34" customFormat="1" x14ac:dyDescent="0.35">
      <c r="A144" s="138" t="s">
        <v>326</v>
      </c>
      <c r="B144" s="138"/>
      <c r="C144" s="191">
        <f>COUNT(F208:F210)+COUNT(F212:F214)*3+COUNT(F216,F218)</f>
        <v>14</v>
      </c>
      <c r="D144" s="191"/>
      <c r="E144" s="113">
        <f>SUM(F208:F210)+SUM(F212:F214)*3+SUM(F216,F218)</f>
        <v>6130.3132800000003</v>
      </c>
      <c r="F144" s="113"/>
      <c r="G144" s="113">
        <f>SUM(H208:H210)+SUM(H212:H214)*3+SUM(H216,H218)</f>
        <v>8870</v>
      </c>
      <c r="H144" s="113"/>
    </row>
    <row r="145" spans="1:20" s="34" customFormat="1" x14ac:dyDescent="0.35">
      <c r="A145" s="138" t="s">
        <v>335</v>
      </c>
      <c r="B145" s="138"/>
      <c r="C145" s="191">
        <f>COUNT(F222:F224)+COUNT(F226:F228)*5</f>
        <v>18</v>
      </c>
      <c r="D145" s="191"/>
      <c r="E145" s="113">
        <f>SUM(F222:F224)+SUM(F226:F228)*5</f>
        <v>8159.5425599999999</v>
      </c>
      <c r="F145" s="113"/>
      <c r="G145" s="113">
        <f>SUM(H222:H224)+SUM(H226:H228)*5</f>
        <v>11790</v>
      </c>
      <c r="H145" s="113"/>
    </row>
    <row r="146" spans="1:20" s="34" customFormat="1" x14ac:dyDescent="0.35">
      <c r="A146" s="136" t="s">
        <v>147</v>
      </c>
      <c r="B146" s="136"/>
      <c r="C146" s="117">
        <f>SUM(C143:D145)</f>
        <v>47</v>
      </c>
      <c r="D146" s="117"/>
      <c r="E146" s="117">
        <f t="shared" ref="E146" si="2">SUM(E143:F145)</f>
        <v>21506.579639999996</v>
      </c>
      <c r="F146" s="117"/>
      <c r="G146" s="117">
        <f t="shared" ref="G146" si="3">SUM(G143:H145)</f>
        <v>31115</v>
      </c>
      <c r="H146" s="117"/>
    </row>
    <row r="147" spans="1:20" s="34" customFormat="1" x14ac:dyDescent="0.35">
      <c r="A147" s="136" t="s">
        <v>163</v>
      </c>
      <c r="B147" s="136"/>
      <c r="C147" s="117">
        <f>C140+C146+C136</f>
        <v>73</v>
      </c>
      <c r="D147" s="117"/>
      <c r="E147" s="117">
        <f>E140+E146+E136</f>
        <v>28163.683079999995</v>
      </c>
      <c r="F147" s="117"/>
      <c r="G147" s="117">
        <f>G140+G146+G136</f>
        <v>41100.655159999995</v>
      </c>
      <c r="H147" s="117"/>
    </row>
    <row r="148" spans="1:20" s="33" customFormat="1" x14ac:dyDescent="0.35">
      <c r="A148" s="142" t="s">
        <v>54</v>
      </c>
      <c r="B148" s="142"/>
      <c r="C148" s="142"/>
      <c r="D148" s="142"/>
      <c r="E148" s="142"/>
      <c r="F148" s="142"/>
      <c r="G148" s="142"/>
      <c r="H148" s="142"/>
      <c r="T148" s="34"/>
    </row>
    <row r="149" spans="1:20" x14ac:dyDescent="0.35">
      <c r="A149" s="131" t="s">
        <v>171</v>
      </c>
      <c r="B149" s="131"/>
      <c r="C149" s="131"/>
      <c r="D149" s="131"/>
      <c r="E149" s="131"/>
      <c r="F149" s="131"/>
      <c r="G149" s="131"/>
      <c r="H149" s="131"/>
      <c r="T149" s="34"/>
    </row>
    <row r="150" spans="1:20" ht="47.25" customHeight="1" x14ac:dyDescent="0.35">
      <c r="A150" s="200" t="s">
        <v>117</v>
      </c>
      <c r="B150" s="200" t="s">
        <v>173</v>
      </c>
      <c r="C150" s="200" t="s">
        <v>55</v>
      </c>
      <c r="D150" s="200" t="s">
        <v>229</v>
      </c>
      <c r="E150" s="197" t="s">
        <v>153</v>
      </c>
      <c r="F150" s="200" t="s">
        <v>56</v>
      </c>
      <c r="G150" s="197" t="s">
        <v>57</v>
      </c>
      <c r="H150" s="59" t="s">
        <v>146</v>
      </c>
      <c r="T150" s="34"/>
    </row>
    <row r="151" spans="1:20" s="36" customFormat="1" x14ac:dyDescent="0.35">
      <c r="A151" s="201"/>
      <c r="B151" s="201"/>
      <c r="C151" s="201"/>
      <c r="D151" s="201"/>
      <c r="E151" s="198"/>
      <c r="F151" s="201"/>
      <c r="G151" s="198"/>
      <c r="H151" s="73">
        <v>0.5</v>
      </c>
      <c r="T151" s="33"/>
    </row>
    <row r="152" spans="1:20" s="69" customFormat="1" x14ac:dyDescent="0.35">
      <c r="A152" s="224" t="s">
        <v>346</v>
      </c>
      <c r="B152" s="225"/>
      <c r="C152" s="225"/>
      <c r="D152" s="225"/>
      <c r="E152" s="225"/>
      <c r="F152" s="225"/>
      <c r="G152" s="225"/>
      <c r="H152" s="226"/>
      <c r="J152" s="35"/>
    </row>
    <row r="153" spans="1:20" s="69" customFormat="1" x14ac:dyDescent="0.35">
      <c r="A153" s="221" t="s">
        <v>323</v>
      </c>
      <c r="B153" s="222"/>
      <c r="C153" s="222"/>
      <c r="D153" s="222"/>
      <c r="E153" s="222"/>
      <c r="F153" s="222"/>
      <c r="G153" s="222"/>
      <c r="H153" s="223"/>
      <c r="J153" s="35"/>
      <c r="N153" s="68">
        <v>10.763999999999999</v>
      </c>
      <c r="T153" s="20"/>
    </row>
    <row r="154" spans="1:20" s="36" customFormat="1" x14ac:dyDescent="0.35">
      <c r="A154" s="118" t="s">
        <v>324</v>
      </c>
      <c r="B154" s="119"/>
      <c r="C154" s="119"/>
      <c r="D154" s="119"/>
      <c r="E154" s="119"/>
      <c r="F154" s="119"/>
      <c r="G154" s="119"/>
      <c r="H154" s="120"/>
      <c r="J154" s="35"/>
      <c r="T154" s="20"/>
    </row>
    <row r="155" spans="1:20" s="36" customFormat="1" ht="15.75" customHeight="1" x14ac:dyDescent="0.35">
      <c r="A155" s="132">
        <v>1</v>
      </c>
      <c r="B155" s="133"/>
      <c r="C155" s="41" t="s">
        <v>325</v>
      </c>
      <c r="D155" s="68">
        <f>(8.8)*10.764</f>
        <v>94.723200000000006</v>
      </c>
      <c r="E155" s="41">
        <v>0</v>
      </c>
      <c r="F155" s="41">
        <f>D155+E155</f>
        <v>94.723200000000006</v>
      </c>
      <c r="G155" s="58">
        <v>0</v>
      </c>
      <c r="H155" s="58">
        <f>(D155+E155)*(($H$151)+1)</f>
        <v>142.0848</v>
      </c>
      <c r="I155" s="35">
        <f>2.75*3.2</f>
        <v>8.8000000000000007</v>
      </c>
      <c r="L155" s="190"/>
      <c r="M155" s="190"/>
      <c r="N155" s="35"/>
      <c r="T155" s="20"/>
    </row>
    <row r="156" spans="1:20" s="36" customFormat="1" ht="15.75" customHeight="1" x14ac:dyDescent="0.35">
      <c r="A156" s="132">
        <f>A155+1</f>
        <v>2</v>
      </c>
      <c r="B156" s="133"/>
      <c r="C156" s="68" t="s">
        <v>325</v>
      </c>
      <c r="D156" s="68">
        <f>(13.2)*10.764</f>
        <v>142.08479999999997</v>
      </c>
      <c r="E156" s="41">
        <v>0</v>
      </c>
      <c r="F156" s="58">
        <f>D156+E156</f>
        <v>142.08479999999997</v>
      </c>
      <c r="G156" s="58">
        <v>0</v>
      </c>
      <c r="H156" s="58">
        <f>(D156+E156)*(($H$151)+1)</f>
        <v>213.12719999999996</v>
      </c>
      <c r="I156" s="35">
        <f>2.75*4.8</f>
        <v>13.2</v>
      </c>
      <c r="L156" s="190"/>
      <c r="M156" s="190"/>
      <c r="N156" s="35"/>
    </row>
    <row r="157" spans="1:20" s="36" customFormat="1" ht="15.75" customHeight="1" x14ac:dyDescent="0.35">
      <c r="A157" s="132">
        <f>A156+1</f>
        <v>3</v>
      </c>
      <c r="B157" s="133"/>
      <c r="C157" s="68" t="s">
        <v>325</v>
      </c>
      <c r="D157" s="68">
        <f>(11.96)*10.764</f>
        <v>128.73743999999999</v>
      </c>
      <c r="E157" s="41">
        <v>0</v>
      </c>
      <c r="F157" s="58">
        <f>D157+E157</f>
        <v>128.73743999999999</v>
      </c>
      <c r="G157" s="58">
        <v>0</v>
      </c>
      <c r="H157" s="58">
        <f>(D157+E157)*(($H$151)+1)</f>
        <v>193.10615999999999</v>
      </c>
      <c r="I157" s="35">
        <f>2.75*3.15+2*1.65</f>
        <v>11.962499999999999</v>
      </c>
      <c r="L157" s="190"/>
      <c r="M157" s="190"/>
      <c r="N157" s="35"/>
    </row>
    <row r="158" spans="1:20" s="36" customFormat="1" ht="15.75" customHeight="1" x14ac:dyDescent="0.35">
      <c r="A158" s="132">
        <f>A157+1</f>
        <v>4</v>
      </c>
      <c r="B158" s="133"/>
      <c r="C158" s="68" t="s">
        <v>325</v>
      </c>
      <c r="D158" s="68">
        <f>(6.61)*10.764</f>
        <v>71.150040000000004</v>
      </c>
      <c r="E158" s="41">
        <v>0</v>
      </c>
      <c r="F158" s="58">
        <f>D158+E158</f>
        <v>71.150040000000004</v>
      </c>
      <c r="G158" s="58">
        <v>0</v>
      </c>
      <c r="H158" s="58">
        <f>(D158+E158)*(($H$151)+1)</f>
        <v>106.72506000000001</v>
      </c>
      <c r="I158" s="35"/>
      <c r="L158" s="190"/>
      <c r="M158" s="190"/>
      <c r="N158" s="35"/>
    </row>
    <row r="159" spans="1:20" s="69" customFormat="1" ht="15.75" customHeight="1" x14ac:dyDescent="0.35">
      <c r="A159" s="132">
        <f t="shared" ref="A159:A172" si="4">A158+1</f>
        <v>5</v>
      </c>
      <c r="B159" s="133"/>
      <c r="C159" s="68" t="s">
        <v>325</v>
      </c>
      <c r="D159" s="68">
        <f>(7.08)*10.764</f>
        <v>76.209119999999999</v>
      </c>
      <c r="E159" s="68">
        <v>0</v>
      </c>
      <c r="F159" s="68">
        <f t="shared" ref="F159:F172" si="5">D159+E159</f>
        <v>76.209119999999999</v>
      </c>
      <c r="G159" s="68">
        <v>0</v>
      </c>
      <c r="H159" s="68">
        <f t="shared" ref="H159:H172" si="6">(D159+E159)*(($H$151)+1)</f>
        <v>114.31368000000001</v>
      </c>
      <c r="I159" s="35"/>
      <c r="L159" s="190"/>
      <c r="M159" s="190"/>
      <c r="N159" s="35"/>
    </row>
    <row r="160" spans="1:20" s="69" customFormat="1" ht="15.75" customHeight="1" x14ac:dyDescent="0.35">
      <c r="A160" s="132">
        <f t="shared" si="4"/>
        <v>6</v>
      </c>
      <c r="B160" s="133"/>
      <c r="C160" s="68" t="s">
        <v>325</v>
      </c>
      <c r="D160" s="68">
        <f>(8.66)*10.764</f>
        <v>93.216239999999999</v>
      </c>
      <c r="E160" s="68">
        <v>0</v>
      </c>
      <c r="F160" s="68">
        <f t="shared" si="5"/>
        <v>93.216239999999999</v>
      </c>
      <c r="G160" s="68">
        <v>0</v>
      </c>
      <c r="H160" s="68">
        <f t="shared" si="6"/>
        <v>139.82436000000001</v>
      </c>
      <c r="I160" s="35"/>
      <c r="L160" s="190"/>
      <c r="M160" s="190"/>
      <c r="N160" s="35"/>
    </row>
    <row r="161" spans="1:20" s="69" customFormat="1" ht="15.75" customHeight="1" x14ac:dyDescent="0.35">
      <c r="A161" s="132">
        <f t="shared" si="4"/>
        <v>7</v>
      </c>
      <c r="B161" s="133"/>
      <c r="C161" s="68" t="s">
        <v>325</v>
      </c>
      <c r="D161" s="68">
        <f>(18.83)*10.764</f>
        <v>202.68611999999996</v>
      </c>
      <c r="E161" s="68">
        <v>0</v>
      </c>
      <c r="F161" s="68">
        <f t="shared" si="5"/>
        <v>202.68611999999996</v>
      </c>
      <c r="G161" s="68">
        <v>0</v>
      </c>
      <c r="H161" s="68">
        <f t="shared" si="6"/>
        <v>304.02917999999994</v>
      </c>
      <c r="I161" s="35">
        <f>2.75*6.85</f>
        <v>18.837499999999999</v>
      </c>
      <c r="L161" s="190"/>
      <c r="M161" s="190"/>
      <c r="N161" s="35"/>
    </row>
    <row r="162" spans="1:20" s="69" customFormat="1" ht="15.75" customHeight="1" x14ac:dyDescent="0.35">
      <c r="A162" s="132">
        <f t="shared" si="4"/>
        <v>8</v>
      </c>
      <c r="B162" s="133"/>
      <c r="C162" s="68" t="s">
        <v>325</v>
      </c>
      <c r="D162" s="68">
        <f>(15.75)*10.764</f>
        <v>169.53299999999999</v>
      </c>
      <c r="E162" s="68">
        <v>0</v>
      </c>
      <c r="F162" s="68">
        <f t="shared" si="5"/>
        <v>169.53299999999999</v>
      </c>
      <c r="G162" s="68">
        <v>0</v>
      </c>
      <c r="H162" s="68">
        <f t="shared" si="6"/>
        <v>254.29949999999997</v>
      </c>
      <c r="I162" s="35"/>
      <c r="L162" s="190"/>
      <c r="M162" s="190"/>
      <c r="N162" s="35"/>
    </row>
    <row r="163" spans="1:20" s="69" customFormat="1" x14ac:dyDescent="0.35">
      <c r="A163" s="118" t="s">
        <v>349</v>
      </c>
      <c r="B163" s="119"/>
      <c r="C163" s="119"/>
      <c r="D163" s="119"/>
      <c r="E163" s="119"/>
      <c r="F163" s="119"/>
      <c r="G163" s="119"/>
      <c r="H163" s="120"/>
      <c r="J163" s="35"/>
      <c r="T163" s="20"/>
    </row>
    <row r="164" spans="1:20" s="69" customFormat="1" ht="15.75" customHeight="1" x14ac:dyDescent="0.35">
      <c r="A164" s="132">
        <v>1</v>
      </c>
      <c r="B164" s="133"/>
      <c r="C164" s="68" t="s">
        <v>340</v>
      </c>
      <c r="D164" s="68">
        <f>(137.62)*10.764</f>
        <v>1481.34168</v>
      </c>
      <c r="E164" s="68">
        <v>0</v>
      </c>
      <c r="F164" s="68">
        <f>D164+E164</f>
        <v>1481.34168</v>
      </c>
      <c r="G164" s="68">
        <v>0</v>
      </c>
      <c r="H164" s="68">
        <f>(D164+E164)*(($H$151)+1)</f>
        <v>2222.0125200000002</v>
      </c>
      <c r="I164" s="35">
        <f>16.05*4.15+5.6*2.3+3.7*3.6+5.15*6.55+2.75*2.1+2.3*1.2+2.2*1.1</f>
        <v>137.49499999999998</v>
      </c>
      <c r="L164" s="190"/>
      <c r="M164" s="190"/>
      <c r="N164" s="35"/>
      <c r="T164" s="20"/>
    </row>
    <row r="165" spans="1:20" s="69" customFormat="1" x14ac:dyDescent="0.35">
      <c r="A165" s="221" t="s">
        <v>326</v>
      </c>
      <c r="B165" s="222"/>
      <c r="C165" s="222"/>
      <c r="D165" s="222"/>
      <c r="E165" s="222"/>
      <c r="F165" s="222"/>
      <c r="G165" s="222"/>
      <c r="H165" s="223"/>
      <c r="J165" s="35"/>
      <c r="T165" s="20"/>
    </row>
    <row r="166" spans="1:20" s="69" customFormat="1" x14ac:dyDescent="0.35">
      <c r="A166" s="118" t="s">
        <v>324</v>
      </c>
      <c r="B166" s="119"/>
      <c r="C166" s="119"/>
      <c r="D166" s="119"/>
      <c r="E166" s="119"/>
      <c r="F166" s="119"/>
      <c r="G166" s="119"/>
      <c r="H166" s="120"/>
      <c r="J166" s="35"/>
      <c r="T166" s="20"/>
    </row>
    <row r="167" spans="1:20" s="69" customFormat="1" ht="15.75" customHeight="1" x14ac:dyDescent="0.35">
      <c r="A167" s="132">
        <f>A162+1</f>
        <v>9</v>
      </c>
      <c r="B167" s="133"/>
      <c r="C167" s="68" t="s">
        <v>325</v>
      </c>
      <c r="D167" s="68">
        <f>(15.75)*10.764</f>
        <v>169.53299999999999</v>
      </c>
      <c r="E167" s="68">
        <v>0</v>
      </c>
      <c r="F167" s="68">
        <f t="shared" si="5"/>
        <v>169.53299999999999</v>
      </c>
      <c r="G167" s="68">
        <v>0</v>
      </c>
      <c r="H167" s="68">
        <f t="shared" si="6"/>
        <v>254.29949999999997</v>
      </c>
      <c r="I167" s="35"/>
      <c r="L167" s="190"/>
      <c r="M167" s="190"/>
      <c r="N167" s="35"/>
    </row>
    <row r="168" spans="1:20" s="69" customFormat="1" ht="15.75" customHeight="1" x14ac:dyDescent="0.35">
      <c r="A168" s="132">
        <f t="shared" si="4"/>
        <v>10</v>
      </c>
      <c r="B168" s="133"/>
      <c r="C168" s="68" t="s">
        <v>325</v>
      </c>
      <c r="D168" s="68">
        <f>(7.56)*10.764</f>
        <v>81.375839999999997</v>
      </c>
      <c r="E168" s="68">
        <v>0</v>
      </c>
      <c r="F168" s="68">
        <f t="shared" si="5"/>
        <v>81.375839999999997</v>
      </c>
      <c r="G168" s="68">
        <v>0</v>
      </c>
      <c r="H168" s="68">
        <f t="shared" si="6"/>
        <v>122.06376</v>
      </c>
      <c r="I168" s="35"/>
      <c r="L168" s="190"/>
      <c r="M168" s="190"/>
      <c r="N168" s="35"/>
    </row>
    <row r="169" spans="1:20" s="69" customFormat="1" ht="15.75" customHeight="1" x14ac:dyDescent="0.35">
      <c r="A169" s="132">
        <f t="shared" si="4"/>
        <v>11</v>
      </c>
      <c r="B169" s="133"/>
      <c r="C169" s="68" t="s">
        <v>325</v>
      </c>
      <c r="D169" s="68">
        <f>(8.66)*10.764</f>
        <v>93.216239999999999</v>
      </c>
      <c r="E169" s="68">
        <v>0</v>
      </c>
      <c r="F169" s="68">
        <f t="shared" si="5"/>
        <v>93.216239999999999</v>
      </c>
      <c r="G169" s="68">
        <v>0</v>
      </c>
      <c r="H169" s="68">
        <f t="shared" si="6"/>
        <v>139.82436000000001</v>
      </c>
      <c r="I169" s="35"/>
      <c r="L169" s="190"/>
      <c r="M169" s="190"/>
      <c r="N169" s="35"/>
    </row>
    <row r="170" spans="1:20" s="69" customFormat="1" ht="15.75" customHeight="1" x14ac:dyDescent="0.35">
      <c r="A170" s="132">
        <f t="shared" si="4"/>
        <v>12</v>
      </c>
      <c r="B170" s="133"/>
      <c r="C170" s="68" t="s">
        <v>325</v>
      </c>
      <c r="D170" s="68">
        <f>(17.26)*10.764</f>
        <v>185.78664000000001</v>
      </c>
      <c r="E170" s="68">
        <v>0</v>
      </c>
      <c r="F170" s="68">
        <f t="shared" si="5"/>
        <v>185.78664000000001</v>
      </c>
      <c r="G170" s="68">
        <v>0</v>
      </c>
      <c r="H170" s="68">
        <f t="shared" si="6"/>
        <v>278.67995999999999</v>
      </c>
      <c r="I170" s="35"/>
      <c r="L170" s="190"/>
      <c r="M170" s="190"/>
      <c r="N170" s="35"/>
    </row>
    <row r="171" spans="1:20" s="69" customFormat="1" ht="15.75" customHeight="1" x14ac:dyDescent="0.35">
      <c r="A171" s="132">
        <f t="shared" si="4"/>
        <v>13</v>
      </c>
      <c r="B171" s="133"/>
      <c r="C171" s="68" t="s">
        <v>325</v>
      </c>
      <c r="D171" s="68">
        <f>(15.34)*10.764</f>
        <v>165.11975999999999</v>
      </c>
      <c r="E171" s="68">
        <v>0</v>
      </c>
      <c r="F171" s="68">
        <f t="shared" si="5"/>
        <v>165.11975999999999</v>
      </c>
      <c r="G171" s="68">
        <v>0</v>
      </c>
      <c r="H171" s="68">
        <f t="shared" si="6"/>
        <v>247.67963999999998</v>
      </c>
      <c r="I171" s="35">
        <f>2.75*5.4+1.4*0.35</f>
        <v>15.340000000000002</v>
      </c>
      <c r="L171" s="190"/>
      <c r="M171" s="190"/>
      <c r="N171" s="35"/>
    </row>
    <row r="172" spans="1:20" s="69" customFormat="1" ht="15.75" customHeight="1" x14ac:dyDescent="0.35">
      <c r="A172" s="132">
        <f t="shared" si="4"/>
        <v>14</v>
      </c>
      <c r="B172" s="133"/>
      <c r="C172" s="68" t="s">
        <v>325</v>
      </c>
      <c r="D172" s="68">
        <f>(11.61)*10.764</f>
        <v>124.97003999999998</v>
      </c>
      <c r="E172" s="68">
        <v>0</v>
      </c>
      <c r="F172" s="68">
        <f t="shared" si="5"/>
        <v>124.97003999999998</v>
      </c>
      <c r="G172" s="68">
        <v>0</v>
      </c>
      <c r="H172" s="68">
        <f t="shared" si="6"/>
        <v>187.45505999999997</v>
      </c>
      <c r="I172" s="35"/>
      <c r="L172" s="190"/>
      <c r="M172" s="190"/>
      <c r="N172" s="35"/>
    </row>
    <row r="173" spans="1:20" s="69" customFormat="1" x14ac:dyDescent="0.35">
      <c r="A173" s="118" t="s">
        <v>349</v>
      </c>
      <c r="B173" s="119"/>
      <c r="C173" s="119"/>
      <c r="D173" s="119"/>
      <c r="E173" s="119"/>
      <c r="F173" s="119"/>
      <c r="G173" s="119"/>
      <c r="H173" s="120"/>
      <c r="J173" s="35"/>
      <c r="T173" s="20"/>
    </row>
    <row r="174" spans="1:20" s="69" customFormat="1" ht="15.75" customHeight="1" x14ac:dyDescent="0.35">
      <c r="A174" s="132">
        <v>1</v>
      </c>
      <c r="B174" s="133"/>
      <c r="C174" s="68" t="s">
        <v>340</v>
      </c>
      <c r="D174" s="68">
        <f>(108.4)*10.764</f>
        <v>1166.8176000000001</v>
      </c>
      <c r="E174" s="68">
        <v>0</v>
      </c>
      <c r="F174" s="68">
        <f>D174+E174</f>
        <v>1166.8176000000001</v>
      </c>
      <c r="G174" s="68">
        <v>0</v>
      </c>
      <c r="H174" s="68">
        <f>(D174+E174)*(($H$151)+1)</f>
        <v>1750.2264</v>
      </c>
      <c r="I174" s="35">
        <f>7.6*5.1+4.45*3.75+5.15*6.55+2.75*1.7+4*1.65+1*1.3+2.45*1.2+2.3*1.2</f>
        <v>107.455</v>
      </c>
      <c r="L174" s="190"/>
      <c r="M174" s="190"/>
      <c r="N174" s="35"/>
      <c r="T174" s="20"/>
    </row>
    <row r="175" spans="1:20" s="69" customFormat="1" x14ac:dyDescent="0.35">
      <c r="A175" s="224" t="s">
        <v>347</v>
      </c>
      <c r="B175" s="225"/>
      <c r="C175" s="225"/>
      <c r="D175" s="225"/>
      <c r="E175" s="225"/>
      <c r="F175" s="225"/>
      <c r="G175" s="225"/>
      <c r="H175" s="226"/>
      <c r="J175" s="35"/>
    </row>
    <row r="176" spans="1:20" s="69" customFormat="1" x14ac:dyDescent="0.35">
      <c r="A176" s="221" t="s">
        <v>335</v>
      </c>
      <c r="B176" s="222"/>
      <c r="C176" s="222"/>
      <c r="D176" s="222"/>
      <c r="E176" s="222"/>
      <c r="F176" s="222"/>
      <c r="G176" s="222"/>
      <c r="H176" s="223"/>
      <c r="J176" s="35"/>
      <c r="T176" s="20"/>
    </row>
    <row r="177" spans="1:20" s="69" customFormat="1" x14ac:dyDescent="0.35">
      <c r="A177" s="221" t="s">
        <v>324</v>
      </c>
      <c r="B177" s="222"/>
      <c r="C177" s="222"/>
      <c r="D177" s="222"/>
      <c r="E177" s="222"/>
      <c r="F177" s="222"/>
      <c r="G177" s="222"/>
      <c r="H177" s="223"/>
      <c r="J177" s="35"/>
      <c r="T177" s="20"/>
    </row>
    <row r="178" spans="1:20" s="69" customFormat="1" ht="15.75" customHeight="1" x14ac:dyDescent="0.35">
      <c r="A178" s="132">
        <v>1</v>
      </c>
      <c r="B178" s="133"/>
      <c r="C178" s="68" t="s">
        <v>325</v>
      </c>
      <c r="D178" s="68">
        <f>(12.23)*10.764</f>
        <v>131.64372</v>
      </c>
      <c r="E178" s="68">
        <v>0</v>
      </c>
      <c r="F178" s="68">
        <f>D178+E178</f>
        <v>131.64372</v>
      </c>
      <c r="G178" s="68">
        <v>0</v>
      </c>
      <c r="H178" s="68">
        <f>(D178+E178)*(($H$151)+1)</f>
        <v>197.46557999999999</v>
      </c>
      <c r="I178" s="35">
        <f>2.75*4.45</f>
        <v>12.237500000000001</v>
      </c>
      <c r="L178" s="190"/>
      <c r="M178" s="190"/>
      <c r="N178" s="35"/>
      <c r="T178" s="20"/>
    </row>
    <row r="179" spans="1:20" s="69" customFormat="1" ht="15.75" customHeight="1" x14ac:dyDescent="0.35">
      <c r="A179" s="132">
        <f>A178+1</f>
        <v>2</v>
      </c>
      <c r="B179" s="133"/>
      <c r="C179" s="68" t="s">
        <v>325</v>
      </c>
      <c r="D179" s="68">
        <f>(11.34)*10.764</f>
        <v>122.06375999999999</v>
      </c>
      <c r="E179" s="68">
        <v>0</v>
      </c>
      <c r="F179" s="68">
        <f>D179+E179</f>
        <v>122.06375999999999</v>
      </c>
      <c r="G179" s="68">
        <v>0</v>
      </c>
      <c r="H179" s="68">
        <f>(D179+E179)*(($H$151)+1)</f>
        <v>183.09563999999997</v>
      </c>
      <c r="I179" s="35"/>
      <c r="L179" s="190"/>
      <c r="M179" s="190"/>
      <c r="N179" s="35"/>
    </row>
    <row r="180" spans="1:20" s="69" customFormat="1" ht="15.75" customHeight="1" x14ac:dyDescent="0.35">
      <c r="A180" s="132">
        <f>A179+1</f>
        <v>3</v>
      </c>
      <c r="B180" s="133"/>
      <c r="C180" s="68" t="s">
        <v>325</v>
      </c>
      <c r="D180" s="68">
        <f>(9.03)*10.764</f>
        <v>97.198919999999987</v>
      </c>
      <c r="E180" s="68">
        <v>0</v>
      </c>
      <c r="F180" s="68">
        <f>D180+E180</f>
        <v>97.198919999999987</v>
      </c>
      <c r="G180" s="68">
        <v>0</v>
      </c>
      <c r="H180" s="68">
        <f>(D180+E180)*(($H$151)+1)</f>
        <v>145.79837999999998</v>
      </c>
      <c r="I180" s="35"/>
      <c r="L180" s="190"/>
      <c r="M180" s="190"/>
      <c r="N180" s="35"/>
    </row>
    <row r="181" spans="1:20" s="69" customFormat="1" ht="15.75" customHeight="1" x14ac:dyDescent="0.35">
      <c r="A181" s="132">
        <f>A180+1</f>
        <v>4</v>
      </c>
      <c r="B181" s="133"/>
      <c r="C181" s="68" t="s">
        <v>325</v>
      </c>
      <c r="D181" s="68">
        <f>(20.37)*10.764</f>
        <v>219.26267999999999</v>
      </c>
      <c r="E181" s="68">
        <v>0</v>
      </c>
      <c r="F181" s="68">
        <f>D181+E181</f>
        <v>219.26267999999999</v>
      </c>
      <c r="G181" s="68">
        <v>0</v>
      </c>
      <c r="H181" s="68">
        <f>(D181+E181)*(($H$151)+1)</f>
        <v>328.89401999999995</v>
      </c>
      <c r="I181" s="35">
        <f>4.85*4.2</f>
        <v>20.37</v>
      </c>
      <c r="L181" s="190"/>
      <c r="M181" s="190"/>
      <c r="N181" s="35"/>
    </row>
    <row r="182" spans="1:20" s="69" customFormat="1" ht="15.75" customHeight="1" x14ac:dyDescent="0.35">
      <c r="A182" s="132">
        <f t="shared" ref="A182:A185" si="7">A181+1</f>
        <v>5</v>
      </c>
      <c r="B182" s="133"/>
      <c r="C182" s="68" t="s">
        <v>325</v>
      </c>
      <c r="D182" s="68">
        <f>(8.25)*10.764</f>
        <v>88.802999999999997</v>
      </c>
      <c r="E182" s="68">
        <v>0</v>
      </c>
      <c r="F182" s="68">
        <f t="shared" ref="F182:F185" si="8">D182+E182</f>
        <v>88.802999999999997</v>
      </c>
      <c r="G182" s="68">
        <v>0</v>
      </c>
      <c r="H182" s="68">
        <f t="shared" ref="H182:H185" si="9">(D182+E182)*(($H$151)+1)</f>
        <v>133.2045</v>
      </c>
      <c r="I182" s="35"/>
      <c r="L182" s="190"/>
      <c r="M182" s="190"/>
      <c r="N182" s="35"/>
    </row>
    <row r="183" spans="1:20" s="69" customFormat="1" ht="15.75" customHeight="1" x14ac:dyDescent="0.35">
      <c r="A183" s="132">
        <f t="shared" si="7"/>
        <v>6</v>
      </c>
      <c r="B183" s="133"/>
      <c r="C183" s="68" t="s">
        <v>325</v>
      </c>
      <c r="D183" s="68">
        <f>(4.73)*10.764</f>
        <v>50.913720000000005</v>
      </c>
      <c r="E183" s="68">
        <v>0</v>
      </c>
      <c r="F183" s="68">
        <f t="shared" si="8"/>
        <v>50.913720000000005</v>
      </c>
      <c r="G183" s="68">
        <v>0</v>
      </c>
      <c r="H183" s="68">
        <f t="shared" si="9"/>
        <v>76.370580000000004</v>
      </c>
      <c r="I183" s="35"/>
      <c r="L183" s="190"/>
      <c r="M183" s="190"/>
      <c r="N183" s="35"/>
    </row>
    <row r="184" spans="1:20" s="69" customFormat="1" ht="15.75" customHeight="1" x14ac:dyDescent="0.35">
      <c r="A184" s="132">
        <f t="shared" si="7"/>
        <v>7</v>
      </c>
      <c r="B184" s="133"/>
      <c r="C184" s="68" t="s">
        <v>325</v>
      </c>
      <c r="D184" s="68">
        <f>(4.4)*10.764</f>
        <v>47.361600000000003</v>
      </c>
      <c r="E184" s="68">
        <v>0</v>
      </c>
      <c r="F184" s="68">
        <f t="shared" si="8"/>
        <v>47.361600000000003</v>
      </c>
      <c r="G184" s="68">
        <v>0</v>
      </c>
      <c r="H184" s="68">
        <f t="shared" si="9"/>
        <v>71.042400000000001</v>
      </c>
      <c r="I184" s="35"/>
      <c r="L184" s="190"/>
      <c r="M184" s="190"/>
      <c r="N184" s="35"/>
    </row>
    <row r="185" spans="1:20" s="69" customFormat="1" ht="15.75" customHeight="1" x14ac:dyDescent="0.35">
      <c r="A185" s="132">
        <f t="shared" si="7"/>
        <v>8</v>
      </c>
      <c r="B185" s="133"/>
      <c r="C185" s="68" t="s">
        <v>325</v>
      </c>
      <c r="D185" s="68">
        <f>(6.05)*10.764</f>
        <v>65.122199999999992</v>
      </c>
      <c r="E185" s="68">
        <v>0</v>
      </c>
      <c r="F185" s="68">
        <f t="shared" si="8"/>
        <v>65.122199999999992</v>
      </c>
      <c r="G185" s="68">
        <v>0</v>
      </c>
      <c r="H185" s="68">
        <f t="shared" si="9"/>
        <v>97.683299999999988</v>
      </c>
      <c r="I185" s="35"/>
      <c r="L185" s="190"/>
      <c r="M185" s="190"/>
      <c r="N185" s="35"/>
    </row>
    <row r="186" spans="1:20" s="69" customFormat="1" x14ac:dyDescent="0.35">
      <c r="A186" s="118" t="s">
        <v>349</v>
      </c>
      <c r="B186" s="119"/>
      <c r="C186" s="119"/>
      <c r="D186" s="119"/>
      <c r="E186" s="119"/>
      <c r="F186" s="119"/>
      <c r="G186" s="119"/>
      <c r="H186" s="120"/>
      <c r="J186" s="35"/>
      <c r="T186" s="20"/>
    </row>
    <row r="187" spans="1:20" s="69" customFormat="1" ht="15.75" customHeight="1" x14ac:dyDescent="0.35">
      <c r="A187" s="132">
        <v>1</v>
      </c>
      <c r="B187" s="133"/>
      <c r="C187" s="68" t="s">
        <v>340</v>
      </c>
      <c r="D187" s="68">
        <f>(36.55+15.55)*10.764</f>
        <v>560.80439999999987</v>
      </c>
      <c r="E187" s="68">
        <v>0</v>
      </c>
      <c r="F187" s="68">
        <f>D187+E187</f>
        <v>560.80439999999987</v>
      </c>
      <c r="G187" s="68">
        <v>0</v>
      </c>
      <c r="H187" s="68">
        <f>(D187+E187)*(($H$151)+1)</f>
        <v>841.20659999999975</v>
      </c>
      <c r="I187" s="35"/>
      <c r="L187" s="190"/>
      <c r="M187" s="190"/>
      <c r="N187" s="35"/>
      <c r="T187" s="20"/>
    </row>
    <row r="188" spans="1:20" s="69" customFormat="1" ht="15.75" customHeight="1" x14ac:dyDescent="0.35">
      <c r="A188" s="132">
        <v>2</v>
      </c>
      <c r="B188" s="133"/>
      <c r="C188" s="68" t="s">
        <v>340</v>
      </c>
      <c r="D188" s="68">
        <f>(54.42+22.45)*10.764</f>
        <v>827.42867999999999</v>
      </c>
      <c r="E188" s="68">
        <v>0</v>
      </c>
      <c r="F188" s="68">
        <f>D188+E188</f>
        <v>827.42867999999999</v>
      </c>
      <c r="G188" s="68">
        <v>0</v>
      </c>
      <c r="H188" s="68">
        <f>(D188+E188)*(($H$151)+1)</f>
        <v>1241.14302</v>
      </c>
      <c r="I188" s="35"/>
      <c r="L188" s="190"/>
      <c r="M188" s="190"/>
      <c r="N188" s="35"/>
      <c r="T188" s="20"/>
    </row>
    <row r="189" spans="1:20" s="36" customFormat="1" x14ac:dyDescent="0.35">
      <c r="A189" s="140"/>
      <c r="B189" s="140"/>
      <c r="C189" s="140"/>
      <c r="D189" s="140"/>
      <c r="E189" s="140"/>
      <c r="F189" s="140"/>
      <c r="G189" s="140"/>
      <c r="H189" s="140"/>
      <c r="I189" s="35"/>
      <c r="N189" s="35"/>
    </row>
    <row r="190" spans="1:20" ht="65.25" customHeight="1" x14ac:dyDescent="0.35">
      <c r="A190" s="111" t="s">
        <v>118</v>
      </c>
      <c r="B190" s="111" t="s">
        <v>174</v>
      </c>
      <c r="C190" s="111" t="s">
        <v>55</v>
      </c>
      <c r="D190" s="111" t="s">
        <v>229</v>
      </c>
      <c r="E190" s="111" t="s">
        <v>348</v>
      </c>
      <c r="F190" s="111" t="s">
        <v>56</v>
      </c>
      <c r="G190" s="202" t="s">
        <v>57</v>
      </c>
      <c r="H190" s="78" t="s">
        <v>345</v>
      </c>
      <c r="I190" s="35"/>
      <c r="T190" s="36"/>
    </row>
    <row r="191" spans="1:20" s="36" customFormat="1" hidden="1" x14ac:dyDescent="0.35">
      <c r="A191" s="111"/>
      <c r="B191" s="111"/>
      <c r="C191" s="111"/>
      <c r="D191" s="111"/>
      <c r="E191" s="111"/>
      <c r="F191" s="111"/>
      <c r="G191" s="202"/>
      <c r="H191" s="79">
        <v>0.45</v>
      </c>
      <c r="I191" s="35"/>
    </row>
    <row r="192" spans="1:20" s="69" customFormat="1" x14ac:dyDescent="0.35">
      <c r="A192" s="224" t="s">
        <v>346</v>
      </c>
      <c r="B192" s="225"/>
      <c r="C192" s="225"/>
      <c r="D192" s="225"/>
      <c r="E192" s="225"/>
      <c r="F192" s="225"/>
      <c r="G192" s="225"/>
      <c r="H192" s="226"/>
      <c r="J192" s="35"/>
    </row>
    <row r="193" spans="1:20" s="69" customFormat="1" x14ac:dyDescent="0.35">
      <c r="A193" s="221" t="s">
        <v>323</v>
      </c>
      <c r="B193" s="222"/>
      <c r="C193" s="222"/>
      <c r="D193" s="222"/>
      <c r="E193" s="222"/>
      <c r="F193" s="222"/>
      <c r="G193" s="222"/>
      <c r="H193" s="223"/>
      <c r="J193" s="35"/>
    </row>
    <row r="194" spans="1:20" s="36" customFormat="1" x14ac:dyDescent="0.35">
      <c r="A194" s="118" t="s">
        <v>329</v>
      </c>
      <c r="B194" s="119"/>
      <c r="C194" s="119"/>
      <c r="D194" s="119"/>
      <c r="E194" s="119"/>
      <c r="F194" s="119"/>
      <c r="G194" s="119"/>
      <c r="H194" s="120"/>
      <c r="J194" s="35"/>
    </row>
    <row r="195" spans="1:20" s="36" customFormat="1" ht="15.75" customHeight="1" x14ac:dyDescent="0.35">
      <c r="A195" s="132">
        <v>1</v>
      </c>
      <c r="B195" s="133"/>
      <c r="C195" s="41" t="s">
        <v>327</v>
      </c>
      <c r="D195" s="68">
        <f>(33.84+2.75)*10.764</f>
        <v>393.85476</v>
      </c>
      <c r="E195" s="41">
        <v>0</v>
      </c>
      <c r="F195" s="41">
        <f>D195+E195</f>
        <v>393.85476</v>
      </c>
      <c r="G195" s="58">
        <f>5.15*10.764</f>
        <v>55.434600000000003</v>
      </c>
      <c r="H195" s="58">
        <v>570</v>
      </c>
      <c r="I195" s="35">
        <f>2.75*4.5+2.3*2.9+2.75*2+0.95*1.2+1.2*1.8+2.3*1.2+0.9*1.4</f>
        <v>31.864999999999998</v>
      </c>
      <c r="J195" s="36">
        <f>2.75</f>
        <v>2.75</v>
      </c>
      <c r="L195" s="71"/>
      <c r="M195" s="72">
        <f>H195/F195</f>
        <v>1.447234000675782</v>
      </c>
      <c r="N195" s="35">
        <v>570</v>
      </c>
      <c r="O195" s="70">
        <f>N195/F195</f>
        <v>1.447234000675782</v>
      </c>
      <c r="T195" s="20"/>
    </row>
    <row r="196" spans="1:20" s="36" customFormat="1" ht="15.75" customHeight="1" x14ac:dyDescent="0.35">
      <c r="A196" s="132">
        <f>A195+1</f>
        <v>2</v>
      </c>
      <c r="B196" s="133"/>
      <c r="C196" s="41" t="s">
        <v>327</v>
      </c>
      <c r="D196" s="68">
        <f>(32.13+4.85)*10.764</f>
        <v>398.05272000000002</v>
      </c>
      <c r="E196" s="68">
        <f>(2.75)*10.764</f>
        <v>29.600999999999999</v>
      </c>
      <c r="F196" s="58">
        <f>D196+E196</f>
        <v>427.65372000000002</v>
      </c>
      <c r="G196" s="58">
        <f>4.85*10.764</f>
        <v>52.20539999999999</v>
      </c>
      <c r="H196" s="58">
        <v>620</v>
      </c>
      <c r="I196" s="35"/>
      <c r="L196" s="71"/>
      <c r="M196" s="72">
        <f t="shared" ref="M196:M228" si="10">H196/F196</f>
        <v>1.4497710904981722</v>
      </c>
      <c r="N196" s="35">
        <v>620</v>
      </c>
      <c r="O196" s="70">
        <f t="shared" ref="O196:O201" si="11">N196/F196</f>
        <v>1.4497710904981722</v>
      </c>
    </row>
    <row r="197" spans="1:20" s="36" customFormat="1" ht="15.75" customHeight="1" x14ac:dyDescent="0.35">
      <c r="A197" s="132">
        <f>A196+1</f>
        <v>3</v>
      </c>
      <c r="B197" s="133"/>
      <c r="C197" s="41" t="s">
        <v>328</v>
      </c>
      <c r="D197" s="68">
        <f>(39.94+8.75)*10.764</f>
        <v>524.09915999999998</v>
      </c>
      <c r="E197" s="68">
        <f>(2.75)*10.764</f>
        <v>29.600999999999999</v>
      </c>
      <c r="F197" s="58">
        <f>D197+E197</f>
        <v>553.70015999999998</v>
      </c>
      <c r="G197" s="58">
        <f>2.7*10.764</f>
        <v>29.062799999999999</v>
      </c>
      <c r="H197" s="68">
        <v>805</v>
      </c>
      <c r="I197" s="35">
        <f>3.7*2.45+2.3*2.4+2.75*2.2+2.75*3.2+2.1*1.2+2.2*1.1+0.9*3.1+0.6*0.9+2.8*0.9</f>
        <v>40.225000000000001</v>
      </c>
      <c r="J197" s="36">
        <f>3.7+2.75</f>
        <v>6.45</v>
      </c>
      <c r="L197" s="71"/>
      <c r="M197" s="72">
        <f t="shared" si="10"/>
        <v>1.4538554585210883</v>
      </c>
      <c r="N197" s="35">
        <v>805</v>
      </c>
      <c r="O197" s="70">
        <f t="shared" si="11"/>
        <v>1.4538554585210883</v>
      </c>
    </row>
    <row r="198" spans="1:20" s="69" customFormat="1" x14ac:dyDescent="0.35">
      <c r="A198" s="118" t="s">
        <v>330</v>
      </c>
      <c r="B198" s="119"/>
      <c r="C198" s="119"/>
      <c r="D198" s="119"/>
      <c r="E198" s="119"/>
      <c r="F198" s="119"/>
      <c r="G198" s="119"/>
      <c r="H198" s="120"/>
      <c r="J198" s="35"/>
      <c r="L198" s="71"/>
      <c r="M198" s="72"/>
      <c r="O198" s="70" t="e">
        <f t="shared" si="11"/>
        <v>#DIV/0!</v>
      </c>
    </row>
    <row r="199" spans="1:20" s="69" customFormat="1" ht="15.75" customHeight="1" x14ac:dyDescent="0.35">
      <c r="A199" s="132">
        <v>1</v>
      </c>
      <c r="B199" s="133"/>
      <c r="C199" s="68" t="s">
        <v>327</v>
      </c>
      <c r="D199" s="68">
        <f>(33.84+2.75)*10.764</f>
        <v>393.85476</v>
      </c>
      <c r="E199" s="68">
        <f>(0.75*(2.75+2.3))*10.764</f>
        <v>40.768649999999994</v>
      </c>
      <c r="F199" s="68">
        <f>D199+E199</f>
        <v>434.62340999999998</v>
      </c>
      <c r="G199" s="68">
        <v>0</v>
      </c>
      <c r="H199" s="68">
        <v>630</v>
      </c>
      <c r="I199" s="35"/>
      <c r="L199" s="71"/>
      <c r="M199" s="72">
        <f t="shared" si="10"/>
        <v>1.4495307558329635</v>
      </c>
      <c r="N199" s="35">
        <v>630</v>
      </c>
      <c r="O199" s="70">
        <f t="shared" si="11"/>
        <v>1.4495307558329635</v>
      </c>
      <c r="T199" s="20"/>
    </row>
    <row r="200" spans="1:20" s="69" customFormat="1" ht="15.75" customHeight="1" x14ac:dyDescent="0.35">
      <c r="A200" s="132">
        <f>A199+1</f>
        <v>2</v>
      </c>
      <c r="B200" s="133"/>
      <c r="C200" s="68" t="s">
        <v>327</v>
      </c>
      <c r="D200" s="68">
        <f>(32.13+4.85)*10.764</f>
        <v>398.05272000000002</v>
      </c>
      <c r="E200" s="68">
        <f>(2.75+0.75*2.75)*10.764</f>
        <v>51.801749999999998</v>
      </c>
      <c r="F200" s="68">
        <f>D200+E200</f>
        <v>449.85446999999999</v>
      </c>
      <c r="G200" s="68">
        <v>0</v>
      </c>
      <c r="H200" s="68">
        <v>650</v>
      </c>
      <c r="I200" s="35"/>
      <c r="L200" s="71"/>
      <c r="M200" s="72">
        <f t="shared" si="10"/>
        <v>1.4449117288975699</v>
      </c>
      <c r="N200" s="35">
        <v>650</v>
      </c>
      <c r="O200" s="70">
        <f t="shared" si="11"/>
        <v>1.4449117288975699</v>
      </c>
    </row>
    <row r="201" spans="1:20" s="69" customFormat="1" ht="15.75" customHeight="1" x14ac:dyDescent="0.35">
      <c r="A201" s="132">
        <f>A200+1</f>
        <v>3</v>
      </c>
      <c r="B201" s="133"/>
      <c r="C201" s="68" t="s">
        <v>328</v>
      </c>
      <c r="D201" s="68">
        <f>(39.94+8.75)*10.764</f>
        <v>524.09915999999998</v>
      </c>
      <c r="E201" s="68">
        <f>(2.75+0.75*2.75)*10.764</f>
        <v>51.801749999999998</v>
      </c>
      <c r="F201" s="68">
        <f>D201+E201</f>
        <v>575.90090999999995</v>
      </c>
      <c r="G201" s="68">
        <v>0</v>
      </c>
      <c r="H201" s="68">
        <v>835</v>
      </c>
      <c r="I201" s="35"/>
      <c r="L201" s="71"/>
      <c r="M201" s="72">
        <f t="shared" si="10"/>
        <v>1.4499022062666997</v>
      </c>
      <c r="N201" s="35">
        <v>835</v>
      </c>
      <c r="O201" s="70">
        <f t="shared" si="11"/>
        <v>1.4499022062666997</v>
      </c>
    </row>
    <row r="202" spans="1:20" s="69" customFormat="1" x14ac:dyDescent="0.35">
      <c r="A202" s="118" t="s">
        <v>331</v>
      </c>
      <c r="B202" s="119"/>
      <c r="C202" s="119"/>
      <c r="D202" s="119"/>
      <c r="E202" s="119"/>
      <c r="F202" s="119"/>
      <c r="G202" s="119"/>
      <c r="H202" s="120"/>
      <c r="J202" s="35"/>
      <c r="L202" s="71"/>
      <c r="M202" s="72"/>
    </row>
    <row r="203" spans="1:20" s="69" customFormat="1" ht="15.75" customHeight="1" x14ac:dyDescent="0.35">
      <c r="A203" s="132">
        <v>1</v>
      </c>
      <c r="B203" s="133"/>
      <c r="C203" s="68" t="s">
        <v>327</v>
      </c>
      <c r="D203" s="68">
        <f>(33.84+2.75)*10.764</f>
        <v>393.85476</v>
      </c>
      <c r="E203" s="68">
        <f>(0.75*(2.75+2.3))*10.764</f>
        <v>40.768649999999994</v>
      </c>
      <c r="F203" s="68">
        <f>D203+E203</f>
        <v>434.62340999999998</v>
      </c>
      <c r="G203" s="68">
        <v>0</v>
      </c>
      <c r="H203" s="68">
        <v>630</v>
      </c>
      <c r="I203" s="35"/>
      <c r="L203" s="71"/>
      <c r="M203" s="72">
        <f t="shared" si="10"/>
        <v>1.4495307558329635</v>
      </c>
      <c r="N203" s="35"/>
      <c r="T203" s="20"/>
    </row>
    <row r="204" spans="1:20" s="69" customFormat="1" ht="15.75" customHeight="1" x14ac:dyDescent="0.35">
      <c r="A204" s="132">
        <f>A203+1</f>
        <v>2</v>
      </c>
      <c r="B204" s="133"/>
      <c r="C204" s="68" t="s">
        <v>327</v>
      </c>
      <c r="D204" s="68">
        <f>(32.13+4.85)*10.764</f>
        <v>398.05272000000002</v>
      </c>
      <c r="E204" s="68">
        <f>(2.75+0.75*2.75)*10.764</f>
        <v>51.801749999999998</v>
      </c>
      <c r="F204" s="68">
        <f>D204+E204</f>
        <v>449.85446999999999</v>
      </c>
      <c r="G204" s="68">
        <v>0</v>
      </c>
      <c r="H204" s="68">
        <v>650</v>
      </c>
      <c r="I204" s="35"/>
      <c r="L204" s="71"/>
      <c r="M204" s="72">
        <f t="shared" si="10"/>
        <v>1.4449117288975699</v>
      </c>
      <c r="N204" s="35"/>
    </row>
    <row r="205" spans="1:20" s="69" customFormat="1" ht="15.75" customHeight="1" x14ac:dyDescent="0.35">
      <c r="A205" s="132">
        <f>A204+1</f>
        <v>3</v>
      </c>
      <c r="B205" s="133"/>
      <c r="C205" s="68" t="s">
        <v>328</v>
      </c>
      <c r="D205" s="68">
        <f>(39.94+8.75)*10.764</f>
        <v>524.09915999999998</v>
      </c>
      <c r="E205" s="68">
        <f>(2.75+0.75*2.75)*10.764</f>
        <v>51.801749999999998</v>
      </c>
      <c r="F205" s="68">
        <f>D205+E205</f>
        <v>575.90090999999995</v>
      </c>
      <c r="G205" s="68">
        <v>0</v>
      </c>
      <c r="H205" s="68">
        <v>835</v>
      </c>
      <c r="I205" s="35"/>
      <c r="L205" s="71"/>
      <c r="M205" s="72">
        <f t="shared" si="10"/>
        <v>1.4499022062666997</v>
      </c>
      <c r="N205" s="35"/>
    </row>
    <row r="206" spans="1:20" s="69" customFormat="1" x14ac:dyDescent="0.35">
      <c r="A206" s="221" t="s">
        <v>326</v>
      </c>
      <c r="B206" s="222"/>
      <c r="C206" s="222"/>
      <c r="D206" s="222"/>
      <c r="E206" s="222"/>
      <c r="F206" s="222"/>
      <c r="G206" s="222"/>
      <c r="H206" s="223"/>
      <c r="J206" s="35"/>
      <c r="L206" s="71"/>
      <c r="M206" s="72"/>
    </row>
    <row r="207" spans="1:20" s="69" customFormat="1" x14ac:dyDescent="0.35">
      <c r="A207" s="118" t="s">
        <v>329</v>
      </c>
      <c r="B207" s="119"/>
      <c r="C207" s="119"/>
      <c r="D207" s="119"/>
      <c r="E207" s="119"/>
      <c r="F207" s="119"/>
      <c r="G207" s="119"/>
      <c r="H207" s="120"/>
      <c r="J207" s="35"/>
      <c r="L207" s="71"/>
      <c r="M207" s="72"/>
    </row>
    <row r="208" spans="1:20" s="69" customFormat="1" ht="15.75" customHeight="1" x14ac:dyDescent="0.35">
      <c r="A208" s="132">
        <v>1</v>
      </c>
      <c r="B208" s="133"/>
      <c r="C208" s="68" t="s">
        <v>327</v>
      </c>
      <c r="D208" s="68">
        <f>(30.26+5.25)*10.764</f>
        <v>382.22964000000002</v>
      </c>
      <c r="E208" s="68">
        <f>(0.75*(4+3))*10.764</f>
        <v>56.510999999999996</v>
      </c>
      <c r="F208" s="68">
        <f>D208+E208</f>
        <v>438.74063999999998</v>
      </c>
      <c r="G208" s="68">
        <f>3*10.764</f>
        <v>32.292000000000002</v>
      </c>
      <c r="H208" s="68">
        <v>635</v>
      </c>
      <c r="I208" s="35">
        <f>4*2.85+2*2.25+2*3+0.9*1.2+1.5*1.2+0.95*2.6+0.2*1.2+1.4*0.9</f>
        <v>28.749999999999996</v>
      </c>
      <c r="J208" s="69">
        <f>2.25+3</f>
        <v>5.25</v>
      </c>
      <c r="L208" s="71"/>
      <c r="M208" s="72">
        <f t="shared" si="10"/>
        <v>1.447324323545683</v>
      </c>
      <c r="N208" s="35">
        <v>635</v>
      </c>
      <c r="T208" s="20"/>
    </row>
    <row r="209" spans="1:20" s="69" customFormat="1" ht="15.75" customHeight="1" x14ac:dyDescent="0.35">
      <c r="A209" s="132">
        <f>A208+1</f>
        <v>2</v>
      </c>
      <c r="B209" s="133"/>
      <c r="C209" s="68" t="s">
        <v>327</v>
      </c>
      <c r="D209" s="68">
        <f>(29.78+8.15)*10.764</f>
        <v>408.27851999999996</v>
      </c>
      <c r="E209" s="68">
        <f>(3.15)*10.764</f>
        <v>33.906599999999997</v>
      </c>
      <c r="F209" s="68">
        <f>D209+E209</f>
        <v>442.18511999999998</v>
      </c>
      <c r="G209" s="68">
        <v>0</v>
      </c>
      <c r="H209" s="68">
        <v>640</v>
      </c>
      <c r="I209" s="35"/>
      <c r="L209" s="71"/>
      <c r="M209" s="72">
        <f t="shared" si="10"/>
        <v>1.4473576134809782</v>
      </c>
      <c r="N209" s="35"/>
    </row>
    <row r="210" spans="1:20" s="69" customFormat="1" ht="15.75" customHeight="1" x14ac:dyDescent="0.35">
      <c r="A210" s="132">
        <f>A209+1</f>
        <v>3</v>
      </c>
      <c r="B210" s="133"/>
      <c r="C210" s="68" t="s">
        <v>327</v>
      </c>
      <c r="D210" s="68">
        <f>(32.7+2.75)*10.764</f>
        <v>381.5838</v>
      </c>
      <c r="E210" s="68">
        <v>0</v>
      </c>
      <c r="F210" s="68">
        <f>D210+E210</f>
        <v>381.5838</v>
      </c>
      <c r="G210" s="68">
        <f>5.15*10.764</f>
        <v>55.434600000000003</v>
      </c>
      <c r="H210" s="68">
        <v>555</v>
      </c>
      <c r="I210" s="35"/>
      <c r="L210" s="71"/>
      <c r="M210" s="72">
        <f t="shared" si="10"/>
        <v>1.4544642618475943</v>
      </c>
      <c r="N210" s="35"/>
    </row>
    <row r="211" spans="1:20" s="69" customFormat="1" x14ac:dyDescent="0.35">
      <c r="A211" s="118" t="s">
        <v>330</v>
      </c>
      <c r="B211" s="119"/>
      <c r="C211" s="119"/>
      <c r="D211" s="119"/>
      <c r="E211" s="119"/>
      <c r="F211" s="119"/>
      <c r="G211" s="119"/>
      <c r="H211" s="120"/>
      <c r="J211" s="35"/>
      <c r="L211" s="71"/>
      <c r="M211" s="72"/>
    </row>
    <row r="212" spans="1:20" s="69" customFormat="1" ht="15.75" customHeight="1" x14ac:dyDescent="0.35">
      <c r="A212" s="132">
        <v>1</v>
      </c>
      <c r="B212" s="133"/>
      <c r="C212" s="68" t="s">
        <v>327</v>
      </c>
      <c r="D212" s="68">
        <f>(30.26+5.25)*10.764</f>
        <v>382.22964000000002</v>
      </c>
      <c r="E212" s="68">
        <f>(0.75*(4+3+3))*10.764</f>
        <v>80.72999999999999</v>
      </c>
      <c r="F212" s="68">
        <f>D212+E212</f>
        <v>462.95964000000004</v>
      </c>
      <c r="G212" s="68">
        <v>0</v>
      </c>
      <c r="H212" s="68">
        <v>670</v>
      </c>
      <c r="I212" s="35"/>
      <c r="L212" s="71"/>
      <c r="M212" s="72">
        <f t="shared" si="10"/>
        <v>1.4472103874972773</v>
      </c>
      <c r="N212" s="35">
        <v>670</v>
      </c>
      <c r="O212" s="69">
        <f>N212/F212</f>
        <v>1.4472103874972773</v>
      </c>
      <c r="T212" s="20"/>
    </row>
    <row r="213" spans="1:20" s="69" customFormat="1" ht="15.75" customHeight="1" x14ac:dyDescent="0.35">
      <c r="A213" s="132">
        <f>A212+1</f>
        <v>2</v>
      </c>
      <c r="B213" s="133"/>
      <c r="C213" s="68" t="s">
        <v>327</v>
      </c>
      <c r="D213" s="68">
        <f>(29.78+8.15)*10.764</f>
        <v>408.27851999999996</v>
      </c>
      <c r="E213" s="68">
        <f>(3.15)*10.764</f>
        <v>33.906599999999997</v>
      </c>
      <c r="F213" s="68">
        <f>D213+E213</f>
        <v>442.18511999999998</v>
      </c>
      <c r="G213" s="68">
        <v>0</v>
      </c>
      <c r="H213" s="68">
        <v>640</v>
      </c>
      <c r="I213" s="35"/>
      <c r="L213" s="71"/>
      <c r="M213" s="72">
        <f t="shared" si="10"/>
        <v>1.4473576134809782</v>
      </c>
      <c r="N213" s="35">
        <v>640</v>
      </c>
      <c r="O213" s="69">
        <f>N213/F213</f>
        <v>1.4473576134809782</v>
      </c>
    </row>
    <row r="214" spans="1:20" s="69" customFormat="1" ht="15.75" customHeight="1" x14ac:dyDescent="0.35">
      <c r="A214" s="132">
        <f>A213+1</f>
        <v>3</v>
      </c>
      <c r="B214" s="133"/>
      <c r="C214" s="68" t="s">
        <v>328</v>
      </c>
      <c r="D214" s="68">
        <f>(32.7+2.75)*10.764</f>
        <v>381.5838</v>
      </c>
      <c r="E214" s="68">
        <f>(0.75*(2.75+2.3))*10.764</f>
        <v>40.768649999999994</v>
      </c>
      <c r="F214" s="68">
        <f>D214+E214</f>
        <v>422.35244999999998</v>
      </c>
      <c r="G214" s="68">
        <v>0</v>
      </c>
      <c r="H214" s="68">
        <v>610</v>
      </c>
      <c r="I214" s="35"/>
      <c r="L214" s="71"/>
      <c r="M214" s="72">
        <f t="shared" si="10"/>
        <v>1.4442913732357894</v>
      </c>
      <c r="N214" s="35">
        <v>610</v>
      </c>
      <c r="O214" s="69">
        <f t="shared" ref="O214" si="12">N214/F214</f>
        <v>1.4442913732357894</v>
      </c>
    </row>
    <row r="215" spans="1:20" s="69" customFormat="1" x14ac:dyDescent="0.35">
      <c r="A215" s="118" t="s">
        <v>333</v>
      </c>
      <c r="B215" s="119"/>
      <c r="C215" s="119"/>
      <c r="D215" s="119"/>
      <c r="E215" s="119"/>
      <c r="F215" s="119"/>
      <c r="G215" s="119"/>
      <c r="H215" s="120"/>
      <c r="J215" s="35"/>
      <c r="L215" s="71"/>
      <c r="M215" s="72"/>
    </row>
    <row r="216" spans="1:20" s="69" customFormat="1" ht="15.75" customHeight="1" x14ac:dyDescent="0.35">
      <c r="A216" s="132">
        <v>1</v>
      </c>
      <c r="B216" s="133"/>
      <c r="C216" s="68" t="s">
        <v>327</v>
      </c>
      <c r="D216" s="68">
        <f>(30.26+5.25)*10.764</f>
        <v>382.22964000000002</v>
      </c>
      <c r="E216" s="68">
        <f>(0.75*(4+3+3))*10.764</f>
        <v>80.72999999999999</v>
      </c>
      <c r="F216" s="68">
        <f>D216+E216</f>
        <v>462.95964000000004</v>
      </c>
      <c r="G216" s="68">
        <v>0</v>
      </c>
      <c r="H216" s="68">
        <v>670</v>
      </c>
      <c r="I216" s="35"/>
      <c r="L216" s="71"/>
      <c r="M216" s="72">
        <f>H216/F216</f>
        <v>1.4472103874972773</v>
      </c>
      <c r="N216" s="35"/>
      <c r="T216" s="20"/>
    </row>
    <row r="217" spans="1:20" s="69" customFormat="1" ht="15.75" customHeight="1" x14ac:dyDescent="0.35">
      <c r="A217" s="132" t="s">
        <v>332</v>
      </c>
      <c r="B217" s="133"/>
      <c r="C217" s="132" t="s">
        <v>334</v>
      </c>
      <c r="D217" s="227"/>
      <c r="E217" s="227"/>
      <c r="F217" s="227"/>
      <c r="G217" s="227"/>
      <c r="H217" s="133"/>
      <c r="I217" s="35"/>
      <c r="L217" s="71"/>
      <c r="M217" s="72"/>
      <c r="N217" s="35"/>
    </row>
    <row r="218" spans="1:20" s="69" customFormat="1" ht="15.75" customHeight="1" x14ac:dyDescent="0.35">
      <c r="A218" s="132">
        <f>A216+1</f>
        <v>2</v>
      </c>
      <c r="B218" s="133"/>
      <c r="C218" s="68" t="s">
        <v>327</v>
      </c>
      <c r="D218" s="68">
        <f>(32.7+2.75)*10.764</f>
        <v>381.5838</v>
      </c>
      <c r="E218" s="68">
        <f>(0.75*(2.75+2.3))*10.764</f>
        <v>40.768649999999994</v>
      </c>
      <c r="F218" s="68">
        <f>D218+E218</f>
        <v>422.35244999999998</v>
      </c>
      <c r="G218" s="68">
        <v>0</v>
      </c>
      <c r="H218" s="68">
        <v>610</v>
      </c>
      <c r="I218" s="35"/>
      <c r="L218" s="71"/>
      <c r="M218" s="72">
        <f t="shared" si="10"/>
        <v>1.4442913732357894</v>
      </c>
      <c r="N218" s="35"/>
    </row>
    <row r="219" spans="1:20" s="69" customFormat="1" x14ac:dyDescent="0.35">
      <c r="A219" s="224" t="s">
        <v>347</v>
      </c>
      <c r="B219" s="225"/>
      <c r="C219" s="225"/>
      <c r="D219" s="225"/>
      <c r="E219" s="225"/>
      <c r="F219" s="225"/>
      <c r="G219" s="225"/>
      <c r="H219" s="226"/>
      <c r="J219" s="35"/>
    </row>
    <row r="220" spans="1:20" s="69" customFormat="1" x14ac:dyDescent="0.35">
      <c r="A220" s="221" t="s">
        <v>335</v>
      </c>
      <c r="B220" s="222"/>
      <c r="C220" s="222"/>
      <c r="D220" s="222"/>
      <c r="E220" s="222"/>
      <c r="F220" s="222"/>
      <c r="G220" s="222"/>
      <c r="H220" s="223"/>
      <c r="J220" s="35"/>
      <c r="L220" s="71"/>
      <c r="M220" s="72"/>
    </row>
    <row r="221" spans="1:20" s="69" customFormat="1" x14ac:dyDescent="0.35">
      <c r="A221" s="118" t="s">
        <v>329</v>
      </c>
      <c r="B221" s="119"/>
      <c r="C221" s="119"/>
      <c r="D221" s="119"/>
      <c r="E221" s="119"/>
      <c r="F221" s="119"/>
      <c r="G221" s="119"/>
      <c r="H221" s="120"/>
      <c r="J221" s="35"/>
      <c r="L221" s="71"/>
      <c r="M221" s="72"/>
    </row>
    <row r="222" spans="1:20" s="69" customFormat="1" ht="15.75" customHeight="1" x14ac:dyDescent="0.35">
      <c r="A222" s="132">
        <v>1</v>
      </c>
      <c r="B222" s="133"/>
      <c r="C222" s="68" t="s">
        <v>327</v>
      </c>
      <c r="D222" s="68">
        <f>(34.34+10.4)*10.764</f>
        <v>481.58136000000002</v>
      </c>
      <c r="E222" s="68">
        <f>(0.75*(2.75+2.75))*10.764</f>
        <v>44.401499999999999</v>
      </c>
      <c r="F222" s="68">
        <f>D222+E222</f>
        <v>525.98286000000007</v>
      </c>
      <c r="G222" s="68">
        <f>7.9*10.764</f>
        <v>85.035600000000002</v>
      </c>
      <c r="H222" s="68">
        <v>760</v>
      </c>
      <c r="I222" s="35"/>
      <c r="L222" s="71"/>
      <c r="M222" s="72">
        <f t="shared" si="10"/>
        <v>1.4449140034715198</v>
      </c>
      <c r="N222" s="35"/>
      <c r="T222" s="20"/>
    </row>
    <row r="223" spans="1:20" s="69" customFormat="1" ht="15.75" customHeight="1" x14ac:dyDescent="0.35">
      <c r="A223" s="132">
        <f>A222+1</f>
        <v>2</v>
      </c>
      <c r="B223" s="133"/>
      <c r="C223" s="68" t="s">
        <v>327</v>
      </c>
      <c r="D223" s="68">
        <f>(24+8.6)*10.764</f>
        <v>350.90640000000002</v>
      </c>
      <c r="E223" s="68">
        <f>(3.7+0.75*(3.05))*10.764</f>
        <v>64.449449999999999</v>
      </c>
      <c r="F223" s="68">
        <f>D223+E223</f>
        <v>415.35585000000003</v>
      </c>
      <c r="G223" s="68">
        <f>8.08*10.764</f>
        <v>86.973119999999994</v>
      </c>
      <c r="H223" s="68">
        <v>600</v>
      </c>
      <c r="I223" s="35">
        <f>3.7*2.05+2.15*2.05+2.75*2.05+0.9*1.2+1.5*1.2+0.9*2.6</f>
        <v>22.85</v>
      </c>
      <c r="J223" s="69">
        <f>1*(3.7+2.15+2.75)</f>
        <v>8.6</v>
      </c>
      <c r="L223" s="71"/>
      <c r="M223" s="72">
        <f t="shared" si="10"/>
        <v>1.4445444791496254</v>
      </c>
      <c r="N223" s="35"/>
    </row>
    <row r="224" spans="1:20" s="69" customFormat="1" ht="15.75" customHeight="1" x14ac:dyDescent="0.35">
      <c r="A224" s="132">
        <f>A223+1</f>
        <v>3</v>
      </c>
      <c r="B224" s="133"/>
      <c r="C224" s="68" t="s">
        <v>327</v>
      </c>
      <c r="D224" s="68">
        <f>(26.7+9.75)*10.764</f>
        <v>392.34780000000001</v>
      </c>
      <c r="E224" s="68">
        <f>(0.75*(3.25))*10.764</f>
        <v>26.23725</v>
      </c>
      <c r="F224" s="68">
        <f>D224+E224</f>
        <v>418.58505000000002</v>
      </c>
      <c r="G224" s="68">
        <v>0</v>
      </c>
      <c r="H224" s="68">
        <v>605</v>
      </c>
      <c r="I224" s="35"/>
      <c r="L224" s="71"/>
      <c r="M224" s="72">
        <f t="shared" si="10"/>
        <v>1.4453454560787586</v>
      </c>
      <c r="N224" s="35"/>
    </row>
    <row r="225" spans="1:20" s="69" customFormat="1" x14ac:dyDescent="0.35">
      <c r="A225" s="118" t="s">
        <v>336</v>
      </c>
      <c r="B225" s="119"/>
      <c r="C225" s="119"/>
      <c r="D225" s="119"/>
      <c r="E225" s="119"/>
      <c r="F225" s="119"/>
      <c r="G225" s="119"/>
      <c r="H225" s="120"/>
      <c r="J225" s="35"/>
      <c r="L225" s="71"/>
      <c r="M225" s="72"/>
    </row>
    <row r="226" spans="1:20" s="69" customFormat="1" ht="15.75" customHeight="1" x14ac:dyDescent="0.35">
      <c r="A226" s="132">
        <v>1</v>
      </c>
      <c r="B226" s="133"/>
      <c r="C226" s="68" t="s">
        <v>327</v>
      </c>
      <c r="D226" s="68">
        <f>(34.34+10.4)*10.764</f>
        <v>481.58136000000002</v>
      </c>
      <c r="E226" s="68">
        <f>(0.75*(2.75+2.75))*10.764</f>
        <v>44.401499999999999</v>
      </c>
      <c r="F226" s="68">
        <f>D226+E226</f>
        <v>525.98286000000007</v>
      </c>
      <c r="G226" s="68">
        <v>0</v>
      </c>
      <c r="H226" s="68">
        <v>760</v>
      </c>
      <c r="I226" s="35"/>
      <c r="L226" s="71"/>
      <c r="M226" s="72">
        <f>H226/F226</f>
        <v>1.4449140034715198</v>
      </c>
      <c r="N226" s="35"/>
      <c r="T226" s="20"/>
    </row>
    <row r="227" spans="1:20" s="69" customFormat="1" ht="15.75" customHeight="1" x14ac:dyDescent="0.35">
      <c r="A227" s="132">
        <f>A226+1</f>
        <v>2</v>
      </c>
      <c r="B227" s="133"/>
      <c r="C227" s="68" t="s">
        <v>327</v>
      </c>
      <c r="D227" s="68">
        <f>(24+8.6)*10.764</f>
        <v>350.90640000000002</v>
      </c>
      <c r="E227" s="68">
        <f>(3.7+0.75*3.05)*10.764</f>
        <v>64.449449999999999</v>
      </c>
      <c r="F227" s="68">
        <f>D227+E227</f>
        <v>415.35585000000003</v>
      </c>
      <c r="G227" s="68">
        <v>0</v>
      </c>
      <c r="H227" s="68">
        <v>600</v>
      </c>
      <c r="I227" s="35"/>
      <c r="L227" s="71"/>
      <c r="M227" s="72">
        <f t="shared" si="10"/>
        <v>1.4445444791496254</v>
      </c>
      <c r="N227" s="35"/>
    </row>
    <row r="228" spans="1:20" s="69" customFormat="1" ht="15.75" customHeight="1" x14ac:dyDescent="0.35">
      <c r="A228" s="132">
        <f>A227+1</f>
        <v>3</v>
      </c>
      <c r="B228" s="133"/>
      <c r="C228" s="68" t="s">
        <v>327</v>
      </c>
      <c r="D228" s="68">
        <f>(26.7+9.75)*10.764</f>
        <v>392.34780000000001</v>
      </c>
      <c r="E228" s="68">
        <f>(0.75*3.25)*10.764</f>
        <v>26.23725</v>
      </c>
      <c r="F228" s="68">
        <f>D228+E228</f>
        <v>418.58505000000002</v>
      </c>
      <c r="G228" s="68">
        <v>0</v>
      </c>
      <c r="H228" s="68">
        <v>605</v>
      </c>
      <c r="I228" s="35"/>
      <c r="L228" s="71"/>
      <c r="M228" s="72">
        <f t="shared" si="10"/>
        <v>1.4453454560787586</v>
      </c>
      <c r="N228" s="35"/>
    </row>
    <row r="229" spans="1:20" s="34" customFormat="1" x14ac:dyDescent="0.35">
      <c r="A229" s="124" t="s">
        <v>65</v>
      </c>
      <c r="B229" s="124"/>
      <c r="C229" s="124"/>
      <c r="D229" s="124"/>
      <c r="E229" s="124"/>
      <c r="F229" s="124"/>
      <c r="G229" s="124"/>
      <c r="H229" s="124"/>
      <c r="L229" s="71"/>
      <c r="M229" s="71"/>
      <c r="T229" s="36"/>
    </row>
    <row r="230" spans="1:20" s="34" customFormat="1" x14ac:dyDescent="0.35">
      <c r="A230" s="45" t="s">
        <v>150</v>
      </c>
      <c r="B230" s="121" t="s">
        <v>337</v>
      </c>
      <c r="C230" s="122"/>
      <c r="D230" s="122"/>
      <c r="E230" s="122"/>
      <c r="F230" s="122"/>
      <c r="G230" s="122"/>
      <c r="H230" s="123"/>
      <c r="L230" s="71"/>
      <c r="M230" s="71"/>
      <c r="T230" s="36"/>
    </row>
    <row r="231" spans="1:20" s="34" customFormat="1" x14ac:dyDescent="0.35">
      <c r="A231" s="45" t="s">
        <v>150</v>
      </c>
      <c r="B231" s="121" t="str">
        <f>(IF(H190="Saleable area Loading :","We have considered Saleable area of Flats as per our Calculation.","We considered Saleable area of Flat as per Builder area Sheet."))</f>
        <v>We considered Saleable area of Flat as per Builder area Sheet.</v>
      </c>
      <c r="C231" s="122"/>
      <c r="D231" s="122"/>
      <c r="E231" s="122"/>
      <c r="F231" s="122"/>
      <c r="G231" s="122"/>
      <c r="H231" s="123"/>
      <c r="L231" s="71"/>
      <c r="M231" s="71"/>
      <c r="T231" s="36"/>
    </row>
    <row r="232" spans="1:20" s="34" customFormat="1" x14ac:dyDescent="0.35">
      <c r="A232" s="45" t="s">
        <v>150</v>
      </c>
      <c r="B232" s="121" t="str">
        <f>(IF(H150="Saleable area Loading :","We have considered Saleable area of Commercial as per our Calculation.","We considered Saleable area of Commercial as per Builder area Sheet."))</f>
        <v>We have considered Saleable area of Commercial as per our Calculation.</v>
      </c>
      <c r="C232" s="122"/>
      <c r="D232" s="122"/>
      <c r="E232" s="122"/>
      <c r="F232" s="122"/>
      <c r="G232" s="122"/>
      <c r="H232" s="123"/>
      <c r="L232" s="71"/>
      <c r="M232" s="71"/>
    </row>
    <row r="233" spans="1:20" s="34" customFormat="1" x14ac:dyDescent="0.35">
      <c r="A233" s="45" t="s">
        <v>150</v>
      </c>
      <c r="B233" s="85" t="s">
        <v>120</v>
      </c>
      <c r="C233" s="86"/>
      <c r="D233" s="86"/>
      <c r="E233" s="86"/>
      <c r="F233" s="86"/>
      <c r="G233" s="86"/>
      <c r="H233" s="87"/>
      <c r="L233" s="71"/>
      <c r="M233" s="71"/>
    </row>
    <row r="234" spans="1:20" s="34" customFormat="1" x14ac:dyDescent="0.35">
      <c r="A234" s="45" t="s">
        <v>150</v>
      </c>
      <c r="B234" s="85" t="s">
        <v>338</v>
      </c>
      <c r="C234" s="86"/>
      <c r="D234" s="86"/>
      <c r="E234" s="86"/>
      <c r="F234" s="86"/>
      <c r="G234" s="86"/>
      <c r="H234" s="87"/>
      <c r="L234" s="71"/>
      <c r="M234" s="71"/>
    </row>
    <row r="235" spans="1:20" s="34" customFormat="1" x14ac:dyDescent="0.35">
      <c r="A235" s="45" t="s">
        <v>150</v>
      </c>
      <c r="B235" s="85" t="s">
        <v>149</v>
      </c>
      <c r="C235" s="86"/>
      <c r="D235" s="86"/>
      <c r="E235" s="86"/>
      <c r="F235" s="86"/>
      <c r="G235" s="86"/>
      <c r="H235" s="87"/>
      <c r="L235" s="71"/>
      <c r="M235" s="71"/>
    </row>
    <row r="236" spans="1:20" s="34" customFormat="1" x14ac:dyDescent="0.35">
      <c r="A236" s="45" t="s">
        <v>150</v>
      </c>
      <c r="B236" s="85" t="s">
        <v>121</v>
      </c>
      <c r="C236" s="86"/>
      <c r="D236" s="86"/>
      <c r="E236" s="86"/>
      <c r="F236" s="86"/>
      <c r="G236" s="86"/>
      <c r="H236" s="87"/>
      <c r="L236" s="71"/>
      <c r="M236" s="71"/>
    </row>
    <row r="237" spans="1:20" s="34" customFormat="1" ht="34.5" customHeight="1" x14ac:dyDescent="0.35">
      <c r="A237" s="45" t="s">
        <v>150</v>
      </c>
      <c r="B237" s="85" t="s">
        <v>151</v>
      </c>
      <c r="C237" s="86"/>
      <c r="D237" s="86"/>
      <c r="E237" s="86"/>
      <c r="F237" s="86"/>
      <c r="G237" s="86"/>
      <c r="H237" s="87"/>
      <c r="L237" s="71"/>
      <c r="M237" s="71"/>
    </row>
    <row r="238" spans="1:20" s="34" customFormat="1" x14ac:dyDescent="0.35">
      <c r="A238" s="45" t="s">
        <v>150</v>
      </c>
      <c r="B238" s="85" t="s">
        <v>122</v>
      </c>
      <c r="C238" s="86"/>
      <c r="D238" s="86"/>
      <c r="E238" s="86"/>
      <c r="F238" s="86"/>
      <c r="G238" s="86"/>
      <c r="H238" s="87"/>
      <c r="L238" s="71"/>
      <c r="M238" s="71"/>
    </row>
    <row r="239" spans="1:20" s="34" customFormat="1" ht="32.25" hidden="1" customHeight="1" x14ac:dyDescent="0.35">
      <c r="A239" s="55" t="s">
        <v>150</v>
      </c>
      <c r="B239" s="218" t="s">
        <v>175</v>
      </c>
      <c r="C239" s="219"/>
      <c r="D239" s="219"/>
      <c r="E239" s="219"/>
      <c r="F239" s="219"/>
      <c r="G239" s="219"/>
      <c r="H239" s="220"/>
      <c r="L239" s="71"/>
      <c r="M239" s="71"/>
    </row>
    <row r="240" spans="1:20" s="34" customFormat="1" ht="15.75" hidden="1" customHeight="1" x14ac:dyDescent="0.35">
      <c r="A240" s="60" t="s">
        <v>150</v>
      </c>
      <c r="B240" s="218" t="s">
        <v>230</v>
      </c>
      <c r="C240" s="219"/>
      <c r="D240" s="219"/>
      <c r="E240" s="219"/>
      <c r="F240" s="219"/>
      <c r="G240" s="219"/>
      <c r="H240" s="220"/>
      <c r="L240" s="71"/>
      <c r="M240" s="71"/>
    </row>
    <row r="241" spans="1:20" s="34" customFormat="1" x14ac:dyDescent="0.35">
      <c r="A241" s="75" t="s">
        <v>150</v>
      </c>
      <c r="B241" s="85" t="s">
        <v>364</v>
      </c>
      <c r="C241" s="86"/>
      <c r="D241" s="86"/>
      <c r="E241" s="86"/>
      <c r="F241" s="86"/>
      <c r="G241" s="86"/>
      <c r="H241" s="87"/>
      <c r="L241" s="71"/>
      <c r="M241" s="71"/>
    </row>
    <row r="242" spans="1:20" x14ac:dyDescent="0.35">
      <c r="A242" s="139" t="s">
        <v>58</v>
      </c>
      <c r="B242" s="139"/>
      <c r="C242" s="139"/>
      <c r="D242" s="139"/>
      <c r="E242" s="139"/>
      <c r="F242" s="139"/>
      <c r="G242" s="139"/>
      <c r="H242" s="139"/>
      <c r="L242" s="71"/>
      <c r="M242" s="71"/>
      <c r="T242" s="34"/>
    </row>
    <row r="243" spans="1:20" x14ac:dyDescent="0.35">
      <c r="A243" s="83" t="s">
        <v>59</v>
      </c>
      <c r="B243" s="83"/>
      <c r="C243" s="83"/>
      <c r="D243" s="83"/>
      <c r="E243" s="83"/>
      <c r="F243" s="83"/>
      <c r="G243" s="83"/>
      <c r="H243" s="83"/>
      <c r="L243" s="71"/>
      <c r="M243" s="71"/>
      <c r="T243" s="34"/>
    </row>
    <row r="244" spans="1:20" ht="15.75" customHeight="1" x14ac:dyDescent="0.35">
      <c r="A244" s="109" t="s">
        <v>60</v>
      </c>
      <c r="B244" s="109"/>
      <c r="C244" s="109"/>
      <c r="D244" s="109"/>
      <c r="E244" s="109"/>
      <c r="F244" s="109"/>
      <c r="G244" s="109"/>
      <c r="H244" s="109"/>
      <c r="L244" s="71"/>
      <c r="M244" s="71"/>
      <c r="T244" s="34"/>
    </row>
    <row r="245" spans="1:20" x14ac:dyDescent="0.35">
      <c r="A245" s="83" t="s">
        <v>61</v>
      </c>
      <c r="B245" s="83"/>
      <c r="C245" s="83"/>
      <c r="D245" s="83"/>
      <c r="E245" s="83"/>
      <c r="F245" s="83"/>
      <c r="G245" s="83"/>
      <c r="H245" s="83"/>
      <c r="L245" s="71"/>
      <c r="M245" s="71"/>
    </row>
    <row r="246" spans="1:20" x14ac:dyDescent="0.35">
      <c r="A246" s="83" t="s">
        <v>62</v>
      </c>
      <c r="B246" s="83"/>
      <c r="C246" s="83"/>
      <c r="D246" s="83"/>
      <c r="E246" s="83"/>
      <c r="F246" s="83"/>
      <c r="G246" s="83"/>
      <c r="H246" s="83"/>
      <c r="L246" s="71"/>
      <c r="M246" s="71"/>
    </row>
    <row r="247" spans="1:20" x14ac:dyDescent="0.35">
      <c r="A247" s="83" t="s">
        <v>123</v>
      </c>
      <c r="B247" s="83"/>
      <c r="C247" s="83"/>
      <c r="D247" s="83"/>
      <c r="E247" s="83"/>
      <c r="F247" s="83"/>
      <c r="G247" s="83"/>
      <c r="H247" s="83"/>
      <c r="L247" s="71"/>
      <c r="M247" s="71"/>
    </row>
    <row r="248" spans="1:20" ht="34" customHeight="1" x14ac:dyDescent="0.35">
      <c r="A248" s="103" t="s">
        <v>124</v>
      </c>
      <c r="B248" s="103"/>
      <c r="C248" s="103"/>
      <c r="D248" s="103"/>
      <c r="E248" s="103"/>
      <c r="F248" s="103"/>
      <c r="G248" s="103"/>
      <c r="H248" s="103"/>
      <c r="L248" s="71"/>
      <c r="M248" s="71"/>
    </row>
    <row r="249" spans="1:20" x14ac:dyDescent="0.35">
      <c r="A249" s="135" t="s">
        <v>74</v>
      </c>
      <c r="B249" s="135"/>
      <c r="C249" s="135" t="s">
        <v>339</v>
      </c>
      <c r="D249" s="135"/>
      <c r="E249" s="135" t="s">
        <v>104</v>
      </c>
      <c r="F249" s="135"/>
      <c r="G249" s="135" t="s">
        <v>361</v>
      </c>
      <c r="H249" s="135"/>
      <c r="L249" s="71"/>
      <c r="M249" s="71"/>
    </row>
    <row r="250" spans="1:20" x14ac:dyDescent="0.35">
      <c r="A250" s="134" t="s">
        <v>76</v>
      </c>
      <c r="B250" s="134"/>
      <c r="C250" s="134"/>
      <c r="D250" s="134"/>
      <c r="E250" s="134"/>
      <c r="F250" s="134"/>
      <c r="G250" s="134"/>
      <c r="H250" s="134"/>
      <c r="L250" s="71"/>
      <c r="M250" s="71"/>
    </row>
    <row r="251" spans="1:20" x14ac:dyDescent="0.35">
      <c r="A251" s="134"/>
      <c r="B251" s="134"/>
      <c r="C251" s="134"/>
      <c r="D251" s="134"/>
      <c r="E251" s="134"/>
      <c r="F251" s="134"/>
      <c r="G251" s="134"/>
      <c r="H251" s="134"/>
      <c r="L251" s="71"/>
      <c r="M251" s="71"/>
    </row>
    <row r="252" spans="1:20" x14ac:dyDescent="0.35">
      <c r="A252" s="134"/>
      <c r="B252" s="134"/>
      <c r="C252" s="134"/>
      <c r="D252" s="134"/>
      <c r="E252" s="134"/>
      <c r="F252" s="134"/>
      <c r="G252" s="134"/>
      <c r="H252" s="134"/>
      <c r="L252" s="71"/>
      <c r="M252" s="71"/>
    </row>
    <row r="253" spans="1:20" x14ac:dyDescent="0.35">
      <c r="A253" s="134"/>
      <c r="B253" s="134"/>
      <c r="C253" s="134"/>
      <c r="D253" s="134"/>
      <c r="E253" s="134"/>
      <c r="F253" s="134"/>
      <c r="G253" s="134"/>
      <c r="H253" s="134"/>
      <c r="L253" s="71"/>
      <c r="M253" s="71"/>
    </row>
    <row r="254" spans="1:20" x14ac:dyDescent="0.35">
      <c r="A254" s="37" t="s">
        <v>63</v>
      </c>
      <c r="B254" s="38"/>
      <c r="C254" s="38"/>
      <c r="D254" s="37" t="str">
        <f>E9</f>
        <v>Laxmi Residency</v>
      </c>
      <c r="F254" s="38"/>
      <c r="G254" s="38"/>
      <c r="H254" s="38"/>
      <c r="L254" s="71"/>
      <c r="M254" s="71"/>
    </row>
    <row r="255" spans="1:20" x14ac:dyDescent="0.35">
      <c r="A255" s="38"/>
      <c r="B255" s="38"/>
      <c r="C255" s="38"/>
      <c r="D255" s="38"/>
      <c r="E255" s="38"/>
      <c r="F255" s="38"/>
      <c r="G255" s="38"/>
      <c r="H255" s="38"/>
      <c r="L255" s="71"/>
      <c r="M255" s="71"/>
    </row>
    <row r="256" spans="1:20" x14ac:dyDescent="0.35">
      <c r="A256" s="38"/>
      <c r="B256" s="38"/>
      <c r="C256" s="38"/>
      <c r="D256" s="38"/>
      <c r="E256" s="38"/>
      <c r="F256" s="38"/>
      <c r="G256" s="38"/>
      <c r="H256" s="38"/>
      <c r="L256" s="71"/>
      <c r="M256" s="71"/>
    </row>
    <row r="257" spans="3:13" ht="15" customHeight="1" x14ac:dyDescent="0.35">
      <c r="L257" s="71"/>
      <c r="M257" s="71"/>
    </row>
    <row r="258" spans="3:13" x14ac:dyDescent="0.35">
      <c r="L258" s="71"/>
      <c r="M258" s="71"/>
    </row>
    <row r="263" spans="3:13" x14ac:dyDescent="0.35">
      <c r="C263"/>
    </row>
    <row r="298" spans="1:1" x14ac:dyDescent="0.35">
      <c r="A298" s="40" t="s">
        <v>161</v>
      </c>
    </row>
    <row r="342" spans="1:1" x14ac:dyDescent="0.35">
      <c r="A342" s="40" t="s">
        <v>64</v>
      </c>
    </row>
  </sheetData>
  <mergeCells count="448">
    <mergeCell ref="G138:H138"/>
    <mergeCell ref="A41:D41"/>
    <mergeCell ref="E41:F41"/>
    <mergeCell ref="G41:H41"/>
    <mergeCell ref="E42:F42"/>
    <mergeCell ref="E43:F43"/>
    <mergeCell ref="E44:F44"/>
    <mergeCell ref="E45:F45"/>
    <mergeCell ref="E46:F46"/>
    <mergeCell ref="G42:H42"/>
    <mergeCell ref="G43:H43"/>
    <mergeCell ref="G44:H44"/>
    <mergeCell ref="G45:H45"/>
    <mergeCell ref="G46:H46"/>
    <mergeCell ref="A45:D45"/>
    <mergeCell ref="A46:D46"/>
    <mergeCell ref="A172:B172"/>
    <mergeCell ref="A153:H153"/>
    <mergeCell ref="A159:B159"/>
    <mergeCell ref="A201:B201"/>
    <mergeCell ref="A202:H202"/>
    <mergeCell ref="A203:B203"/>
    <mergeCell ref="A204:B204"/>
    <mergeCell ref="A205:B205"/>
    <mergeCell ref="A192:H192"/>
    <mergeCell ref="A175:H175"/>
    <mergeCell ref="A226:B226"/>
    <mergeCell ref="A217:B217"/>
    <mergeCell ref="C217:H217"/>
    <mergeCell ref="A176:H176"/>
    <mergeCell ref="A177:H177"/>
    <mergeCell ref="A178:B178"/>
    <mergeCell ref="A183:B183"/>
    <mergeCell ref="A173:H173"/>
    <mergeCell ref="A174:B174"/>
    <mergeCell ref="A212:B212"/>
    <mergeCell ref="A213:B213"/>
    <mergeCell ref="A214:B214"/>
    <mergeCell ref="A215:H215"/>
    <mergeCell ref="L182:M182"/>
    <mergeCell ref="A227:B227"/>
    <mergeCell ref="A228:B228"/>
    <mergeCell ref="A220:H220"/>
    <mergeCell ref="A221:H221"/>
    <mergeCell ref="A222:B222"/>
    <mergeCell ref="A223:B223"/>
    <mergeCell ref="A224:B224"/>
    <mergeCell ref="A225:H225"/>
    <mergeCell ref="A218:B218"/>
    <mergeCell ref="A219:H219"/>
    <mergeCell ref="A216:B216"/>
    <mergeCell ref="A206:H206"/>
    <mergeCell ref="A207:H207"/>
    <mergeCell ref="A208:B208"/>
    <mergeCell ref="A209:B209"/>
    <mergeCell ref="A210:B210"/>
    <mergeCell ref="A211:H211"/>
    <mergeCell ref="A171:B171"/>
    <mergeCell ref="L171:M171"/>
    <mergeCell ref="L174:M174"/>
    <mergeCell ref="A193:H193"/>
    <mergeCell ref="A198:H198"/>
    <mergeCell ref="A199:B199"/>
    <mergeCell ref="A200:B200"/>
    <mergeCell ref="A187:B187"/>
    <mergeCell ref="L187:M187"/>
    <mergeCell ref="A188:B188"/>
    <mergeCell ref="L188:M188"/>
    <mergeCell ref="L183:M183"/>
    <mergeCell ref="A185:B185"/>
    <mergeCell ref="L185:M185"/>
    <mergeCell ref="A186:H186"/>
    <mergeCell ref="A196:B196"/>
    <mergeCell ref="L178:M178"/>
    <mergeCell ref="A179:B179"/>
    <mergeCell ref="L179:M179"/>
    <mergeCell ref="A180:B180"/>
    <mergeCell ref="L180:M180"/>
    <mergeCell ref="A181:B181"/>
    <mergeCell ref="L181:M181"/>
    <mergeCell ref="A182:B182"/>
    <mergeCell ref="L164:M164"/>
    <mergeCell ref="A167:B167"/>
    <mergeCell ref="L167:M167"/>
    <mergeCell ref="A168:B168"/>
    <mergeCell ref="L168:M168"/>
    <mergeCell ref="A169:B169"/>
    <mergeCell ref="L169:M169"/>
    <mergeCell ref="A170:B170"/>
    <mergeCell ref="L170:M170"/>
    <mergeCell ref="A162:B162"/>
    <mergeCell ref="L162:M162"/>
    <mergeCell ref="B240:H240"/>
    <mergeCell ref="A122:E122"/>
    <mergeCell ref="B237:H237"/>
    <mergeCell ref="L184:M184"/>
    <mergeCell ref="A197:B197"/>
    <mergeCell ref="C150:C151"/>
    <mergeCell ref="B190:B191"/>
    <mergeCell ref="F190:F191"/>
    <mergeCell ref="A155:B155"/>
    <mergeCell ref="B239:H239"/>
    <mergeCell ref="A147:B147"/>
    <mergeCell ref="C147:D147"/>
    <mergeCell ref="E147:F147"/>
    <mergeCell ref="B238:H238"/>
    <mergeCell ref="B236:H236"/>
    <mergeCell ref="B232:H232"/>
    <mergeCell ref="B230:H230"/>
    <mergeCell ref="L172:M172"/>
    <mergeCell ref="A165:H165"/>
    <mergeCell ref="A166:H166"/>
    <mergeCell ref="A163:H163"/>
    <mergeCell ref="A164:B164"/>
    <mergeCell ref="A125:E125"/>
    <mergeCell ref="C134:D134"/>
    <mergeCell ref="E134:F134"/>
    <mergeCell ref="G134:H134"/>
    <mergeCell ref="L159:M159"/>
    <mergeCell ref="A160:B160"/>
    <mergeCell ref="L160:M160"/>
    <mergeCell ref="A161:B161"/>
    <mergeCell ref="L161:M161"/>
    <mergeCell ref="A152:H152"/>
    <mergeCell ref="A136:B136"/>
    <mergeCell ref="C137:D137"/>
    <mergeCell ref="E137:F137"/>
    <mergeCell ref="G137:H137"/>
    <mergeCell ref="C139:D139"/>
    <mergeCell ref="E139:F139"/>
    <mergeCell ref="G139:H139"/>
    <mergeCell ref="A133:A135"/>
    <mergeCell ref="A137:A139"/>
    <mergeCell ref="C136:D136"/>
    <mergeCell ref="E136:F136"/>
    <mergeCell ref="G136:H136"/>
    <mergeCell ref="C138:D138"/>
    <mergeCell ref="E138:F138"/>
    <mergeCell ref="C49:H49"/>
    <mergeCell ref="B235:H235"/>
    <mergeCell ref="A108:B108"/>
    <mergeCell ref="A109:B109"/>
    <mergeCell ref="G93:H102"/>
    <mergeCell ref="A94:B94"/>
    <mergeCell ref="A95:B95"/>
    <mergeCell ref="A96:B96"/>
    <mergeCell ref="F119:H119"/>
    <mergeCell ref="A119:E119"/>
    <mergeCell ref="D150:D151"/>
    <mergeCell ref="A121:E121"/>
    <mergeCell ref="A112:B112"/>
    <mergeCell ref="A114:B114"/>
    <mergeCell ref="A115:B115"/>
    <mergeCell ref="A120:E120"/>
    <mergeCell ref="A117:E117"/>
    <mergeCell ref="F121:H121"/>
    <mergeCell ref="G106:H106"/>
    <mergeCell ref="A105:B105"/>
    <mergeCell ref="G150:G151"/>
    <mergeCell ref="A81:B81"/>
    <mergeCell ref="A102:B102"/>
    <mergeCell ref="A107:B107"/>
    <mergeCell ref="A40:B40"/>
    <mergeCell ref="C40:H40"/>
    <mergeCell ref="F150:F151"/>
    <mergeCell ref="C133:D133"/>
    <mergeCell ref="E133:F133"/>
    <mergeCell ref="B150:B151"/>
    <mergeCell ref="A150:A151"/>
    <mergeCell ref="C190:C191"/>
    <mergeCell ref="G190:G191"/>
    <mergeCell ref="G147:H147"/>
    <mergeCell ref="C55:H55"/>
    <mergeCell ref="A184:B184"/>
    <mergeCell ref="A78:B78"/>
    <mergeCell ref="A77:B77"/>
    <mergeCell ref="A75:B75"/>
    <mergeCell ref="C75:H75"/>
    <mergeCell ref="A83:B83"/>
    <mergeCell ref="A70:C70"/>
    <mergeCell ref="D70:H70"/>
    <mergeCell ref="C77:H77"/>
    <mergeCell ref="A80:B80"/>
    <mergeCell ref="A82:B82"/>
    <mergeCell ref="E78:F78"/>
    <mergeCell ref="A91:B91"/>
    <mergeCell ref="L158:M158"/>
    <mergeCell ref="L157:M157"/>
    <mergeCell ref="L156:M156"/>
    <mergeCell ref="L155:M155"/>
    <mergeCell ref="A86:B86"/>
    <mergeCell ref="C143:D143"/>
    <mergeCell ref="E143:F143"/>
    <mergeCell ref="G143:H143"/>
    <mergeCell ref="A118:E118"/>
    <mergeCell ref="A103:B103"/>
    <mergeCell ref="C103:H103"/>
    <mergeCell ref="A154:H154"/>
    <mergeCell ref="E150:E151"/>
    <mergeCell ref="A93:B93"/>
    <mergeCell ref="E132:F132"/>
    <mergeCell ref="A132:B132"/>
    <mergeCell ref="C142:D142"/>
    <mergeCell ref="E146:F146"/>
    <mergeCell ref="C105:H105"/>
    <mergeCell ref="A106:B106"/>
    <mergeCell ref="A128:E128"/>
    <mergeCell ref="G146:H146"/>
    <mergeCell ref="C135:D135"/>
    <mergeCell ref="E135:F135"/>
    <mergeCell ref="A47:D47"/>
    <mergeCell ref="A48:H48"/>
    <mergeCell ref="D64:H64"/>
    <mergeCell ref="A64:C64"/>
    <mergeCell ref="A85:B85"/>
    <mergeCell ref="C91:H91"/>
    <mergeCell ref="G142:H142"/>
    <mergeCell ref="A71:C71"/>
    <mergeCell ref="A49:B49"/>
    <mergeCell ref="A100:B100"/>
    <mergeCell ref="A101:B101"/>
    <mergeCell ref="E106:F106"/>
    <mergeCell ref="A51:B51"/>
    <mergeCell ref="A61:H61"/>
    <mergeCell ref="A62:C62"/>
    <mergeCell ref="A63:C63"/>
    <mergeCell ref="D63:H63"/>
    <mergeCell ref="G60:H60"/>
    <mergeCell ref="A54:B55"/>
    <mergeCell ref="C54:E54"/>
    <mergeCell ref="G54:H54"/>
    <mergeCell ref="A56:B57"/>
    <mergeCell ref="C56:E56"/>
    <mergeCell ref="G56:H56"/>
    <mergeCell ref="A38:H38"/>
    <mergeCell ref="A37:B37"/>
    <mergeCell ref="C37:E37"/>
    <mergeCell ref="G107:H116"/>
    <mergeCell ref="A42:D42"/>
    <mergeCell ref="A68:C68"/>
    <mergeCell ref="A69:C69"/>
    <mergeCell ref="D68:H68"/>
    <mergeCell ref="E79:F88"/>
    <mergeCell ref="G79:H88"/>
    <mergeCell ref="A87:B87"/>
    <mergeCell ref="A88:B88"/>
    <mergeCell ref="D69:H69"/>
    <mergeCell ref="A44:D44"/>
    <mergeCell ref="A92:B92"/>
    <mergeCell ref="E47:H47"/>
    <mergeCell ref="C57:H57"/>
    <mergeCell ref="C59:H59"/>
    <mergeCell ref="F37:H37"/>
    <mergeCell ref="A110:B110"/>
    <mergeCell ref="A111:B111"/>
    <mergeCell ref="E93:F102"/>
    <mergeCell ref="A39:B39"/>
    <mergeCell ref="C39:H3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F35:H35"/>
    <mergeCell ref="C22:D22"/>
    <mergeCell ref="E22:F22"/>
    <mergeCell ref="G22:H22"/>
    <mergeCell ref="F34:H34"/>
    <mergeCell ref="E27:H27"/>
    <mergeCell ref="A29:D29"/>
    <mergeCell ref="E29:H29"/>
    <mergeCell ref="A26:D26"/>
    <mergeCell ref="E26:H26"/>
    <mergeCell ref="A30:D30"/>
    <mergeCell ref="E30:H30"/>
    <mergeCell ref="A27:D27"/>
    <mergeCell ref="A13:D13"/>
    <mergeCell ref="E13:H13"/>
    <mergeCell ref="E14:H14"/>
    <mergeCell ref="A15:D15"/>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90:A191"/>
    <mergeCell ref="D71:H71"/>
    <mergeCell ref="A74:C74"/>
    <mergeCell ref="D74:H74"/>
    <mergeCell ref="A72:C72"/>
    <mergeCell ref="D73:H73"/>
    <mergeCell ref="A79:B79"/>
    <mergeCell ref="G78:H78"/>
    <mergeCell ref="D67:H67"/>
    <mergeCell ref="C52:E52"/>
    <mergeCell ref="A65:C67"/>
    <mergeCell ref="D65:H65"/>
    <mergeCell ref="D66:H66"/>
    <mergeCell ref="F117:H117"/>
    <mergeCell ref="F122:H122"/>
    <mergeCell ref="E92:F92"/>
    <mergeCell ref="G92:H92"/>
    <mergeCell ref="A124:E124"/>
    <mergeCell ref="F124:H124"/>
    <mergeCell ref="A126:E126"/>
    <mergeCell ref="F120:H120"/>
    <mergeCell ref="A250:H253"/>
    <mergeCell ref="A249:B249"/>
    <mergeCell ref="E249:F249"/>
    <mergeCell ref="C249:D249"/>
    <mergeCell ref="G249:H249"/>
    <mergeCell ref="A131:H131"/>
    <mergeCell ref="A129:E129"/>
    <mergeCell ref="F129:H129"/>
    <mergeCell ref="A130:E130"/>
    <mergeCell ref="F130:H130"/>
    <mergeCell ref="A143:B143"/>
    <mergeCell ref="A245:H245"/>
    <mergeCell ref="A141:H141"/>
    <mergeCell ref="A248:H248"/>
    <mergeCell ref="A246:H246"/>
    <mergeCell ref="A242:H242"/>
    <mergeCell ref="A243:H243"/>
    <mergeCell ref="A195:B195"/>
    <mergeCell ref="A158:B158"/>
    <mergeCell ref="A157:B157"/>
    <mergeCell ref="A189:H189"/>
    <mergeCell ref="E142:F142"/>
    <mergeCell ref="A148:H148"/>
    <mergeCell ref="A146:B146"/>
    <mergeCell ref="A247:H247"/>
    <mergeCell ref="A244:H244"/>
    <mergeCell ref="A142:B142"/>
    <mergeCell ref="D190:D191"/>
    <mergeCell ref="E190:E191"/>
    <mergeCell ref="A97:B97"/>
    <mergeCell ref="A98:B98"/>
    <mergeCell ref="A99:B99"/>
    <mergeCell ref="A113:B113"/>
    <mergeCell ref="F118:H118"/>
    <mergeCell ref="G133:H133"/>
    <mergeCell ref="A116:B116"/>
    <mergeCell ref="F125:H125"/>
    <mergeCell ref="C132:D132"/>
    <mergeCell ref="C146:D146"/>
    <mergeCell ref="A194:H194"/>
    <mergeCell ref="B231:H231"/>
    <mergeCell ref="B233:H233"/>
    <mergeCell ref="B234:H234"/>
    <mergeCell ref="A229:H229"/>
    <mergeCell ref="E107:F116"/>
    <mergeCell ref="A149:H149"/>
    <mergeCell ref="G132:H132"/>
    <mergeCell ref="A156:B156"/>
    <mergeCell ref="I15:P15"/>
    <mergeCell ref="F128:H128"/>
    <mergeCell ref="F126:H126"/>
    <mergeCell ref="A127:E127"/>
    <mergeCell ref="A60:B60"/>
    <mergeCell ref="C60:E60"/>
    <mergeCell ref="D62:H62"/>
    <mergeCell ref="F127:H127"/>
    <mergeCell ref="D72:H72"/>
    <mergeCell ref="A73:C73"/>
    <mergeCell ref="A43:D43"/>
    <mergeCell ref="A89:B89"/>
    <mergeCell ref="C89:H89"/>
    <mergeCell ref="A84:B84"/>
    <mergeCell ref="A50:B50"/>
    <mergeCell ref="C50:E50"/>
    <mergeCell ref="G50:H50"/>
    <mergeCell ref="E23:H24"/>
    <mergeCell ref="E15:H15"/>
    <mergeCell ref="A16:B16"/>
    <mergeCell ref="C16:H16"/>
    <mergeCell ref="C17:H17"/>
    <mergeCell ref="A18:B18"/>
    <mergeCell ref="C18:H18"/>
    <mergeCell ref="G52:H52"/>
    <mergeCell ref="A123:E123"/>
    <mergeCell ref="F123:H123"/>
    <mergeCell ref="B241:H241"/>
    <mergeCell ref="A58:B59"/>
    <mergeCell ref="C58:E58"/>
    <mergeCell ref="G58:H58"/>
    <mergeCell ref="G51:H51"/>
    <mergeCell ref="A52:B53"/>
    <mergeCell ref="C53:H53"/>
    <mergeCell ref="C51:E51"/>
    <mergeCell ref="G135:H135"/>
    <mergeCell ref="A140:B140"/>
    <mergeCell ref="C140:D140"/>
    <mergeCell ref="E140:F140"/>
    <mergeCell ref="G140:H140"/>
    <mergeCell ref="A144:B144"/>
    <mergeCell ref="C144:D144"/>
    <mergeCell ref="E144:F144"/>
    <mergeCell ref="G144:H144"/>
    <mergeCell ref="A145:B145"/>
    <mergeCell ref="C145:D145"/>
    <mergeCell ref="E145:F145"/>
    <mergeCell ref="G145:H145"/>
  </mergeCells>
  <dataValidations count="14">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0:E151">
      <formula1>"Attached Loft area,Attached Otla area,Attached Mezzanine area"</formula1>
    </dataValidation>
    <dataValidation type="list" allowBlank="1" showInputMessage="1" showErrorMessage="1" sqref="G249:H249">
      <formula1>"Kunal Kadam,Pranita Mhatre,Shruti Fule,Pooja Kawale,Mansee Mohite,Anjali Kamble,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50:B151">
      <formula1>"Shop No. (Sale Plan),Sale / Rehab,Sale / Mhada"</formula1>
    </dataValidation>
    <dataValidation type="list" allowBlank="1" showInputMessage="1" showErrorMessage="1" sqref="B190:B19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0:E191">
      <formula1>"Encl + Open Balcony + EP Area,Fungible area,Balcony Area,Chajja Area,Cornice Area,AP Area,WS Area"</formula1>
    </dataValidation>
    <dataValidation type="list" allowBlank="1" showInputMessage="1" showErrorMessage="1" sqref="H191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87" fitToHeight="0" orientation="portrait" r:id="rId2"/>
  <headerFooter>
    <oddHeader>&amp;C&amp;G</oddHeader>
    <oddFooter>&amp;L&amp;"Times New Roman,Bold"&amp;12Ref No: &amp;F&amp;C&amp;G&amp;R&amp;"Times New Roman,Bold"&amp;12&amp;P</oddFooter>
  </headerFooter>
  <rowBreaks count="4" manualBreakCount="4">
    <brk id="88" max="7" man="1"/>
    <brk id="253" max="16383" man="1"/>
    <brk id="297" max="16383" man="1"/>
    <brk id="34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5" t="s">
        <v>105</v>
      </c>
      <c r="C3" s="235"/>
      <c r="D3" s="235"/>
      <c r="E3" s="235"/>
      <c r="F3" s="235"/>
      <c r="G3" s="235"/>
      <c r="H3" s="23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6"/>
      <c r="C4" s="56" t="s">
        <v>11</v>
      </c>
      <c r="D4" s="57" t="s">
        <v>176</v>
      </c>
      <c r="E4" s="57" t="s">
        <v>186</v>
      </c>
      <c r="F4" s="57" t="s">
        <v>169</v>
      </c>
      <c r="G4" s="57" t="s">
        <v>191</v>
      </c>
      <c r="H4" s="57" t="s">
        <v>209</v>
      </c>
      <c r="J4" t="s">
        <v>191</v>
      </c>
      <c r="K4" t="s">
        <v>207</v>
      </c>
    </row>
    <row r="5" spans="2:11" x14ac:dyDescent="0.35">
      <c r="B5" s="56"/>
      <c r="C5" s="56"/>
      <c r="D5" s="57" t="s">
        <v>177</v>
      </c>
      <c r="E5" s="57" t="s">
        <v>184</v>
      </c>
      <c r="F5" s="57" t="s">
        <v>206</v>
      </c>
      <c r="G5" s="57" t="s">
        <v>192</v>
      </c>
      <c r="H5" s="57" t="s">
        <v>210</v>
      </c>
    </row>
    <row r="6" spans="2:11" x14ac:dyDescent="0.35">
      <c r="B6" s="56"/>
      <c r="C6" s="56"/>
      <c r="D6" s="57" t="s">
        <v>178</v>
      </c>
      <c r="E6" s="57" t="s">
        <v>185</v>
      </c>
      <c r="F6" s="57" t="s">
        <v>207</v>
      </c>
      <c r="G6" s="57" t="s">
        <v>193</v>
      </c>
      <c r="H6" s="57" t="s">
        <v>223</v>
      </c>
    </row>
    <row r="7" spans="2:11" x14ac:dyDescent="0.35">
      <c r="B7" s="56"/>
      <c r="C7" s="56"/>
      <c r="D7" s="57" t="s">
        <v>179</v>
      </c>
      <c r="E7" s="57" t="s">
        <v>187</v>
      </c>
      <c r="F7" s="57" t="s">
        <v>208</v>
      </c>
      <c r="G7" s="57" t="s">
        <v>194</v>
      </c>
      <c r="H7" s="57" t="s">
        <v>211</v>
      </c>
    </row>
    <row r="8" spans="2:11" x14ac:dyDescent="0.35">
      <c r="B8" s="56"/>
      <c r="C8" s="56"/>
      <c r="D8" s="57" t="s">
        <v>180</v>
      </c>
      <c r="E8" s="57" t="s">
        <v>188</v>
      </c>
      <c r="F8" s="57"/>
      <c r="G8" s="57" t="s">
        <v>195</v>
      </c>
      <c r="H8" s="57" t="s">
        <v>212</v>
      </c>
    </row>
    <row r="9" spans="2:11" x14ac:dyDescent="0.35">
      <c r="B9" s="56"/>
      <c r="C9" s="56"/>
      <c r="D9" s="57" t="s">
        <v>181</v>
      </c>
      <c r="E9" s="57" t="s">
        <v>186</v>
      </c>
      <c r="F9" s="57"/>
      <c r="G9" s="57" t="s">
        <v>196</v>
      </c>
      <c r="H9" s="57" t="s">
        <v>213</v>
      </c>
    </row>
    <row r="10" spans="2:11" x14ac:dyDescent="0.35">
      <c r="B10" s="56"/>
      <c r="C10" s="56"/>
      <c r="D10" s="57" t="s">
        <v>182</v>
      </c>
      <c r="E10" s="57" t="s">
        <v>189</v>
      </c>
      <c r="F10" s="57"/>
      <c r="G10" s="57" t="s">
        <v>197</v>
      </c>
      <c r="H10" s="57" t="s">
        <v>214</v>
      </c>
    </row>
    <row r="11" spans="2:11" x14ac:dyDescent="0.35">
      <c r="B11" s="56"/>
      <c r="C11" s="56"/>
      <c r="D11" s="57" t="s">
        <v>183</v>
      </c>
      <c r="E11" s="57" t="s">
        <v>190</v>
      </c>
      <c r="F11" s="57"/>
      <c r="G11" s="57" t="s">
        <v>198</v>
      </c>
      <c r="H11" s="57" t="s">
        <v>215</v>
      </c>
    </row>
    <row r="12" spans="2:11" x14ac:dyDescent="0.35">
      <c r="B12" s="56"/>
      <c r="C12" s="56"/>
      <c r="D12" s="57"/>
      <c r="E12" s="57"/>
      <c r="F12" s="57"/>
      <c r="G12" s="57" t="s">
        <v>199</v>
      </c>
      <c r="H12" s="57" t="s">
        <v>216</v>
      </c>
    </row>
    <row r="13" spans="2:11" x14ac:dyDescent="0.35">
      <c r="B13" s="56"/>
      <c r="C13" s="56"/>
      <c r="D13" s="57"/>
      <c r="E13" s="57"/>
      <c r="F13" s="57"/>
      <c r="G13" s="57" t="s">
        <v>200</v>
      </c>
      <c r="H13" s="57" t="s">
        <v>217</v>
      </c>
    </row>
    <row r="14" spans="2:11" x14ac:dyDescent="0.35">
      <c r="B14" s="56"/>
      <c r="C14" s="56"/>
      <c r="D14" s="57"/>
      <c r="E14" s="57"/>
      <c r="F14" s="57"/>
      <c r="G14" s="57" t="s">
        <v>201</v>
      </c>
      <c r="H14" s="57" t="s">
        <v>218</v>
      </c>
    </row>
    <row r="15" spans="2:11" x14ac:dyDescent="0.35">
      <c r="B15" s="56"/>
      <c r="C15" s="56"/>
      <c r="D15" s="57"/>
      <c r="E15" s="57"/>
      <c r="F15" s="57"/>
      <c r="G15" s="57" t="s">
        <v>202</v>
      </c>
      <c r="H15" s="57" t="s">
        <v>219</v>
      </c>
    </row>
    <row r="16" spans="2:11" x14ac:dyDescent="0.35">
      <c r="B16" s="56"/>
      <c r="C16" s="56"/>
      <c r="D16" s="57"/>
      <c r="E16" s="57"/>
      <c r="F16" s="57"/>
      <c r="G16" s="57" t="s">
        <v>203</v>
      </c>
      <c r="H16" s="57" t="s">
        <v>220</v>
      </c>
    </row>
    <row r="17" spans="2:8" x14ac:dyDescent="0.35">
      <c r="B17" s="56"/>
      <c r="C17" s="56"/>
      <c r="D17" s="57"/>
      <c r="E17" s="57"/>
      <c r="F17" s="57"/>
      <c r="G17" s="57" t="s">
        <v>204</v>
      </c>
      <c r="H17" s="57" t="s">
        <v>221</v>
      </c>
    </row>
    <row r="18" spans="2:8" x14ac:dyDescent="0.35">
      <c r="B18" s="56"/>
      <c r="C18" s="56"/>
      <c r="D18" s="57"/>
      <c r="E18" s="57"/>
      <c r="F18" s="57"/>
      <c r="G18" s="57" t="s">
        <v>205</v>
      </c>
      <c r="H18" s="57"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61" t="s">
        <v>234</v>
      </c>
      <c r="D34" s="57" t="s">
        <v>232</v>
      </c>
      <c r="E34" s="57" t="s">
        <v>237</v>
      </c>
      <c r="F34" s="57" t="s">
        <v>235</v>
      </c>
      <c r="G34" s="57" t="s">
        <v>236</v>
      </c>
      <c r="H34" s="57" t="s">
        <v>238</v>
      </c>
      <c r="J34" t="s">
        <v>191</v>
      </c>
      <c r="K34" t="s">
        <v>207</v>
      </c>
    </row>
    <row r="35" spans="3:11" x14ac:dyDescent="0.35">
      <c r="C35" s="56" t="s">
        <v>233</v>
      </c>
      <c r="D35" s="57" t="s">
        <v>167</v>
      </c>
      <c r="E35" s="57" t="s">
        <v>242</v>
      </c>
      <c r="F35" s="57" t="s">
        <v>244</v>
      </c>
      <c r="G35" s="57" t="s">
        <v>246</v>
      </c>
      <c r="H35" s="57"/>
    </row>
    <row r="36" spans="3:11" x14ac:dyDescent="0.35">
      <c r="C36" s="56"/>
      <c r="D36" s="57" t="s">
        <v>239</v>
      </c>
      <c r="E36" s="57" t="s">
        <v>243</v>
      </c>
      <c r="F36" s="57" t="s">
        <v>245</v>
      </c>
      <c r="G36" s="57" t="s">
        <v>247</v>
      </c>
      <c r="H36" s="57"/>
    </row>
    <row r="37" spans="3:11" x14ac:dyDescent="0.35">
      <c r="C37" s="56"/>
      <c r="D37" s="57" t="s">
        <v>240</v>
      </c>
      <c r="E37" s="57"/>
      <c r="F37" s="57"/>
      <c r="G37" s="57" t="s">
        <v>248</v>
      </c>
      <c r="H37" s="57"/>
    </row>
    <row r="38" spans="3:11" x14ac:dyDescent="0.35">
      <c r="C38" s="56"/>
      <c r="D38" s="57" t="s">
        <v>241</v>
      </c>
      <c r="E38" s="57"/>
      <c r="F38" s="57"/>
      <c r="G38" s="57" t="s">
        <v>248</v>
      </c>
      <c r="H38" s="57"/>
    </row>
    <row r="39" spans="3:11" x14ac:dyDescent="0.35">
      <c r="C39" s="56"/>
      <c r="D39" s="57"/>
      <c r="E39" s="57"/>
      <c r="F39" s="57"/>
      <c r="G39" s="57" t="s">
        <v>249</v>
      </c>
      <c r="H39" s="57"/>
    </row>
    <row r="40" spans="3:11" x14ac:dyDescent="0.35">
      <c r="C40" s="56"/>
      <c r="D40" s="57"/>
      <c r="E40" s="57"/>
      <c r="F40" s="57"/>
      <c r="G40" s="57" t="s">
        <v>250</v>
      </c>
      <c r="H40" s="57"/>
    </row>
    <row r="41" spans="3:11" x14ac:dyDescent="0.35">
      <c r="C41" s="56"/>
      <c r="D41" s="57"/>
      <c r="E41" s="57"/>
      <c r="F41" s="57"/>
      <c r="G41" s="57"/>
      <c r="H41" s="57"/>
    </row>
    <row r="43" spans="3:11" x14ac:dyDescent="0.35">
      <c r="C43" t="s">
        <v>251</v>
      </c>
    </row>
    <row r="44" spans="3:11" x14ac:dyDescent="0.35">
      <c r="C44" t="s">
        <v>169</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176</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191</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186</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x14ac:dyDescent="0.35"/>
  <cols>
    <col min="2" max="2" width="3" bestFit="1" customWidth="1"/>
    <col min="3" max="3" width="167.1796875" customWidth="1"/>
  </cols>
  <sheetData>
    <row r="2" spans="2:3" ht="15" customHeight="1" x14ac:dyDescent="0.35">
      <c r="B2" s="62">
        <v>1</v>
      </c>
      <c r="C2" s="65" t="s">
        <v>282</v>
      </c>
    </row>
    <row r="3" spans="2:3" x14ac:dyDescent="0.35">
      <c r="B3" s="62">
        <v>2</v>
      </c>
      <c r="C3" s="63" t="s">
        <v>283</v>
      </c>
    </row>
    <row r="4" spans="2:3" x14ac:dyDescent="0.35">
      <c r="B4" s="62">
        <v>3</v>
      </c>
      <c r="C4" s="64" t="s">
        <v>284</v>
      </c>
    </row>
    <row r="5" spans="2:3" x14ac:dyDescent="0.35">
      <c r="B5" s="62">
        <v>4</v>
      </c>
      <c r="C5" s="63" t="s">
        <v>285</v>
      </c>
    </row>
    <row r="6" spans="2:3" x14ac:dyDescent="0.35">
      <c r="B6" s="62">
        <v>5</v>
      </c>
      <c r="C6" s="64" t="s">
        <v>286</v>
      </c>
    </row>
    <row r="7" spans="2:3" x14ac:dyDescent="0.35">
      <c r="B7" s="62">
        <v>6</v>
      </c>
      <c r="C7" s="63" t="s">
        <v>287</v>
      </c>
    </row>
    <row r="8" spans="2:3" ht="72.5" x14ac:dyDescent="0.35">
      <c r="B8" s="62">
        <v>7</v>
      </c>
      <c r="C8" s="63" t="s">
        <v>288</v>
      </c>
    </row>
    <row r="9" spans="2:3" x14ac:dyDescent="0.35">
      <c r="B9" s="62">
        <v>8</v>
      </c>
      <c r="C9" s="64" t="s">
        <v>289</v>
      </c>
    </row>
    <row r="10" spans="2:3" x14ac:dyDescent="0.35">
      <c r="B10" s="62">
        <v>9</v>
      </c>
      <c r="C10" s="64" t="s">
        <v>290</v>
      </c>
    </row>
    <row r="11" spans="2:3" x14ac:dyDescent="0.35">
      <c r="B11" s="62">
        <v>10</v>
      </c>
      <c r="C11" s="64" t="s">
        <v>291</v>
      </c>
    </row>
    <row r="12" spans="2:3" x14ac:dyDescent="0.35">
      <c r="B12" s="62">
        <v>11</v>
      </c>
      <c r="C12" s="64" t="s">
        <v>292</v>
      </c>
    </row>
    <row r="13" spans="2:3" x14ac:dyDescent="0.35">
      <c r="B13" s="62">
        <v>12</v>
      </c>
      <c r="C13" s="64" t="s">
        <v>293</v>
      </c>
    </row>
    <row r="14" spans="2:3" x14ac:dyDescent="0.35">
      <c r="B14" s="62">
        <v>13</v>
      </c>
      <c r="C14" s="64" t="s">
        <v>294</v>
      </c>
    </row>
    <row r="15" spans="2:3" x14ac:dyDescent="0.35">
      <c r="B15" s="62">
        <v>14</v>
      </c>
      <c r="C15" s="64" t="s">
        <v>296</v>
      </c>
    </row>
    <row r="16" spans="2:3" x14ac:dyDescent="0.35">
      <c r="B16" s="62">
        <v>15</v>
      </c>
      <c r="C16" s="64" t="s">
        <v>297</v>
      </c>
    </row>
    <row r="17" spans="2:3" x14ac:dyDescent="0.35">
      <c r="B17" s="62">
        <v>16</v>
      </c>
      <c r="C17" s="66" t="s">
        <v>298</v>
      </c>
    </row>
    <row r="18" spans="2:3" x14ac:dyDescent="0.35">
      <c r="B18" s="62">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2025-07-23T10:30:15Z</cp:lastPrinted>
  <dcterms:created xsi:type="dcterms:W3CDTF">2019-07-16T09:29:46Z</dcterms:created>
  <dcterms:modified xsi:type="dcterms:W3CDTF">2025-07-23T10:32:40Z</dcterms:modified>
</cp:coreProperties>
</file>