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sjadon\common drive\APF\25-26\July 2025\AXIS\New\Saurav\15321 - Queens Glory\"/>
    </mc:Choice>
  </mc:AlternateContent>
  <bookViews>
    <workbookView xWindow="-105" yWindow="-105" windowWidth="23250" windowHeight="1245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Report!$A$1:$H$501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1" l="1"/>
  <c r="K250" i="1" l="1"/>
  <c r="L197" i="1"/>
  <c r="J241" i="1"/>
  <c r="J198" i="1"/>
  <c r="J197" i="1"/>
  <c r="C139" i="1"/>
  <c r="C138" i="1"/>
  <c r="C137" i="1"/>
  <c r="G140" i="1"/>
  <c r="E140" i="1"/>
  <c r="G139" i="1"/>
  <c r="G138" i="1"/>
  <c r="G137" i="1"/>
  <c r="E139" i="1"/>
  <c r="E138" i="1"/>
  <c r="E137" i="1"/>
  <c r="C140" i="1" l="1"/>
  <c r="D329" i="1"/>
  <c r="D305" i="1"/>
  <c r="F305" i="1" s="1"/>
  <c r="H305" i="1" s="1"/>
  <c r="D304" i="1"/>
  <c r="F304" i="1" s="1"/>
  <c r="H304" i="1" s="1"/>
  <c r="D303" i="1"/>
  <c r="F303" i="1" s="1"/>
  <c r="H303" i="1" s="1"/>
  <c r="D302" i="1"/>
  <c r="F302" i="1" s="1"/>
  <c r="H302" i="1" s="1"/>
  <c r="F301" i="1"/>
  <c r="H301" i="1" s="1"/>
  <c r="D301" i="1"/>
  <c r="I300" i="1"/>
  <c r="I246" i="1"/>
  <c r="I239" i="1"/>
  <c r="D175" i="1"/>
  <c r="F175" i="1" s="1"/>
  <c r="H175" i="1" s="1"/>
  <c r="D174" i="1"/>
  <c r="F174" i="1" s="1"/>
  <c r="H174" i="1" s="1"/>
  <c r="D173" i="1"/>
  <c r="F173" i="1" s="1"/>
  <c r="H173" i="1" s="1"/>
  <c r="D172" i="1"/>
  <c r="F172" i="1" s="1"/>
  <c r="H172" i="1" s="1"/>
  <c r="D171" i="1"/>
  <c r="F171" i="1" s="1"/>
  <c r="H171" i="1" s="1"/>
  <c r="D170" i="1"/>
  <c r="F170" i="1" s="1"/>
  <c r="H170" i="1" s="1"/>
  <c r="D169" i="1"/>
  <c r="F169" i="1" s="1"/>
  <c r="H169" i="1" s="1"/>
  <c r="D168" i="1"/>
  <c r="F168" i="1" s="1"/>
  <c r="H168" i="1" s="1"/>
  <c r="D165" i="1"/>
  <c r="D163" i="1"/>
  <c r="D162" i="1"/>
  <c r="I52" i="1"/>
  <c r="E8" i="1"/>
  <c r="I324" i="1" l="1"/>
  <c r="I267" i="1"/>
  <c r="D205" i="1"/>
  <c r="D204" i="1"/>
  <c r="D203" i="1"/>
  <c r="D202" i="1"/>
  <c r="D337" i="1"/>
  <c r="D335" i="1"/>
  <c r="F335" i="1" s="1"/>
  <c r="H335" i="1" s="1"/>
  <c r="D334" i="1"/>
  <c r="F334" i="1" s="1"/>
  <c r="H334" i="1" s="1"/>
  <c r="D333" i="1"/>
  <c r="F333" i="1" s="1"/>
  <c r="H333" i="1" s="1"/>
  <c r="D332" i="1"/>
  <c r="F332" i="1" s="1"/>
  <c r="H332" i="1" s="1"/>
  <c r="D331" i="1"/>
  <c r="F331" i="1" s="1"/>
  <c r="H331" i="1" s="1"/>
  <c r="D328" i="1"/>
  <c r="F328" i="1" s="1"/>
  <c r="H328" i="1" s="1"/>
  <c r="D327" i="1"/>
  <c r="D326" i="1"/>
  <c r="F326" i="1" s="1"/>
  <c r="H326" i="1" s="1"/>
  <c r="D325" i="1"/>
  <c r="D323" i="1"/>
  <c r="D322" i="1"/>
  <c r="F322" i="1" s="1"/>
  <c r="H322" i="1" s="1"/>
  <c r="D321" i="1"/>
  <c r="F321" i="1" s="1"/>
  <c r="H321" i="1" s="1"/>
  <c r="D320" i="1"/>
  <c r="F320" i="1" s="1"/>
  <c r="H320" i="1" s="1"/>
  <c r="D319" i="1"/>
  <c r="F319" i="1" s="1"/>
  <c r="H319" i="1" s="1"/>
  <c r="D317" i="1"/>
  <c r="F317" i="1" s="1"/>
  <c r="H317" i="1" s="1"/>
  <c r="D316" i="1"/>
  <c r="F316" i="1" s="1"/>
  <c r="H316" i="1" s="1"/>
  <c r="D315" i="1"/>
  <c r="F315" i="1" s="1"/>
  <c r="H315" i="1" s="1"/>
  <c r="D314" i="1"/>
  <c r="F314" i="1" s="1"/>
  <c r="H314" i="1" s="1"/>
  <c r="D313" i="1"/>
  <c r="F313" i="1" s="1"/>
  <c r="H313" i="1" s="1"/>
  <c r="D311" i="1"/>
  <c r="D310" i="1"/>
  <c r="F310" i="1" s="1"/>
  <c r="H310" i="1" s="1"/>
  <c r="D309" i="1"/>
  <c r="F309" i="1" s="1"/>
  <c r="H309" i="1" s="1"/>
  <c r="D308" i="1"/>
  <c r="F308" i="1" s="1"/>
  <c r="H308" i="1" s="1"/>
  <c r="D307" i="1"/>
  <c r="F307" i="1" s="1"/>
  <c r="H307" i="1" s="1"/>
  <c r="D299" i="1"/>
  <c r="F299" i="1" s="1"/>
  <c r="H299" i="1" s="1"/>
  <c r="D298" i="1"/>
  <c r="F298" i="1" s="1"/>
  <c r="H298" i="1" s="1"/>
  <c r="D297" i="1"/>
  <c r="F297" i="1" s="1"/>
  <c r="H297" i="1" s="1"/>
  <c r="D296" i="1"/>
  <c r="D295" i="1"/>
  <c r="F295" i="1" s="1"/>
  <c r="H295" i="1" s="1"/>
  <c r="D293" i="1"/>
  <c r="D292" i="1"/>
  <c r="D291" i="1"/>
  <c r="D290" i="1"/>
  <c r="D289" i="1"/>
  <c r="D285" i="1"/>
  <c r="F337" i="1"/>
  <c r="H337" i="1" s="1"/>
  <c r="I336" i="1"/>
  <c r="I330" i="1"/>
  <c r="F329" i="1"/>
  <c r="H329" i="1" s="1"/>
  <c r="F327" i="1"/>
  <c r="H327" i="1" s="1"/>
  <c r="F325" i="1"/>
  <c r="H325" i="1" s="1"/>
  <c r="F323" i="1"/>
  <c r="H323" i="1" s="1"/>
  <c r="I318" i="1"/>
  <c r="I312" i="1"/>
  <c r="I306" i="1"/>
  <c r="F311" i="1"/>
  <c r="H311" i="1" s="1"/>
  <c r="F296" i="1"/>
  <c r="H296" i="1" s="1"/>
  <c r="I294" i="1"/>
  <c r="I288" i="1"/>
  <c r="C151" i="1" l="1"/>
  <c r="C145" i="1"/>
  <c r="A285" i="1"/>
  <c r="I283" i="1"/>
  <c r="D281" i="1"/>
  <c r="F281" i="1" s="1"/>
  <c r="H281" i="1" s="1"/>
  <c r="D280" i="1"/>
  <c r="F280" i="1" s="1"/>
  <c r="H280" i="1" s="1"/>
  <c r="D279" i="1"/>
  <c r="D278" i="1"/>
  <c r="F278" i="1" s="1"/>
  <c r="H278" i="1" s="1"/>
  <c r="D276" i="1"/>
  <c r="F276" i="1" s="1"/>
  <c r="H276" i="1" s="1"/>
  <c r="D275" i="1"/>
  <c r="F275" i="1" s="1"/>
  <c r="H275" i="1" s="1"/>
  <c r="D274" i="1"/>
  <c r="F274" i="1" s="1"/>
  <c r="H274" i="1" s="1"/>
  <c r="D273" i="1"/>
  <c r="F273" i="1" s="1"/>
  <c r="H273" i="1" s="1"/>
  <c r="D271" i="1"/>
  <c r="F271" i="1" s="1"/>
  <c r="H271" i="1" s="1"/>
  <c r="D269" i="1"/>
  <c r="F269" i="1" s="1"/>
  <c r="H269" i="1" s="1"/>
  <c r="D268" i="1"/>
  <c r="F268" i="1" s="1"/>
  <c r="H268" i="1" s="1"/>
  <c r="D266" i="1"/>
  <c r="F266" i="1" s="1"/>
  <c r="H266" i="1" s="1"/>
  <c r="D265" i="1"/>
  <c r="F265" i="1" s="1"/>
  <c r="H265" i="1" s="1"/>
  <c r="D264" i="1"/>
  <c r="D263" i="1"/>
  <c r="F263" i="1" s="1"/>
  <c r="H263" i="1" s="1"/>
  <c r="D261" i="1"/>
  <c r="F261" i="1" s="1"/>
  <c r="H261" i="1" s="1"/>
  <c r="D260" i="1"/>
  <c r="F260" i="1" s="1"/>
  <c r="H260" i="1" s="1"/>
  <c r="D259" i="1"/>
  <c r="F259" i="1" s="1"/>
  <c r="H259" i="1" s="1"/>
  <c r="D258" i="1"/>
  <c r="F258" i="1" s="1"/>
  <c r="H258" i="1" s="1"/>
  <c r="D256" i="1"/>
  <c r="F256" i="1" s="1"/>
  <c r="H256" i="1" s="1"/>
  <c r="D255" i="1"/>
  <c r="F255" i="1" s="1"/>
  <c r="H255" i="1" s="1"/>
  <c r="D254" i="1"/>
  <c r="D253" i="1"/>
  <c r="F253" i="1" s="1"/>
  <c r="H253" i="1" s="1"/>
  <c r="D251" i="1"/>
  <c r="F251" i="1" s="1"/>
  <c r="H251" i="1" s="1"/>
  <c r="D250" i="1"/>
  <c r="D249" i="1"/>
  <c r="F249" i="1" s="1"/>
  <c r="H249" i="1" s="1"/>
  <c r="D248" i="1"/>
  <c r="F248" i="1" s="1"/>
  <c r="H248" i="1" s="1"/>
  <c r="D246" i="1"/>
  <c r="F246" i="1" s="1"/>
  <c r="H246" i="1" s="1"/>
  <c r="D245" i="1"/>
  <c r="D244" i="1"/>
  <c r="F244" i="1" s="1"/>
  <c r="H244" i="1" s="1"/>
  <c r="D243" i="1"/>
  <c r="F243" i="1" s="1"/>
  <c r="H243" i="1" s="1"/>
  <c r="D241" i="1"/>
  <c r="D240" i="1"/>
  <c r="D239" i="1"/>
  <c r="C150" i="1" s="1"/>
  <c r="F279" i="1"/>
  <c r="H279" i="1" s="1"/>
  <c r="I277" i="1"/>
  <c r="I272" i="1"/>
  <c r="F264" i="1"/>
  <c r="H264" i="1" s="1"/>
  <c r="I262" i="1"/>
  <c r="I257" i="1"/>
  <c r="I252" i="1"/>
  <c r="F254" i="1"/>
  <c r="H254" i="1" s="1"/>
  <c r="F250" i="1"/>
  <c r="H250" i="1" s="1"/>
  <c r="I247" i="1"/>
  <c r="F245" i="1"/>
  <c r="H245" i="1" s="1"/>
  <c r="I242" i="1"/>
  <c r="I237" i="1"/>
  <c r="C144" i="1" l="1"/>
  <c r="D235" i="1"/>
  <c r="F235" i="1" s="1"/>
  <c r="H235" i="1" s="1"/>
  <c r="D234" i="1"/>
  <c r="F234" i="1" s="1"/>
  <c r="H234" i="1" s="1"/>
  <c r="D233" i="1"/>
  <c r="D232" i="1"/>
  <c r="F232" i="1" s="1"/>
  <c r="H232" i="1" s="1"/>
  <c r="D230" i="1"/>
  <c r="F230" i="1" s="1"/>
  <c r="H230" i="1" s="1"/>
  <c r="D229" i="1"/>
  <c r="F229" i="1" s="1"/>
  <c r="H229" i="1" s="1"/>
  <c r="D228" i="1"/>
  <c r="F228" i="1" s="1"/>
  <c r="H228" i="1" s="1"/>
  <c r="D227" i="1"/>
  <c r="F227" i="1" s="1"/>
  <c r="H227" i="1" s="1"/>
  <c r="D225" i="1"/>
  <c r="F225" i="1" s="1"/>
  <c r="H225" i="1" s="1"/>
  <c r="D223" i="1"/>
  <c r="F223" i="1" s="1"/>
  <c r="H223" i="1" s="1"/>
  <c r="D222" i="1"/>
  <c r="F222" i="1" s="1"/>
  <c r="H222" i="1" s="1"/>
  <c r="D220" i="1"/>
  <c r="D219" i="1"/>
  <c r="D218" i="1"/>
  <c r="D217" i="1"/>
  <c r="D215" i="1"/>
  <c r="D214" i="1"/>
  <c r="D213" i="1"/>
  <c r="D212" i="1"/>
  <c r="D210" i="1"/>
  <c r="D209" i="1"/>
  <c r="D208" i="1"/>
  <c r="D207" i="1"/>
  <c r="D200" i="1"/>
  <c r="D199" i="1"/>
  <c r="D198" i="1"/>
  <c r="D197" i="1"/>
  <c r="D194" i="1"/>
  <c r="D193" i="1"/>
  <c r="D192" i="1"/>
  <c r="I191" i="1"/>
  <c r="I196" i="1"/>
  <c r="I201" i="1"/>
  <c r="I206" i="1"/>
  <c r="I211" i="1"/>
  <c r="I216" i="1"/>
  <c r="I221" i="1"/>
  <c r="I226" i="1"/>
  <c r="I231" i="1"/>
  <c r="F233" i="1"/>
  <c r="H233" i="1" s="1"/>
  <c r="A233" i="1"/>
  <c r="A234" i="1" s="1"/>
  <c r="A235" i="1" s="1"/>
  <c r="A228" i="1"/>
  <c r="A229" i="1" s="1"/>
  <c r="A230" i="1" s="1"/>
  <c r="A223" i="1"/>
  <c r="A224" i="1" s="1"/>
  <c r="A225" i="1" s="1"/>
  <c r="C149" i="1" l="1"/>
  <c r="C152" i="1"/>
  <c r="C143" i="1"/>
  <c r="C146" i="1" s="1"/>
  <c r="F220" i="1"/>
  <c r="H220" i="1" s="1"/>
  <c r="F219" i="1"/>
  <c r="H219" i="1" s="1"/>
  <c r="F218" i="1"/>
  <c r="H218" i="1" s="1"/>
  <c r="A218" i="1"/>
  <c r="A219" i="1" s="1"/>
  <c r="A220" i="1" s="1"/>
  <c r="F217" i="1"/>
  <c r="H217" i="1" s="1"/>
  <c r="F215" i="1"/>
  <c r="H215" i="1" s="1"/>
  <c r="F214" i="1"/>
  <c r="H214" i="1" s="1"/>
  <c r="F213" i="1"/>
  <c r="H213" i="1" s="1"/>
  <c r="A213" i="1"/>
  <c r="A214" i="1" s="1"/>
  <c r="A215" i="1" s="1"/>
  <c r="F212" i="1"/>
  <c r="H212" i="1" s="1"/>
  <c r="F210" i="1"/>
  <c r="H210" i="1" s="1"/>
  <c r="F209" i="1"/>
  <c r="H209" i="1" s="1"/>
  <c r="F208" i="1"/>
  <c r="H208" i="1" s="1"/>
  <c r="A208" i="1"/>
  <c r="A209" i="1" s="1"/>
  <c r="A210" i="1" s="1"/>
  <c r="F207" i="1"/>
  <c r="H207" i="1" s="1"/>
  <c r="F205" i="1"/>
  <c r="H205" i="1" s="1"/>
  <c r="F204" i="1"/>
  <c r="H204" i="1" s="1"/>
  <c r="F203" i="1"/>
  <c r="H203" i="1" s="1"/>
  <c r="A203" i="1"/>
  <c r="A204" i="1" s="1"/>
  <c r="A205" i="1" s="1"/>
  <c r="F202" i="1"/>
  <c r="H202" i="1" s="1"/>
  <c r="D186" i="1"/>
  <c r="F186" i="1" s="1"/>
  <c r="H186" i="1" s="1"/>
  <c r="D185" i="1"/>
  <c r="F185" i="1" s="1"/>
  <c r="H185" i="1" s="1"/>
  <c r="D184" i="1"/>
  <c r="F184" i="1" s="1"/>
  <c r="H184" i="1" s="1"/>
  <c r="D183" i="1"/>
  <c r="F183" i="1" s="1"/>
  <c r="H183" i="1" s="1"/>
  <c r="D182" i="1"/>
  <c r="F182" i="1" s="1"/>
  <c r="H182" i="1" s="1"/>
  <c r="D181" i="1"/>
  <c r="F181" i="1" s="1"/>
  <c r="H181" i="1" s="1"/>
  <c r="D180" i="1"/>
  <c r="F180" i="1" s="1"/>
  <c r="H180" i="1" s="1"/>
  <c r="D179" i="1"/>
  <c r="F179" i="1" s="1"/>
  <c r="H179" i="1" s="1"/>
  <c r="D178" i="1"/>
  <c r="F178" i="1" s="1"/>
  <c r="F165" i="1"/>
  <c r="H165" i="1" s="1"/>
  <c r="D164" i="1"/>
  <c r="F164" i="1" s="1"/>
  <c r="H164" i="1" s="1"/>
  <c r="D161" i="1"/>
  <c r="D160" i="1"/>
  <c r="I188" i="1"/>
  <c r="I156" i="1"/>
  <c r="I150" i="1" l="1"/>
  <c r="H178" i="1"/>
  <c r="E46" i="1"/>
  <c r="E42" i="1"/>
  <c r="E43" i="1" s="1"/>
  <c r="C80" i="1" l="1"/>
  <c r="F160" i="1" l="1"/>
  <c r="B38" i="6"/>
  <c r="B39" i="6" s="1"/>
  <c r="B40" i="6" s="1"/>
  <c r="B41" i="6" s="1"/>
  <c r="B42" i="6" s="1"/>
  <c r="B43" i="6" s="1"/>
  <c r="B44" i="6" s="1"/>
  <c r="B45" i="6" s="1"/>
  <c r="B46" i="6" s="1"/>
  <c r="B47" i="6" s="1"/>
  <c r="B48" i="6" s="1"/>
  <c r="B49" i="6" s="1"/>
  <c r="B50" i="6" s="1"/>
  <c r="B51" i="6" s="1"/>
  <c r="B52" i="6" s="1"/>
  <c r="B53" i="6" s="1"/>
  <c r="B54" i="6" s="1"/>
  <c r="H160"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370" i="1"/>
  <c r="B345" i="1"/>
  <c r="B344" i="1"/>
  <c r="F293" i="1"/>
  <c r="H293" i="1" s="1"/>
  <c r="F292" i="1"/>
  <c r="E145" i="1" s="1"/>
  <c r="F291" i="1"/>
  <c r="H291" i="1" s="1"/>
  <c r="F290" i="1"/>
  <c r="H290" i="1" s="1"/>
  <c r="F289" i="1"/>
  <c r="H289" i="1" s="1"/>
  <c r="F285" i="1"/>
  <c r="F241" i="1"/>
  <c r="H241" i="1" s="1"/>
  <c r="F240" i="1"/>
  <c r="F239" i="1"/>
  <c r="F200" i="1"/>
  <c r="H200" i="1" s="1"/>
  <c r="F199" i="1"/>
  <c r="H199" i="1" s="1"/>
  <c r="F198" i="1"/>
  <c r="H198" i="1" s="1"/>
  <c r="F197" i="1"/>
  <c r="A198" i="1"/>
  <c r="A199" i="1" s="1"/>
  <c r="A200" i="1" s="1"/>
  <c r="F194" i="1"/>
  <c r="H194" i="1" s="1"/>
  <c r="F193" i="1"/>
  <c r="H193" i="1" s="1"/>
  <c r="A193" i="1"/>
  <c r="A194" i="1" s="1"/>
  <c r="A195" i="1" s="1"/>
  <c r="F192" i="1"/>
  <c r="F163" i="1"/>
  <c r="H163" i="1" s="1"/>
  <c r="F162" i="1"/>
  <c r="H162" i="1" s="1"/>
  <c r="F161" i="1"/>
  <c r="F134" i="1"/>
  <c r="C108" i="1"/>
  <c r="C94" i="1"/>
  <c r="B81" i="1"/>
  <c r="D74" i="1"/>
  <c r="D67" i="1"/>
  <c r="K58" i="1"/>
  <c r="G51" i="1"/>
  <c r="C51" i="1"/>
  <c r="E44" i="1"/>
  <c r="E45" i="1" s="1"/>
  <c r="S33" i="1"/>
  <c r="E31" i="1"/>
  <c r="E28" i="1"/>
  <c r="E26" i="1"/>
  <c r="C16" i="1"/>
  <c r="I15" i="1"/>
  <c r="Z13" i="1"/>
  <c r="E3" i="1"/>
  <c r="B356" i="1" s="1"/>
  <c r="H109" i="1"/>
  <c r="H95" i="1"/>
  <c r="E151" i="1" l="1"/>
  <c r="H292" i="1"/>
  <c r="G145" i="1" s="1"/>
  <c r="H285" i="1"/>
  <c r="G151" i="1" s="1"/>
  <c r="H239" i="1"/>
  <c r="G150" i="1" s="1"/>
  <c r="E150" i="1"/>
  <c r="H240" i="1"/>
  <c r="G144" i="1" s="1"/>
  <c r="E144" i="1"/>
  <c r="H192" i="1"/>
  <c r="G149" i="1" s="1"/>
  <c r="E149" i="1"/>
  <c r="H197" i="1"/>
  <c r="G143" i="1" s="1"/>
  <c r="E143" i="1"/>
  <c r="H161" i="1"/>
  <c r="E42" i="7"/>
  <c r="J88" i="1"/>
  <c r="J89" i="1"/>
  <c r="B109" i="1"/>
  <c r="J117" i="1" s="1"/>
  <c r="I42" i="7"/>
  <c r="H42" i="7" s="1"/>
  <c r="L42" i="7"/>
  <c r="K42" i="7" s="1"/>
  <c r="J94" i="1"/>
  <c r="J96" i="1" s="1"/>
  <c r="D103" i="1"/>
  <c r="D102" i="1"/>
  <c r="D107" i="1"/>
  <c r="D101" i="1"/>
  <c r="J97" i="1"/>
  <c r="D106" i="1"/>
  <c r="J99" i="1"/>
  <c r="C98" i="1" s="1"/>
  <c r="D100" i="1"/>
  <c r="D105" i="1"/>
  <c r="J98" i="1"/>
  <c r="D104" i="1"/>
  <c r="D118" i="1"/>
  <c r="J112" i="1"/>
  <c r="J108" i="1"/>
  <c r="J110" i="1" s="1"/>
  <c r="J111" i="1"/>
  <c r="D116" i="1"/>
  <c r="D121" i="1"/>
  <c r="D115" i="1"/>
  <c r="D120" i="1"/>
  <c r="D114" i="1"/>
  <c r="D117" i="1"/>
  <c r="J113" i="1"/>
  <c r="C112" i="1" s="1"/>
  <c r="D112" i="1" s="1"/>
  <c r="D119" i="1"/>
  <c r="D42" i="7"/>
  <c r="L58" i="1"/>
  <c r="B95" i="1"/>
  <c r="J90" i="1"/>
  <c r="J91" i="1"/>
  <c r="I55" i="1"/>
  <c r="H81" i="1"/>
  <c r="E146" i="1" l="1"/>
  <c r="G146" i="1"/>
  <c r="E152" i="1"/>
  <c r="G152" i="1"/>
  <c r="D92" i="1"/>
  <c r="D86" i="1"/>
  <c r="J86" i="1"/>
  <c r="J87" i="1" s="1"/>
  <c r="J92" i="1" s="1"/>
  <c r="J93" i="1" s="1"/>
  <c r="C85" i="1" s="1"/>
  <c r="E84" i="1" s="1"/>
  <c r="J85" i="1"/>
  <c r="C84" i="1" s="1"/>
  <c r="D84" i="1" s="1"/>
  <c r="D91" i="1"/>
  <c r="D90" i="1"/>
  <c r="J80" i="1"/>
  <c r="J82" i="1" s="1"/>
  <c r="D89" i="1"/>
  <c r="D93" i="1"/>
  <c r="D87" i="1"/>
  <c r="J84" i="1"/>
  <c r="J83" i="1"/>
  <c r="D88" i="1"/>
  <c r="J119" i="1"/>
  <c r="J118" i="1"/>
  <c r="D44" i="7"/>
  <c r="E44" i="7"/>
  <c r="J116" i="1"/>
  <c r="J114" i="1"/>
  <c r="J115" i="1" s="1"/>
  <c r="J120" i="1" s="1"/>
  <c r="J121" i="1" s="1"/>
  <c r="C113" i="1" s="1"/>
  <c r="G112" i="1" s="1"/>
  <c r="D98" i="1"/>
  <c r="J103" i="1"/>
  <c r="J100" i="1"/>
  <c r="J101" i="1" s="1"/>
  <c r="J106" i="1" s="1"/>
  <c r="J107" i="1" s="1"/>
  <c r="C99" i="1" s="1"/>
  <c r="J105" i="1"/>
  <c r="J102" i="1"/>
  <c r="J104" i="1"/>
  <c r="G153" i="1" l="1"/>
  <c r="E153" i="1"/>
  <c r="G84" i="1"/>
  <c r="D78" i="1" s="1"/>
  <c r="D79" i="1" s="1"/>
  <c r="D85" i="1"/>
  <c r="I81" i="1" s="1"/>
  <c r="I82" i="1" s="1"/>
  <c r="D113" i="1"/>
  <c r="I109" i="1" s="1"/>
  <c r="I110" i="1" s="1"/>
  <c r="J109" i="1"/>
  <c r="E112" i="1"/>
  <c r="J81" i="1"/>
  <c r="E98" i="1"/>
  <c r="D99" i="1"/>
  <c r="I95" i="1" s="1"/>
  <c r="J95" i="1"/>
  <c r="G98" i="1"/>
  <c r="F79" i="1" l="1"/>
  <c r="I108" i="1"/>
  <c r="C110" i="1" s="1"/>
  <c r="I80" i="1"/>
  <c r="C82" i="1" s="1"/>
  <c r="I96" i="1"/>
  <c r="I94" i="1" s="1"/>
  <c r="C9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9" authorId="1" shapeId="0">
      <text>
        <r>
          <rPr>
            <b/>
            <sz val="9"/>
            <color indexed="81"/>
            <rFont val="Tahoma"/>
            <family val="2"/>
          </rPr>
          <t>SACHIN:</t>
        </r>
        <r>
          <rPr>
            <sz val="9"/>
            <color indexed="81"/>
            <rFont val="Tahoma"/>
            <family val="2"/>
          </rPr>
          <t xml:space="preserve">
Floor with height</t>
        </r>
      </text>
    </comment>
    <comment ref="C61" authorId="1" shapeId="0">
      <text>
        <r>
          <rPr>
            <b/>
            <sz val="9"/>
            <color indexed="81"/>
            <rFont val="Tahoma"/>
            <family val="2"/>
          </rPr>
          <t>SACHIN:</t>
        </r>
        <r>
          <rPr>
            <sz val="9"/>
            <color indexed="81"/>
            <rFont val="Tahoma"/>
            <family val="2"/>
          </rPr>
          <t xml:space="preserve">
Survey Nos.</t>
        </r>
      </text>
    </comment>
    <comment ref="D67"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<sst xmlns="http://schemas.openxmlformats.org/spreadsheetml/2006/main" count="1045" uniqueCount="468">
  <si>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</si>
  <si>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</si>
  <si>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</si>
  <si>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</si>
  <si>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</si>
  <si>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</si>
  <si>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</si>
  <si>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</si>
  <si>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</si>
  <si>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</si>
  <si>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</si>
  <si>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</si>
  <si>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</si>
  <si>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</si>
  <si>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</si>
  <si>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</si>
  <si>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</si>
  <si>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</si>
  <si>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</si>
  <si>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</si>
  <si>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</si>
  <si>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</si>
  <si>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</si>
  <si>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</si>
  <si>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</si>
  <si>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</si>
  <si>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</si>
  <si>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</si>
  <si>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</si>
  <si>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</si>
  <si>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</si>
  <si>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</si>
  <si>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</si>
  <si>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</si>
  <si>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</si>
  <si>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</si>
  <si>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</si>
  <si>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</si>
  <si>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</si>
  <si>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</si>
  <si>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</si>
  <si>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</si>
  <si>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</si>
  <si>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</si>
  <si>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</si>
  <si>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</si>
  <si>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</si>
  <si>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</si>
  <si>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</si>
  <si>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</si>
  <si>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</si>
  <si>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</si>
  <si>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</si>
  <si>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</si>
  <si>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</si>
  <si>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</si>
  <si>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</si>
  <si>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</si>
  <si>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</si>
  <si>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</si>
  <si>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</si>
  <si>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</si>
  <si>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</si>
  <si>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</si>
  <si>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</si>
  <si>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</si>
  <si>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</si>
  <si>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</si>
  <si>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</si>
  <si>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</si>
  <si>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</si>
  <si>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</si>
  <si>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</si>
  <si>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</si>
  <si>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</si>
  <si>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</si>
  <si>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</si>
  <si>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</si>
  <si>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</si>
  <si>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</si>
  <si>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</si>
  <si>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</si>
  <si>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</si>
  <si>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</si>
  <si>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</si>
  <si>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</si>
  <si>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</si>
  <si>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</si>
  <si>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</si>
  <si>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</si>
  <si>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</si>
  <si>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</si>
  <si>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</si>
  <si>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</si>
  <si>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</si>
  <si>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</si>
  <si>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</si>
  <si>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</si>
  <si>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</si>
  <si>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</si>
  <si>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</si>
  <si>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</si>
  <si>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</si>
  <si>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</si>
  <si>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</si>
  <si>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</si>
  <si>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</si>
  <si>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</si>
  <si>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</si>
  <si>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</si>
  <si>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</si>
  <si>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</si>
  <si>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</si>
  <si>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</si>
  <si>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</si>
  <si>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</si>
  <si>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</si>
  <si>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</si>
  <si>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</si>
  <si>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</si>
  <si>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</si>
  <si>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</si>
  <si>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</si>
  <si>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</si>
  <si>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</si>
  <si>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</si>
  <si>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</si>
  <si>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</si>
  <si>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</si>
  <si>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</si>
  <si>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</si>
  <si>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</si>
  <si>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</si>
  <si>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</si>
  <si>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</si>
  <si>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</si>
  <si>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</si>
  <si>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</si>
  <si>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</si>
  <si>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</si>
  <si>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</si>
  <si>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</si>
  <si>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</si>
  <si>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</si>
  <si>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</si>
  <si>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</si>
  <si>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</si>
  <si>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</si>
  <si>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</si>
  <si>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</si>
  <si>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</si>
  <si>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</si>
  <si>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</si>
  <si>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</si>
  <si>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</si>
  <si>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</si>
  <si>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</si>
  <si>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</si>
  <si>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</si>
  <si>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</si>
  <si>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</si>
  <si>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</si>
  <si>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</si>
  <si>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</si>
  <si>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</si>
  <si>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</si>
  <si>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</si>
  <si>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</si>
  <si>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</si>
  <si>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</si>
  <si>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</si>
  <si>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</si>
  <si>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</si>
  <si>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</si>
  <si>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</si>
  <si>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</si>
  <si>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</si>
  <si>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</si>
  <si>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</si>
  <si>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</si>
  <si>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</si>
  <si>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</si>
  <si>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</si>
  <si>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</si>
  <si>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</si>
  <si>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</si>
  <si>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</si>
  <si>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</si>
  <si>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</si>
  <si>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</si>
  <si>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</si>
  <si>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</si>
  <si>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</si>
  <si>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</si>
  <si>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</si>
  <si>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</si>
  <si>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</si>
  <si>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</si>
  <si>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</si>
  <si>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</si>
  <si>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</si>
  <si>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</si>
  <si>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</si>
  <si>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</si>
  <si>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</si>
  <si>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</si>
  <si>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</si>
  <si>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</si>
  <si>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</si>
  <si>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</si>
  <si>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</si>
  <si>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</si>
  <si>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</si>
  <si>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</si>
  <si>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</si>
  <si>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</si>
  <si>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</si>
  <si>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</si>
  <si>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</si>
  <si>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</si>
  <si>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</si>
  <si>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</si>
  <si>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</si>
  <si>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</si>
  <si>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</si>
  <si>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</si>
  <si>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</si>
  <si>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</si>
  <si>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</si>
  <si>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</si>
  <si>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</si>
  <si>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</si>
  <si>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</si>
  <si>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</si>
  <si>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</si>
  <si>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</si>
  <si>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</si>
  <si>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</si>
  <si>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</si>
  <si>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</si>
  <si>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</si>
  <si>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</si>
  <si>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</si>
  <si>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</si>
  <si>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</si>
  <si>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</si>
  <si>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</si>
  <si>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</si>
  <si>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</si>
  <si>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</si>
  <si>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</si>
  <si>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</si>
  <si>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</si>
  <si>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</si>
  <si>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</si>
  <si>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</si>
  <si>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</si>
  <si>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</si>
  <si>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</si>
  <si>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</si>
  <si>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</si>
  <si>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</si>
  <si>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</si>
  <si>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</si>
  <si>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</si>
  <si>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</si>
  <si>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</si>
  <si>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</si>
  <si>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</si>
  <si>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</si>
  <si>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</si>
  <si>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</si>
  <si>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</si>
  <si>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</si>
  <si>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</si>
  <si>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</si>
  <si>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</si>
  <si>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</si>
  <si>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</si>
  <si>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</si>
  <si>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</si>
  <si>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</si>
  <si>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</si>
  <si>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</si>
  <si>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</si>
  <si>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</si>
  <si>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</si>
  <si>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</si>
  <si>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</si>
  <si>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</si>
  <si>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</si>
  <si>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</si>
  <si>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</si>
  <si>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</si>
  <si>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</si>
  <si>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</si>
  <si>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</si>
  <si>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</si>
  <si>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</si>
  <si>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</si>
  <si>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</si>
  <si>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</si>
  <si>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</si>
  <si>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</si>
  <si>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</si>
  <si>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</si>
  <si>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</si>
  <si>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</si>
  <si>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</si>
  <si>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</si>
  <si>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</si>
  <si>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</si>
  <si>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</si>
  <si>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</si>
  <si>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</si>
  <si>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</si>
  <si>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</si>
  <si>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</si>
  <si>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</si>
  <si>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</si>
  <si>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</si>
  <si>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</si>
  <si>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</si>
  <si>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</si>
  <si>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</si>
  <si>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</si>
  <si>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</si>
  <si>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</si>
  <si>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</si>
  <si>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</si>
  <si>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</si>
  <si>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</si>
  <si>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</si>
  <si>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</si>
  <si>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</si>
  <si>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</si>
  <si>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</si>
  <si>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</si>
  <si>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</si>
  <si>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</si>
  <si>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</si>
  <si>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</si>
  <si>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</si>
  <si>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</si>
  <si>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</si>
  <si>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</si>
  <si>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</si>
  <si>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</si>
  <si>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</si>
  <si>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</si>
  <si>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</si>
  <si>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</si>
  <si>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</si>
  <si>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</si>
  <si>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</si>
  <si>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</si>
  <si>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</si>
  <si>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</si>
  <si>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</si>
  <si>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</si>
  <si>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</si>
  <si>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</si>
  <si>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</si>
  <si>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</si>
  <si>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</si>
  <si>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</si>
  <si>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</si>
  <si>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</si>
  <si>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</si>
  <si>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</si>
  <si>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</si>
  <si>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</si>
  <si>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</si>
  <si>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</si>
  <si>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</si>
  <si>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</si>
  <si>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19.057352,72.905330</t>
  </si>
  <si>
    <t>https://maps.app.goo.gl/eUrsZo5eVNKKLNdU6</t>
  </si>
  <si>
    <t>Queens Glory</t>
  </si>
  <si>
    <t>Mr. Ashish Chaturvedi  9321174092</t>
  </si>
  <si>
    <t>Wing A, B &amp; C</t>
  </si>
  <si>
    <t>P51800076971</t>
  </si>
  <si>
    <t>Chembur</t>
  </si>
  <si>
    <t>Subhash Nagar Road</t>
  </si>
  <si>
    <t>Subhash Nagar</t>
  </si>
  <si>
    <t>Chembur West</t>
  </si>
  <si>
    <t>03 Wings</t>
  </si>
  <si>
    <t>MH/EE/(BP)/GM/MHADA-29/1346/2025/IOA/1/Amend</t>
  </si>
  <si>
    <t xml:space="preserve">MH/EE/(BP)/GM/MHADA-29/1346/2025/FCC/1/New
</t>
  </si>
  <si>
    <t>This C.C. is further extended up to top of 7th (pt) floor (i.e. Gr.(pt)/Stilt (pt.) + 1st to 6th + 7th (pt) for wing B &amp; C) having ht. 21.68 mt. along with car parking tower as per approved amended plans dtd. 21/04/2025.</t>
  </si>
  <si>
    <t>Wing A = G + 1st to 16th Floor</t>
  </si>
  <si>
    <t>Wing B = G + 1st to 16th Floor</t>
  </si>
  <si>
    <t>Wing C = G + 1st to 16th Floor</t>
  </si>
  <si>
    <t>https://www.99acres.com/vaibhavlaxmi-queens-glory-chembur-central-mumbai-npxid-r433797</t>
  </si>
  <si>
    <t>As per RERA - 31/12/2027</t>
  </si>
  <si>
    <t>Shop</t>
  </si>
  <si>
    <r>
      <t xml:space="preserve">Shop No.
</t>
    </r>
    <r>
      <rPr>
        <b/>
        <sz val="11"/>
        <rFont val="Times New Roman"/>
        <family val="1"/>
      </rPr>
      <t>(Approved Plan)</t>
    </r>
  </si>
  <si>
    <t>Sale / Mhada</t>
  </si>
  <si>
    <t xml:space="preserve">Wing A </t>
  </si>
  <si>
    <t>1BHK</t>
  </si>
  <si>
    <t>2BHK</t>
  </si>
  <si>
    <t>MHADA</t>
  </si>
  <si>
    <t xml:space="preserve"> - </t>
  </si>
  <si>
    <t>3rd Floor</t>
  </si>
  <si>
    <t>4th, 5th &amp; 11th Floor</t>
  </si>
  <si>
    <t>6th &amp; 10th Floor</t>
  </si>
  <si>
    <t>7th &amp; 9th Floor</t>
  </si>
  <si>
    <t>8th Floor For Residential (Part Refuge Area)</t>
  </si>
  <si>
    <t>Refuge Area</t>
  </si>
  <si>
    <t>12th Floor</t>
  </si>
  <si>
    <t>13th Floor</t>
  </si>
  <si>
    <t>Fitness Centre</t>
  </si>
  <si>
    <t>1st Floor For Residential</t>
  </si>
  <si>
    <t>Wing B</t>
  </si>
  <si>
    <t>MHADA Share</t>
  </si>
  <si>
    <t>8th Floor</t>
  </si>
  <si>
    <t>13th Floor For Residential (Part Terrace Area)</t>
  </si>
  <si>
    <t>Terrace Area</t>
  </si>
  <si>
    <t>Wing C</t>
  </si>
  <si>
    <t>Wing A</t>
  </si>
  <si>
    <t xml:space="preserve">Wing B </t>
  </si>
  <si>
    <t>Residential Area Details : Flats</t>
  </si>
  <si>
    <t>Residential Area Details : MHADA Flats</t>
  </si>
  <si>
    <r>
      <t xml:space="preserve">Flat No.
</t>
    </r>
    <r>
      <rPr>
        <b/>
        <sz val="11"/>
        <rFont val="Times New Roman"/>
        <family val="1"/>
      </rPr>
      <t>(Approved Plan)</t>
    </r>
  </si>
  <si>
    <t>OK</t>
  </si>
  <si>
    <t>We considered Gross carpet area = Net carpet Area.</t>
  </si>
  <si>
    <t>SNCR/WEST/B/072223/771163</t>
  </si>
  <si>
    <t xml:space="preserve">Site Elevation (AMSL) = 4.63 Mtrs
Permissible Top Elevation (AMSL) = 57.13 Mtrs </t>
  </si>
  <si>
    <t>Wing A , B &amp; C = G + 1st to 16th Floor (Total Height = 50.80 Mtrs)</t>
  </si>
  <si>
    <t>P 19534/2023/(831)/M/W Ward/
CHEMBUR-W/MHADA-CFO/1/New</t>
  </si>
  <si>
    <t xml:space="preserve">Fire Noc No
Valid Up to: </t>
  </si>
  <si>
    <t xml:space="preserve">Airport Noc No
Valid Up for: 
</t>
  </si>
  <si>
    <t xml:space="preserve">Commencement-CC No
Valid Up to: </t>
  </si>
  <si>
    <r>
      <t xml:space="preserve">Proposed Amenities :                                                                                                                                                                                                                         </t>
    </r>
    <r>
      <rPr>
        <b/>
        <sz val="12"/>
        <rFont val="Times New Roman"/>
        <family val="1"/>
      </rPr>
      <t xml:space="preserve">                                               </t>
    </r>
  </si>
  <si>
    <t>Saurav Panse</t>
  </si>
  <si>
    <t>Mr. Akash Kadam</t>
  </si>
  <si>
    <t>M/s. Vaibhavlaxmi Builders and Developers</t>
  </si>
  <si>
    <t>Building No. 35 Meghdoot C.H.S. LTD &amp; Office Building No. 6</t>
  </si>
  <si>
    <t>831 (Pt), Redevelopment of "Meghdoot C.H.S. LTD &amp; Office Building No. 6"</t>
  </si>
  <si>
    <t>Om Sai Nandadeep CHS</t>
  </si>
  <si>
    <t xml:space="preserve">MH/EE/(BP)/GM/MHADA-29/1346/2024/CC/1/New
</t>
  </si>
  <si>
    <t>This C.C. issued upto Plinth level as per approved Zero FSI IOA plan dtd. 23.10.2023.</t>
  </si>
  <si>
    <t>Wing A, B &amp; C = G + 1st to 13th Floor
Wing B = G + 1st to 13th Floor
Wing C = G + 1st to 13th Floor</t>
  </si>
  <si>
    <t>Ground Floor For Commercial, Meter Room &amp; Parking</t>
  </si>
  <si>
    <t>1st Floor For Residential &amp; Fitness Centre</t>
  </si>
  <si>
    <t>2nd Floor For Residential</t>
  </si>
  <si>
    <t>1st Floor For Residential, Fitness Centre &amp; Society Office</t>
  </si>
  <si>
    <t>Fitness Centre/Society Office</t>
  </si>
  <si>
    <t>4th &amp; 5th Floor</t>
  </si>
  <si>
    <t>11th Floor (Refuge Area at Mid-landing of staircase)</t>
  </si>
  <si>
    <t>7th &amp; 9th Floor (Refuge Area at Mid-landing of staircase)</t>
  </si>
  <si>
    <t>remark</t>
  </si>
  <si>
    <t>Construction work is in process at the time of Visit (labour found).</t>
  </si>
  <si>
    <t>Mr. Barakh 7977408788</t>
  </si>
  <si>
    <t>Building No. 18</t>
  </si>
  <si>
    <t>Existing Road No. 5</t>
  </si>
  <si>
    <t>Satra Harmony</t>
  </si>
  <si>
    <t>12.20 M Wide Road</t>
  </si>
  <si>
    <t>Building No. 36</t>
  </si>
  <si>
    <t>Under Construction</t>
  </si>
  <si>
    <t>Commercial Area Details : Shop</t>
  </si>
  <si>
    <t>Flats -134, Mhada Flats - 23, Shop - 23</t>
  </si>
  <si>
    <t xml:space="preserve">Fitness Centre, Multipurpose Turf, Open Air Club, Senior Sit out Area, Party Lawn &amp; Walking Track, Vitrified tiles flooring, Granite Kitchen Platform, Decorative Entrance etc. </t>
  </si>
  <si>
    <t xml:space="preserve">Approved Plans, CC, Sale Plans, Builder Saleable Area, </t>
  </si>
  <si>
    <t>Fire Noc, Airport Noc</t>
  </si>
  <si>
    <t>1.0KM from Chembur Railway Station</t>
  </si>
  <si>
    <t>As per the approved plan, Wing C Unit No. 103 and Unit No. 104 are merged into a single unit, e.g., Unit No. 103.</t>
  </si>
  <si>
    <t>We have refered Approved Plans &amp; CC from MHADA Portal on 25/07/2025.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</si>
</sst>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
      <sz val="12"/>
      <color rgb="FF000000"/>
      <name val="Calibri"/>
      <family val="2"/>
    </font>
    <font>
      <sz val="12"/>
      <color rgb="FF0070C0"/>
      <name val="Times New Roman"/>
      <family val="1"/>
    </font>
    <font>
      <u/>
      <sz val="11"/>
      <color rgb="FF0070C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5" fillId="0" borderId="0" xfId="10"/>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6" fillId="0" borderId="1" xfId="1" applyNumberFormat="1" applyFont="1" applyBorder="1" applyAlignment="1">
      <alignment horizontal="center"/>
    </xf>
    <xf numFmtId="0" fontId="14" fillId="0" borderId="0" xfId="0"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30" fillId="0" borderId="0" xfId="0" applyFont="1"/>
    <xf numFmtId="1" fontId="5" fillId="0" borderId="1" xfId="1" applyNumberFormat="1" applyFont="1" applyFill="1" applyBorder="1" applyAlignment="1" applyProtection="1">
      <alignment horizontal="center" vertical="center" wrapText="1"/>
      <protection locked="0"/>
    </xf>
    <xf numFmtId="1" fontId="6" fillId="0" borderId="0" xfId="0" applyNumberFormat="1" applyFont="1" applyAlignment="1">
      <alignment horizontal="center" vertical="center"/>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5" fillId="0" borderId="2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7" fillId="0" borderId="16"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 fontId="7"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1" fillId="0" borderId="1" xfId="1" applyFont="1" applyFill="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5" fillId="0" borderId="1" xfId="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1" fontId="5" fillId="0" borderId="1" xfId="1" applyNumberFormat="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7" fillId="0" borderId="22" xfId="1" applyFont="1" applyFill="1" applyBorder="1" applyAlignment="1" applyProtection="1">
      <alignment horizontal="left" vertical="top" wrapText="1"/>
      <protection locked="0"/>
    </xf>
    <xf numFmtId="0" fontId="7" fillId="0" borderId="15" xfId="1" applyFont="1" applyFill="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32" fillId="0" borderId="1" xfId="10" applyFont="1" applyFill="1" applyBorder="1" applyAlignment="1" applyProtection="1">
      <alignment horizontal="left" vertical="top" wrapText="1"/>
      <protection locked="0"/>
    </xf>
    <xf numFmtId="0" fontId="31" fillId="0" borderId="1" xfId="1" applyFont="1" applyFill="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11" fillId="0" borderId="26" xfId="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jpe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800100</xdr:colOff>
      <xdr:row>15</xdr:row>
      <xdr:rowOff>76200</xdr:rowOff>
    </xdr:from>
    <xdr:to>
      <xdr:col>17</xdr:col>
      <xdr:colOff>237267</xdr:colOff>
      <xdr:row>17</xdr:row>
      <xdr:rowOff>134920</xdr:rowOff>
    </xdr:to>
    <xdr:pic>
      <xdr:nvPicPr>
        <xdr:cNvPr id="2" name="Picture 1"/>
        <xdr:cNvPicPr>
          <a:picLocks noChangeAspect="1"/>
        </xdr:cNvPicPr>
      </xdr:nvPicPr>
      <xdr:blipFill>
        <a:blip xmlns:r="http://schemas.openxmlformats.org/officeDocument/2006/relationships" r:embed="rId1"/>
        <a:stretch>
          <a:fillRect/>
        </a:stretch>
      </xdr:blipFill>
      <xdr:spPr>
        <a:xfrm>
          <a:off x="7115175" y="3667125"/>
          <a:ext cx="6866667" cy="876190"/>
        </a:xfrm>
        <a:prstGeom prst="rect">
          <a:avLst/>
        </a:prstGeom>
      </xdr:spPr>
    </xdr:pic>
    <xdr:clientData/>
  </xdr:twoCellAnchor>
  <xdr:twoCellAnchor editAs="oneCell">
    <xdr:from>
      <xdr:col>8</xdr:col>
      <xdr:colOff>419100</xdr:colOff>
      <xdr:row>48</xdr:row>
      <xdr:rowOff>142875</xdr:rowOff>
    </xdr:from>
    <xdr:to>
      <xdr:col>16</xdr:col>
      <xdr:colOff>561105</xdr:colOff>
      <xdr:row>53</xdr:row>
      <xdr:rowOff>323598</xdr:rowOff>
    </xdr:to>
    <xdr:pic>
      <xdr:nvPicPr>
        <xdr:cNvPr id="3" name="Picture 2"/>
        <xdr:cNvPicPr>
          <a:picLocks noChangeAspect="1"/>
        </xdr:cNvPicPr>
      </xdr:nvPicPr>
      <xdr:blipFill>
        <a:blip xmlns:r="http://schemas.openxmlformats.org/officeDocument/2006/relationships" r:embed="rId2"/>
        <a:stretch>
          <a:fillRect/>
        </a:stretch>
      </xdr:blipFill>
      <xdr:spPr>
        <a:xfrm>
          <a:off x="6734175" y="11182350"/>
          <a:ext cx="6961905" cy="2019048"/>
        </a:xfrm>
        <a:prstGeom prst="rect">
          <a:avLst/>
        </a:prstGeom>
      </xdr:spPr>
    </xdr:pic>
    <xdr:clientData/>
  </xdr:twoCellAnchor>
  <xdr:twoCellAnchor editAs="oneCell">
    <xdr:from>
      <xdr:col>9</xdr:col>
      <xdr:colOff>38100</xdr:colOff>
      <xdr:row>66</xdr:row>
      <xdr:rowOff>171544</xdr:rowOff>
    </xdr:from>
    <xdr:to>
      <xdr:col>12</xdr:col>
      <xdr:colOff>11700</xdr:colOff>
      <xdr:row>74</xdr:row>
      <xdr:rowOff>134119</xdr:rowOff>
    </xdr:to>
    <xdr:pic>
      <xdr:nvPicPr>
        <xdr:cNvPr id="4" name="Picture 3" descr="zcqchqy_1728562997_523914193_large.jpg (960×6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15225" y="14097094"/>
          <a:ext cx="2412000" cy="156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2241</xdr:colOff>
      <xdr:row>135</xdr:row>
      <xdr:rowOff>14567</xdr:rowOff>
    </xdr:from>
    <xdr:to>
      <xdr:col>22</xdr:col>
      <xdr:colOff>558007</xdr:colOff>
      <xdr:row>152</xdr:row>
      <xdr:rowOff>67922</xdr:rowOff>
    </xdr:to>
    <xdr:pic>
      <xdr:nvPicPr>
        <xdr:cNvPr id="11" name="Picture 10"/>
        <xdr:cNvPicPr>
          <a:picLocks noChangeAspect="1"/>
        </xdr:cNvPicPr>
      </xdr:nvPicPr>
      <xdr:blipFill>
        <a:blip xmlns:r="http://schemas.openxmlformats.org/officeDocument/2006/relationships" r:embed="rId4"/>
        <a:stretch>
          <a:fillRect/>
        </a:stretch>
      </xdr:blipFill>
      <xdr:spPr>
        <a:xfrm>
          <a:off x="8241366" y="29237267"/>
          <a:ext cx="9328291" cy="3463305"/>
        </a:xfrm>
        <a:prstGeom prst="rect">
          <a:avLst/>
        </a:prstGeom>
      </xdr:spPr>
    </xdr:pic>
    <xdr:clientData/>
  </xdr:twoCellAnchor>
  <xdr:twoCellAnchor editAs="oneCell">
    <xdr:from>
      <xdr:col>9</xdr:col>
      <xdr:colOff>142875</xdr:colOff>
      <xdr:row>48</xdr:row>
      <xdr:rowOff>133350</xdr:rowOff>
    </xdr:from>
    <xdr:to>
      <xdr:col>13</xdr:col>
      <xdr:colOff>561519</xdr:colOff>
      <xdr:row>64</xdr:row>
      <xdr:rowOff>170799</xdr:rowOff>
    </xdr:to>
    <xdr:pic>
      <xdr:nvPicPr>
        <xdr:cNvPr id="12" name="Picture 11"/>
        <xdr:cNvPicPr>
          <a:picLocks noChangeAspect="1"/>
        </xdr:cNvPicPr>
      </xdr:nvPicPr>
      <xdr:blipFill>
        <a:blip xmlns:r="http://schemas.openxmlformats.org/officeDocument/2006/relationships" r:embed="rId5"/>
        <a:stretch>
          <a:fillRect/>
        </a:stretch>
      </xdr:blipFill>
      <xdr:spPr>
        <a:xfrm>
          <a:off x="7620000" y="11172825"/>
          <a:ext cx="3647619" cy="5209524"/>
        </a:xfrm>
        <a:prstGeom prst="rect">
          <a:avLst/>
        </a:prstGeom>
      </xdr:spPr>
    </xdr:pic>
    <xdr:clientData/>
  </xdr:twoCellAnchor>
  <xdr:twoCellAnchor editAs="oneCell">
    <xdr:from>
      <xdr:col>8</xdr:col>
      <xdr:colOff>504825</xdr:colOff>
      <xdr:row>54</xdr:row>
      <xdr:rowOff>66675</xdr:rowOff>
    </xdr:from>
    <xdr:to>
      <xdr:col>13</xdr:col>
      <xdr:colOff>275705</xdr:colOff>
      <xdr:row>75</xdr:row>
      <xdr:rowOff>370795</xdr:rowOff>
    </xdr:to>
    <xdr:pic>
      <xdr:nvPicPr>
        <xdr:cNvPr id="13" name="Picture 12"/>
        <xdr:cNvPicPr>
          <a:picLocks noChangeAspect="1"/>
        </xdr:cNvPicPr>
      </xdr:nvPicPr>
      <xdr:blipFill>
        <a:blip xmlns:r="http://schemas.openxmlformats.org/officeDocument/2006/relationships" r:embed="rId6"/>
        <a:stretch>
          <a:fillRect/>
        </a:stretch>
      </xdr:blipFill>
      <xdr:spPr>
        <a:xfrm>
          <a:off x="6819900" y="13535025"/>
          <a:ext cx="4161905" cy="5438095"/>
        </a:xfrm>
        <a:prstGeom prst="rect">
          <a:avLst/>
        </a:prstGeom>
      </xdr:spPr>
    </xdr:pic>
    <xdr:clientData/>
  </xdr:twoCellAnchor>
  <xdr:twoCellAnchor>
    <xdr:from>
      <xdr:col>0</xdr:col>
      <xdr:colOff>114300</xdr:colOff>
      <xdr:row>415</xdr:row>
      <xdr:rowOff>36740</xdr:rowOff>
    </xdr:from>
    <xdr:to>
      <xdr:col>7</xdr:col>
      <xdr:colOff>652650</xdr:colOff>
      <xdr:row>456</xdr:row>
      <xdr:rowOff>41154</xdr:rowOff>
    </xdr:to>
    <xdr:grpSp>
      <xdr:nvGrpSpPr>
        <xdr:cNvPr id="14" name="Group 13"/>
        <xdr:cNvGrpSpPr/>
      </xdr:nvGrpSpPr>
      <xdr:grpSpPr>
        <a:xfrm>
          <a:off x="114300" y="86561840"/>
          <a:ext cx="6120000" cy="8205439"/>
          <a:chOff x="369277" y="316524"/>
          <a:chExt cx="6120000" cy="8203412"/>
        </a:xfrm>
      </xdr:grpSpPr>
      <xdr:grpSp>
        <xdr:nvGrpSpPr>
          <xdr:cNvPr id="15" name="Group 14"/>
          <xdr:cNvGrpSpPr/>
        </xdr:nvGrpSpPr>
        <xdr:grpSpPr>
          <a:xfrm>
            <a:off x="369277" y="316524"/>
            <a:ext cx="6120000" cy="3960000"/>
            <a:chOff x="0" y="0"/>
            <a:chExt cx="6858000" cy="3722678"/>
          </a:xfrm>
        </xdr:grpSpPr>
        <xdr:pic>
          <xdr:nvPicPr>
            <xdr:cNvPr id="17" name="Picture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6858000" cy="3722678"/>
            </a:xfrm>
            <a:prstGeom prst="rect">
              <a:avLst/>
            </a:prstGeom>
            <a:ln>
              <a:solidFill>
                <a:schemeClr val="tx1"/>
              </a:solidFill>
            </a:ln>
          </xdr:spPr>
        </xdr:pic>
        <xdr:sp macro="" textlink="">
          <xdr:nvSpPr>
            <xdr:cNvPr id="18" name="Freeform 17"/>
            <xdr:cNvSpPr/>
          </xdr:nvSpPr>
          <xdr:spPr>
            <a:xfrm rot="20107967">
              <a:off x="821288" y="1109840"/>
              <a:ext cx="1867438" cy="1844414"/>
            </a:xfrm>
            <a:custGeom>
              <a:avLst/>
              <a:gdLst>
                <a:gd name="connsiteX0" fmla="*/ 598061 w 1867438"/>
                <a:gd name="connsiteY0" fmla="*/ 9823 h 1844414"/>
                <a:gd name="connsiteX1" fmla="*/ 907011 w 1867438"/>
                <a:gd name="connsiteY1" fmla="*/ 153018 h 1844414"/>
                <a:gd name="connsiteX2" fmla="*/ 877971 w 1867438"/>
                <a:gd name="connsiteY2" fmla="*/ 215674 h 1844414"/>
                <a:gd name="connsiteX3" fmla="*/ 1338150 w 1867438"/>
                <a:gd name="connsiteY3" fmla="*/ 428962 h 1844414"/>
                <a:gd name="connsiteX4" fmla="*/ 1265385 w 1867438"/>
                <a:gd name="connsiteY4" fmla="*/ 585956 h 1844414"/>
                <a:gd name="connsiteX5" fmla="*/ 1867438 w 1867438"/>
                <a:gd name="connsiteY5" fmla="*/ 865000 h 1844414"/>
                <a:gd name="connsiteX6" fmla="*/ 1413490 w 1867438"/>
                <a:gd name="connsiteY6" fmla="*/ 1844414 h 1844414"/>
                <a:gd name="connsiteX7" fmla="*/ 42310 w 1867438"/>
                <a:gd name="connsiteY7" fmla="*/ 1208887 h 1844414"/>
                <a:gd name="connsiteX8" fmla="*/ 55026 w 1867438"/>
                <a:gd name="connsiteY8" fmla="*/ 1181454 h 1844414"/>
                <a:gd name="connsiteX9" fmla="*/ 31056 w 1867438"/>
                <a:gd name="connsiteY9" fmla="*/ 1196550 h 1844414"/>
                <a:gd name="connsiteX10" fmla="*/ 0 w 1867438"/>
                <a:gd name="connsiteY10" fmla="*/ 0 h 1844414"/>
                <a:gd name="connsiteX11" fmla="*/ 596059 w 1867438"/>
                <a:gd name="connsiteY11" fmla="*/ 14144 h 184441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67438" h="1844414">
                  <a:moveTo>
                    <a:pt x="598061" y="9823"/>
                  </a:moveTo>
                  <a:lnTo>
                    <a:pt x="907011" y="153018"/>
                  </a:lnTo>
                  <a:lnTo>
                    <a:pt x="877971" y="215674"/>
                  </a:lnTo>
                  <a:lnTo>
                    <a:pt x="1338150" y="428962"/>
                  </a:lnTo>
                  <a:lnTo>
                    <a:pt x="1265385" y="585956"/>
                  </a:lnTo>
                  <a:lnTo>
                    <a:pt x="1867438" y="865000"/>
                  </a:lnTo>
                  <a:lnTo>
                    <a:pt x="1413490" y="1844414"/>
                  </a:lnTo>
                  <a:lnTo>
                    <a:pt x="42310" y="1208887"/>
                  </a:lnTo>
                  <a:lnTo>
                    <a:pt x="55026" y="1181454"/>
                  </a:lnTo>
                  <a:lnTo>
                    <a:pt x="31056" y="1196550"/>
                  </a:lnTo>
                  <a:lnTo>
                    <a:pt x="0" y="0"/>
                  </a:lnTo>
                  <a:lnTo>
                    <a:pt x="596059" y="14144"/>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Freeform 18"/>
            <xdr:cNvSpPr/>
          </xdr:nvSpPr>
          <xdr:spPr>
            <a:xfrm>
              <a:off x="2595612" y="1820858"/>
              <a:ext cx="1876374" cy="861109"/>
            </a:xfrm>
            <a:custGeom>
              <a:avLst/>
              <a:gdLst>
                <a:gd name="connsiteX0" fmla="*/ 590499 w 1876374"/>
                <a:gd name="connsiteY0" fmla="*/ 0 h 861109"/>
                <a:gd name="connsiteX1" fmla="*/ 1073892 w 1876374"/>
                <a:gd name="connsiteY1" fmla="*/ 0 h 861109"/>
                <a:gd name="connsiteX2" fmla="*/ 1073892 w 1876374"/>
                <a:gd name="connsiteY2" fmla="*/ 69855 h 861109"/>
                <a:gd name="connsiteX3" fmla="*/ 1406577 w 1876374"/>
                <a:gd name="connsiteY3" fmla="*/ 69855 h 861109"/>
                <a:gd name="connsiteX4" fmla="*/ 1406577 w 1876374"/>
                <a:gd name="connsiteY4" fmla="*/ 127004 h 861109"/>
                <a:gd name="connsiteX5" fmla="*/ 1876374 w 1876374"/>
                <a:gd name="connsiteY5" fmla="*/ 127004 h 861109"/>
                <a:gd name="connsiteX6" fmla="*/ 1876374 w 1876374"/>
                <a:gd name="connsiteY6" fmla="*/ 650880 h 861109"/>
                <a:gd name="connsiteX7" fmla="*/ 1876374 w 1876374"/>
                <a:gd name="connsiteY7" fmla="*/ 712792 h 861109"/>
                <a:gd name="connsiteX8" fmla="*/ 1876374 w 1876374"/>
                <a:gd name="connsiteY8" fmla="*/ 861109 h 861109"/>
                <a:gd name="connsiteX9" fmla="*/ 914400 w 1876374"/>
                <a:gd name="connsiteY9" fmla="*/ 861109 h 861109"/>
                <a:gd name="connsiteX10" fmla="*/ 914400 w 1876374"/>
                <a:gd name="connsiteY10" fmla="*/ 650880 h 861109"/>
                <a:gd name="connsiteX11" fmla="*/ 997002 w 1876374"/>
                <a:gd name="connsiteY11" fmla="*/ 650880 h 861109"/>
                <a:gd name="connsiteX12" fmla="*/ 997002 w 1876374"/>
                <a:gd name="connsiteY12" fmla="*/ 541342 h 861109"/>
                <a:gd name="connsiteX13" fmla="*/ 747661 w 1876374"/>
                <a:gd name="connsiteY13" fmla="*/ 541342 h 861109"/>
                <a:gd name="connsiteX14" fmla="*/ 747661 w 1876374"/>
                <a:gd name="connsiteY14" fmla="*/ 638973 h 861109"/>
                <a:gd name="connsiteX15" fmla="*/ 836561 w 1876374"/>
                <a:gd name="connsiteY15" fmla="*/ 638973 h 861109"/>
                <a:gd name="connsiteX16" fmla="*/ 836561 w 1876374"/>
                <a:gd name="connsiteY16" fmla="*/ 861109 h 861109"/>
                <a:gd name="connsiteX17" fmla="*/ 0 w 1876374"/>
                <a:gd name="connsiteY17" fmla="*/ 861109 h 861109"/>
                <a:gd name="connsiteX18" fmla="*/ 0 w 1876374"/>
                <a:gd name="connsiteY18" fmla="*/ 638973 h 861109"/>
                <a:gd name="connsiteX19" fmla="*/ 0 w 1876374"/>
                <a:gd name="connsiteY19" fmla="*/ 69855 h 861109"/>
                <a:gd name="connsiteX20" fmla="*/ 590499 w 1876374"/>
                <a:gd name="connsiteY20" fmla="*/ 69855 h 8611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876374" h="861109">
                  <a:moveTo>
                    <a:pt x="590499" y="0"/>
                  </a:moveTo>
                  <a:lnTo>
                    <a:pt x="1073892" y="0"/>
                  </a:lnTo>
                  <a:lnTo>
                    <a:pt x="1073892" y="69855"/>
                  </a:lnTo>
                  <a:lnTo>
                    <a:pt x="1406577" y="69855"/>
                  </a:lnTo>
                  <a:lnTo>
                    <a:pt x="1406577" y="127004"/>
                  </a:lnTo>
                  <a:lnTo>
                    <a:pt x="1876374" y="127004"/>
                  </a:lnTo>
                  <a:lnTo>
                    <a:pt x="1876374" y="650880"/>
                  </a:lnTo>
                  <a:lnTo>
                    <a:pt x="1876374" y="712792"/>
                  </a:lnTo>
                  <a:lnTo>
                    <a:pt x="1876374" y="861109"/>
                  </a:lnTo>
                  <a:lnTo>
                    <a:pt x="914400" y="861109"/>
                  </a:lnTo>
                  <a:lnTo>
                    <a:pt x="914400" y="650880"/>
                  </a:lnTo>
                  <a:lnTo>
                    <a:pt x="997002" y="650880"/>
                  </a:lnTo>
                  <a:lnTo>
                    <a:pt x="997002" y="541342"/>
                  </a:lnTo>
                  <a:lnTo>
                    <a:pt x="747661" y="541342"/>
                  </a:lnTo>
                  <a:lnTo>
                    <a:pt x="747661" y="638973"/>
                  </a:lnTo>
                  <a:lnTo>
                    <a:pt x="836561" y="638973"/>
                  </a:lnTo>
                  <a:lnTo>
                    <a:pt x="836561" y="861109"/>
                  </a:lnTo>
                  <a:lnTo>
                    <a:pt x="0" y="861109"/>
                  </a:lnTo>
                  <a:lnTo>
                    <a:pt x="0" y="638973"/>
                  </a:lnTo>
                  <a:lnTo>
                    <a:pt x="0" y="69855"/>
                  </a:lnTo>
                  <a:lnTo>
                    <a:pt x="590499" y="69855"/>
                  </a:lnTo>
                  <a:close/>
                </a:path>
              </a:pathLst>
            </a:cu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Freeform 19"/>
            <xdr:cNvSpPr/>
          </xdr:nvSpPr>
          <xdr:spPr>
            <a:xfrm>
              <a:off x="4471985" y="1874044"/>
              <a:ext cx="1826423" cy="807923"/>
            </a:xfrm>
            <a:custGeom>
              <a:avLst/>
              <a:gdLst>
                <a:gd name="connsiteX0" fmla="*/ 831059 w 1826423"/>
                <a:gd name="connsiteY0" fmla="*/ 0 h 807923"/>
                <a:gd name="connsiteX1" fmla="*/ 1176340 w 1826423"/>
                <a:gd name="connsiteY1" fmla="*/ 0 h 807923"/>
                <a:gd name="connsiteX2" fmla="*/ 1481142 w 1826423"/>
                <a:gd name="connsiteY2" fmla="*/ 0 h 807923"/>
                <a:gd name="connsiteX3" fmla="*/ 1826423 w 1826423"/>
                <a:gd name="connsiteY3" fmla="*/ 0 h 807923"/>
                <a:gd name="connsiteX4" fmla="*/ 1826423 w 1826423"/>
                <a:gd name="connsiteY4" fmla="*/ 807923 h 807923"/>
                <a:gd name="connsiteX5" fmla="*/ 1176340 w 1826423"/>
                <a:gd name="connsiteY5" fmla="*/ 807923 h 807923"/>
                <a:gd name="connsiteX6" fmla="*/ 1176340 w 1826423"/>
                <a:gd name="connsiteY6" fmla="*/ 715564 h 807923"/>
                <a:gd name="connsiteX7" fmla="*/ 809627 w 1826423"/>
                <a:gd name="connsiteY7" fmla="*/ 715564 h 807923"/>
                <a:gd name="connsiteX8" fmla="*/ 809627 w 1826423"/>
                <a:gd name="connsiteY8" fmla="*/ 496093 h 807923"/>
                <a:gd name="connsiteX9" fmla="*/ 650083 w 1826423"/>
                <a:gd name="connsiteY9" fmla="*/ 496093 h 807923"/>
                <a:gd name="connsiteX10" fmla="*/ 650083 w 1826423"/>
                <a:gd name="connsiteY10" fmla="*/ 586581 h 807923"/>
                <a:gd name="connsiteX11" fmla="*/ 703265 w 1826423"/>
                <a:gd name="connsiteY11" fmla="*/ 586581 h 807923"/>
                <a:gd name="connsiteX12" fmla="*/ 703265 w 1826423"/>
                <a:gd name="connsiteY12" fmla="*/ 807923 h 807923"/>
                <a:gd name="connsiteX13" fmla="*/ 1 w 1826423"/>
                <a:gd name="connsiteY13" fmla="*/ 807923 h 807923"/>
                <a:gd name="connsiteX14" fmla="*/ 1 w 1826423"/>
                <a:gd name="connsiteY14" fmla="*/ 586581 h 807923"/>
                <a:gd name="connsiteX15" fmla="*/ 0 w 1826423"/>
                <a:gd name="connsiteY15" fmla="*/ 586581 h 807923"/>
                <a:gd name="connsiteX16" fmla="*/ 0 w 1826423"/>
                <a:gd name="connsiteY16" fmla="*/ 57150 h 807923"/>
                <a:gd name="connsiteX17" fmla="*/ 650083 w 1826423"/>
                <a:gd name="connsiteY17" fmla="*/ 57150 h 807923"/>
                <a:gd name="connsiteX18" fmla="*/ 831059 w 1826423"/>
                <a:gd name="connsiteY18" fmla="*/ 57150 h 8079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826423" h="807923">
                  <a:moveTo>
                    <a:pt x="831059" y="0"/>
                  </a:moveTo>
                  <a:lnTo>
                    <a:pt x="1176340" y="0"/>
                  </a:lnTo>
                  <a:lnTo>
                    <a:pt x="1481142" y="0"/>
                  </a:lnTo>
                  <a:lnTo>
                    <a:pt x="1826423" y="0"/>
                  </a:lnTo>
                  <a:lnTo>
                    <a:pt x="1826423" y="807923"/>
                  </a:lnTo>
                  <a:lnTo>
                    <a:pt x="1176340" y="807923"/>
                  </a:lnTo>
                  <a:lnTo>
                    <a:pt x="1176340" y="715564"/>
                  </a:lnTo>
                  <a:lnTo>
                    <a:pt x="809627" y="715564"/>
                  </a:lnTo>
                  <a:lnTo>
                    <a:pt x="809627" y="496093"/>
                  </a:lnTo>
                  <a:lnTo>
                    <a:pt x="650083" y="496093"/>
                  </a:lnTo>
                  <a:lnTo>
                    <a:pt x="650083" y="586581"/>
                  </a:lnTo>
                  <a:lnTo>
                    <a:pt x="703265" y="586581"/>
                  </a:lnTo>
                  <a:lnTo>
                    <a:pt x="703265" y="807923"/>
                  </a:lnTo>
                  <a:lnTo>
                    <a:pt x="1" y="807923"/>
                  </a:lnTo>
                  <a:lnTo>
                    <a:pt x="1" y="586581"/>
                  </a:lnTo>
                  <a:lnTo>
                    <a:pt x="0" y="586581"/>
                  </a:lnTo>
                  <a:lnTo>
                    <a:pt x="0" y="57150"/>
                  </a:lnTo>
                  <a:lnTo>
                    <a:pt x="650083" y="57150"/>
                  </a:lnTo>
                  <a:lnTo>
                    <a:pt x="831059" y="57150"/>
                  </a:lnTo>
                  <a:close/>
                </a:path>
              </a:pathLst>
            </a:cu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35"/>
            <xdr:cNvSpPr txBox="1"/>
          </xdr:nvSpPr>
          <xdr:spPr>
            <a:xfrm>
              <a:off x="5065518" y="2032047"/>
              <a:ext cx="84991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C</a:t>
              </a:r>
              <a:endParaRPr lang="en-IN" b="1"/>
            </a:p>
          </xdr:txBody>
        </xdr:sp>
        <xdr:sp macro="" textlink="">
          <xdr:nvSpPr>
            <xdr:cNvPr id="22" name="TextBox 36"/>
            <xdr:cNvSpPr txBox="1"/>
          </xdr:nvSpPr>
          <xdr:spPr>
            <a:xfrm>
              <a:off x="3606043" y="2278005"/>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sp macro="" textlink="">
          <xdr:nvSpPr>
            <xdr:cNvPr id="23" name="TextBox 37"/>
            <xdr:cNvSpPr txBox="1"/>
          </xdr:nvSpPr>
          <xdr:spPr>
            <a:xfrm>
              <a:off x="1346649" y="1979555"/>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pic>
          <xdr:nvPicPr>
            <xdr:cNvPr id="24" name="Picture 2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5400000">
              <a:off x="5354203" y="99739"/>
              <a:ext cx="1080000" cy="1080000"/>
            </a:xfrm>
            <a:prstGeom prst="rect">
              <a:avLst/>
            </a:prstGeom>
          </xdr:spPr>
        </xdr:pic>
      </xdr:grpSp>
      <xdr:pic>
        <xdr:nvPicPr>
          <xdr:cNvPr id="16" name="Picture 15"/>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585014" y="4377979"/>
            <a:ext cx="3800947" cy="4141957"/>
          </a:xfrm>
          <a:prstGeom prst="rect">
            <a:avLst/>
          </a:prstGeom>
          <a:ln>
            <a:solidFill>
              <a:schemeClr val="tx1"/>
            </a:solidFill>
          </a:ln>
        </xdr:spPr>
      </xdr:pic>
    </xdr:grpSp>
    <xdr:clientData/>
  </xdr:twoCellAnchor>
  <xdr:twoCellAnchor editAs="oneCell">
    <xdr:from>
      <xdr:col>12</xdr:col>
      <xdr:colOff>647699</xdr:colOff>
      <xdr:row>5</xdr:row>
      <xdr:rowOff>193877</xdr:rowOff>
    </xdr:from>
    <xdr:to>
      <xdr:col>19</xdr:col>
      <xdr:colOff>47026</xdr:colOff>
      <xdr:row>15</xdr:row>
      <xdr:rowOff>56881</xdr:rowOff>
    </xdr:to>
    <xdr:pic>
      <xdr:nvPicPr>
        <xdr:cNvPr id="25" name="Picture 24"/>
        <xdr:cNvPicPr>
          <a:picLocks noChangeAspect="1"/>
        </xdr:cNvPicPr>
      </xdr:nvPicPr>
      <xdr:blipFill>
        <a:blip xmlns:r="http://schemas.openxmlformats.org/officeDocument/2006/relationships" r:embed="rId10"/>
        <a:stretch>
          <a:fillRect/>
        </a:stretch>
      </xdr:blipFill>
      <xdr:spPr>
        <a:xfrm>
          <a:off x="10563224" y="1575002"/>
          <a:ext cx="4561877" cy="2053754"/>
        </a:xfrm>
        <a:prstGeom prst="rect">
          <a:avLst/>
        </a:prstGeom>
      </xdr:spPr>
    </xdr:pic>
    <xdr:clientData/>
  </xdr:twoCellAnchor>
  <xdr:twoCellAnchor>
    <xdr:from>
      <xdr:col>0</xdr:col>
      <xdr:colOff>107017</xdr:colOff>
      <xdr:row>370</xdr:row>
      <xdr:rowOff>110380</xdr:rowOff>
    </xdr:from>
    <xdr:to>
      <xdr:col>7</xdr:col>
      <xdr:colOff>646488</xdr:colOff>
      <xdr:row>406</xdr:row>
      <xdr:rowOff>38101</xdr:rowOff>
    </xdr:to>
    <xdr:grpSp>
      <xdr:nvGrpSpPr>
        <xdr:cNvPr id="36" name="Group 35"/>
        <xdr:cNvGrpSpPr/>
      </xdr:nvGrpSpPr>
      <xdr:grpSpPr>
        <a:xfrm>
          <a:off x="107017" y="77643880"/>
          <a:ext cx="6121121" cy="7119096"/>
          <a:chOff x="78442" y="77634355"/>
          <a:chExt cx="6121121" cy="7119096"/>
        </a:xfrm>
      </xdr:grpSpPr>
      <xdr:grpSp>
        <xdr:nvGrpSpPr>
          <xdr:cNvPr id="26" name="Group 25"/>
          <xdr:cNvGrpSpPr/>
        </xdr:nvGrpSpPr>
        <xdr:grpSpPr>
          <a:xfrm>
            <a:off x="78442" y="77634355"/>
            <a:ext cx="6121121" cy="7119096"/>
            <a:chOff x="178158" y="1"/>
            <a:chExt cx="6501684" cy="7176730"/>
          </a:xfrm>
        </xdr:grpSpPr>
        <xdr:pic>
          <xdr:nvPicPr>
            <xdr:cNvPr id="42" name="Picture 4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723768" y="2279743"/>
              <a:ext cx="3795607" cy="2737151"/>
            </a:xfrm>
            <a:prstGeom prst="rect">
              <a:avLst/>
            </a:prstGeom>
            <a:ln>
              <a:solidFill>
                <a:schemeClr val="tx1"/>
              </a:solidFill>
            </a:ln>
          </xdr:spPr>
        </xdr:pic>
        <xdr:grpSp>
          <xdr:nvGrpSpPr>
            <xdr:cNvPr id="28" name="Group 27"/>
            <xdr:cNvGrpSpPr/>
          </xdr:nvGrpSpPr>
          <xdr:grpSpPr>
            <a:xfrm>
              <a:off x="178158" y="1"/>
              <a:ext cx="6501684" cy="2202836"/>
              <a:chOff x="0" y="1"/>
              <a:chExt cx="6501684" cy="2202836"/>
            </a:xfrm>
          </xdr:grpSpPr>
          <xdr:pic>
            <xdr:nvPicPr>
              <xdr:cNvPr id="40" name="Picture 3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97684" y="1"/>
                <a:ext cx="3204000" cy="2202836"/>
              </a:xfrm>
              <a:prstGeom prst="rect">
                <a:avLst/>
              </a:prstGeom>
              <a:ln>
                <a:solidFill>
                  <a:schemeClr val="tx1"/>
                </a:solidFill>
              </a:ln>
            </xdr:spPr>
          </xdr:pic>
          <xdr:grpSp>
            <xdr:nvGrpSpPr>
              <xdr:cNvPr id="37" name="Group 36"/>
              <xdr:cNvGrpSpPr/>
            </xdr:nvGrpSpPr>
            <xdr:grpSpPr>
              <a:xfrm>
                <a:off x="0" y="1"/>
                <a:ext cx="3204000" cy="2202836"/>
                <a:chOff x="9476030" y="3167377"/>
                <a:chExt cx="4480000" cy="2202836"/>
              </a:xfrm>
            </xdr:grpSpPr>
            <xdr:pic>
              <xdr:nvPicPr>
                <xdr:cNvPr id="38" name="Picture 3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76030" y="3167377"/>
                  <a:ext cx="4480000" cy="2202836"/>
                </a:xfrm>
                <a:prstGeom prst="rect">
                  <a:avLst/>
                </a:prstGeom>
                <a:ln>
                  <a:solidFill>
                    <a:schemeClr val="tx1"/>
                  </a:solidFill>
                </a:ln>
              </xdr:spPr>
            </xdr:pic>
            <xdr:sp macro="" textlink="">
              <xdr:nvSpPr>
                <xdr:cNvPr id="39" name="TextBox 17"/>
                <xdr:cNvSpPr txBox="1"/>
              </xdr:nvSpPr>
              <xdr:spPr>
                <a:xfrm>
                  <a:off x="11291074" y="3278784"/>
                  <a:ext cx="1394802"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grpSp>
          <xdr:nvGrpSpPr>
            <xdr:cNvPr id="29" name="Group 28"/>
            <xdr:cNvGrpSpPr/>
          </xdr:nvGrpSpPr>
          <xdr:grpSpPr>
            <a:xfrm>
              <a:off x="519758" y="5102675"/>
              <a:ext cx="5907888" cy="2074056"/>
              <a:chOff x="135592" y="3823211"/>
              <a:chExt cx="5907888" cy="2074056"/>
            </a:xfrm>
          </xdr:grpSpPr>
          <xdr:pic>
            <xdr:nvPicPr>
              <xdr:cNvPr id="34" name="Picture 3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102314" y="3823211"/>
                <a:ext cx="2941166" cy="2074056"/>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5592" y="3832334"/>
                <a:ext cx="2863167" cy="2064932"/>
              </a:xfrm>
              <a:prstGeom prst="rect">
                <a:avLst/>
              </a:prstGeom>
              <a:ln>
                <a:solidFill>
                  <a:schemeClr val="tx1"/>
                </a:solidFill>
              </a:ln>
            </xdr:spPr>
          </xdr:pic>
        </xdr:grpSp>
      </xdr:grpSp>
      <xdr:pic>
        <xdr:nvPicPr>
          <xdr:cNvPr id="44" name="Picture 43"/>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333375" y="79895698"/>
            <a:ext cx="2045014" cy="2726685"/>
          </a:xfrm>
          <a:prstGeom prst="rect">
            <a:avLst/>
          </a:prstGeom>
          <a:ln>
            <a:solidFill>
              <a:schemeClr val="tx1"/>
            </a:solidFill>
          </a:ln>
        </xdr:spPr>
      </xdr:pic>
    </xdr:grpSp>
    <xdr:clientData/>
  </xdr:twoCellAnchor>
  <xdr:twoCellAnchor>
    <xdr:from>
      <xdr:col>1</xdr:col>
      <xdr:colOff>57150</xdr:colOff>
      <xdr:row>458</xdr:row>
      <xdr:rowOff>123825</xdr:rowOff>
    </xdr:from>
    <xdr:to>
      <xdr:col>6</xdr:col>
      <xdr:colOff>650925</xdr:colOff>
      <xdr:row>499</xdr:row>
      <xdr:rowOff>10300</xdr:rowOff>
    </xdr:to>
    <xdr:grpSp>
      <xdr:nvGrpSpPr>
        <xdr:cNvPr id="45" name="Group 44"/>
        <xdr:cNvGrpSpPr/>
      </xdr:nvGrpSpPr>
      <xdr:grpSpPr>
        <a:xfrm>
          <a:off x="819150" y="95250000"/>
          <a:ext cx="4680000" cy="8087500"/>
          <a:chOff x="819150" y="98456461"/>
          <a:chExt cx="4680866" cy="8407021"/>
        </a:xfrm>
      </xdr:grpSpPr>
      <xdr:grpSp>
        <xdr:nvGrpSpPr>
          <xdr:cNvPr id="5" name="Group 4"/>
          <xdr:cNvGrpSpPr/>
        </xdr:nvGrpSpPr>
        <xdr:grpSpPr>
          <a:xfrm>
            <a:off x="819150" y="98456461"/>
            <a:ext cx="4680866" cy="8407021"/>
            <a:chOff x="1089000" y="59249"/>
            <a:chExt cx="4680000" cy="8087500"/>
          </a:xfrm>
        </xdr:grpSpPr>
        <xdr:pic>
          <xdr:nvPicPr>
            <xdr:cNvPr id="6" name="Picture 5"/>
            <xdr:cNvPicPr>
              <a:picLocks noChangeAspect="1"/>
            </xdr:cNvPicPr>
          </xdr:nvPicPr>
          <xdr:blipFill rotWithShape="1">
            <a:blip xmlns:r="http://schemas.openxmlformats.org/officeDocument/2006/relationships" r:embed="rId17"/>
            <a:srcRect l="42967" t="27073" r="8731" b="11022"/>
            <a:stretch/>
          </xdr:blipFill>
          <xdr:spPr>
            <a:xfrm>
              <a:off x="1089000" y="59249"/>
              <a:ext cx="4680000" cy="3960000"/>
            </a:xfrm>
            <a:prstGeom prst="rect">
              <a:avLst/>
            </a:prstGeom>
            <a:ln>
              <a:solidFill>
                <a:schemeClr val="tx1"/>
              </a:solidFill>
            </a:ln>
          </xdr:spPr>
        </xdr:pic>
        <xdr:grpSp>
          <xdr:nvGrpSpPr>
            <xdr:cNvPr id="7" name="Group 6"/>
            <xdr:cNvGrpSpPr/>
          </xdr:nvGrpSpPr>
          <xdr:grpSpPr>
            <a:xfrm>
              <a:off x="1089000" y="4186749"/>
              <a:ext cx="4680000" cy="3960000"/>
              <a:chOff x="983519" y="4186749"/>
              <a:chExt cx="4680000" cy="3960000"/>
            </a:xfrm>
          </xdr:grpSpPr>
          <xdr:pic>
            <xdr:nvPicPr>
              <xdr:cNvPr id="8" name="Picture 7"/>
              <xdr:cNvPicPr>
                <a:picLocks noChangeAspect="1"/>
              </xdr:cNvPicPr>
            </xdr:nvPicPr>
            <xdr:blipFill rotWithShape="1">
              <a:blip xmlns:r="http://schemas.openxmlformats.org/officeDocument/2006/relationships" r:embed="rId18"/>
              <a:srcRect l="30004" t="18850" r="18682" b="15278"/>
              <a:stretch/>
            </xdr:blipFill>
            <xdr:spPr>
              <a:xfrm>
                <a:off x="983519" y="4186749"/>
                <a:ext cx="4680000" cy="3960000"/>
              </a:xfrm>
              <a:prstGeom prst="rect">
                <a:avLst/>
              </a:prstGeom>
              <a:ln>
                <a:solidFill>
                  <a:schemeClr val="tx1"/>
                </a:solidFill>
              </a:ln>
            </xdr:spPr>
          </xdr:pic>
          <xdr:sp macro="" textlink="">
            <xdr:nvSpPr>
              <xdr:cNvPr id="10" name="TextBox 40"/>
              <xdr:cNvSpPr txBox="1"/>
            </xdr:nvSpPr>
            <xdr:spPr>
              <a:xfrm rot="18056838">
                <a:off x="2584449" y="6393300"/>
                <a:ext cx="148412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Queens Glory</a:t>
                </a:r>
                <a:endParaRPr lang="en-IN" b="1">
                  <a:solidFill>
                    <a:srgbClr val="FFFF00"/>
                  </a:solidFill>
                </a:endParaRPr>
              </a:p>
            </xdr:txBody>
          </xdr:sp>
        </xdr:grpSp>
      </xdr:grpSp>
      <xdr:sp macro="" textlink="">
        <xdr:nvSpPr>
          <xdr:cNvPr id="41" name="Freeform 40"/>
          <xdr:cNvSpPr/>
        </xdr:nvSpPr>
        <xdr:spPr>
          <a:xfrm>
            <a:off x="2034886" y="103670966"/>
            <a:ext cx="1737880" cy="2333625"/>
          </a:xfrm>
          <a:custGeom>
            <a:avLst/>
            <a:gdLst>
              <a:gd name="connsiteX0" fmla="*/ 0 w 1733550"/>
              <a:gd name="connsiteY0" fmla="*/ 2066925 h 2247900"/>
              <a:gd name="connsiteX1" fmla="*/ 66675 w 1733550"/>
              <a:gd name="connsiteY1" fmla="*/ 1485900 h 2247900"/>
              <a:gd name="connsiteX2" fmla="*/ 209550 w 1733550"/>
              <a:gd name="connsiteY2" fmla="*/ 1466850 h 2247900"/>
              <a:gd name="connsiteX3" fmla="*/ 1276350 w 1733550"/>
              <a:gd name="connsiteY3" fmla="*/ 0 h 2247900"/>
              <a:gd name="connsiteX4" fmla="*/ 1733550 w 1733550"/>
              <a:gd name="connsiteY4" fmla="*/ 276225 h 2247900"/>
              <a:gd name="connsiteX5" fmla="*/ 723900 w 1733550"/>
              <a:gd name="connsiteY5" fmla="*/ 1866900 h 2247900"/>
              <a:gd name="connsiteX6" fmla="*/ 495300 w 1733550"/>
              <a:gd name="connsiteY6" fmla="*/ 2247900 h 2247900"/>
              <a:gd name="connsiteX7" fmla="*/ 0 w 1733550"/>
              <a:gd name="connsiteY7" fmla="*/ 2066925 h 2247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733550" h="2247900">
                <a:moveTo>
                  <a:pt x="0" y="2066925"/>
                </a:moveTo>
                <a:lnTo>
                  <a:pt x="66675" y="1485900"/>
                </a:lnTo>
                <a:lnTo>
                  <a:pt x="209550" y="1466850"/>
                </a:lnTo>
                <a:lnTo>
                  <a:pt x="1276350" y="0"/>
                </a:lnTo>
                <a:lnTo>
                  <a:pt x="1733550" y="276225"/>
                </a:lnTo>
                <a:lnTo>
                  <a:pt x="723900" y="1866900"/>
                </a:lnTo>
                <a:lnTo>
                  <a:pt x="495300" y="2247900"/>
                </a:lnTo>
                <a:lnTo>
                  <a:pt x="0" y="206692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11</xdr:col>
      <xdr:colOff>417419</xdr:colOff>
      <xdr:row>6</xdr:row>
      <xdr:rowOff>145957</xdr:rowOff>
    </xdr:from>
    <xdr:to>
      <xdr:col>21</xdr:col>
      <xdr:colOff>48185</xdr:colOff>
      <xdr:row>23</xdr:row>
      <xdr:rowOff>126907</xdr:rowOff>
    </xdr:to>
    <xdr:pic>
      <xdr:nvPicPr>
        <xdr:cNvPr id="3" name="Picture 2"/>
        <xdr:cNvPicPr>
          <a:picLocks noChangeAspect="1"/>
        </xdr:cNvPicPr>
      </xdr:nvPicPr>
      <xdr:blipFill>
        <a:blip xmlns:r="http://schemas.openxmlformats.org/officeDocument/2006/relationships" r:embed="rId2"/>
        <a:stretch>
          <a:fillRect/>
        </a:stretch>
      </xdr:blipFill>
      <xdr:spPr>
        <a:xfrm>
          <a:off x="11578478" y="1300163"/>
          <a:ext cx="5457825" cy="3219450"/>
        </a:xfrm>
        <a:prstGeom prst="rect">
          <a:avLst/>
        </a:prstGeom>
      </xdr:spPr>
    </xdr:pic>
    <xdr:clientData/>
  </xdr:twoCellAnchor>
  <xdr:twoCellAnchor editAs="oneCell">
    <xdr:from>
      <xdr:col>5</xdr:col>
      <xdr:colOff>359150</xdr:colOff>
      <xdr:row>0</xdr:row>
      <xdr:rowOff>0</xdr:rowOff>
    </xdr:from>
    <xdr:to>
      <xdr:col>14</xdr:col>
      <xdr:colOff>330575</xdr:colOff>
      <xdr:row>19</xdr:row>
      <xdr:rowOff>131669</xdr:rowOff>
    </xdr:to>
    <xdr:pic>
      <xdr:nvPicPr>
        <xdr:cNvPr id="4" name="Picture 3"/>
        <xdr:cNvPicPr>
          <a:picLocks noChangeAspect="1"/>
        </xdr:cNvPicPr>
      </xdr:nvPicPr>
      <xdr:blipFill>
        <a:blip xmlns:r="http://schemas.openxmlformats.org/officeDocument/2006/relationships" r:embed="rId3"/>
        <a:stretch>
          <a:fillRect/>
        </a:stretch>
      </xdr:blipFill>
      <xdr:spPr>
        <a:xfrm>
          <a:off x="6410326" y="0"/>
          <a:ext cx="6829425" cy="3762375"/>
        </a:xfrm>
        <a:prstGeom prst="rect">
          <a:avLst/>
        </a:prstGeom>
      </xdr:spPr>
    </xdr:pic>
    <xdr:clientData/>
  </xdr:twoCellAnchor>
  <xdr:twoCellAnchor editAs="oneCell">
    <xdr:from>
      <xdr:col>5</xdr:col>
      <xdr:colOff>503984</xdr:colOff>
      <xdr:row>23</xdr:row>
      <xdr:rowOff>107578</xdr:rowOff>
    </xdr:from>
    <xdr:to>
      <xdr:col>15</xdr:col>
      <xdr:colOff>454678</xdr:colOff>
      <xdr:row>42</xdr:row>
      <xdr:rowOff>98053</xdr:rowOff>
    </xdr:to>
    <xdr:pic>
      <xdr:nvPicPr>
        <xdr:cNvPr id="5" name="Picture 4"/>
        <xdr:cNvPicPr>
          <a:picLocks noChangeAspect="1"/>
        </xdr:cNvPicPr>
      </xdr:nvPicPr>
      <xdr:blipFill>
        <a:blip xmlns:r="http://schemas.openxmlformats.org/officeDocument/2006/relationships" r:embed="rId4"/>
        <a:stretch>
          <a:fillRect/>
        </a:stretch>
      </xdr:blipFill>
      <xdr:spPr>
        <a:xfrm>
          <a:off x="6555160" y="4500284"/>
          <a:ext cx="7391400" cy="3609975"/>
        </a:xfrm>
        <a:prstGeom prst="rect">
          <a:avLst/>
        </a:prstGeom>
      </xdr:spPr>
    </xdr:pic>
    <xdr:clientData/>
  </xdr:twoCellAnchor>
  <xdr:twoCellAnchor editAs="oneCell">
    <xdr:from>
      <xdr:col>7</xdr:col>
      <xdr:colOff>414617</xdr:colOff>
      <xdr:row>44</xdr:row>
      <xdr:rowOff>14848</xdr:rowOff>
    </xdr:from>
    <xdr:to>
      <xdr:col>19</xdr:col>
      <xdr:colOff>364751</xdr:colOff>
      <xdr:row>61</xdr:row>
      <xdr:rowOff>33898</xdr:rowOff>
    </xdr:to>
    <xdr:pic>
      <xdr:nvPicPr>
        <xdr:cNvPr id="6" name="Picture 5"/>
        <xdr:cNvPicPr>
          <a:picLocks noChangeAspect="1"/>
        </xdr:cNvPicPr>
      </xdr:nvPicPr>
      <xdr:blipFill>
        <a:blip xmlns:r="http://schemas.openxmlformats.org/officeDocument/2006/relationships" r:embed="rId5"/>
        <a:stretch>
          <a:fillRect/>
        </a:stretch>
      </xdr:blipFill>
      <xdr:spPr>
        <a:xfrm>
          <a:off x="8729382" y="8408054"/>
          <a:ext cx="7458075" cy="3257550"/>
        </a:xfrm>
        <a:prstGeom prst="rect">
          <a:avLst/>
        </a:prstGeom>
      </xdr:spPr>
    </xdr:pic>
    <xdr:clientData/>
  </xdr:twoCellAnchor>
  <xdr:twoCellAnchor editAs="oneCell">
    <xdr:from>
      <xdr:col>0</xdr:col>
      <xdr:colOff>123265</xdr:colOff>
      <xdr:row>45</xdr:row>
      <xdr:rowOff>86286</xdr:rowOff>
    </xdr:from>
    <xdr:to>
      <xdr:col>6</xdr:col>
      <xdr:colOff>285750</xdr:colOff>
      <xdr:row>69</xdr:row>
      <xdr:rowOff>152961</xdr:rowOff>
    </xdr:to>
    <xdr:pic>
      <xdr:nvPicPr>
        <xdr:cNvPr id="7" name="Picture 6"/>
        <xdr:cNvPicPr>
          <a:picLocks noChangeAspect="1"/>
        </xdr:cNvPicPr>
      </xdr:nvPicPr>
      <xdr:blipFill>
        <a:blip xmlns:r="http://schemas.openxmlformats.org/officeDocument/2006/relationships" r:embed="rId6"/>
        <a:stretch>
          <a:fillRect/>
        </a:stretch>
      </xdr:blipFill>
      <xdr:spPr>
        <a:xfrm>
          <a:off x="123265" y="8669992"/>
          <a:ext cx="7143750" cy="4638675"/>
        </a:xfrm>
        <a:prstGeom prst="rect">
          <a:avLst/>
        </a:prstGeom>
      </xdr:spPr>
    </xdr:pic>
    <xdr:clientData/>
  </xdr:twoCellAnchor>
  <xdr:twoCellAnchor editAs="oneCell">
    <xdr:from>
      <xdr:col>0</xdr:col>
      <xdr:colOff>510989</xdr:colOff>
      <xdr:row>19</xdr:row>
      <xdr:rowOff>123264</xdr:rowOff>
    </xdr:from>
    <xdr:to>
      <xdr:col>6</xdr:col>
      <xdr:colOff>301999</xdr:colOff>
      <xdr:row>46</xdr:row>
      <xdr:rowOff>37539</xdr:rowOff>
    </xdr:to>
    <xdr:pic>
      <xdr:nvPicPr>
        <xdr:cNvPr id="8" name="Picture 7"/>
        <xdr:cNvPicPr>
          <a:picLocks noChangeAspect="1"/>
        </xdr:cNvPicPr>
      </xdr:nvPicPr>
      <xdr:blipFill>
        <a:blip xmlns:r="http://schemas.openxmlformats.org/officeDocument/2006/relationships" r:embed="rId7"/>
        <a:stretch>
          <a:fillRect/>
        </a:stretch>
      </xdr:blipFill>
      <xdr:spPr>
        <a:xfrm>
          <a:off x="510989" y="3753970"/>
          <a:ext cx="6772275" cy="5057775"/>
        </a:xfrm>
        <a:prstGeom prst="rect">
          <a:avLst/>
        </a:prstGeom>
      </xdr:spPr>
    </xdr:pic>
    <xdr:clientData/>
  </xdr:twoCellAnchor>
  <xdr:twoCellAnchor editAs="oneCell">
    <xdr:from>
      <xdr:col>1</xdr:col>
      <xdr:colOff>578224</xdr:colOff>
      <xdr:row>5</xdr:row>
      <xdr:rowOff>100852</xdr:rowOff>
    </xdr:from>
    <xdr:to>
      <xdr:col>5</xdr:col>
      <xdr:colOff>567579</xdr:colOff>
      <xdr:row>22</xdr:row>
      <xdr:rowOff>81802</xdr:rowOff>
    </xdr:to>
    <xdr:pic>
      <xdr:nvPicPr>
        <xdr:cNvPr id="9" name="Picture 8"/>
        <xdr:cNvPicPr>
          <a:picLocks noChangeAspect="1"/>
        </xdr:cNvPicPr>
      </xdr:nvPicPr>
      <xdr:blipFill>
        <a:blip xmlns:r="http://schemas.openxmlformats.org/officeDocument/2006/relationships" r:embed="rId2"/>
        <a:stretch>
          <a:fillRect/>
        </a:stretch>
      </xdr:blipFill>
      <xdr:spPr>
        <a:xfrm>
          <a:off x="1160930" y="1064558"/>
          <a:ext cx="5457825" cy="3219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99acres.com/vaibhavlaxmi-queens-glory-chembur-central-mumbai-npxid-r433797" TargetMode="External"/><Relationship Id="rId1" Type="http://schemas.openxmlformats.org/officeDocument/2006/relationships/hyperlink" Target="https://maps.app.goo.gl/eUrsZo5eVNKKLNdU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58"/>
  <sheetViews>
    <sheetView tabSelected="1" view="pageBreakPreview" zoomScaleNormal="100" zoomScaleSheetLayoutView="100" zoomScalePageLayoutView="85" workbookViewId="0">
      <selection activeCell="K438" sqref="K438"/>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84" t="s">
        <v>369</v>
      </c>
      <c r="B1" s="184"/>
      <c r="C1" s="184"/>
      <c r="D1" s="184"/>
      <c r="E1" s="184"/>
      <c r="F1" s="184"/>
      <c r="G1" s="184"/>
      <c r="H1" s="184"/>
    </row>
    <row r="2" spans="1:26" ht="16.5" customHeight="1" x14ac:dyDescent="0.25">
      <c r="A2" s="185" t="s">
        <v>0</v>
      </c>
      <c r="B2" s="185"/>
      <c r="C2" s="185"/>
      <c r="D2" s="185"/>
      <c r="E2" s="185"/>
      <c r="F2" s="185"/>
      <c r="G2" s="185"/>
      <c r="H2" s="185"/>
    </row>
    <row r="3" spans="1:26" x14ac:dyDescent="0.25">
      <c r="A3" s="156" t="s">
        <v>1</v>
      </c>
      <c r="B3" s="156"/>
      <c r="C3" s="156"/>
      <c r="D3" s="156"/>
      <c r="E3" s="156" t="str">
        <f ca="1">TEXT(TODAY(),"DD/MM/YYYY")</f>
        <v>25/07/2025</v>
      </c>
      <c r="F3" s="156"/>
      <c r="G3" s="156"/>
      <c r="H3" s="156"/>
      <c r="K3" s="53" t="s">
        <v>229</v>
      </c>
      <c r="L3" s="52" t="s">
        <v>227</v>
      </c>
      <c r="M3" s="52" t="s">
        <v>232</v>
      </c>
      <c r="N3" s="52" t="s">
        <v>230</v>
      </c>
      <c r="O3" s="52" t="s">
        <v>347</v>
      </c>
      <c r="P3" s="52" t="s">
        <v>372</v>
      </c>
    </row>
    <row r="4" spans="1:26" ht="15" customHeight="1" x14ac:dyDescent="0.25">
      <c r="A4" s="156" t="s">
        <v>226</v>
      </c>
      <c r="B4" s="156"/>
      <c r="C4" s="156"/>
      <c r="D4" s="156"/>
      <c r="E4" s="156" t="s">
        <v>227</v>
      </c>
      <c r="F4" s="156"/>
      <c r="G4" s="156"/>
      <c r="H4" s="156"/>
      <c r="K4" s="51" t="s">
        <v>228</v>
      </c>
      <c r="L4" s="52" t="s">
        <v>163</v>
      </c>
      <c r="M4" s="52" t="s">
        <v>237</v>
      </c>
      <c r="N4" s="52" t="s">
        <v>239</v>
      </c>
      <c r="O4" s="52" t="s">
        <v>333</v>
      </c>
      <c r="P4" s="52" t="s">
        <v>373</v>
      </c>
    </row>
    <row r="5" spans="1:26" ht="15" customHeight="1" x14ac:dyDescent="0.25">
      <c r="A5" s="156" t="s">
        <v>2</v>
      </c>
      <c r="B5" s="156"/>
      <c r="C5" s="156"/>
      <c r="D5" s="156"/>
      <c r="E5" s="156" t="s">
        <v>234</v>
      </c>
      <c r="F5" s="156"/>
      <c r="G5" s="156"/>
      <c r="H5" s="156"/>
      <c r="K5" s="51"/>
      <c r="L5" s="52" t="s">
        <v>234</v>
      </c>
      <c r="M5" s="52" t="s">
        <v>238</v>
      </c>
      <c r="N5" s="52" t="s">
        <v>240</v>
      </c>
      <c r="O5" s="52" t="s">
        <v>334</v>
      </c>
      <c r="P5" s="52"/>
    </row>
    <row r="6" spans="1:26" x14ac:dyDescent="0.25">
      <c r="A6" s="188" t="s">
        <v>3</v>
      </c>
      <c r="B6" s="188"/>
      <c r="C6" s="188"/>
      <c r="D6" s="188"/>
      <c r="E6" s="189">
        <v>45862</v>
      </c>
      <c r="F6" s="156"/>
      <c r="G6" s="156"/>
      <c r="H6" s="156"/>
      <c r="K6" s="51"/>
      <c r="L6" s="52" t="s">
        <v>235</v>
      </c>
      <c r="M6" s="52" t="s">
        <v>345</v>
      </c>
      <c r="N6" s="52"/>
      <c r="O6" s="52" t="s">
        <v>335</v>
      </c>
      <c r="P6" s="52"/>
    </row>
    <row r="7" spans="1:26" ht="16.5" customHeight="1" x14ac:dyDescent="0.25">
      <c r="A7" s="156" t="s">
        <v>4</v>
      </c>
      <c r="B7" s="156"/>
      <c r="C7" s="156"/>
      <c r="D7" s="156"/>
      <c r="E7" s="190" t="s">
        <v>436</v>
      </c>
      <c r="F7" s="156"/>
      <c r="G7" s="156"/>
      <c r="H7" s="156"/>
      <c r="K7" s="51"/>
      <c r="L7" s="52" t="s">
        <v>236</v>
      </c>
      <c r="M7" s="52"/>
      <c r="N7" s="52"/>
      <c r="O7" s="52" t="s">
        <v>335</v>
      </c>
      <c r="P7" s="52"/>
    </row>
    <row r="8" spans="1:26" ht="15" customHeight="1" x14ac:dyDescent="0.25">
      <c r="A8" s="156" t="s">
        <v>5</v>
      </c>
      <c r="B8" s="156"/>
      <c r="C8" s="156"/>
      <c r="D8" s="156"/>
      <c r="E8" s="156" t="str">
        <f>E7</f>
        <v>M/s. Vaibhavlaxmi Builders and Developers</v>
      </c>
      <c r="F8" s="156"/>
      <c r="G8" s="156"/>
      <c r="H8" s="156"/>
      <c r="K8" s="51"/>
      <c r="L8" s="52"/>
      <c r="M8" s="52"/>
      <c r="N8" s="52"/>
      <c r="O8" s="52" t="s">
        <v>336</v>
      </c>
      <c r="P8" s="52"/>
    </row>
    <row r="9" spans="1:26" x14ac:dyDescent="0.25">
      <c r="A9" s="156" t="s">
        <v>6</v>
      </c>
      <c r="B9" s="156"/>
      <c r="C9" s="156"/>
      <c r="D9" s="156"/>
      <c r="E9" s="186" t="s">
        <v>378</v>
      </c>
      <c r="F9" s="187"/>
      <c r="G9" s="187"/>
      <c r="H9" s="187"/>
      <c r="K9" s="51"/>
      <c r="L9" s="52"/>
      <c r="M9" s="52"/>
      <c r="N9" s="52"/>
      <c r="O9" s="52" t="s">
        <v>337</v>
      </c>
      <c r="P9" s="52"/>
    </row>
    <row r="10" spans="1:26" x14ac:dyDescent="0.25">
      <c r="A10" s="156" t="s">
        <v>160</v>
      </c>
      <c r="B10" s="156"/>
      <c r="C10" s="156"/>
      <c r="D10" s="156"/>
      <c r="E10" s="156" t="s">
        <v>379</v>
      </c>
      <c r="F10" s="156"/>
      <c r="G10" s="156"/>
      <c r="H10" s="156"/>
      <c r="K10" s="51"/>
      <c r="L10" s="52"/>
      <c r="M10" s="52"/>
      <c r="N10" s="52"/>
      <c r="O10" s="52" t="s">
        <v>338</v>
      </c>
      <c r="P10" s="52"/>
    </row>
    <row r="11" spans="1:26" x14ac:dyDescent="0.25">
      <c r="A11" s="188" t="s">
        <v>161</v>
      </c>
      <c r="B11" s="188"/>
      <c r="C11" s="188"/>
      <c r="D11" s="188"/>
      <c r="E11" s="156" t="s">
        <v>453</v>
      </c>
      <c r="F11" s="156"/>
      <c r="G11" s="156"/>
      <c r="H11" s="156"/>
      <c r="O11" s="52" t="s">
        <v>339</v>
      </c>
    </row>
    <row r="12" spans="1:26" x14ac:dyDescent="0.25">
      <c r="A12" s="156" t="s">
        <v>7</v>
      </c>
      <c r="B12" s="156"/>
      <c r="C12" s="156"/>
      <c r="D12" s="156"/>
      <c r="E12" s="156" t="s">
        <v>380</v>
      </c>
      <c r="F12" s="156"/>
      <c r="G12" s="156"/>
      <c r="H12" s="156"/>
    </row>
    <row r="13" spans="1:26" ht="30.75" customHeight="1" x14ac:dyDescent="0.25">
      <c r="A13" s="156" t="s">
        <v>164</v>
      </c>
      <c r="B13" s="156"/>
      <c r="C13" s="156"/>
      <c r="D13" s="156"/>
      <c r="E13" s="190" t="s">
        <v>437</v>
      </c>
      <c r="F13" s="190"/>
      <c r="G13" s="190"/>
      <c r="H13" s="190"/>
      <c r="S13" s="52" t="s">
        <v>172</v>
      </c>
      <c r="T13" s="52" t="s">
        <v>181</v>
      </c>
      <c r="U13" s="52" t="s">
        <v>165</v>
      </c>
      <c r="V13" s="52" t="s">
        <v>186</v>
      </c>
      <c r="W13" s="52" t="s">
        <v>204</v>
      </c>
      <c r="X13"/>
      <c r="Y13" t="s">
        <v>186</v>
      </c>
      <c r="Z13" t="e">
        <f ca="1">OFFSET($S$13,1,MATCH($G20,$S$13:$W$13,0)-1,15,1)</f>
        <v>#VALUE!</v>
      </c>
    </row>
    <row r="14" spans="1:26" x14ac:dyDescent="0.25">
      <c r="A14" s="191" t="s">
        <v>272</v>
      </c>
      <c r="B14" s="191"/>
      <c r="C14" s="191"/>
      <c r="D14" s="191"/>
      <c r="E14" s="190" t="s">
        <v>464</v>
      </c>
      <c r="F14" s="190"/>
      <c r="G14" s="190"/>
      <c r="H14" s="190"/>
      <c r="I14" s="20" t="s">
        <v>463</v>
      </c>
      <c r="S14" s="52" t="s">
        <v>172</v>
      </c>
      <c r="T14" s="52" t="s">
        <v>179</v>
      </c>
      <c r="U14" s="52" t="s">
        <v>201</v>
      </c>
      <c r="V14" s="52" t="s">
        <v>187</v>
      </c>
      <c r="W14" s="52" t="s">
        <v>205</v>
      </c>
      <c r="X14"/>
      <c r="Y14"/>
      <c r="Z14"/>
    </row>
    <row r="15" spans="1:26" x14ac:dyDescent="0.25">
      <c r="A15" s="150" t="s">
        <v>8</v>
      </c>
      <c r="B15" s="150"/>
      <c r="C15" s="150"/>
      <c r="D15" s="150"/>
      <c r="E15" s="190" t="s">
        <v>381</v>
      </c>
      <c r="F15" s="156"/>
      <c r="G15" s="156"/>
      <c r="H15" s="156"/>
      <c r="I15" s="146" t="e">
        <f ca="1">OFFSET($D$5,1,MATCH($J13,$D$5:$H$5,0)-1,15,1)</f>
        <v>#N/A</v>
      </c>
      <c r="J15" s="147"/>
      <c r="K15" s="147"/>
      <c r="L15" s="147"/>
      <c r="M15" s="147"/>
      <c r="N15" s="147"/>
      <c r="O15" s="147"/>
      <c r="P15" s="147"/>
      <c r="S15" s="52" t="s">
        <v>173</v>
      </c>
      <c r="T15" s="52" t="s">
        <v>180</v>
      </c>
      <c r="U15" s="52" t="s">
        <v>202</v>
      </c>
      <c r="V15" s="52" t="s">
        <v>188</v>
      </c>
      <c r="W15" s="52" t="s">
        <v>218</v>
      </c>
      <c r="X15"/>
      <c r="Y15"/>
      <c r="Z15"/>
    </row>
    <row r="16" spans="1:26" ht="48.75" customHeight="1" x14ac:dyDescent="0.25">
      <c r="A16" s="155" t="s">
        <v>9</v>
      </c>
      <c r="B16" s="155"/>
      <c r="C16" s="155" t="str">
        <f>CONCATENATE((IF(OR(E9="",E9="NA"),"",E9)),", ",(IF(OR(A17="",A17="NA"),"",A17)),".",(IF(OR(C17="",C17="NA"),"",C17)),", near ",(IF(OR(C22="",C22="NA"),"",C22)),", ",(IF(OR(C19="",C19="NA"),"",C19)),", ",(IF(OR(C18="",C18="NA"),"",C18)),", ",(IF(OR(G19="",G19="NA"),"",G19)),", ",(IF(OR(C20="",C20="NA"),"",C20)),", ",(IF(OR(C21="",C21="NA"),"",C21)),", ",(IF(OR(G20="",G20="NA"),"",G20))," - ",(IF(OR(G21="",G21="NA"),"",G21)),".")</f>
        <v>Queens Glory, CTS No.831 (Pt), Redevelopment of "Meghdoot C.H.S. LTD &amp; Office Building No. 6", near Om Sai Nandadeep CHS, Subhash Nagar Road, Subhash Nagar, Chembur, Chembur West, Kurla, Mumbai - 400071.</v>
      </c>
      <c r="D16" s="155"/>
      <c r="E16" s="155"/>
      <c r="F16" s="155"/>
      <c r="G16" s="155"/>
      <c r="H16" s="155"/>
      <c r="S16" s="52" t="s">
        <v>174</v>
      </c>
      <c r="T16" s="52" t="s">
        <v>182</v>
      </c>
      <c r="U16" s="52" t="s">
        <v>203</v>
      </c>
      <c r="V16" s="52" t="s">
        <v>189</v>
      </c>
      <c r="W16" s="52" t="s">
        <v>206</v>
      </c>
      <c r="X16"/>
      <c r="Y16"/>
      <c r="Z16"/>
    </row>
    <row r="17" spans="1:26" x14ac:dyDescent="0.25">
      <c r="A17" s="190" t="s">
        <v>169</v>
      </c>
      <c r="B17" s="190"/>
      <c r="C17" s="190" t="s">
        <v>438</v>
      </c>
      <c r="D17" s="190"/>
      <c r="E17" s="190"/>
      <c r="F17" s="190"/>
      <c r="G17" s="190"/>
      <c r="H17" s="190"/>
      <c r="S17" s="52" t="s">
        <v>175</v>
      </c>
      <c r="T17" s="52" t="s">
        <v>183</v>
      </c>
      <c r="U17" s="52" t="s">
        <v>165</v>
      </c>
      <c r="V17" s="52" t="s">
        <v>190</v>
      </c>
      <c r="W17" s="52" t="s">
        <v>207</v>
      </c>
      <c r="X17"/>
      <c r="Y17"/>
      <c r="Z17"/>
    </row>
    <row r="18" spans="1:26" ht="15.75" customHeight="1" x14ac:dyDescent="0.25">
      <c r="A18" s="190" t="s">
        <v>156</v>
      </c>
      <c r="B18" s="190"/>
      <c r="C18" s="190" t="s">
        <v>384</v>
      </c>
      <c r="D18" s="190"/>
      <c r="E18" s="190"/>
      <c r="F18" s="190"/>
      <c r="G18" s="190"/>
      <c r="H18" s="190"/>
      <c r="S18" s="52" t="s">
        <v>176</v>
      </c>
      <c r="T18" s="52" t="s">
        <v>181</v>
      </c>
      <c r="U18" s="52"/>
      <c r="V18" s="52" t="s">
        <v>191</v>
      </c>
      <c r="W18" s="52" t="s">
        <v>208</v>
      </c>
      <c r="X18"/>
      <c r="Y18"/>
      <c r="Z18"/>
    </row>
    <row r="19" spans="1:26" ht="15.75" customHeight="1" x14ac:dyDescent="0.25">
      <c r="A19" s="155" t="s">
        <v>10</v>
      </c>
      <c r="B19" s="155"/>
      <c r="C19" s="156" t="s">
        <v>383</v>
      </c>
      <c r="D19" s="156"/>
      <c r="E19" s="155" t="s">
        <v>68</v>
      </c>
      <c r="F19" s="155"/>
      <c r="G19" s="190" t="s">
        <v>382</v>
      </c>
      <c r="H19" s="190"/>
      <c r="S19" s="52" t="s">
        <v>177</v>
      </c>
      <c r="T19" s="52" t="s">
        <v>184</v>
      </c>
      <c r="U19" s="52"/>
      <c r="V19" s="52" t="s">
        <v>192</v>
      </c>
      <c r="W19" s="52" t="s">
        <v>209</v>
      </c>
      <c r="X19"/>
      <c r="Y19"/>
      <c r="Z19"/>
    </row>
    <row r="20" spans="1:26" x14ac:dyDescent="0.25">
      <c r="A20" s="150" t="s">
        <v>12</v>
      </c>
      <c r="B20" s="150"/>
      <c r="C20" s="190" t="s">
        <v>385</v>
      </c>
      <c r="D20" s="190"/>
      <c r="E20" s="155" t="s">
        <v>11</v>
      </c>
      <c r="F20" s="155"/>
      <c r="G20" s="193" t="s">
        <v>165</v>
      </c>
      <c r="H20" s="193"/>
      <c r="S20" s="52" t="s">
        <v>178</v>
      </c>
      <c r="T20" s="52" t="s">
        <v>185</v>
      </c>
      <c r="U20" s="52"/>
      <c r="V20" s="52" t="s">
        <v>193</v>
      </c>
      <c r="W20" s="52" t="s">
        <v>210</v>
      </c>
      <c r="X20"/>
      <c r="Y20"/>
      <c r="Z20"/>
    </row>
    <row r="21" spans="1:26" x14ac:dyDescent="0.25">
      <c r="A21" s="150" t="s">
        <v>69</v>
      </c>
      <c r="B21" s="150"/>
      <c r="C21" s="190" t="s">
        <v>203</v>
      </c>
      <c r="D21" s="190"/>
      <c r="E21" s="155" t="s">
        <v>13</v>
      </c>
      <c r="F21" s="155"/>
      <c r="G21" s="190">
        <v>400071</v>
      </c>
      <c r="H21" s="190"/>
      <c r="S21" s="52"/>
      <c r="T21" s="52"/>
      <c r="U21" s="52"/>
      <c r="V21" s="52" t="s">
        <v>194</v>
      </c>
      <c r="W21" s="52" t="s">
        <v>211</v>
      </c>
      <c r="X21"/>
      <c r="Y21"/>
      <c r="Z21"/>
    </row>
    <row r="22" spans="1:26" ht="32.25" customHeight="1" x14ac:dyDescent="0.25">
      <c r="A22" s="150" t="s">
        <v>116</v>
      </c>
      <c r="B22" s="150"/>
      <c r="C22" s="190" t="s">
        <v>439</v>
      </c>
      <c r="D22" s="190"/>
      <c r="E22" s="155" t="s">
        <v>14</v>
      </c>
      <c r="F22" s="155"/>
      <c r="G22" s="190" t="s">
        <v>465</v>
      </c>
      <c r="H22" s="190"/>
      <c r="S22" s="52"/>
      <c r="T22" s="52"/>
      <c r="U22" s="52"/>
      <c r="V22" s="52" t="s">
        <v>195</v>
      </c>
      <c r="W22" s="52" t="s">
        <v>212</v>
      </c>
      <c r="X22"/>
      <c r="Y22"/>
      <c r="Z22"/>
    </row>
    <row r="23" spans="1:26" ht="15" customHeight="1" x14ac:dyDescent="0.25">
      <c r="A23" s="155" t="s">
        <v>70</v>
      </c>
      <c r="B23" s="155"/>
      <c r="C23" s="155"/>
      <c r="D23" s="155"/>
      <c r="E23" s="156" t="s">
        <v>15</v>
      </c>
      <c r="F23" s="156"/>
      <c r="G23" s="156"/>
      <c r="H23" s="156"/>
      <c r="S23" s="52"/>
      <c r="T23" s="52"/>
      <c r="U23" s="52"/>
      <c r="V23" s="52" t="s">
        <v>196</v>
      </c>
      <c r="W23" s="52" t="s">
        <v>213</v>
      </c>
      <c r="X23"/>
      <c r="Y23"/>
      <c r="Z23"/>
    </row>
    <row r="24" spans="1:26" ht="18.75" customHeight="1" x14ac:dyDescent="0.25">
      <c r="A24" s="155"/>
      <c r="B24" s="155"/>
      <c r="C24" s="155"/>
      <c r="D24" s="155"/>
      <c r="E24" s="156"/>
      <c r="F24" s="156"/>
      <c r="G24" s="156"/>
      <c r="H24" s="156"/>
      <c r="S24" s="52"/>
      <c r="T24" s="52"/>
      <c r="U24" s="52"/>
      <c r="V24" s="52" t="s">
        <v>197</v>
      </c>
      <c r="W24" s="52" t="s">
        <v>214</v>
      </c>
      <c r="X24"/>
      <c r="Y24"/>
      <c r="Z24"/>
    </row>
    <row r="25" spans="1:26" ht="15" customHeight="1" x14ac:dyDescent="0.25">
      <c r="A25" s="155" t="s">
        <v>16</v>
      </c>
      <c r="B25" s="155"/>
      <c r="C25" s="155"/>
      <c r="D25" s="155"/>
      <c r="E25" s="190" t="s">
        <v>17</v>
      </c>
      <c r="F25" s="190"/>
      <c r="G25" s="190"/>
      <c r="H25" s="190"/>
      <c r="S25" s="52"/>
      <c r="T25" s="52"/>
      <c r="U25" s="52"/>
      <c r="V25" s="52" t="s">
        <v>198</v>
      </c>
      <c r="W25" s="52" t="s">
        <v>215</v>
      </c>
      <c r="X25"/>
      <c r="Y25"/>
      <c r="Z25"/>
    </row>
    <row r="26" spans="1:26" ht="15" customHeight="1" x14ac:dyDescent="0.25">
      <c r="A26" s="150" t="s">
        <v>18</v>
      </c>
      <c r="B26" s="150"/>
      <c r="C26" s="150"/>
      <c r="D26" s="150"/>
      <c r="E26" s="190" t="str">
        <f>IF(AND(G20="Mumbai"),"Upper Class","Middle Class")</f>
        <v>Upper Class</v>
      </c>
      <c r="F26" s="190"/>
      <c r="G26" s="190"/>
      <c r="H26" s="190"/>
      <c r="S26" s="52"/>
      <c r="T26" s="52"/>
      <c r="U26" s="52"/>
      <c r="V26" s="52" t="s">
        <v>199</v>
      </c>
      <c r="W26" s="52" t="s">
        <v>216</v>
      </c>
      <c r="X26"/>
      <c r="Y26"/>
      <c r="Z26"/>
    </row>
    <row r="27" spans="1:26" x14ac:dyDescent="0.25">
      <c r="A27" s="150" t="s">
        <v>19</v>
      </c>
      <c r="B27" s="150"/>
      <c r="C27" s="150"/>
      <c r="D27" s="150"/>
      <c r="E27" s="190" t="s">
        <v>20</v>
      </c>
      <c r="F27" s="190"/>
      <c r="G27" s="190"/>
      <c r="H27" s="190"/>
      <c r="S27" s="52"/>
      <c r="T27" s="52"/>
      <c r="U27" s="52"/>
      <c r="V27" s="52" t="s">
        <v>200</v>
      </c>
      <c r="W27" s="52" t="s">
        <v>217</v>
      </c>
      <c r="X27"/>
      <c r="Y27"/>
      <c r="Z27"/>
    </row>
    <row r="28" spans="1:26" ht="15.75" customHeight="1" x14ac:dyDescent="0.25">
      <c r="A28" s="150" t="s">
        <v>21</v>
      </c>
      <c r="B28" s="150"/>
      <c r="C28" s="150"/>
      <c r="D28" s="150"/>
      <c r="E28" s="190" t="str">
        <f>IF(AND(G20="Mumbai"),"Developed","Developing")</f>
        <v>Developed</v>
      </c>
      <c r="F28" s="190"/>
      <c r="G28" s="190"/>
      <c r="H28" s="190"/>
    </row>
    <row r="29" spans="1:26" x14ac:dyDescent="0.25">
      <c r="A29" s="150" t="s">
        <v>22</v>
      </c>
      <c r="B29" s="150"/>
      <c r="C29" s="150"/>
      <c r="D29" s="150"/>
      <c r="E29" s="190" t="s">
        <v>23</v>
      </c>
      <c r="F29" s="190"/>
      <c r="G29" s="190"/>
      <c r="H29" s="190"/>
    </row>
    <row r="30" spans="1:26" ht="15.75" customHeight="1" x14ac:dyDescent="0.25">
      <c r="A30" s="150" t="s">
        <v>75</v>
      </c>
      <c r="B30" s="150"/>
      <c r="C30" s="150"/>
      <c r="D30" s="150"/>
      <c r="E30" s="190" t="s">
        <v>76</v>
      </c>
      <c r="F30" s="190"/>
      <c r="G30" s="190"/>
      <c r="H30" s="190"/>
      <c r="J30" s="101"/>
    </row>
    <row r="31" spans="1:26" ht="15" customHeight="1" x14ac:dyDescent="0.25">
      <c r="A31" s="150" t="s">
        <v>30</v>
      </c>
      <c r="B31" s="150"/>
      <c r="C31" s="150"/>
      <c r="D31" s="150"/>
      <c r="E31" s="190" t="str">
        <f>IF(AND(ISNUMBER(SEARCH("Flat",D68)),ISNUMBER(SEARCH("Shop",D68)),ISNUMBER(SEARCH("Office",D68))),"Residential + Commercial",IF(AND(ISNUMBER(SEARCH("Flat",D68)),ISNUMBER(SEARCH("Shop",D68))),"Residential + Commercial",IF(AND(ISNUMBER(SEARCH("Flat",D68)),ISNUMBER(SEARCH("Office",D68))),"Residential + Commercial",IF(AND(ISNUMBER(SEARCH("Shop",D68)),ISNUMBER(SEARCH("Office",D68))),"Commercial",IF(ISNUMBER(SEARCH("Shop",D68)),"Commercial",IF(ISNUMBER(SEARCH("Office",D68)),"Commercial",IF(ISNUMBER(SEARCH("Flat",D68)),"Residential")))))))</f>
        <v>Residential + Commercial</v>
      </c>
      <c r="F31" s="190"/>
      <c r="G31" s="190"/>
      <c r="H31" s="190"/>
    </row>
    <row r="32" spans="1:26" ht="15.75" customHeight="1" x14ac:dyDescent="0.25">
      <c r="A32" s="150" t="s">
        <v>87</v>
      </c>
      <c r="B32" s="150"/>
      <c r="C32" s="150"/>
      <c r="D32" s="150"/>
      <c r="E32" s="190" t="s">
        <v>31</v>
      </c>
      <c r="F32" s="190"/>
      <c r="G32" s="190"/>
      <c r="H32" s="190"/>
    </row>
    <row r="33" spans="1:19" s="21" customFormat="1" x14ac:dyDescent="0.25">
      <c r="A33" s="201" t="s">
        <v>88</v>
      </c>
      <c r="B33" s="201"/>
      <c r="C33" s="198" t="s">
        <v>166</v>
      </c>
      <c r="D33" s="199"/>
      <c r="E33" s="200"/>
      <c r="F33" s="198" t="s">
        <v>29</v>
      </c>
      <c r="G33" s="199"/>
      <c r="H33" s="200"/>
      <c r="S33" s="21" t="e">
        <f ca="1">OFFSET($S$13,1,MATCH($G20,$S$13:$W$13,0)-1,15,1)</f>
        <v>#VALUE!</v>
      </c>
    </row>
    <row r="34" spans="1:19" s="21" customFormat="1" x14ac:dyDescent="0.25">
      <c r="A34" s="194" t="s">
        <v>24</v>
      </c>
      <c r="B34" s="194" t="s">
        <v>28</v>
      </c>
      <c r="C34" s="195" t="s">
        <v>455</v>
      </c>
      <c r="D34" s="196"/>
      <c r="E34" s="197"/>
      <c r="F34" s="195" t="s">
        <v>383</v>
      </c>
      <c r="G34" s="196"/>
      <c r="H34" s="197"/>
    </row>
    <row r="35" spans="1:19" x14ac:dyDescent="0.25">
      <c r="A35" s="194" t="s">
        <v>25</v>
      </c>
      <c r="B35" s="194" t="s">
        <v>28</v>
      </c>
      <c r="C35" s="195" t="s">
        <v>458</v>
      </c>
      <c r="D35" s="196"/>
      <c r="E35" s="197"/>
      <c r="F35" s="195" t="s">
        <v>459</v>
      </c>
      <c r="G35" s="196"/>
      <c r="H35" s="197"/>
    </row>
    <row r="36" spans="1:19" s="21" customFormat="1" x14ac:dyDescent="0.25">
      <c r="A36" s="194" t="s">
        <v>27</v>
      </c>
      <c r="B36" s="194" t="s">
        <v>28</v>
      </c>
      <c r="C36" s="195" t="s">
        <v>454</v>
      </c>
      <c r="D36" s="196"/>
      <c r="E36" s="197"/>
      <c r="F36" s="195" t="s">
        <v>456</v>
      </c>
      <c r="G36" s="196"/>
      <c r="H36" s="197"/>
    </row>
    <row r="37" spans="1:19" x14ac:dyDescent="0.25">
      <c r="A37" s="194" t="s">
        <v>26</v>
      </c>
      <c r="B37" s="194" t="s">
        <v>28</v>
      </c>
      <c r="C37" s="195" t="s">
        <v>457</v>
      </c>
      <c r="D37" s="196"/>
      <c r="E37" s="197"/>
      <c r="F37" s="195" t="s">
        <v>383</v>
      </c>
      <c r="G37" s="196"/>
      <c r="H37" s="197"/>
    </row>
    <row r="38" spans="1:19" x14ac:dyDescent="0.25">
      <c r="A38" s="150" t="s">
        <v>273</v>
      </c>
      <c r="B38" s="150"/>
      <c r="C38" s="150"/>
      <c r="D38" s="150"/>
      <c r="E38" s="150"/>
      <c r="F38" s="150"/>
      <c r="G38" s="150"/>
      <c r="H38" s="150"/>
    </row>
    <row r="39" spans="1:19" ht="15.75" customHeight="1" x14ac:dyDescent="0.25">
      <c r="A39" s="150" t="s">
        <v>158</v>
      </c>
      <c r="B39" s="150"/>
      <c r="C39" s="180" t="s">
        <v>376</v>
      </c>
      <c r="D39" s="180"/>
      <c r="E39" s="180"/>
      <c r="F39" s="180"/>
      <c r="G39" s="180"/>
      <c r="H39" s="180"/>
    </row>
    <row r="40" spans="1:19" x14ac:dyDescent="0.25">
      <c r="A40" s="150" t="s">
        <v>155</v>
      </c>
      <c r="B40" s="150"/>
      <c r="C40" s="255" t="s">
        <v>377</v>
      </c>
      <c r="D40" s="256"/>
      <c r="E40" s="256"/>
      <c r="F40" s="256"/>
      <c r="G40" s="256"/>
      <c r="H40" s="256"/>
    </row>
    <row r="41" spans="1:19" x14ac:dyDescent="0.25">
      <c r="A41" s="180" t="s">
        <v>32</v>
      </c>
      <c r="B41" s="180"/>
      <c r="C41" s="180"/>
      <c r="D41" s="180"/>
      <c r="E41" s="180"/>
      <c r="F41" s="180"/>
      <c r="G41" s="180"/>
      <c r="H41" s="180"/>
    </row>
    <row r="42" spans="1:19" x14ac:dyDescent="0.25">
      <c r="A42" s="150" t="s">
        <v>33</v>
      </c>
      <c r="B42" s="150"/>
      <c r="C42" s="150"/>
      <c r="D42" s="150"/>
      <c r="E42" s="257">
        <f>1687.58</f>
        <v>1687.58</v>
      </c>
      <c r="F42" s="257"/>
      <c r="G42" s="257"/>
      <c r="H42" s="257"/>
    </row>
    <row r="43" spans="1:19" x14ac:dyDescent="0.25">
      <c r="A43" s="150" t="s">
        <v>34</v>
      </c>
      <c r="B43" s="150"/>
      <c r="C43" s="150"/>
      <c r="D43" s="150"/>
      <c r="E43" s="192">
        <f>5062.71/E42</f>
        <v>2.9999822230649809</v>
      </c>
      <c r="F43" s="192"/>
      <c r="G43" s="192"/>
      <c r="H43" s="192"/>
    </row>
    <row r="44" spans="1:19" x14ac:dyDescent="0.25">
      <c r="A44" s="150" t="s">
        <v>35</v>
      </c>
      <c r="B44" s="150"/>
      <c r="C44" s="150"/>
      <c r="D44" s="150"/>
      <c r="E44" s="192">
        <f>E46/E42-E43</f>
        <v>2.4041882458905652</v>
      </c>
      <c r="F44" s="192"/>
      <c r="G44" s="192"/>
      <c r="H44" s="192"/>
    </row>
    <row r="45" spans="1:19" x14ac:dyDescent="0.25">
      <c r="A45" s="150" t="s">
        <v>36</v>
      </c>
      <c r="B45" s="150"/>
      <c r="C45" s="150"/>
      <c r="D45" s="150"/>
      <c r="E45" s="192">
        <f>E43+E44</f>
        <v>5.4041704689555461</v>
      </c>
      <c r="F45" s="192"/>
      <c r="G45" s="192"/>
      <c r="H45" s="192"/>
    </row>
    <row r="46" spans="1:19" x14ac:dyDescent="0.25">
      <c r="A46" s="150" t="s">
        <v>86</v>
      </c>
      <c r="B46" s="150"/>
      <c r="C46" s="150"/>
      <c r="D46" s="150"/>
      <c r="E46" s="248">
        <f>9119.97</f>
        <v>9119.9699999999993</v>
      </c>
      <c r="F46" s="248"/>
      <c r="G46" s="248"/>
      <c r="H46" s="248"/>
    </row>
    <row r="47" spans="1:19" x14ac:dyDescent="0.25">
      <c r="A47" s="156" t="s">
        <v>37</v>
      </c>
      <c r="B47" s="156"/>
      <c r="C47" s="156"/>
      <c r="D47" s="156"/>
      <c r="E47" s="156" t="s">
        <v>386</v>
      </c>
      <c r="F47" s="156"/>
      <c r="G47" s="156"/>
      <c r="H47" s="156"/>
    </row>
    <row r="48" spans="1:19" x14ac:dyDescent="0.25">
      <c r="A48" s="180" t="s">
        <v>38</v>
      </c>
      <c r="B48" s="180"/>
      <c r="C48" s="180"/>
      <c r="D48" s="180"/>
      <c r="E48" s="180"/>
      <c r="F48" s="180"/>
      <c r="G48" s="180"/>
      <c r="H48" s="180"/>
    </row>
    <row r="49" spans="1:24" ht="33.75" customHeight="1" x14ac:dyDescent="0.25">
      <c r="A49" s="163" t="s">
        <v>145</v>
      </c>
      <c r="B49" s="164"/>
      <c r="C49" s="252" t="s">
        <v>249</v>
      </c>
      <c r="D49" s="253"/>
      <c r="E49" s="253"/>
      <c r="F49" s="253"/>
      <c r="G49" s="253"/>
      <c r="H49" s="254"/>
      <c r="R49" t="s">
        <v>246</v>
      </c>
      <c r="S49" s="54" t="s">
        <v>165</v>
      </c>
      <c r="T49" s="54" t="s">
        <v>172</v>
      </c>
      <c r="U49" s="54" t="s">
        <v>186</v>
      </c>
      <c r="V49" s="54" t="s">
        <v>181</v>
      </c>
    </row>
    <row r="50" spans="1:24" ht="31.5" customHeight="1" x14ac:dyDescent="0.25">
      <c r="A50" s="163" t="s">
        <v>39</v>
      </c>
      <c r="B50" s="164"/>
      <c r="C50" s="163" t="s">
        <v>387</v>
      </c>
      <c r="D50" s="227"/>
      <c r="E50" s="164"/>
      <c r="F50" s="17" t="s">
        <v>40</v>
      </c>
      <c r="G50" s="228">
        <v>45768</v>
      </c>
      <c r="H50" s="229"/>
      <c r="R50"/>
      <c r="S50" s="54" t="s">
        <v>247</v>
      </c>
      <c r="T50" s="54" t="s">
        <v>252</v>
      </c>
      <c r="U50" s="54" t="s">
        <v>263</v>
      </c>
      <c r="V50" s="54" t="s">
        <v>268</v>
      </c>
    </row>
    <row r="51" spans="1:24" ht="31.5" customHeight="1" x14ac:dyDescent="0.25">
      <c r="A51" s="163" t="s">
        <v>41</v>
      </c>
      <c r="B51" s="164"/>
      <c r="C51" s="163" t="str">
        <f>C50</f>
        <v>MH/EE/(BP)/GM/MHADA-29/1346/2025/IOA/1/Amend</v>
      </c>
      <c r="D51" s="227"/>
      <c r="E51" s="164"/>
      <c r="F51" s="17" t="s">
        <v>40</v>
      </c>
      <c r="G51" s="228">
        <f>G50</f>
        <v>45768</v>
      </c>
      <c r="H51" s="229"/>
      <c r="R51"/>
      <c r="S51" s="54" t="s">
        <v>248</v>
      </c>
      <c r="T51" s="54" t="s">
        <v>348</v>
      </c>
      <c r="U51" s="54" t="s">
        <v>261</v>
      </c>
      <c r="V51" s="54" t="s">
        <v>269</v>
      </c>
    </row>
    <row r="52" spans="1:24" s="22" customFormat="1" x14ac:dyDescent="0.25">
      <c r="A52" s="217" t="s">
        <v>432</v>
      </c>
      <c r="B52" s="219"/>
      <c r="C52" s="217" t="s">
        <v>440</v>
      </c>
      <c r="D52" s="218"/>
      <c r="E52" s="219"/>
      <c r="F52" s="17" t="s">
        <v>40</v>
      </c>
      <c r="G52" s="228">
        <v>45392</v>
      </c>
      <c r="H52" s="229"/>
      <c r="I52" s="21" t="e">
        <f>IF(G52&gt;EDATE(E1,-48),"NO REMARK","CC REMARK FOR CC")</f>
        <v>#NUM!</v>
      </c>
      <c r="J52" s="73"/>
      <c r="R52"/>
      <c r="S52" s="54" t="s">
        <v>249</v>
      </c>
      <c r="T52" s="54" t="s">
        <v>254</v>
      </c>
      <c r="U52" s="54" t="s">
        <v>251</v>
      </c>
      <c r="V52" s="54" t="s">
        <v>270</v>
      </c>
    </row>
    <row r="53" spans="1:24" s="22" customFormat="1" ht="32.25" customHeight="1" x14ac:dyDescent="0.25">
      <c r="A53" s="239"/>
      <c r="B53" s="240"/>
      <c r="C53" s="220"/>
      <c r="D53" s="221"/>
      <c r="E53" s="222"/>
      <c r="F53" s="17" t="s">
        <v>115</v>
      </c>
      <c r="G53" s="228">
        <v>45756</v>
      </c>
      <c r="H53" s="164"/>
      <c r="R53"/>
      <c r="S53" s="54" t="s">
        <v>250</v>
      </c>
      <c r="T53" s="54" t="s">
        <v>257</v>
      </c>
      <c r="U53" s="54" t="s">
        <v>264</v>
      </c>
      <c r="V53" s="69" t="s">
        <v>341</v>
      </c>
    </row>
    <row r="54" spans="1:24" s="22" customFormat="1" ht="31.5" customHeight="1" x14ac:dyDescent="0.25">
      <c r="A54" s="220"/>
      <c r="B54" s="222"/>
      <c r="C54" s="163" t="s">
        <v>441</v>
      </c>
      <c r="D54" s="227"/>
      <c r="E54" s="227"/>
      <c r="F54" s="227"/>
      <c r="G54" s="227"/>
      <c r="H54" s="164"/>
      <c r="R54"/>
      <c r="S54" s="54" t="s">
        <v>250</v>
      </c>
      <c r="T54" s="54" t="s">
        <v>257</v>
      </c>
      <c r="U54" s="54" t="s">
        <v>264</v>
      </c>
      <c r="V54" s="69" t="s">
        <v>341</v>
      </c>
    </row>
    <row r="55" spans="1:24" s="22" customFormat="1" ht="15.75" customHeight="1" x14ac:dyDescent="0.25">
      <c r="A55" s="217" t="s">
        <v>432</v>
      </c>
      <c r="B55" s="219"/>
      <c r="C55" s="217" t="s">
        <v>388</v>
      </c>
      <c r="D55" s="218"/>
      <c r="E55" s="219"/>
      <c r="F55" s="17" t="s">
        <v>40</v>
      </c>
      <c r="G55" s="228">
        <v>45835</v>
      </c>
      <c r="H55" s="229"/>
      <c r="I55" s="21" t="str">
        <f ca="1">IF(G55&gt;EDATE(E3,-48),"NO REMARK","CC REMARK FOR CC")</f>
        <v>NO REMARK</v>
      </c>
      <c r="J55" s="73"/>
      <c r="R55"/>
      <c r="S55" s="54" t="s">
        <v>249</v>
      </c>
      <c r="T55" s="54" t="s">
        <v>254</v>
      </c>
      <c r="U55" s="54" t="s">
        <v>251</v>
      </c>
      <c r="V55" s="54" t="s">
        <v>270</v>
      </c>
    </row>
    <row r="56" spans="1:24" s="22" customFormat="1" ht="33.75" customHeight="1" x14ac:dyDescent="0.25">
      <c r="A56" s="239"/>
      <c r="B56" s="240"/>
      <c r="C56" s="220"/>
      <c r="D56" s="221"/>
      <c r="E56" s="222"/>
      <c r="F56" s="17" t="s">
        <v>115</v>
      </c>
      <c r="G56" s="228">
        <v>46120</v>
      </c>
      <c r="H56" s="164"/>
      <c r="R56"/>
      <c r="S56" s="54" t="s">
        <v>250</v>
      </c>
      <c r="T56" s="54" t="s">
        <v>257</v>
      </c>
      <c r="U56" s="54" t="s">
        <v>264</v>
      </c>
      <c r="V56" s="69" t="s">
        <v>341</v>
      </c>
    </row>
    <row r="57" spans="1:24" s="22" customFormat="1" ht="49.5" customHeight="1" x14ac:dyDescent="0.25">
      <c r="A57" s="220"/>
      <c r="B57" s="222"/>
      <c r="C57" s="163" t="s">
        <v>389</v>
      </c>
      <c r="D57" s="227"/>
      <c r="E57" s="227"/>
      <c r="F57" s="227"/>
      <c r="G57" s="227"/>
      <c r="H57" s="164"/>
      <c r="R57"/>
      <c r="S57" s="54"/>
      <c r="T57" s="54"/>
      <c r="U57" s="54"/>
      <c r="V57" s="69"/>
    </row>
    <row r="58" spans="1:24" s="22" customFormat="1" ht="33" customHeight="1" x14ac:dyDescent="0.25">
      <c r="A58" s="159" t="s">
        <v>430</v>
      </c>
      <c r="B58" s="160"/>
      <c r="C58" s="163" t="s">
        <v>429</v>
      </c>
      <c r="D58" s="227"/>
      <c r="E58" s="164"/>
      <c r="F58" s="17" t="s">
        <v>40</v>
      </c>
      <c r="G58" s="228">
        <v>45255</v>
      </c>
      <c r="H58" s="229"/>
      <c r="K58" s="74">
        <f>EDATE(G55,-48)</f>
        <v>44374</v>
      </c>
      <c r="L58" s="22" t="str">
        <f ca="1">IF(G55&gt;EDATE(E3,-48),"NO REMARK","CC REMARK FOR CC")</f>
        <v>NO REMARK</v>
      </c>
      <c r="R58"/>
      <c r="S58" s="54" t="s">
        <v>249</v>
      </c>
      <c r="T58" s="54" t="s">
        <v>254</v>
      </c>
      <c r="U58" s="54" t="s">
        <v>251</v>
      </c>
      <c r="V58" s="54" t="s">
        <v>270</v>
      </c>
    </row>
    <row r="59" spans="1:24" s="22" customFormat="1" x14ac:dyDescent="0.25">
      <c r="A59" s="161"/>
      <c r="B59" s="162"/>
      <c r="C59" s="236" t="s">
        <v>428</v>
      </c>
      <c r="D59" s="237"/>
      <c r="E59" s="237"/>
      <c r="F59" s="237"/>
      <c r="G59" s="237"/>
      <c r="H59" s="238"/>
      <c r="R59"/>
      <c r="S59" s="54" t="s">
        <v>251</v>
      </c>
      <c r="T59" s="54" t="s">
        <v>255</v>
      </c>
      <c r="U59" s="54" t="s">
        <v>265</v>
      </c>
      <c r="V59" s="70"/>
      <c r="W59" s="20"/>
      <c r="X59" s="20"/>
    </row>
    <row r="60" spans="1:24" s="22" customFormat="1" ht="34.5" hidden="1" customHeight="1" x14ac:dyDescent="0.25">
      <c r="A60" s="230" t="s">
        <v>274</v>
      </c>
      <c r="B60" s="231"/>
      <c r="C60" s="163"/>
      <c r="D60" s="227"/>
      <c r="E60" s="164"/>
      <c r="F60" s="17" t="s">
        <v>40</v>
      </c>
      <c r="G60" s="228"/>
      <c r="H60" s="229"/>
      <c r="R60"/>
      <c r="S60" s="70"/>
      <c r="T60" s="54" t="s">
        <v>256</v>
      </c>
      <c r="U60" s="54" t="s">
        <v>266</v>
      </c>
      <c r="V60" s="70"/>
      <c r="W60" s="20"/>
      <c r="X60" s="20"/>
    </row>
    <row r="61" spans="1:24" s="22" customFormat="1" ht="41.25" hidden="1" customHeight="1" x14ac:dyDescent="0.25">
      <c r="A61" s="232"/>
      <c r="B61" s="233"/>
      <c r="C61" s="163"/>
      <c r="D61" s="227"/>
      <c r="E61" s="227"/>
      <c r="F61" s="227"/>
      <c r="G61" s="227"/>
      <c r="H61" s="164"/>
      <c r="R61"/>
      <c r="S61" s="70"/>
      <c r="T61" s="54" t="s">
        <v>258</v>
      </c>
      <c r="U61" s="54" t="s">
        <v>267</v>
      </c>
      <c r="V61" s="70"/>
      <c r="W61" s="20"/>
      <c r="X61" s="20"/>
    </row>
    <row r="62" spans="1:24" s="22" customFormat="1" ht="15.75" customHeight="1" x14ac:dyDescent="0.25">
      <c r="A62" s="159" t="s">
        <v>431</v>
      </c>
      <c r="B62" s="160"/>
      <c r="C62" s="217" t="s">
        <v>426</v>
      </c>
      <c r="D62" s="218"/>
      <c r="E62" s="219"/>
      <c r="F62" s="17" t="s">
        <v>40</v>
      </c>
      <c r="G62" s="228">
        <v>45135</v>
      </c>
      <c r="H62" s="229"/>
      <c r="R62"/>
      <c r="S62" s="70"/>
      <c r="T62" s="54" t="s">
        <v>259</v>
      </c>
      <c r="U62" s="70" t="s">
        <v>288</v>
      </c>
      <c r="V62" s="70"/>
      <c r="W62" s="20"/>
      <c r="X62" s="20"/>
    </row>
    <row r="63" spans="1:24" s="22" customFormat="1" ht="33.75" customHeight="1" x14ac:dyDescent="0.25">
      <c r="A63" s="204"/>
      <c r="B63" s="258"/>
      <c r="C63" s="220"/>
      <c r="D63" s="221"/>
      <c r="E63" s="222"/>
      <c r="F63" s="17" t="s">
        <v>344</v>
      </c>
      <c r="G63" s="228">
        <v>48056</v>
      </c>
      <c r="H63" s="229"/>
      <c r="R63"/>
      <c r="S63" s="70"/>
      <c r="T63" s="54" t="s">
        <v>260</v>
      </c>
      <c r="U63" s="70"/>
      <c r="V63" s="70"/>
      <c r="W63" s="20"/>
      <c r="X63" s="20"/>
    </row>
    <row r="64" spans="1:24" s="22" customFormat="1" ht="33.75" customHeight="1" x14ac:dyDescent="0.25">
      <c r="A64" s="161"/>
      <c r="B64" s="162"/>
      <c r="C64" s="163" t="s">
        <v>427</v>
      </c>
      <c r="D64" s="227"/>
      <c r="E64" s="227"/>
      <c r="F64" s="227"/>
      <c r="G64" s="227"/>
      <c r="H64" s="164"/>
      <c r="R64"/>
      <c r="S64" s="70"/>
      <c r="T64" s="54"/>
      <c r="U64" s="70"/>
      <c r="V64" s="70"/>
      <c r="W64" s="20"/>
      <c r="X64" s="20"/>
    </row>
    <row r="65" spans="1:22" x14ac:dyDescent="0.25">
      <c r="A65" s="151" t="s">
        <v>42</v>
      </c>
      <c r="B65" s="152"/>
      <c r="C65" s="151" t="s">
        <v>100</v>
      </c>
      <c r="D65" s="153"/>
      <c r="E65" s="152"/>
      <c r="F65" s="43" t="s">
        <v>40</v>
      </c>
      <c r="G65" s="157" t="s">
        <v>28</v>
      </c>
      <c r="H65" s="158"/>
      <c r="R65"/>
      <c r="S65" s="70"/>
      <c r="T65" s="54" t="s">
        <v>262</v>
      </c>
      <c r="U65" s="70"/>
      <c r="V65" s="70"/>
    </row>
    <row r="66" spans="1:22" x14ac:dyDescent="0.25">
      <c r="A66" s="181" t="s">
        <v>44</v>
      </c>
      <c r="B66" s="181"/>
      <c r="C66" s="181"/>
      <c r="D66" s="181"/>
      <c r="E66" s="181"/>
      <c r="F66" s="181"/>
      <c r="G66" s="181"/>
      <c r="H66" s="181"/>
      <c r="S66" s="70"/>
      <c r="T66" s="54" t="s">
        <v>271</v>
      </c>
      <c r="U66" s="70"/>
      <c r="V66" s="70"/>
    </row>
    <row r="67" spans="1:22" x14ac:dyDescent="0.25">
      <c r="A67" s="155" t="s">
        <v>85</v>
      </c>
      <c r="B67" s="155"/>
      <c r="C67" s="155"/>
      <c r="D67" s="150">
        <f>E46</f>
        <v>9119.9699999999993</v>
      </c>
      <c r="E67" s="150"/>
      <c r="F67" s="150"/>
      <c r="G67" s="150"/>
      <c r="H67" s="150"/>
      <c r="R67"/>
    </row>
    <row r="68" spans="1:22" x14ac:dyDescent="0.25">
      <c r="A68" s="241" t="s">
        <v>45</v>
      </c>
      <c r="B68" s="188"/>
      <c r="C68" s="188"/>
      <c r="D68" s="156" t="s">
        <v>461</v>
      </c>
      <c r="E68" s="156"/>
      <c r="F68" s="156"/>
      <c r="G68" s="156"/>
      <c r="H68" s="156"/>
      <c r="I68" s="23"/>
      <c r="R68"/>
    </row>
    <row r="69" spans="1:22" x14ac:dyDescent="0.25">
      <c r="A69" s="159" t="s">
        <v>46</v>
      </c>
      <c r="B69" s="203"/>
      <c r="C69" s="160"/>
      <c r="D69" s="226" t="s">
        <v>442</v>
      </c>
      <c r="E69" s="234"/>
      <c r="F69" s="234"/>
      <c r="G69" s="234"/>
      <c r="H69" s="234"/>
      <c r="R69"/>
    </row>
    <row r="70" spans="1:22" ht="15.75" customHeight="1" x14ac:dyDescent="0.25">
      <c r="A70" s="159" t="s">
        <v>83</v>
      </c>
      <c r="B70" s="203"/>
      <c r="C70" s="203"/>
      <c r="D70" s="207" t="s">
        <v>390</v>
      </c>
      <c r="E70" s="208"/>
      <c r="F70" s="208"/>
      <c r="G70" s="208"/>
      <c r="H70" s="209"/>
      <c r="I70" s="94" t="s">
        <v>393</v>
      </c>
      <c r="R70"/>
    </row>
    <row r="71" spans="1:22" ht="15.75" customHeight="1" x14ac:dyDescent="0.25">
      <c r="A71" s="204"/>
      <c r="B71" s="205"/>
      <c r="C71" s="205"/>
      <c r="D71" s="210" t="s">
        <v>391</v>
      </c>
      <c r="E71" s="211"/>
      <c r="F71" s="211"/>
      <c r="G71" s="211"/>
      <c r="H71" s="212"/>
      <c r="R71"/>
    </row>
    <row r="72" spans="1:22" ht="15.75" customHeight="1" x14ac:dyDescent="0.25">
      <c r="A72" s="161"/>
      <c r="B72" s="206"/>
      <c r="C72" s="206"/>
      <c r="D72" s="223" t="s">
        <v>392</v>
      </c>
      <c r="E72" s="224"/>
      <c r="F72" s="224"/>
      <c r="G72" s="224"/>
      <c r="H72" s="225"/>
      <c r="K72"/>
      <c r="S72"/>
    </row>
    <row r="73" spans="1:22" ht="15.75" customHeight="1" x14ac:dyDescent="0.25">
      <c r="A73" s="150" t="s">
        <v>43</v>
      </c>
      <c r="B73" s="150"/>
      <c r="C73" s="150"/>
      <c r="D73" s="216" t="s">
        <v>394</v>
      </c>
      <c r="E73" s="216"/>
      <c r="F73" s="216"/>
      <c r="G73" s="216"/>
      <c r="H73" s="216"/>
      <c r="J73" s="24"/>
      <c r="K73" s="23"/>
      <c r="N73" s="23"/>
      <c r="S73"/>
    </row>
    <row r="74" spans="1:22" ht="15.75" customHeight="1" x14ac:dyDescent="0.25">
      <c r="A74" s="150" t="s">
        <v>81</v>
      </c>
      <c r="B74" s="150"/>
      <c r="C74" s="150"/>
      <c r="D74" s="202" t="str">
        <f>(IF(G65="NA","60 Years After Completion",IF(G65&lt;&gt;"NA",""&amp;60-ROUNDDOWN((E3-G65)/360,0)&amp;" Years"," ")))</f>
        <v>60 Years After Completion</v>
      </c>
      <c r="E74" s="202"/>
      <c r="F74" s="202"/>
      <c r="G74" s="202"/>
      <c r="H74" s="202"/>
      <c r="N74" s="23"/>
      <c r="S74"/>
    </row>
    <row r="75" spans="1:22" ht="15.75" customHeight="1" x14ac:dyDescent="0.25">
      <c r="A75" s="150" t="s">
        <v>82</v>
      </c>
      <c r="B75" s="150"/>
      <c r="C75" s="150"/>
      <c r="D75" s="155" t="s">
        <v>23</v>
      </c>
      <c r="E75" s="155"/>
      <c r="F75" s="155"/>
      <c r="G75" s="155"/>
      <c r="H75" s="155"/>
      <c r="J75" s="25"/>
      <c r="K75" s="25"/>
      <c r="S75"/>
    </row>
    <row r="76" spans="1:22" ht="48.75" customHeight="1" x14ac:dyDescent="0.25">
      <c r="A76" s="188" t="s">
        <v>433</v>
      </c>
      <c r="B76" s="188"/>
      <c r="C76" s="188"/>
      <c r="D76" s="190" t="s">
        <v>462</v>
      </c>
      <c r="E76" s="155"/>
      <c r="F76" s="155"/>
      <c r="G76" s="155"/>
      <c r="H76" s="155"/>
      <c r="S76"/>
    </row>
    <row r="77" spans="1:22" x14ac:dyDescent="0.25">
      <c r="A77" s="155" t="s">
        <v>142</v>
      </c>
      <c r="B77" s="155"/>
      <c r="C77" s="155"/>
      <c r="D77" s="155" t="s">
        <v>28</v>
      </c>
      <c r="E77" s="155"/>
      <c r="F77" s="155"/>
      <c r="G77" s="155"/>
      <c r="H77" s="155"/>
      <c r="I77" s="26"/>
      <c r="J77" s="26"/>
      <c r="K77" s="26"/>
      <c r="L77" s="26"/>
      <c r="M77" s="26"/>
      <c r="N77" s="26"/>
    </row>
    <row r="78" spans="1:22" ht="15.75" customHeight="1" x14ac:dyDescent="0.25">
      <c r="A78" s="244" t="s">
        <v>80</v>
      </c>
      <c r="B78" s="244"/>
      <c r="C78" s="244"/>
      <c r="D78" s="226" t="str">
        <f ca="1">(IF(G84&gt;95%,"Nothing",IF(G84&gt;0%,"Cement, Aggregate, Steel, etc",IF(G84=0%,"Work not yet Started"))))</f>
        <v>Cement, Aggregate, Steel, etc</v>
      </c>
      <c r="E78" s="226"/>
      <c r="F78" s="226"/>
      <c r="G78" s="226"/>
      <c r="H78" s="226"/>
      <c r="J78" s="25"/>
      <c r="S78"/>
    </row>
    <row r="79" spans="1:22" ht="33.75" customHeight="1" thickBot="1" x14ac:dyDescent="0.3">
      <c r="A79" s="243" t="s">
        <v>113</v>
      </c>
      <c r="B79" s="243"/>
      <c r="C79" s="243"/>
      <c r="D79" s="226" t="str">
        <f ca="1">(IF(D78="Nothing","Yes",IF(D78="Cement, Aggregate, Steel, etc","Under Construction",IF(D78="Work not yet Started","Work not yet Started"))))</f>
        <v>Under Construction</v>
      </c>
      <c r="E79" s="226"/>
      <c r="F79" s="226" t="str">
        <f ca="1">(IF(D78="Nothing","Yes",IF(D78="Cement, Aggregate, Steel, etc","Under Construction",IF(D78="Work not yet Started","Work not yet Started"))))</f>
        <v>Under Construction</v>
      </c>
      <c r="G79" s="226"/>
      <c r="H79" s="226"/>
      <c r="S79"/>
    </row>
    <row r="80" spans="1:22" ht="15.75" customHeight="1" x14ac:dyDescent="0.25">
      <c r="A80" s="214" t="s">
        <v>134</v>
      </c>
      <c r="B80" s="215"/>
      <c r="C80" s="245" t="str">
        <f>D70</f>
        <v>Wing A = G + 1st to 16th Floor</v>
      </c>
      <c r="D80" s="246"/>
      <c r="E80" s="246"/>
      <c r="F80" s="246"/>
      <c r="G80" s="246"/>
      <c r="H80" s="247"/>
      <c r="I80" s="47" t="str">
        <f ca="1">IF(D93=100%,"All work Completed. Possession granted to the Building.",IF(D92=100%,"All work Completed, Waiting for OC",I81&amp;""&amp;I82&amp;""&amp;J81&amp;""&amp;J80&amp;" "&amp;J82))</f>
        <v>Excavation, Plinth Completed, RCC upto 2 Slab Completed</v>
      </c>
      <c r="J80" s="48" t="str">
        <f ca="1">(IF(C86=(D81+F81+H81),"",IF(C86&gt;0,", RCC upto "&amp;C86&amp;" Slab","")))&amp;(IF(C87=H81,"",IF(C87&gt;0,", Brickwork upto "&amp;C87&amp;" Floor","")))&amp;(IF(C88=H81,"",IF(C88&gt;0,", Internal Plaster upto "&amp;C88&amp;" Floor","")))&amp;(IF(C89=H81,"",IF(C89&gt;0,", External Plaster upto "&amp;C89&amp;" Floor","")))&amp;(IF(C90=H81,"",IF(C90&gt;0,", Flooring upto "&amp;C90&amp;" Floor","")))&amp;(IF(C91=H81,"",IF(C91&gt;0,", Painting upto "&amp;C91&amp;" Floor","")))&amp;(IF(C92=H81,"",IF(C92&gt;0,", Finishing upto "&amp;C92&amp;" Floor","")))&amp;(IF(C93=H81,"",IF(C93&gt;0,", Possession upto "&amp;C93&amp;" Floor","")))</f>
        <v>, RCC upto 2 Slab</v>
      </c>
      <c r="S80"/>
    </row>
    <row r="81" spans="1:19" x14ac:dyDescent="0.25">
      <c r="A81" s="15" t="s">
        <v>136</v>
      </c>
      <c r="B81" s="45">
        <f>IF(AND(ISNUMBER(SEARCH("1B",C80))),1,IF(AND(ISNUMBER(SEARCH("2B",C80))),2,IF(AND(ISNUMBER(SEARCH("3B",C80))),3,IF(AND(ISNUMBER(SEARCH("4B",C80))),4,IF(ISNUMBER(SEARCH("5B",C80)),5,0)))))</f>
        <v>0</v>
      </c>
      <c r="C81" s="45" t="s">
        <v>67</v>
      </c>
      <c r="D81" s="45">
        <v>1</v>
      </c>
      <c r="E81" s="45" t="s">
        <v>66</v>
      </c>
      <c r="F81" s="45">
        <v>0</v>
      </c>
      <c r="G81" s="46" t="s">
        <v>74</v>
      </c>
      <c r="H81" s="16">
        <f ca="1">--TRIM(RIGHT(SUBSTITUTE(LEFT(C80,_xlfn.AGGREGATE(16,6,FIND({0,1,2,3,4,5,6,7,8,9},C80,ROW(INDIRECT("1:"&amp;LEN(C80)))),1))," ",REPT(" ",LEN(C80))),LEN(C80)))</f>
        <v>16</v>
      </c>
      <c r="I81" s="49" t="str">
        <f ca="1">IF(D84=100%,"Excavation","")&amp;IF(D85=100%,", Plinth","")&amp;IF(D86=100%,", RCC Slab","")&amp;IF(D87=100%,", Brickwork","")&amp;IF(D88=100%,", Internal Plaster","")&amp;IF(D89=100%,", External Plaster","")&amp;IF(D90=100%,", Flooring","")&amp;IF(D91=100%,", Painting","")&amp;IF(D92=100%,", Building common Amenities","")</f>
        <v>Excavation, Plinth</v>
      </c>
      <c r="J81" s="50" t="str">
        <f ca="1">(IF(C84=0,"Work not yet Started.",IF(D84=25%,"Piling work in process",IF(D84=50%,"Excavation work in process",IF(D84=100%,"","0")))))&amp;(IF(C85=0%,"",IF(C85=J86,", Footing work is process",IF(C85=J87,", Footing work Completed",IF(C85=J88,", 1st Basement Completed",IF(C85=J89,", 1st &amp; 2nd Basement Completed",IF(C85=J90,", 1st to 3rd Basement Completed",IF(C85=J91,", 1st to 4th Basement Completed",IF(C85=J92,", Plinth work is process",IF(C85=J93,"","0"))))))))))</f>
        <v/>
      </c>
      <c r="S81"/>
    </row>
    <row r="82" spans="1:19" x14ac:dyDescent="0.25">
      <c r="A82" s="213" t="s">
        <v>84</v>
      </c>
      <c r="B82" s="187"/>
      <c r="C82" s="186" t="str">
        <f ca="1">I80</f>
        <v>Excavation, Plinth Completed, RCC upto 2 Slab Completed</v>
      </c>
      <c r="D82" s="186"/>
      <c r="E82" s="186"/>
      <c r="F82" s="186"/>
      <c r="G82" s="186"/>
      <c r="H82" s="242"/>
      <c r="I82" s="49" t="str">
        <f ca="1">IF(I81&lt;&gt;""," Completed","")</f>
        <v xml:space="preserve"> Completed</v>
      </c>
      <c r="J82" s="50" t="str">
        <f ca="1">IF(J80&lt;&gt;"","Completed","")</f>
        <v>Completed</v>
      </c>
      <c r="S82"/>
    </row>
    <row r="83" spans="1:19" ht="15.75" customHeight="1" x14ac:dyDescent="0.25">
      <c r="A83" s="133" t="s">
        <v>47</v>
      </c>
      <c r="B83" s="134"/>
      <c r="C83" s="42" t="s">
        <v>133</v>
      </c>
      <c r="D83" s="42" t="s">
        <v>77</v>
      </c>
      <c r="E83" s="134" t="s">
        <v>79</v>
      </c>
      <c r="F83" s="134"/>
      <c r="G83" s="134" t="s">
        <v>78</v>
      </c>
      <c r="H83" s="235"/>
      <c r="I83" s="13" t="s">
        <v>135</v>
      </c>
      <c r="J83" s="27">
        <f ca="1">H81*25%</f>
        <v>4</v>
      </c>
      <c r="S83"/>
    </row>
    <row r="84" spans="1:19" x14ac:dyDescent="0.25">
      <c r="A84" s="133" t="s">
        <v>122</v>
      </c>
      <c r="B84" s="134"/>
      <c r="C84" s="104">
        <f ca="1">J85</f>
        <v>16</v>
      </c>
      <c r="D84" s="18">
        <f ca="1">((100/H81)*C84)/100</f>
        <v>1</v>
      </c>
      <c r="E84" s="259">
        <f ca="1">(((C85/H81*10)+(40/(D81+F81+H81)*C86)+(7.5/(H81)*C87)+(7.5/(H81)*C88)+(10/H81*C89)+(10/H81*C90)+(5/H81*C91)+(5/H81*C92)+(5/H81*C93))/100)</f>
        <v>0.14705882352941177</v>
      </c>
      <c r="F84" s="260"/>
      <c r="G84" s="259">
        <f ca="1">((((C84/H81)*20)+((C85/H81)*25)+(30/(H81+F81+D81)*C86)+(5/H81*C87)+(5/H81*C88)+(5/H81*C89)+(5/H81*C90)+(0/H81*C91)+(0/H81*C92)+(5/H81*C93))/100)</f>
        <v>0.48529411764705882</v>
      </c>
      <c r="H84" s="265"/>
      <c r="I84" s="13" t="s">
        <v>95</v>
      </c>
      <c r="J84" s="28">
        <f ca="1">H81*50%</f>
        <v>8</v>
      </c>
    </row>
    <row r="85" spans="1:19" x14ac:dyDescent="0.25">
      <c r="A85" s="133" t="s">
        <v>48</v>
      </c>
      <c r="B85" s="134"/>
      <c r="C85" s="104">
        <f ca="1">J93</f>
        <v>16</v>
      </c>
      <c r="D85" s="18">
        <f ca="1">((100/H81)*C85)/100</f>
        <v>1</v>
      </c>
      <c r="E85" s="261"/>
      <c r="F85" s="262"/>
      <c r="G85" s="261"/>
      <c r="H85" s="266"/>
      <c r="I85" s="13" t="s">
        <v>96</v>
      </c>
      <c r="J85" s="28">
        <f ca="1">H81</f>
        <v>16</v>
      </c>
      <c r="L85" s="90"/>
      <c r="S85"/>
    </row>
    <row r="86" spans="1:19" ht="15.75" customHeight="1" x14ac:dyDescent="0.25">
      <c r="A86" s="133" t="s">
        <v>123</v>
      </c>
      <c r="B86" s="134"/>
      <c r="C86" s="104">
        <v>2</v>
      </c>
      <c r="D86" s="18">
        <f ca="1">((100/(D81+F81+H81))*C86)/100</f>
        <v>0.11764705882352942</v>
      </c>
      <c r="E86" s="261"/>
      <c r="F86" s="262"/>
      <c r="G86" s="261"/>
      <c r="H86" s="266"/>
      <c r="I86" s="13" t="s">
        <v>97</v>
      </c>
      <c r="J86" s="29">
        <f ca="1">(IF(B81&gt;1,(H81/(B81+2)),H81/4))</f>
        <v>4</v>
      </c>
      <c r="S86"/>
    </row>
    <row r="87" spans="1:19" ht="15.75" customHeight="1" x14ac:dyDescent="0.25">
      <c r="A87" s="133" t="s">
        <v>130</v>
      </c>
      <c r="B87" s="134" t="s">
        <v>124</v>
      </c>
      <c r="C87" s="104">
        <v>0</v>
      </c>
      <c r="D87" s="18">
        <f ca="1">((100/H81)*C87)/100</f>
        <v>0</v>
      </c>
      <c r="E87" s="261"/>
      <c r="F87" s="262"/>
      <c r="G87" s="261"/>
      <c r="H87" s="266"/>
      <c r="I87" s="13" t="s">
        <v>98</v>
      </c>
      <c r="J87" s="29">
        <f ca="1">(IF(B81&gt;1,(H81/(B81+2)+J86),H81/4+J86))</f>
        <v>8</v>
      </c>
    </row>
    <row r="88" spans="1:19" ht="15.75" customHeight="1" x14ac:dyDescent="0.25">
      <c r="A88" s="133" t="s">
        <v>131</v>
      </c>
      <c r="B88" s="134" t="s">
        <v>124</v>
      </c>
      <c r="C88" s="104">
        <v>0</v>
      </c>
      <c r="D88" s="18">
        <f ca="1">((100/H81)*C88)/100</f>
        <v>0</v>
      </c>
      <c r="E88" s="261"/>
      <c r="F88" s="262"/>
      <c r="G88" s="261"/>
      <c r="H88" s="266"/>
      <c r="I88" s="13" t="s">
        <v>140</v>
      </c>
      <c r="J88" s="29">
        <f>(IF(B81&gt;1,(H81/(B81+2)+J87),0))</f>
        <v>0</v>
      </c>
    </row>
    <row r="89" spans="1:19" ht="15" customHeight="1" x14ac:dyDescent="0.25">
      <c r="A89" s="133" t="s">
        <v>129</v>
      </c>
      <c r="B89" s="134" t="s">
        <v>126</v>
      </c>
      <c r="C89" s="104">
        <v>0</v>
      </c>
      <c r="D89" s="18">
        <f ca="1">((100/(H81))*C89)/100</f>
        <v>0</v>
      </c>
      <c r="E89" s="261"/>
      <c r="F89" s="262"/>
      <c r="G89" s="261"/>
      <c r="H89" s="266"/>
      <c r="I89" s="13" t="s">
        <v>137</v>
      </c>
      <c r="J89" s="29">
        <f>(IF(B81&gt;2,(H81/(B81+2)+J88),0))</f>
        <v>0</v>
      </c>
    </row>
    <row r="90" spans="1:19" ht="15.75" customHeight="1" x14ac:dyDescent="0.25">
      <c r="A90" s="133" t="s">
        <v>125</v>
      </c>
      <c r="B90" s="134" t="s">
        <v>125</v>
      </c>
      <c r="C90" s="104">
        <v>0</v>
      </c>
      <c r="D90" s="18">
        <f ca="1">((100/H81)*C90)/100</f>
        <v>0</v>
      </c>
      <c r="E90" s="261"/>
      <c r="F90" s="262"/>
      <c r="G90" s="261"/>
      <c r="H90" s="266"/>
      <c r="I90" s="13" t="s">
        <v>138</v>
      </c>
      <c r="J90" s="30">
        <f>(IF(B81&gt;3,(H81/(B81+2)+J89),0))</f>
        <v>0</v>
      </c>
    </row>
    <row r="91" spans="1:19" ht="15.75" customHeight="1" x14ac:dyDescent="0.25">
      <c r="A91" s="133" t="s">
        <v>132</v>
      </c>
      <c r="B91" s="134"/>
      <c r="C91" s="104">
        <v>0</v>
      </c>
      <c r="D91" s="18">
        <f ca="1">((100/H81)*C91)/100</f>
        <v>0</v>
      </c>
      <c r="E91" s="261"/>
      <c r="F91" s="262"/>
      <c r="G91" s="261"/>
      <c r="H91" s="266"/>
      <c r="I91" s="13" t="s">
        <v>139</v>
      </c>
      <c r="J91" s="29">
        <f>(IF(B81&gt;4,(H81/(B81+2)+J90),0))</f>
        <v>0</v>
      </c>
    </row>
    <row r="92" spans="1:19" ht="15.75" customHeight="1" x14ac:dyDescent="0.25">
      <c r="A92" s="133" t="s">
        <v>127</v>
      </c>
      <c r="B92" s="134" t="s">
        <v>127</v>
      </c>
      <c r="C92" s="104">
        <v>0</v>
      </c>
      <c r="D92" s="18">
        <f ca="1">((100/(H81))*C92)/100</f>
        <v>0</v>
      </c>
      <c r="E92" s="261"/>
      <c r="F92" s="262"/>
      <c r="G92" s="261"/>
      <c r="H92" s="266"/>
      <c r="I92" s="13" t="s">
        <v>141</v>
      </c>
      <c r="J92" s="29">
        <f ca="1">(IF(B81=1,(H81/(B81+3)+J87),IF(B81=0,(H81/4+J87),IF(B81&gt;1,0))))</f>
        <v>12</v>
      </c>
    </row>
    <row r="93" spans="1:19" ht="16.5" thickBot="1" x14ac:dyDescent="0.3">
      <c r="A93" s="143" t="s">
        <v>128</v>
      </c>
      <c r="B93" s="144"/>
      <c r="C93" s="105">
        <v>0</v>
      </c>
      <c r="D93" s="19">
        <f ca="1">((100/(H81))*C93)/100</f>
        <v>0</v>
      </c>
      <c r="E93" s="263"/>
      <c r="F93" s="264"/>
      <c r="G93" s="263"/>
      <c r="H93" s="267"/>
      <c r="I93" s="14" t="s">
        <v>99</v>
      </c>
      <c r="J93" s="31">
        <f ca="1">(IF(B81&gt;1.5,(H81/(B81+2)+J87+MAX(0,J88-J87)+MAX(0,J89-J88)+MAX(0,J90-J89)+MAX(0,J91-J90)+MAX(0,J92-J91)),IF(B81=1,(H81/(B81+3)+J92),IF(B81=0,H81/4+J92))))</f>
        <v>16</v>
      </c>
    </row>
    <row r="94" spans="1:19" ht="15.75" customHeight="1" x14ac:dyDescent="0.25">
      <c r="A94" s="250" t="s">
        <v>134</v>
      </c>
      <c r="B94" s="251"/>
      <c r="C94" s="245" t="str">
        <f>D71</f>
        <v>Wing B = G + 1st to 16th Floor</v>
      </c>
      <c r="D94" s="246"/>
      <c r="E94" s="246"/>
      <c r="F94" s="246"/>
      <c r="G94" s="246"/>
      <c r="H94" s="247"/>
      <c r="I94" s="47" t="str">
        <f ca="1">IF(D107=100%,"All work Completed. Possession granted to the Building.",IF(D106=100%,"All work Completed, Waiting for OC",I95&amp;""&amp;I96&amp;""&amp;J95&amp;""&amp;J94&amp;" "&amp;J96))</f>
        <v>Excavation, Plinth Completed, RCC upto 2 Slab Completed</v>
      </c>
      <c r="J94" s="48" t="str">
        <f ca="1">(IF(C100=(D95+F95+H95),"",IF(C100&gt;0,", RCC upto "&amp;C100&amp;" Slab","")))&amp;(IF(C101=H95,"",IF(C101&gt;0,", Brickwork upto "&amp;C101&amp;" Floor","")))&amp;(IF(C102=H95,"",IF(C102&gt;0,", Internal Plaster upto "&amp;C102&amp;" Floor","")))&amp;(IF(C103=H95,"",IF(C103&gt;0,", External Plaster upto "&amp;C103&amp;" Floor","")))&amp;(IF(C104=H95,"",IF(C104&gt;0,", Flooring upto "&amp;C104&amp;" Floor","")))&amp;(IF(C105=H95,"",IF(C105&gt;0,", Painting upto "&amp;C105&amp;" Floor","")))&amp;(IF(C106=H95,"",IF(C106&gt;0,", Finishing upto "&amp;C106&amp;" Floor","")))&amp;(IF(C107=H95,"",IF(C107&gt;0,", Possession upto "&amp;C107&amp;" Floor","")))</f>
        <v>, RCC upto 2 Slab</v>
      </c>
      <c r="S94"/>
    </row>
    <row r="95" spans="1:19" x14ac:dyDescent="0.25">
      <c r="A95" s="15" t="s">
        <v>136</v>
      </c>
      <c r="B95" s="45">
        <f>IF(AND(ISNUMBER(SEARCH("1B",C94))),1,IF(AND(ISNUMBER(SEARCH("2B",C94))),2,IF(AND(ISNUMBER(SEARCH("3B",C94))),3,IF(AND(ISNUMBER(SEARCH("4B",C94))),4,IF(ISNUMBER(SEARCH("5B",C94)),5,0)))))</f>
        <v>0</v>
      </c>
      <c r="C95" s="45" t="s">
        <v>67</v>
      </c>
      <c r="D95" s="45">
        <v>1</v>
      </c>
      <c r="E95" s="45" t="s">
        <v>66</v>
      </c>
      <c r="F95" s="45">
        <v>0</v>
      </c>
      <c r="G95" s="46" t="s">
        <v>74</v>
      </c>
      <c r="H95" s="16">
        <f ca="1">--TRIM(RIGHT(SUBSTITUTE(LEFT(C94,_xlfn.AGGREGATE(16,6,FIND({0,1,2,3,4,5,6,7,8,9},C94,ROW(INDIRECT("1:"&amp;LEN(C94)))),1))," ",REPT(" ",LEN(C94))),LEN(C94)))</f>
        <v>16</v>
      </c>
      <c r="I95" s="49" t="str">
        <f ca="1">IF(D98=100%,"Excavation","")&amp;IF(D99=100%,", Plinth","")&amp;IF(D100=100%,", RCC Slab","")&amp;IF(D101=100%,", Brickwork","")&amp;IF(D102=100%,", Internal Plaster","")&amp;IF(D103=100%,", External Plaster","")&amp;IF(D104=100%,", Flooring","")&amp;IF(D105=100%,", Painting","")&amp;IF(D106=100%,", Building common Amenities","")</f>
        <v>Excavation, Plinth</v>
      </c>
      <c r="J95" s="50" t="str">
        <f ca="1">(IF(C98=0,"Work not yet Started.",IF(D98=25%,"Piling work in process",IF(D98=50%,"Excavation work in process",IF(D98=100%,"","0")))))&amp;(IF(C99=0%,"",IF(C99=J100,", Footing work is process",IF(C99=J101,", Footing work Completed",IF(C99=J102,", 1st Basement Completed",IF(C99=J103,", 1st &amp; 2nd Basement Completed",IF(C99=J104,", 1st to 3rd Basement Completed",IF(C99=J105,", 1st to 4th Basement Completed",IF(C99=J106,", Plinth work is process",IF(C99=J107,"","0"))))))))))</f>
        <v/>
      </c>
      <c r="S95"/>
    </row>
    <row r="96" spans="1:19" x14ac:dyDescent="0.25">
      <c r="A96" s="213" t="s">
        <v>84</v>
      </c>
      <c r="B96" s="187"/>
      <c r="C96" s="186" t="str">
        <f ca="1">I94</f>
        <v>Excavation, Plinth Completed, RCC upto 2 Slab Completed</v>
      </c>
      <c r="D96" s="186"/>
      <c r="E96" s="186"/>
      <c r="F96" s="186"/>
      <c r="G96" s="186"/>
      <c r="H96" s="242"/>
      <c r="I96" s="49" t="str">
        <f ca="1">IF(I95&lt;&gt;""," Completed","")</f>
        <v xml:space="preserve"> Completed</v>
      </c>
      <c r="J96" s="50" t="str">
        <f ca="1">IF(J94&lt;&gt;"","Completed","")</f>
        <v>Completed</v>
      </c>
      <c r="S96"/>
    </row>
    <row r="97" spans="1:19" ht="15.75" customHeight="1" x14ac:dyDescent="0.25">
      <c r="A97" s="133" t="s">
        <v>47</v>
      </c>
      <c r="B97" s="134"/>
      <c r="C97" s="42" t="s">
        <v>133</v>
      </c>
      <c r="D97" s="42" t="s">
        <v>77</v>
      </c>
      <c r="E97" s="134" t="s">
        <v>79</v>
      </c>
      <c r="F97" s="134"/>
      <c r="G97" s="134" t="s">
        <v>78</v>
      </c>
      <c r="H97" s="235"/>
      <c r="I97" s="13" t="s">
        <v>135</v>
      </c>
      <c r="J97" s="27">
        <f ca="1">H95*25%</f>
        <v>4</v>
      </c>
      <c r="S97"/>
    </row>
    <row r="98" spans="1:19" x14ac:dyDescent="0.25">
      <c r="A98" s="133" t="s">
        <v>122</v>
      </c>
      <c r="B98" s="134"/>
      <c r="C98" s="104">
        <f ca="1">J99</f>
        <v>16</v>
      </c>
      <c r="D98" s="18">
        <f ca="1">((100/H95)*C98)/100</f>
        <v>1</v>
      </c>
      <c r="E98" s="259">
        <f ca="1">(((C99/H95*10)+(40/(D95+F95+H95)*C100)+(7.5/(H95)*C101)+(7.5/(H95)*C102)+(10/H95*C103)+(10/H95*C104)+(5/H95*C105)+(5/H95*C106)+(5/H95*C107))/100)</f>
        <v>0.14705882352941177</v>
      </c>
      <c r="F98" s="260"/>
      <c r="G98" s="259">
        <f ca="1">((((C98/H95)*20)+((C99/H95)*25)+(30/(H95+F95+D95)*C100)+(5/H95*C101)+(5/H95*C102)+(5/H95*C103)+(5/H95*C104)+(0/H95*C105)+(0/H95*C106)+(5/H95*C107))/100)</f>
        <v>0.48529411764705882</v>
      </c>
      <c r="H98" s="265"/>
      <c r="I98" s="13" t="s">
        <v>95</v>
      </c>
      <c r="J98" s="28">
        <f ca="1">H95*50%</f>
        <v>8</v>
      </c>
    </row>
    <row r="99" spans="1:19" x14ac:dyDescent="0.25">
      <c r="A99" s="133" t="s">
        <v>48</v>
      </c>
      <c r="B99" s="134"/>
      <c r="C99" s="104">
        <f ca="1">J107</f>
        <v>16</v>
      </c>
      <c r="D99" s="18">
        <f ca="1">((100/H95)*C99)/100</f>
        <v>1</v>
      </c>
      <c r="E99" s="261"/>
      <c r="F99" s="262"/>
      <c r="G99" s="261"/>
      <c r="H99" s="266"/>
      <c r="I99" s="13" t="s">
        <v>96</v>
      </c>
      <c r="J99" s="28">
        <f ca="1">H95</f>
        <v>16</v>
      </c>
      <c r="S99"/>
    </row>
    <row r="100" spans="1:19" ht="15.75" customHeight="1" x14ac:dyDescent="0.25">
      <c r="A100" s="133" t="s">
        <v>123</v>
      </c>
      <c r="B100" s="134"/>
      <c r="C100" s="104">
        <v>2</v>
      </c>
      <c r="D100" s="18">
        <f ca="1">((100/(D95+F95+H95))*C100)/100</f>
        <v>0.11764705882352942</v>
      </c>
      <c r="E100" s="261"/>
      <c r="F100" s="262"/>
      <c r="G100" s="261"/>
      <c r="H100" s="266"/>
      <c r="I100" s="13" t="s">
        <v>97</v>
      </c>
      <c r="J100" s="29">
        <f ca="1">(IF(B95&gt;1,(H95/(B95+2)),H95/4))</f>
        <v>4</v>
      </c>
      <c r="S100"/>
    </row>
    <row r="101" spans="1:19" ht="15.75" customHeight="1" x14ac:dyDescent="0.25">
      <c r="A101" s="133" t="s">
        <v>130</v>
      </c>
      <c r="B101" s="134" t="s">
        <v>124</v>
      </c>
      <c r="C101" s="104">
        <v>0</v>
      </c>
      <c r="D101" s="18">
        <f ca="1">((100/H95)*C101)/100</f>
        <v>0</v>
      </c>
      <c r="E101" s="261"/>
      <c r="F101" s="262"/>
      <c r="G101" s="261"/>
      <c r="H101" s="266"/>
      <c r="I101" s="13" t="s">
        <v>98</v>
      </c>
      <c r="J101" s="29">
        <f ca="1">(IF(B95&gt;1,(H95/(B95+2)+J100),H95/4+J100))</f>
        <v>8</v>
      </c>
    </row>
    <row r="102" spans="1:19" ht="15.75" customHeight="1" x14ac:dyDescent="0.25">
      <c r="A102" s="133" t="s">
        <v>131</v>
      </c>
      <c r="B102" s="134" t="s">
        <v>124</v>
      </c>
      <c r="C102" s="104">
        <v>0</v>
      </c>
      <c r="D102" s="18">
        <f ca="1">((100/H95)*C102)/100</f>
        <v>0</v>
      </c>
      <c r="E102" s="261"/>
      <c r="F102" s="262"/>
      <c r="G102" s="261"/>
      <c r="H102" s="266"/>
      <c r="I102" s="13" t="s">
        <v>140</v>
      </c>
      <c r="J102" s="29">
        <f>(IF(B95&gt;1,(H95/(B95+2)+J101),0))</f>
        <v>0</v>
      </c>
    </row>
    <row r="103" spans="1:19" ht="15" customHeight="1" x14ac:dyDescent="0.25">
      <c r="A103" s="133" t="s">
        <v>129</v>
      </c>
      <c r="B103" s="134" t="s">
        <v>126</v>
      </c>
      <c r="C103" s="104">
        <v>0</v>
      </c>
      <c r="D103" s="18">
        <f ca="1">((100/(H95))*C103)/100</f>
        <v>0</v>
      </c>
      <c r="E103" s="261"/>
      <c r="F103" s="262"/>
      <c r="G103" s="261"/>
      <c r="H103" s="266"/>
      <c r="I103" s="13" t="s">
        <v>137</v>
      </c>
      <c r="J103" s="29">
        <f>(IF(B95&gt;2,(H95/(B95+2)+J102),0))</f>
        <v>0</v>
      </c>
    </row>
    <row r="104" spans="1:19" ht="15.75" customHeight="1" x14ac:dyDescent="0.25">
      <c r="A104" s="133" t="s">
        <v>125</v>
      </c>
      <c r="B104" s="134" t="s">
        <v>125</v>
      </c>
      <c r="C104" s="104">
        <v>0</v>
      </c>
      <c r="D104" s="18">
        <f ca="1">((100/H95)*C104)/100</f>
        <v>0</v>
      </c>
      <c r="E104" s="261"/>
      <c r="F104" s="262"/>
      <c r="G104" s="261"/>
      <c r="H104" s="266"/>
      <c r="I104" s="13" t="s">
        <v>138</v>
      </c>
      <c r="J104" s="30">
        <f>(IF(B95&gt;3,(H95/(B95+2)+J103),0))</f>
        <v>0</v>
      </c>
    </row>
    <row r="105" spans="1:19" ht="15.75" customHeight="1" x14ac:dyDescent="0.25">
      <c r="A105" s="133" t="s">
        <v>132</v>
      </c>
      <c r="B105" s="134"/>
      <c r="C105" s="104">
        <v>0</v>
      </c>
      <c r="D105" s="18">
        <f ca="1">((100/H95)*C105)/100</f>
        <v>0</v>
      </c>
      <c r="E105" s="261"/>
      <c r="F105" s="262"/>
      <c r="G105" s="261"/>
      <c r="H105" s="266"/>
      <c r="I105" s="13" t="s">
        <v>139</v>
      </c>
      <c r="J105" s="29">
        <f>(IF(B95&gt;4,(H95/(B95+2)+J104),0))</f>
        <v>0</v>
      </c>
    </row>
    <row r="106" spans="1:19" ht="15.75" customHeight="1" x14ac:dyDescent="0.25">
      <c r="A106" s="133" t="s">
        <v>127</v>
      </c>
      <c r="B106" s="134" t="s">
        <v>127</v>
      </c>
      <c r="C106" s="104">
        <v>0</v>
      </c>
      <c r="D106" s="18">
        <f ca="1">((100/(H95))*C106)/100</f>
        <v>0</v>
      </c>
      <c r="E106" s="261"/>
      <c r="F106" s="262"/>
      <c r="G106" s="261"/>
      <c r="H106" s="266"/>
      <c r="I106" s="13" t="s">
        <v>141</v>
      </c>
      <c r="J106" s="29">
        <f ca="1">(IF(B95=1,(H95/(B95+3)+J101),IF(B95=0,(H95/4+J101),IF(B95&gt;1,0))))</f>
        <v>12</v>
      </c>
    </row>
    <row r="107" spans="1:19" ht="16.5" thickBot="1" x14ac:dyDescent="0.3">
      <c r="A107" s="143" t="s">
        <v>128</v>
      </c>
      <c r="B107" s="144"/>
      <c r="C107" s="105">
        <v>0</v>
      </c>
      <c r="D107" s="19">
        <f ca="1">((100/(H95))*C107)/100</f>
        <v>0</v>
      </c>
      <c r="E107" s="263"/>
      <c r="F107" s="264"/>
      <c r="G107" s="263"/>
      <c r="H107" s="267"/>
      <c r="I107" s="14" t="s">
        <v>99</v>
      </c>
      <c r="J107" s="31">
        <f ca="1">(IF(B95&gt;1.5,(H95/(B95+2)+J101+MAX(0,J102-J101)+MAX(0,J103-J102)+MAX(0,J104-J103)+MAX(0,J105-J104)+MAX(0,J106-J105)),IF(B95=1,(H95/(B95+3)+J106),IF(B95=0,H95/4+J106))))</f>
        <v>16</v>
      </c>
    </row>
    <row r="108" spans="1:19" ht="15.75" customHeight="1" x14ac:dyDescent="0.25">
      <c r="A108" s="250" t="s">
        <v>134</v>
      </c>
      <c r="B108" s="251"/>
      <c r="C108" s="245" t="str">
        <f>D72</f>
        <v>Wing C = G + 1st to 16th Floor</v>
      </c>
      <c r="D108" s="246"/>
      <c r="E108" s="246"/>
      <c r="F108" s="246"/>
      <c r="G108" s="246"/>
      <c r="H108" s="247"/>
      <c r="I108" s="47" t="str">
        <f ca="1">IF(D121=100%,"All work Completed. Possession granted to the Building.",IF(D120=100%,"All work Completed, Waiting for OC",I109&amp;""&amp;I110&amp;""&amp;J109&amp;""&amp;J108&amp;" "&amp;J110))</f>
        <v>Excavation, Plinth Completed, RCC upto 2 Slab Completed</v>
      </c>
      <c r="J108" s="48" t="str">
        <f ca="1">(IF(C114=(D109+F109+H109),"",IF(C114&gt;0,", RCC upto "&amp;C114&amp;" Slab","")))&amp;(IF(C115=H109,"",IF(C115&gt;0,", Brickwork upto "&amp;C115&amp;" Floor","")))&amp;(IF(C116=H109,"",IF(C116&gt;0,", Internal Plaster upto "&amp;C116&amp;" Floor","")))&amp;(IF(C117=H109,"",IF(C117&gt;0,", External Plaster upto "&amp;C117&amp;" Floor","")))&amp;(IF(C118=H109,"",IF(C118&gt;0,", Flooring upto "&amp;C118&amp;" Floor","")))&amp;(IF(C119=H109,"",IF(C119&gt;0,", Painting upto "&amp;C119&amp;" Floor","")))&amp;(IF(C120=H109,"",IF(C120&gt;0,", Finishing upto "&amp;C120&amp;" Floor","")))&amp;(IF(C121=H109,"",IF(C121&gt;0,", Possession upto "&amp;C121&amp;" Floor","")))</f>
        <v>, RCC upto 2 Slab</v>
      </c>
      <c r="S108"/>
    </row>
    <row r="109" spans="1:19" x14ac:dyDescent="0.25">
      <c r="A109" s="15" t="s">
        <v>136</v>
      </c>
      <c r="B109" s="45">
        <f>IF(AND(ISNUMBER(SEARCH("1B",C108))),1,IF(AND(ISNUMBER(SEARCH("2B",C108))),2,IF(AND(ISNUMBER(SEARCH("3B",C108))),3,IF(AND(ISNUMBER(SEARCH("4B",C108))),4,IF(ISNUMBER(SEARCH("5B",C108)),5,0)))))</f>
        <v>0</v>
      </c>
      <c r="C109" s="45" t="s">
        <v>67</v>
      </c>
      <c r="D109" s="45">
        <v>1</v>
      </c>
      <c r="E109" s="45" t="s">
        <v>66</v>
      </c>
      <c r="F109" s="45">
        <v>0</v>
      </c>
      <c r="G109" s="46" t="s">
        <v>74</v>
      </c>
      <c r="H109" s="16">
        <f ca="1">--TRIM(RIGHT(SUBSTITUTE(LEFT(C108,_xlfn.AGGREGATE(16,6,FIND({0,1,2,3,4,5,6,7,8,9},C108,ROW(INDIRECT("1:"&amp;LEN(C108)))),1))," ",REPT(" ",LEN(C108))),LEN(C108)))</f>
        <v>16</v>
      </c>
      <c r="I109" s="49" t="str">
        <f ca="1">IF(D112=100%,"Excavation","")&amp;IF(D113=100%,", Plinth","")&amp;IF(D114=100%,", RCC Slab","")&amp;IF(D115=100%,", Brickwork","")&amp;IF(D116=100%,", Internal Plaster","")&amp;IF(D117=100%,", External Plaster","")&amp;IF(D118=100%,", Flooring","")&amp;IF(D119=100%,", Painting","")&amp;IF(D120=100%,", Building common Amenities","")</f>
        <v>Excavation, Plinth</v>
      </c>
      <c r="J109" s="50"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c>
      <c r="S109"/>
    </row>
    <row r="110" spans="1:19" x14ac:dyDescent="0.25">
      <c r="A110" s="213" t="s">
        <v>84</v>
      </c>
      <c r="B110" s="187"/>
      <c r="C110" s="186" t="str">
        <f ca="1">I108</f>
        <v>Excavation, Plinth Completed, RCC upto 2 Slab Completed</v>
      </c>
      <c r="D110" s="186"/>
      <c r="E110" s="186"/>
      <c r="F110" s="186"/>
      <c r="G110" s="186"/>
      <c r="H110" s="242"/>
      <c r="I110" s="49" t="str">
        <f ca="1">IF(I109&lt;&gt;""," Completed","")</f>
        <v xml:space="preserve"> Completed</v>
      </c>
      <c r="J110" s="50" t="str">
        <f ca="1">IF(J108&lt;&gt;"","Completed","")</f>
        <v>Completed</v>
      </c>
      <c r="S110"/>
    </row>
    <row r="111" spans="1:19" ht="15.75" customHeight="1" x14ac:dyDescent="0.25">
      <c r="A111" s="133" t="s">
        <v>47</v>
      </c>
      <c r="B111" s="134"/>
      <c r="C111" s="42" t="s">
        <v>133</v>
      </c>
      <c r="D111" s="42" t="s">
        <v>77</v>
      </c>
      <c r="E111" s="134" t="s">
        <v>79</v>
      </c>
      <c r="F111" s="134"/>
      <c r="G111" s="134" t="s">
        <v>78</v>
      </c>
      <c r="H111" s="235"/>
      <c r="I111" s="13" t="s">
        <v>135</v>
      </c>
      <c r="J111" s="27">
        <f ca="1">H109*25%</f>
        <v>4</v>
      </c>
      <c r="S111"/>
    </row>
    <row r="112" spans="1:19" x14ac:dyDescent="0.25">
      <c r="A112" s="133" t="s">
        <v>122</v>
      </c>
      <c r="B112" s="134"/>
      <c r="C112" s="104">
        <f ca="1">J113</f>
        <v>16</v>
      </c>
      <c r="D112" s="18">
        <f ca="1">((100/H109)*C112)/100</f>
        <v>1</v>
      </c>
      <c r="E112" s="259">
        <f ca="1">(((C113/H109*10)+(40/(D109+F109+H109)*C114)+(7.5/(H109)*C115)+(7.5/(H109)*C116)+(10/H109*C117)+(10/H109*C118)+(5/H109*C119)+(5/H109*C120)+(5/H109*C121))/100)</f>
        <v>0.14705882352941177</v>
      </c>
      <c r="F112" s="260"/>
      <c r="G112" s="259">
        <f ca="1">((((C112/H109)*20)+((C113/H109)*25)+(30/(H109+F109+D109)*C114)+(5/H109*C115)+(5/H109*C116)+(5/H109*C117)+(5/H109*C118)+(0/H109*C119)+(0/H109*C120)+(5/H109*C121))/100)</f>
        <v>0.48529411764705882</v>
      </c>
      <c r="H112" s="265"/>
      <c r="I112" s="13" t="s">
        <v>95</v>
      </c>
      <c r="J112" s="28">
        <f ca="1">H109*50%</f>
        <v>8</v>
      </c>
    </row>
    <row r="113" spans="1:22" x14ac:dyDescent="0.25">
      <c r="A113" s="133" t="s">
        <v>48</v>
      </c>
      <c r="B113" s="134"/>
      <c r="C113" s="104">
        <f ca="1">J121</f>
        <v>16</v>
      </c>
      <c r="D113" s="18">
        <f ca="1">((100/H109)*C113)/100</f>
        <v>1</v>
      </c>
      <c r="E113" s="261"/>
      <c r="F113" s="262"/>
      <c r="G113" s="261"/>
      <c r="H113" s="266"/>
      <c r="I113" s="13" t="s">
        <v>96</v>
      </c>
      <c r="J113" s="28">
        <f ca="1">H109</f>
        <v>16</v>
      </c>
      <c r="S113"/>
    </row>
    <row r="114" spans="1:22" ht="15.75" customHeight="1" x14ac:dyDescent="0.25">
      <c r="A114" s="133" t="s">
        <v>123</v>
      </c>
      <c r="B114" s="134"/>
      <c r="C114" s="104">
        <v>2</v>
      </c>
      <c r="D114" s="18">
        <f ca="1">((100/(D109+F109+H109))*C114)/100</f>
        <v>0.11764705882352942</v>
      </c>
      <c r="E114" s="261"/>
      <c r="F114" s="262"/>
      <c r="G114" s="261"/>
      <c r="H114" s="266"/>
      <c r="I114" s="13" t="s">
        <v>97</v>
      </c>
      <c r="J114" s="29">
        <f ca="1">(IF(B109&gt;1,(H109/(B109+2)),H109/4))</f>
        <v>4</v>
      </c>
      <c r="S114"/>
    </row>
    <row r="115" spans="1:22" ht="15.75" customHeight="1" x14ac:dyDescent="0.25">
      <c r="A115" s="133" t="s">
        <v>130</v>
      </c>
      <c r="B115" s="134" t="s">
        <v>124</v>
      </c>
      <c r="C115" s="104">
        <v>0</v>
      </c>
      <c r="D115" s="18">
        <f ca="1">((100/H109)*C115)/100</f>
        <v>0</v>
      </c>
      <c r="E115" s="261"/>
      <c r="F115" s="262"/>
      <c r="G115" s="261"/>
      <c r="H115" s="266"/>
      <c r="I115" s="13" t="s">
        <v>98</v>
      </c>
      <c r="J115" s="29">
        <f ca="1">(IF(B109&gt;1,(H109/(B109+2)+J114),H109/4+J114))</f>
        <v>8</v>
      </c>
    </row>
    <row r="116" spans="1:22" ht="15.75" customHeight="1" x14ac:dyDescent="0.25">
      <c r="A116" s="133" t="s">
        <v>131</v>
      </c>
      <c r="B116" s="134" t="s">
        <v>124</v>
      </c>
      <c r="C116" s="104">
        <v>0</v>
      </c>
      <c r="D116" s="18">
        <f ca="1">((100/H109)*C116)/100</f>
        <v>0</v>
      </c>
      <c r="E116" s="261"/>
      <c r="F116" s="262"/>
      <c r="G116" s="261"/>
      <c r="H116" s="266"/>
      <c r="I116" s="13" t="s">
        <v>140</v>
      </c>
      <c r="J116" s="29">
        <f>(IF(B109&gt;1,(H109/(B109+2)+J115),0))</f>
        <v>0</v>
      </c>
    </row>
    <row r="117" spans="1:22" ht="15" customHeight="1" x14ac:dyDescent="0.25">
      <c r="A117" s="133" t="s">
        <v>129</v>
      </c>
      <c r="B117" s="134" t="s">
        <v>126</v>
      </c>
      <c r="C117" s="104">
        <v>0</v>
      </c>
      <c r="D117" s="18">
        <f ca="1">((100/(H109))*C117)/100</f>
        <v>0</v>
      </c>
      <c r="E117" s="261"/>
      <c r="F117" s="262"/>
      <c r="G117" s="261"/>
      <c r="H117" s="266"/>
      <c r="I117" s="13" t="s">
        <v>137</v>
      </c>
      <c r="J117" s="29">
        <f>(IF(B109&gt;2,(H109/(B109+2)+J116),0))</f>
        <v>0</v>
      </c>
    </row>
    <row r="118" spans="1:22" ht="15.75" customHeight="1" x14ac:dyDescent="0.25">
      <c r="A118" s="133" t="s">
        <v>125</v>
      </c>
      <c r="B118" s="134" t="s">
        <v>125</v>
      </c>
      <c r="C118" s="104">
        <v>0</v>
      </c>
      <c r="D118" s="18">
        <f ca="1">((100/H109)*C118)/100</f>
        <v>0</v>
      </c>
      <c r="E118" s="261"/>
      <c r="F118" s="262"/>
      <c r="G118" s="261"/>
      <c r="H118" s="266"/>
      <c r="I118" s="13" t="s">
        <v>138</v>
      </c>
      <c r="J118" s="30">
        <f>(IF(B109&gt;3,(H109/(B109+2)+J117),0))</f>
        <v>0</v>
      </c>
    </row>
    <row r="119" spans="1:22" ht="15.75" customHeight="1" x14ac:dyDescent="0.25">
      <c r="A119" s="133" t="s">
        <v>132</v>
      </c>
      <c r="B119" s="134"/>
      <c r="C119" s="104">
        <v>0</v>
      </c>
      <c r="D119" s="18">
        <f ca="1">((100/H109)*C119)/100</f>
        <v>0</v>
      </c>
      <c r="E119" s="261"/>
      <c r="F119" s="262"/>
      <c r="G119" s="261"/>
      <c r="H119" s="266"/>
      <c r="I119" s="13" t="s">
        <v>139</v>
      </c>
      <c r="J119" s="29">
        <f>(IF(B109&gt;4,(H109/(B109+2)+J118),0))</f>
        <v>0</v>
      </c>
    </row>
    <row r="120" spans="1:22" ht="15.75" customHeight="1" x14ac:dyDescent="0.25">
      <c r="A120" s="133" t="s">
        <v>127</v>
      </c>
      <c r="B120" s="134" t="s">
        <v>127</v>
      </c>
      <c r="C120" s="104">
        <v>0</v>
      </c>
      <c r="D120" s="18">
        <f ca="1">((100/(H109))*C120)/100</f>
        <v>0</v>
      </c>
      <c r="E120" s="261"/>
      <c r="F120" s="262"/>
      <c r="G120" s="261"/>
      <c r="H120" s="266"/>
      <c r="I120" s="13" t="s">
        <v>141</v>
      </c>
      <c r="J120" s="29">
        <f ca="1">(IF(B109=1,(H109/(B109+3)+J115),IF(B109=0,(H109/4+J115),IF(B109&gt;1,0))))</f>
        <v>12</v>
      </c>
    </row>
    <row r="121" spans="1:22" ht="16.5" thickBot="1" x14ac:dyDescent="0.3">
      <c r="A121" s="143" t="s">
        <v>128</v>
      </c>
      <c r="B121" s="144"/>
      <c r="C121" s="105">
        <v>0</v>
      </c>
      <c r="D121" s="19">
        <f ca="1">((100/(H109))*C121)/100</f>
        <v>0</v>
      </c>
      <c r="E121" s="263"/>
      <c r="F121" s="264"/>
      <c r="G121" s="263"/>
      <c r="H121" s="267"/>
      <c r="I121" s="14" t="s">
        <v>99</v>
      </c>
      <c r="J121" s="31">
        <f ca="1">(IF(B109&gt;1.5,(H109/(B109+2)+J115+MAX(0,J116-J115)+MAX(0,J117-J116)+MAX(0,J118-J117)+MAX(0,J119-J118)+MAX(0,J120-J119)),IF(B109=1,(H109/(B109+3)+J120),IF(B109=0,H109/4+J120))))</f>
        <v>16</v>
      </c>
    </row>
    <row r="122" spans="1:22" x14ac:dyDescent="0.25">
      <c r="A122" s="165" t="s">
        <v>150</v>
      </c>
      <c r="B122" s="165"/>
      <c r="C122" s="165"/>
      <c r="D122" s="165"/>
      <c r="E122" s="165"/>
      <c r="F122" s="175" t="s">
        <v>154</v>
      </c>
      <c r="G122" s="175"/>
      <c r="H122" s="175"/>
      <c r="R122" t="s">
        <v>246</v>
      </c>
      <c r="S122" t="s">
        <v>165</v>
      </c>
      <c r="T122" t="s">
        <v>172</v>
      </c>
      <c r="U122" t="s">
        <v>186</v>
      </c>
      <c r="V122" t="s">
        <v>181</v>
      </c>
    </row>
    <row r="123" spans="1:22" x14ac:dyDescent="0.25">
      <c r="A123" s="150" t="s">
        <v>152</v>
      </c>
      <c r="B123" s="150"/>
      <c r="C123" s="150"/>
      <c r="D123" s="150"/>
      <c r="E123" s="150"/>
      <c r="F123" s="148">
        <v>17000</v>
      </c>
      <c r="G123" s="148"/>
      <c r="H123" s="148"/>
      <c r="R123"/>
      <c r="S123">
        <v>800000</v>
      </c>
      <c r="T123">
        <v>150000</v>
      </c>
      <c r="U123">
        <v>100000</v>
      </c>
      <c r="V123">
        <v>100000</v>
      </c>
    </row>
    <row r="124" spans="1:22" x14ac:dyDescent="0.25">
      <c r="A124" s="150" t="s">
        <v>151</v>
      </c>
      <c r="B124" s="150"/>
      <c r="C124" s="150"/>
      <c r="D124" s="150"/>
      <c r="E124" s="150"/>
      <c r="F124" s="148">
        <v>35000</v>
      </c>
      <c r="G124" s="148"/>
      <c r="H124" s="148"/>
      <c r="R124"/>
      <c r="S124">
        <v>900000</v>
      </c>
      <c r="T124">
        <v>200000</v>
      </c>
      <c r="U124">
        <v>150000</v>
      </c>
      <c r="V124">
        <v>150000</v>
      </c>
    </row>
    <row r="125" spans="1:22" hidden="1" x14ac:dyDescent="0.25">
      <c r="A125" s="150" t="s">
        <v>153</v>
      </c>
      <c r="B125" s="150"/>
      <c r="C125" s="150"/>
      <c r="D125" s="150"/>
      <c r="E125" s="150"/>
      <c r="F125" s="148"/>
      <c r="G125" s="148"/>
      <c r="H125" s="148"/>
      <c r="R125"/>
      <c r="S125">
        <v>1000000</v>
      </c>
      <c r="T125">
        <v>250000</v>
      </c>
      <c r="U125">
        <v>200000</v>
      </c>
      <c r="V125">
        <v>200000</v>
      </c>
    </row>
    <row r="126" spans="1:22" s="32" customFormat="1" hidden="1" x14ac:dyDescent="0.25">
      <c r="A126" s="150" t="s">
        <v>168</v>
      </c>
      <c r="B126" s="150"/>
      <c r="C126" s="150"/>
      <c r="D126" s="150"/>
      <c r="E126" s="150"/>
      <c r="F126" s="148"/>
      <c r="G126" s="148"/>
      <c r="H126" s="148"/>
      <c r="R126"/>
      <c r="S126">
        <v>1100000</v>
      </c>
      <c r="T126">
        <v>300000</v>
      </c>
      <c r="U126">
        <v>250000</v>
      </c>
      <c r="V126" s="22">
        <v>250000</v>
      </c>
    </row>
    <row r="127" spans="1:22" s="32" customFormat="1" hidden="1" x14ac:dyDescent="0.25">
      <c r="A127" s="150" t="s">
        <v>89</v>
      </c>
      <c r="B127" s="150"/>
      <c r="C127" s="150"/>
      <c r="D127" s="150"/>
      <c r="E127" s="150"/>
      <c r="F127" s="148"/>
      <c r="G127" s="148"/>
      <c r="H127" s="148"/>
      <c r="R127"/>
      <c r="S127">
        <v>1200000</v>
      </c>
      <c r="T127">
        <v>350000</v>
      </c>
      <c r="U127">
        <v>300000</v>
      </c>
      <c r="V127">
        <v>300000</v>
      </c>
    </row>
    <row r="128" spans="1:22" s="32" customFormat="1" hidden="1" x14ac:dyDescent="0.25">
      <c r="A128" s="150" t="s">
        <v>90</v>
      </c>
      <c r="B128" s="150"/>
      <c r="C128" s="150"/>
      <c r="D128" s="150"/>
      <c r="E128" s="150"/>
      <c r="F128" s="148"/>
      <c r="G128" s="148"/>
      <c r="H128" s="148"/>
      <c r="R128"/>
      <c r="S128">
        <v>1300000</v>
      </c>
      <c r="T128">
        <v>400000</v>
      </c>
      <c r="U128">
        <v>350000</v>
      </c>
      <c r="V128" s="22">
        <v>400000</v>
      </c>
    </row>
    <row r="129" spans="1:22" s="32" customFormat="1" hidden="1" x14ac:dyDescent="0.25">
      <c r="A129" s="150" t="s">
        <v>91</v>
      </c>
      <c r="B129" s="150"/>
      <c r="C129" s="150"/>
      <c r="D129" s="150"/>
      <c r="E129" s="150"/>
      <c r="F129" s="148"/>
      <c r="G129" s="148"/>
      <c r="H129" s="148"/>
      <c r="R129"/>
      <c r="S129">
        <v>1400000</v>
      </c>
      <c r="T129">
        <v>500000</v>
      </c>
      <c r="U129">
        <v>400000</v>
      </c>
      <c r="V129"/>
    </row>
    <row r="130" spans="1:22" s="32" customFormat="1" hidden="1" x14ac:dyDescent="0.25">
      <c r="A130" s="150" t="s">
        <v>92</v>
      </c>
      <c r="B130" s="150"/>
      <c r="C130" s="150"/>
      <c r="D130" s="150"/>
      <c r="E130" s="150"/>
      <c r="F130" s="148"/>
      <c r="G130" s="148"/>
      <c r="H130" s="148"/>
      <c r="R130"/>
      <c r="S130">
        <v>1500000</v>
      </c>
      <c r="T130">
        <v>600000</v>
      </c>
      <c r="U130">
        <v>500000</v>
      </c>
      <c r="V130" s="22"/>
    </row>
    <row r="131" spans="1:22" s="32" customFormat="1" hidden="1" x14ac:dyDescent="0.25">
      <c r="A131" s="150" t="s">
        <v>93</v>
      </c>
      <c r="B131" s="150"/>
      <c r="C131" s="150"/>
      <c r="D131" s="150"/>
      <c r="E131" s="150"/>
      <c r="F131" s="148"/>
      <c r="G131" s="148"/>
      <c r="H131" s="148"/>
      <c r="R131"/>
      <c r="S131">
        <v>1600000</v>
      </c>
      <c r="T131">
        <v>700000</v>
      </c>
      <c r="U131">
        <v>600000</v>
      </c>
      <c r="V131"/>
    </row>
    <row r="132" spans="1:22" s="32" customFormat="1" hidden="1" x14ac:dyDescent="0.25">
      <c r="A132" s="150" t="s">
        <v>94</v>
      </c>
      <c r="B132" s="150"/>
      <c r="C132" s="150"/>
      <c r="D132" s="150"/>
      <c r="E132" s="150"/>
      <c r="F132" s="148"/>
      <c r="G132" s="148"/>
      <c r="H132" s="148"/>
      <c r="R132"/>
      <c r="S132">
        <v>1700000</v>
      </c>
      <c r="T132">
        <v>800000</v>
      </c>
      <c r="U132"/>
      <c r="V132" s="22"/>
    </row>
    <row r="133" spans="1:22" x14ac:dyDescent="0.25">
      <c r="A133" s="150" t="s">
        <v>49</v>
      </c>
      <c r="B133" s="150"/>
      <c r="C133" s="150"/>
      <c r="D133" s="150"/>
      <c r="E133" s="150"/>
      <c r="F133" s="148">
        <v>1000000</v>
      </c>
      <c r="G133" s="148"/>
      <c r="H133" s="148"/>
      <c r="R133"/>
      <c r="S133">
        <v>1800000</v>
      </c>
      <c r="T133">
        <v>900000</v>
      </c>
      <c r="U133"/>
    </row>
    <row r="134" spans="1:22" s="33" customFormat="1" x14ac:dyDescent="0.25">
      <c r="A134" s="180" t="s">
        <v>50</v>
      </c>
      <c r="B134" s="180"/>
      <c r="C134" s="180"/>
      <c r="D134" s="180"/>
      <c r="E134" s="180"/>
      <c r="F134" s="148">
        <f>F123*0.8</f>
        <v>13600</v>
      </c>
      <c r="G134" s="148"/>
      <c r="H134" s="148"/>
      <c r="R134" s="20"/>
      <c r="S134" s="20"/>
      <c r="T134">
        <v>1000000</v>
      </c>
      <c r="U134"/>
      <c r="V134" s="20"/>
    </row>
    <row r="135" spans="1:22" s="34" customFormat="1" ht="15.75" customHeight="1" x14ac:dyDescent="0.25">
      <c r="A135" s="179" t="s">
        <v>460</v>
      </c>
      <c r="B135" s="179"/>
      <c r="C135" s="179"/>
      <c r="D135" s="179"/>
      <c r="E135" s="179"/>
      <c r="F135" s="179"/>
      <c r="G135" s="179"/>
      <c r="H135" s="179"/>
      <c r="R135"/>
      <c r="S135" s="20"/>
      <c r="T135"/>
      <c r="U135"/>
      <c r="V135" s="20"/>
    </row>
    <row r="136" spans="1:22" s="34" customFormat="1" ht="15.75" customHeight="1" x14ac:dyDescent="0.25">
      <c r="A136" s="149" t="s">
        <v>51</v>
      </c>
      <c r="B136" s="149"/>
      <c r="C136" s="154" t="s">
        <v>72</v>
      </c>
      <c r="D136" s="154"/>
      <c r="E136" s="145" t="s">
        <v>52</v>
      </c>
      <c r="F136" s="145"/>
      <c r="G136" s="149" t="s">
        <v>53</v>
      </c>
      <c r="H136" s="149"/>
      <c r="R136"/>
      <c r="S136" s="20"/>
      <c r="T136"/>
      <c r="U136" s="20"/>
      <c r="V136" s="20"/>
    </row>
    <row r="137" spans="1:22" s="34" customFormat="1" x14ac:dyDescent="0.25">
      <c r="A137" s="135" t="s">
        <v>419</v>
      </c>
      <c r="B137" s="135"/>
      <c r="C137" s="136">
        <f>COUNT(D160:D165)</f>
        <v>6</v>
      </c>
      <c r="D137" s="136"/>
      <c r="E137" s="136">
        <f>SUM(F160:F165)</f>
        <v>1832.9213682</v>
      </c>
      <c r="F137" s="136"/>
      <c r="G137" s="136">
        <f>SUM(H160:H165)</f>
        <v>2841.0281207099997</v>
      </c>
      <c r="H137" s="136"/>
      <c r="R137"/>
      <c r="S137" s="20"/>
      <c r="T137"/>
      <c r="U137" s="20"/>
      <c r="V137" s="20"/>
    </row>
    <row r="138" spans="1:22" s="34" customFormat="1" x14ac:dyDescent="0.25">
      <c r="A138" s="135" t="s">
        <v>420</v>
      </c>
      <c r="B138" s="135"/>
      <c r="C138" s="136">
        <f>COUNT(D168:D175)</f>
        <v>8</v>
      </c>
      <c r="D138" s="136"/>
      <c r="E138" s="136">
        <f>SUM(F168:F175)</f>
        <v>970.78040280000005</v>
      </c>
      <c r="F138" s="136"/>
      <c r="G138" s="136">
        <f>SUM(H168:H175)</f>
        <v>1504.7096243400001</v>
      </c>
      <c r="H138" s="136"/>
      <c r="R138"/>
      <c r="S138" s="20"/>
      <c r="T138"/>
      <c r="U138" s="20"/>
      <c r="V138" s="20"/>
    </row>
    <row r="139" spans="1:22" s="34" customFormat="1" x14ac:dyDescent="0.25">
      <c r="A139" s="135" t="s">
        <v>418</v>
      </c>
      <c r="B139" s="135"/>
      <c r="C139" s="136">
        <f>COUNT(D178:D186)</f>
        <v>9</v>
      </c>
      <c r="D139" s="136"/>
      <c r="E139" s="136">
        <f>SUM(F178:F186)</f>
        <v>1169.2793268</v>
      </c>
      <c r="F139" s="136"/>
      <c r="G139" s="136">
        <f>SUM(H178:H186)</f>
        <v>1812.3829565400001</v>
      </c>
      <c r="H139" s="136"/>
      <c r="R139"/>
      <c r="S139" s="20"/>
      <c r="T139"/>
      <c r="U139" s="20"/>
      <c r="V139" s="20"/>
    </row>
    <row r="140" spans="1:22" s="34" customFormat="1" x14ac:dyDescent="0.25">
      <c r="A140" s="179" t="s">
        <v>144</v>
      </c>
      <c r="B140" s="179"/>
      <c r="C140" s="268">
        <f>SUM(C137:D139)</f>
        <v>23</v>
      </c>
      <c r="D140" s="145"/>
      <c r="E140" s="268">
        <f>SUM(E137:F139)</f>
        <v>3972.9810978</v>
      </c>
      <c r="F140" s="145"/>
      <c r="G140" s="268">
        <f>SUM(G137:H139)</f>
        <v>6158.12070159</v>
      </c>
      <c r="H140" s="145"/>
      <c r="I140" s="98" t="s">
        <v>424</v>
      </c>
      <c r="R140"/>
      <c r="S140" s="20"/>
      <c r="T140"/>
      <c r="U140" s="20"/>
      <c r="V140" s="20"/>
    </row>
    <row r="141" spans="1:22" s="34" customFormat="1" x14ac:dyDescent="0.25">
      <c r="A141" s="179" t="s">
        <v>421</v>
      </c>
      <c r="B141" s="179"/>
      <c r="C141" s="179"/>
      <c r="D141" s="179"/>
      <c r="E141" s="179"/>
      <c r="F141" s="179"/>
      <c r="G141" s="179"/>
      <c r="H141" s="179"/>
      <c r="T141"/>
    </row>
    <row r="142" spans="1:22" s="34" customFormat="1" ht="15.75" customHeight="1" x14ac:dyDescent="0.25">
      <c r="A142" s="149" t="s">
        <v>51</v>
      </c>
      <c r="B142" s="149"/>
      <c r="C142" s="154" t="s">
        <v>72</v>
      </c>
      <c r="D142" s="154"/>
      <c r="E142" s="145" t="s">
        <v>52</v>
      </c>
      <c r="F142" s="145"/>
      <c r="G142" s="149" t="s">
        <v>53</v>
      </c>
      <c r="H142" s="149"/>
      <c r="T142"/>
    </row>
    <row r="143" spans="1:22" s="34" customFormat="1" x14ac:dyDescent="0.25">
      <c r="A143" s="135" t="s">
        <v>419</v>
      </c>
      <c r="B143" s="135"/>
      <c r="C143" s="136">
        <f>COUNT(D197:D200)+COUNT(D202:D205)+COUNT(D207:D210)*3+COUNT(D212:D215)*2+COUNT(D217:D220)*2+COUNT(D222:D223,D225)+COUNT(D227:D230)+COUNT(D232:D235)</f>
        <v>47</v>
      </c>
      <c r="D143" s="136"/>
      <c r="E143" s="136">
        <f t="shared" ref="E143" si="0">SUM(F197:F200)+SUM(F202:F205)+SUM(F207:F210)*3+SUM(F212:F215)*2+SUM(F217:F220)*2+SUM(F222:F223,F225)+SUM(F227:F230)+SUM(F232:F235)</f>
        <v>22649.178239999997</v>
      </c>
      <c r="F143" s="136"/>
      <c r="G143" s="136">
        <f t="shared" ref="G143" si="1">SUM(H197:H200)+SUM(H202:H205)+SUM(H207:H210)*3+SUM(H212:H215)*2+SUM(H217:H220)*2+SUM(H222:H223,H225)+SUM(H227:H230)+SUM(H232:H235)</f>
        <v>33973.767360000005</v>
      </c>
      <c r="H143" s="136"/>
      <c r="T143"/>
    </row>
    <row r="144" spans="1:22" s="34" customFormat="1" x14ac:dyDescent="0.25">
      <c r="A144" s="135" t="s">
        <v>420</v>
      </c>
      <c r="B144" s="135"/>
      <c r="C144" s="136">
        <f>COUNT(D240:D241)+COUNT(D243:D246)+COUNT(D248:D251)+COUNT(D253:D256)*3+COUNT(D258:D261)*2+COUNT(D263:D266)*2+COUNT(D268:D269,D271)+COUNT(D273:D276)+COUNT(D278:D281)</f>
        <v>49</v>
      </c>
      <c r="D144" s="136"/>
      <c r="E144" s="136">
        <f t="shared" ref="E144" si="2">SUM(F240:F241)+SUM(F243:F246)+SUM(F248:F251)+SUM(F253:F256)*3+SUM(F258:F261)*2+SUM(F263:F266)*2+SUM(F268:F269,F271)+SUM(F273:F276)+SUM(F278:F281)</f>
        <v>30315.837239999997</v>
      </c>
      <c r="F144" s="136"/>
      <c r="G144" s="136">
        <f>SUM(H240:H241)+SUM(H243:H246)+SUM(H248:H251)+SUM(H253:H256)*3+SUM(H258:H261)*2+SUM(H263:H266)*2+SUM(H268:H269,H271)+SUM(H273:H276)+SUM(H278:H281)</f>
        <v>45473.755859999997</v>
      </c>
      <c r="H144" s="136"/>
      <c r="T144"/>
    </row>
    <row r="145" spans="1:20" s="34" customFormat="1" x14ac:dyDescent="0.25">
      <c r="A145" s="135" t="s">
        <v>418</v>
      </c>
      <c r="B145" s="135"/>
      <c r="C145" s="136">
        <f>COUNT(D292:D293)+COUNT(D299)+COUNT(D303:D305)*2+COUNT(D309:D311)+COUNT(D313:D317)*2+COUNT(D320:D323)*2+COUNT(D325:D328)+COUNT(D331,D333:D335)</f>
        <v>38</v>
      </c>
      <c r="D145" s="136"/>
      <c r="E145" s="136">
        <f>SUM(F292:F293)+SUM(F299)+SUM(F303:F305)*2+SUM(F309:F311)+SUM(F313:F317)*2+SUM(F320:F323)*2+SUM(F325:F328)+SUM(F331,F333:F335)</f>
        <v>20426.412239999998</v>
      </c>
      <c r="F145" s="136"/>
      <c r="G145" s="136">
        <f>SUM(H292:H293)+SUM(H299)+SUM(H303:H305)*2+SUM(H309:H311)+SUM(H313:H317)*2+SUM(H320:H323)*2+SUM(H325:H328)+SUM(H331,H333:H335)</f>
        <v>30639.61836</v>
      </c>
      <c r="H145" s="136"/>
      <c r="T145"/>
    </row>
    <row r="146" spans="1:20" s="34" customFormat="1" x14ac:dyDescent="0.25">
      <c r="A146" s="137" t="s">
        <v>144</v>
      </c>
      <c r="B146" s="137"/>
      <c r="C146" s="138">
        <f>SUM(C143:C145)</f>
        <v>134</v>
      </c>
      <c r="D146" s="139"/>
      <c r="E146" s="140">
        <f>SUM(E143:E145)</f>
        <v>73391.427719999992</v>
      </c>
      <c r="F146" s="141"/>
      <c r="G146" s="142">
        <f>SUM(G143:G145)</f>
        <v>110087.14158</v>
      </c>
      <c r="H146" s="142"/>
      <c r="I146" s="98" t="s">
        <v>424</v>
      </c>
      <c r="T146"/>
    </row>
    <row r="147" spans="1:20" s="34" customFormat="1" x14ac:dyDescent="0.25">
      <c r="A147" s="179" t="s">
        <v>422</v>
      </c>
      <c r="B147" s="179"/>
      <c r="C147" s="179"/>
      <c r="D147" s="179"/>
      <c r="E147" s="179"/>
      <c r="F147" s="179"/>
      <c r="G147" s="179"/>
      <c r="H147" s="179"/>
      <c r="T147"/>
    </row>
    <row r="148" spans="1:20" s="34" customFormat="1" ht="15.75" customHeight="1" x14ac:dyDescent="0.25">
      <c r="A148" s="149" t="s">
        <v>51</v>
      </c>
      <c r="B148" s="149"/>
      <c r="C148" s="154" t="s">
        <v>72</v>
      </c>
      <c r="D148" s="154"/>
      <c r="E148" s="145" t="s">
        <v>52</v>
      </c>
      <c r="F148" s="145"/>
      <c r="G148" s="149" t="s">
        <v>53</v>
      </c>
      <c r="H148" s="149"/>
      <c r="T148"/>
    </row>
    <row r="149" spans="1:20" s="34" customFormat="1" x14ac:dyDescent="0.25">
      <c r="A149" s="135" t="s">
        <v>419</v>
      </c>
      <c r="B149" s="135"/>
      <c r="C149" s="136">
        <f>COUNT(D192:D194)</f>
        <v>3</v>
      </c>
      <c r="D149" s="136"/>
      <c r="E149" s="136">
        <f t="shared" ref="E149" si="3">SUM(F192:F194)</f>
        <v>1561.7487599999999</v>
      </c>
      <c r="F149" s="136"/>
      <c r="G149" s="136">
        <f t="shared" ref="G149" si="4">SUM(H192:H194)</f>
        <v>2342.6231399999997</v>
      </c>
      <c r="H149" s="136"/>
      <c r="T149"/>
    </row>
    <row r="150" spans="1:20" s="34" customFormat="1" x14ac:dyDescent="0.25">
      <c r="A150" s="135" t="s">
        <v>420</v>
      </c>
      <c r="B150" s="135"/>
      <c r="C150" s="136">
        <f>COUNT(D239)</f>
        <v>1</v>
      </c>
      <c r="D150" s="136"/>
      <c r="E150" s="136">
        <f t="shared" ref="E150" si="5">SUM(F239)</f>
        <v>504.50867999999997</v>
      </c>
      <c r="F150" s="136"/>
      <c r="G150" s="136">
        <f>SUM(H239)</f>
        <v>756.76301999999998</v>
      </c>
      <c r="H150" s="136"/>
      <c r="I150" s="103">
        <f>C152+C146</f>
        <v>157</v>
      </c>
      <c r="T150"/>
    </row>
    <row r="151" spans="1:20" s="34" customFormat="1" x14ac:dyDescent="0.25">
      <c r="A151" s="135" t="s">
        <v>418</v>
      </c>
      <c r="B151" s="135"/>
      <c r="C151" s="136">
        <f>COUNT(D285)+COUNT(D289:D291)+COUNT(D295:D298)+COUNT(D301:D302)*2+COUNT(D307:D308)+COUNT(D319)*2+COUNT(D329)+COUNT(D332)+COUNT(D337)</f>
        <v>19</v>
      </c>
      <c r="D151" s="136"/>
      <c r="E151" s="136">
        <f>SUM(F285)+SUM(F289:F291)+SUM(F295:F298)+SUM(F301:F302)*2+SUM(F307:F308)+SUM(F319)*2+SUM(F329)+SUM(F332)+SUM(F337)</f>
        <v>7873.4354400000002</v>
      </c>
      <c r="F151" s="136"/>
      <c r="G151" s="136">
        <f>SUM(H285)+SUM(H289:H291)+SUM(H295:H298)+SUM(H301:H302)*2+SUM(H307:H308)+SUM(H319)*2+SUM(H329)+SUM(H332)+SUM(H337)</f>
        <v>11810.15316</v>
      </c>
      <c r="H151" s="136"/>
      <c r="T151"/>
    </row>
    <row r="152" spans="1:20" s="34" customFormat="1" ht="16.5" thickBot="1" x14ac:dyDescent="0.3">
      <c r="A152" s="137" t="s">
        <v>144</v>
      </c>
      <c r="B152" s="137"/>
      <c r="C152" s="138">
        <f>SUM(C149:C151)</f>
        <v>23</v>
      </c>
      <c r="D152" s="139"/>
      <c r="E152" s="140">
        <f>SUM(E149:E151)</f>
        <v>9939.6928800000005</v>
      </c>
      <c r="F152" s="141"/>
      <c r="G152" s="142">
        <f>SUM(G149:G151)</f>
        <v>14909.53932</v>
      </c>
      <c r="H152" s="142"/>
      <c r="I152" s="98" t="s">
        <v>424</v>
      </c>
      <c r="T152"/>
    </row>
    <row r="153" spans="1:20" s="34" customFormat="1" ht="16.5" thickBot="1" x14ac:dyDescent="0.3">
      <c r="A153" s="170" t="s">
        <v>159</v>
      </c>
      <c r="B153" s="171"/>
      <c r="C153" s="182">
        <f>C140+C146+C152</f>
        <v>180</v>
      </c>
      <c r="D153" s="183"/>
      <c r="E153" s="182">
        <f t="shared" ref="E153" si="6">E140+E146+E152</f>
        <v>87304.101697799997</v>
      </c>
      <c r="F153" s="183"/>
      <c r="G153" s="182">
        <f t="shared" ref="G153" si="7">G140+G146+G152</f>
        <v>131154.80160159001</v>
      </c>
      <c r="H153" s="183"/>
      <c r="T153"/>
    </row>
    <row r="154" spans="1:20" s="33" customFormat="1" x14ac:dyDescent="0.25">
      <c r="A154" s="112" t="s">
        <v>346</v>
      </c>
      <c r="B154" s="112"/>
      <c r="C154" s="112"/>
      <c r="D154" s="112"/>
      <c r="E154" s="112"/>
      <c r="F154" s="112"/>
      <c r="G154" s="112"/>
      <c r="H154" s="112"/>
      <c r="T154" s="34"/>
    </row>
    <row r="155" spans="1:20" x14ac:dyDescent="0.25">
      <c r="A155" s="109" t="s">
        <v>167</v>
      </c>
      <c r="B155" s="109"/>
      <c r="C155" s="109"/>
      <c r="D155" s="109"/>
      <c r="E155" s="109"/>
      <c r="F155" s="109"/>
      <c r="G155" s="109"/>
      <c r="H155" s="109"/>
      <c r="T155" s="34"/>
    </row>
    <row r="156" spans="1:20" ht="47.25" customHeight="1" x14ac:dyDescent="0.25">
      <c r="A156" s="115" t="s">
        <v>396</v>
      </c>
      <c r="B156" s="115" t="s">
        <v>170</v>
      </c>
      <c r="C156" s="115" t="s">
        <v>54</v>
      </c>
      <c r="D156" s="115" t="s">
        <v>225</v>
      </c>
      <c r="E156" s="117" t="s">
        <v>149</v>
      </c>
      <c r="F156" s="115" t="s">
        <v>55</v>
      </c>
      <c r="G156" s="117" t="s">
        <v>56</v>
      </c>
      <c r="H156" s="95" t="s">
        <v>143</v>
      </c>
      <c r="I156" s="70">
        <f>10.764</f>
        <v>10.763999999999999</v>
      </c>
      <c r="T156" s="34"/>
    </row>
    <row r="157" spans="1:20" s="36" customFormat="1" x14ac:dyDescent="0.25">
      <c r="A157" s="116"/>
      <c r="B157" s="116"/>
      <c r="C157" s="116"/>
      <c r="D157" s="116"/>
      <c r="E157" s="118"/>
      <c r="F157" s="116"/>
      <c r="G157" s="118"/>
      <c r="H157" s="96">
        <v>0.55000000000000004</v>
      </c>
      <c r="T157" s="34"/>
    </row>
    <row r="158" spans="1:20" s="100" customFormat="1" x14ac:dyDescent="0.25">
      <c r="A158" s="106" t="s">
        <v>419</v>
      </c>
      <c r="B158" s="107"/>
      <c r="C158" s="107"/>
      <c r="D158" s="107"/>
      <c r="E158" s="107"/>
      <c r="F158" s="107"/>
      <c r="G158" s="107"/>
      <c r="H158" s="108"/>
      <c r="J158" s="35"/>
      <c r="T158" s="34"/>
    </row>
    <row r="159" spans="1:20" s="36" customFormat="1" x14ac:dyDescent="0.25">
      <c r="A159" s="106" t="s">
        <v>443</v>
      </c>
      <c r="B159" s="107"/>
      <c r="C159" s="107"/>
      <c r="D159" s="107"/>
      <c r="E159" s="107"/>
      <c r="F159" s="107"/>
      <c r="G159" s="107"/>
      <c r="H159" s="108"/>
      <c r="J159" s="35"/>
      <c r="T159" s="34"/>
    </row>
    <row r="160" spans="1:20" s="36" customFormat="1" ht="15.75" customHeight="1" x14ac:dyDescent="0.25">
      <c r="A160" s="110">
        <v>1</v>
      </c>
      <c r="B160" s="111"/>
      <c r="C160" s="41" t="s">
        <v>395</v>
      </c>
      <c r="D160" s="97">
        <f>(3.14*4.95+0.5 *1.32 *7.41+6.84*2.09 +0.5*0.46*1.92+0.84*0.94+1.2*1.7)*(10.764)</f>
        <v>409.03630559999999</v>
      </c>
      <c r="E160" s="41">
        <v>0</v>
      </c>
      <c r="F160" s="41">
        <f t="shared" ref="F160:F165" si="8">D160+(IF(E160&lt;201,E160,IF(E160&lt;301,E160/2,E160/3)))</f>
        <v>409.03630559999999</v>
      </c>
      <c r="G160" s="41">
        <v>0</v>
      </c>
      <c r="H160" s="41">
        <f t="shared" ref="H160:H165" si="9">(F160+(IF(G160&lt;101,G160,IF(G160&lt;201,G160/2,IF(G160&lt;=301,G160/3,G160/4)))))*(($H$157)+1)</f>
        <v>634.00627368000005</v>
      </c>
      <c r="I160" s="35"/>
      <c r="L160" s="249"/>
      <c r="M160" s="249"/>
      <c r="N160" s="35"/>
      <c r="T160" s="34"/>
    </row>
    <row r="161" spans="1:20" s="36" customFormat="1" ht="15.75" customHeight="1" x14ac:dyDescent="0.25">
      <c r="A161" s="110">
        <v>2</v>
      </c>
      <c r="B161" s="111"/>
      <c r="C161" s="92" t="s">
        <v>395</v>
      </c>
      <c r="D161" s="97">
        <f>(9.23*3.04+0.5*0.67*3.39)*(10.764)</f>
        <v>314.25336540000001</v>
      </c>
      <c r="E161" s="41">
        <v>0</v>
      </c>
      <c r="F161" s="41">
        <f t="shared" si="8"/>
        <v>314.25336540000001</v>
      </c>
      <c r="G161" s="41">
        <v>0</v>
      </c>
      <c r="H161" s="41">
        <f t="shared" si="9"/>
        <v>487.09271637000001</v>
      </c>
      <c r="I161" s="35"/>
      <c r="L161" s="249"/>
      <c r="M161" s="249"/>
      <c r="N161" s="35"/>
      <c r="T161" s="33"/>
    </row>
    <row r="162" spans="1:20" s="36" customFormat="1" ht="15.75" customHeight="1" x14ac:dyDescent="0.25">
      <c r="A162" s="110">
        <v>3</v>
      </c>
      <c r="B162" s="111"/>
      <c r="C162" s="92" t="s">
        <v>395</v>
      </c>
      <c r="D162" s="97">
        <f>(5.75*5.25+0.84*4.08+0.5*1.56*5.85)*(10.764)</f>
        <v>410.94476279999998</v>
      </c>
      <c r="E162" s="41">
        <v>0</v>
      </c>
      <c r="F162" s="41">
        <f t="shared" si="8"/>
        <v>410.94476279999998</v>
      </c>
      <c r="G162" s="41">
        <v>0</v>
      </c>
      <c r="H162" s="41">
        <f t="shared" si="9"/>
        <v>636.96438233999993</v>
      </c>
      <c r="I162" s="35"/>
      <c r="L162" s="249"/>
      <c r="M162" s="249"/>
      <c r="N162" s="35"/>
      <c r="T162" s="20"/>
    </row>
    <row r="163" spans="1:20" s="36" customFormat="1" ht="15.75" customHeight="1" x14ac:dyDescent="0.25">
      <c r="A163" s="110">
        <v>4</v>
      </c>
      <c r="B163" s="111"/>
      <c r="C163" s="92" t="s">
        <v>395</v>
      </c>
      <c r="D163" s="97">
        <f>(3.59*4.27+0.84*3.27+0.5*0.94*4.76)*(10.764)</f>
        <v>218.65236119999997</v>
      </c>
      <c r="E163" s="41">
        <v>0</v>
      </c>
      <c r="F163" s="41">
        <f t="shared" si="8"/>
        <v>218.65236119999997</v>
      </c>
      <c r="G163" s="41">
        <v>0</v>
      </c>
      <c r="H163" s="41">
        <f t="shared" si="9"/>
        <v>338.91115985999994</v>
      </c>
      <c r="I163" s="35"/>
      <c r="L163" s="249"/>
      <c r="M163" s="249"/>
      <c r="N163" s="35"/>
      <c r="T163" s="20"/>
    </row>
    <row r="164" spans="1:20" s="91" customFormat="1" ht="15.75" customHeight="1" x14ac:dyDescent="0.25">
      <c r="A164" s="110">
        <v>5</v>
      </c>
      <c r="B164" s="111"/>
      <c r="C164" s="92" t="s">
        <v>395</v>
      </c>
      <c r="D164" s="97">
        <f>(2.99*4.96+1.35*2.76+1.2*1)*(10.764)</f>
        <v>212.65788959999998</v>
      </c>
      <c r="E164" s="92">
        <v>0</v>
      </c>
      <c r="F164" s="92">
        <f t="shared" si="8"/>
        <v>212.65788959999998</v>
      </c>
      <c r="G164" s="92">
        <v>0</v>
      </c>
      <c r="H164" s="92">
        <f t="shared" si="9"/>
        <v>329.61972887999997</v>
      </c>
      <c r="I164" s="35"/>
      <c r="L164" s="249"/>
      <c r="M164" s="249"/>
      <c r="N164" s="35"/>
      <c r="T164" s="34"/>
    </row>
    <row r="165" spans="1:20" s="91" customFormat="1" ht="15.75" customHeight="1" x14ac:dyDescent="0.25">
      <c r="A165" s="110">
        <v>6</v>
      </c>
      <c r="B165" s="111"/>
      <c r="C165" s="92" t="s">
        <v>395</v>
      </c>
      <c r="D165" s="97">
        <f>(2.21*1.35+4.19*2.44+5.24*2.22)*(10.764)</f>
        <v>267.37668359999998</v>
      </c>
      <c r="E165" s="92">
        <v>0</v>
      </c>
      <c r="F165" s="92">
        <f t="shared" si="8"/>
        <v>267.37668359999998</v>
      </c>
      <c r="G165" s="92">
        <v>0</v>
      </c>
      <c r="H165" s="92">
        <f t="shared" si="9"/>
        <v>414.43385957999999</v>
      </c>
      <c r="I165" s="35"/>
      <c r="L165" s="249"/>
      <c r="M165" s="249"/>
      <c r="N165" s="35"/>
      <c r="T165" s="33"/>
    </row>
    <row r="166" spans="1:20" s="100" customFormat="1" x14ac:dyDescent="0.25">
      <c r="A166" s="106" t="s">
        <v>413</v>
      </c>
      <c r="B166" s="107"/>
      <c r="C166" s="107"/>
      <c r="D166" s="107"/>
      <c r="E166" s="107"/>
      <c r="F166" s="107"/>
      <c r="G166" s="107"/>
      <c r="H166" s="108"/>
      <c r="J166" s="35"/>
      <c r="T166" s="34"/>
    </row>
    <row r="167" spans="1:20" s="100" customFormat="1" x14ac:dyDescent="0.25">
      <c r="A167" s="106" t="s">
        <v>443</v>
      </c>
      <c r="B167" s="107"/>
      <c r="C167" s="107"/>
      <c r="D167" s="107"/>
      <c r="E167" s="107"/>
      <c r="F167" s="107"/>
      <c r="G167" s="107"/>
      <c r="H167" s="108"/>
      <c r="J167" s="35"/>
      <c r="T167" s="34"/>
    </row>
    <row r="168" spans="1:20" s="100" customFormat="1" ht="15.75" customHeight="1" x14ac:dyDescent="0.25">
      <c r="A168" s="110">
        <v>7</v>
      </c>
      <c r="B168" s="111"/>
      <c r="C168" s="92" t="s">
        <v>395</v>
      </c>
      <c r="D168" s="97">
        <f>(2.84*4.24)*(10.764)</f>
        <v>129.6157824</v>
      </c>
      <c r="E168" s="92">
        <v>0</v>
      </c>
      <c r="F168" s="92">
        <f t="shared" ref="F168:F175" si="10">D168+(IF(E168&lt;201,E168,IF(E168&lt;301,E168/2,E168/3)))</f>
        <v>129.6157824</v>
      </c>
      <c r="G168" s="92">
        <v>0</v>
      </c>
      <c r="H168" s="92">
        <f t="shared" ref="H168:H175" si="11">(F168+(IF(G168&lt;101,G168,IF(G168&lt;201,G168/2,IF(G168&lt;=301,G168/3,G168/4)))))*(($H$157)+1)</f>
        <v>200.90446272</v>
      </c>
      <c r="I168" s="35"/>
      <c r="L168" s="249"/>
      <c r="M168" s="249"/>
      <c r="N168" s="35"/>
      <c r="T168" s="20"/>
    </row>
    <row r="169" spans="1:20" s="100" customFormat="1" ht="15.75" customHeight="1" x14ac:dyDescent="0.25">
      <c r="A169" s="110">
        <v>8</v>
      </c>
      <c r="B169" s="111"/>
      <c r="C169" s="92" t="s">
        <v>395</v>
      </c>
      <c r="D169" s="97">
        <f>(2.11*4.24)*(10.764)</f>
        <v>96.299049600000004</v>
      </c>
      <c r="E169" s="92">
        <v>0</v>
      </c>
      <c r="F169" s="92">
        <f t="shared" si="10"/>
        <v>96.299049600000004</v>
      </c>
      <c r="G169" s="92">
        <v>0</v>
      </c>
      <c r="H169" s="92">
        <f t="shared" si="11"/>
        <v>149.26352688</v>
      </c>
      <c r="I169" s="35"/>
      <c r="L169" s="249"/>
      <c r="M169" s="249"/>
      <c r="N169" s="35"/>
      <c r="T169" s="20"/>
    </row>
    <row r="170" spans="1:20" s="100" customFormat="1" ht="15.75" customHeight="1" x14ac:dyDescent="0.25">
      <c r="A170" s="110">
        <v>9</v>
      </c>
      <c r="B170" s="111"/>
      <c r="C170" s="92" t="s">
        <v>395</v>
      </c>
      <c r="D170" s="97">
        <f>(2.98*4.24)*(10.764)</f>
        <v>136.00529280000001</v>
      </c>
      <c r="E170" s="92">
        <v>0</v>
      </c>
      <c r="F170" s="92">
        <f t="shared" si="10"/>
        <v>136.00529280000001</v>
      </c>
      <c r="G170" s="92">
        <v>0</v>
      </c>
      <c r="H170" s="92">
        <f t="shared" si="11"/>
        <v>210.80820384</v>
      </c>
      <c r="I170" s="35"/>
      <c r="L170" s="249"/>
      <c r="M170" s="249"/>
      <c r="N170" s="35"/>
      <c r="T170" s="34"/>
    </row>
    <row r="171" spans="1:20" s="100" customFormat="1" ht="15.75" customHeight="1" x14ac:dyDescent="0.25">
      <c r="A171" s="110">
        <v>10</v>
      </c>
      <c r="B171" s="111"/>
      <c r="C171" s="92" t="s">
        <v>395</v>
      </c>
      <c r="D171" s="97">
        <f>(2.99*2.93+1.01*1.36+0.95*1.26)*(10.764)</f>
        <v>121.9701132</v>
      </c>
      <c r="E171" s="92">
        <v>0</v>
      </c>
      <c r="F171" s="92">
        <f t="shared" si="10"/>
        <v>121.9701132</v>
      </c>
      <c r="G171" s="92">
        <v>0</v>
      </c>
      <c r="H171" s="92">
        <f t="shared" si="11"/>
        <v>189.05367545999999</v>
      </c>
      <c r="I171" s="35"/>
      <c r="L171" s="249"/>
      <c r="M171" s="249"/>
      <c r="N171" s="35"/>
      <c r="T171" s="33"/>
    </row>
    <row r="172" spans="1:20" s="100" customFormat="1" ht="15.75" customHeight="1" x14ac:dyDescent="0.25">
      <c r="A172" s="110">
        <v>11</v>
      </c>
      <c r="B172" s="111"/>
      <c r="C172" s="92" t="s">
        <v>395</v>
      </c>
      <c r="D172" s="97">
        <f>(3.04*2.93+1.06*1.28+0.95*1.26)*(10.764)</f>
        <v>123.366204</v>
      </c>
      <c r="E172" s="92">
        <v>0</v>
      </c>
      <c r="F172" s="92">
        <f t="shared" si="10"/>
        <v>123.366204</v>
      </c>
      <c r="G172" s="92">
        <v>0</v>
      </c>
      <c r="H172" s="92">
        <f t="shared" si="11"/>
        <v>191.21761620000001</v>
      </c>
      <c r="I172" s="35"/>
      <c r="L172" s="249"/>
      <c r="M172" s="249"/>
      <c r="N172" s="35"/>
      <c r="T172" s="20"/>
    </row>
    <row r="173" spans="1:20" s="100" customFormat="1" ht="15.75" customHeight="1" x14ac:dyDescent="0.25">
      <c r="A173" s="110">
        <v>12</v>
      </c>
      <c r="B173" s="111"/>
      <c r="C173" s="92" t="s">
        <v>395</v>
      </c>
      <c r="D173" s="97">
        <f>(2.98*4.29)*(10.764)</f>
        <v>137.60912880000001</v>
      </c>
      <c r="E173" s="92">
        <v>0</v>
      </c>
      <c r="F173" s="92">
        <f t="shared" si="10"/>
        <v>137.60912880000001</v>
      </c>
      <c r="G173" s="92">
        <v>0</v>
      </c>
      <c r="H173" s="92">
        <f t="shared" si="11"/>
        <v>213.29414964000003</v>
      </c>
      <c r="I173" s="35"/>
      <c r="L173" s="249"/>
      <c r="M173" s="249"/>
      <c r="N173" s="35"/>
      <c r="T173" s="20"/>
    </row>
    <row r="174" spans="1:20" s="100" customFormat="1" ht="15.75" customHeight="1" x14ac:dyDescent="0.25">
      <c r="A174" s="110">
        <v>13</v>
      </c>
      <c r="B174" s="111"/>
      <c r="C174" s="92" t="s">
        <v>395</v>
      </c>
      <c r="D174" s="97">
        <f>(2.11*4.24)*(10.764)</f>
        <v>96.299049600000004</v>
      </c>
      <c r="E174" s="92">
        <v>0</v>
      </c>
      <c r="F174" s="92">
        <f t="shared" si="10"/>
        <v>96.299049600000004</v>
      </c>
      <c r="G174" s="92">
        <v>0</v>
      </c>
      <c r="H174" s="92">
        <f t="shared" si="11"/>
        <v>149.26352688</v>
      </c>
      <c r="I174" s="35"/>
      <c r="L174" s="249"/>
      <c r="M174" s="249"/>
      <c r="N174" s="35"/>
      <c r="T174" s="34"/>
    </row>
    <row r="175" spans="1:20" s="100" customFormat="1" ht="15.75" customHeight="1" x14ac:dyDescent="0.25">
      <c r="A175" s="110">
        <v>14</v>
      </c>
      <c r="B175" s="111"/>
      <c r="C175" s="92" t="s">
        <v>395</v>
      </c>
      <c r="D175" s="97">
        <f>(2.84*4.24)*(10.764)</f>
        <v>129.6157824</v>
      </c>
      <c r="E175" s="92">
        <v>0</v>
      </c>
      <c r="F175" s="92">
        <f t="shared" si="10"/>
        <v>129.6157824</v>
      </c>
      <c r="G175" s="92">
        <v>0</v>
      </c>
      <c r="H175" s="92">
        <f t="shared" si="11"/>
        <v>200.90446272</v>
      </c>
      <c r="I175" s="35"/>
      <c r="L175" s="249"/>
      <c r="M175" s="249"/>
      <c r="N175" s="35"/>
      <c r="T175" s="33"/>
    </row>
    <row r="176" spans="1:20" s="91" customFormat="1" x14ac:dyDescent="0.25">
      <c r="A176" s="106" t="s">
        <v>418</v>
      </c>
      <c r="B176" s="107"/>
      <c r="C176" s="107"/>
      <c r="D176" s="107"/>
      <c r="E176" s="107"/>
      <c r="F176" s="107"/>
      <c r="G176" s="107"/>
      <c r="H176" s="108"/>
      <c r="J176" s="35"/>
      <c r="T176" s="34"/>
    </row>
    <row r="177" spans="1:20" s="100" customFormat="1" x14ac:dyDescent="0.25">
      <c r="A177" s="106" t="s">
        <v>443</v>
      </c>
      <c r="B177" s="107"/>
      <c r="C177" s="107"/>
      <c r="D177" s="107"/>
      <c r="E177" s="107"/>
      <c r="F177" s="107"/>
      <c r="G177" s="107"/>
      <c r="H177" s="108"/>
      <c r="J177" s="35"/>
      <c r="T177" s="34"/>
    </row>
    <row r="178" spans="1:20" s="91" customFormat="1" ht="15.75" customHeight="1" x14ac:dyDescent="0.25">
      <c r="A178" s="110">
        <v>15</v>
      </c>
      <c r="B178" s="111"/>
      <c r="C178" s="92" t="s">
        <v>395</v>
      </c>
      <c r="D178" s="97">
        <f>(2.69*4.24)*(10.764)</f>
        <v>122.7698784</v>
      </c>
      <c r="E178" s="92">
        <v>0</v>
      </c>
      <c r="F178" s="92">
        <f t="shared" ref="F178:F186" si="12">D178+(IF(E178&lt;201,E178,IF(E178&lt;301,E178/2,E178/3)))</f>
        <v>122.7698784</v>
      </c>
      <c r="G178" s="92">
        <v>0</v>
      </c>
      <c r="H178" s="92">
        <f t="shared" ref="H178:H186" si="13">(F178+(IF(G178&lt;101,G178,IF(G178&lt;201,G178/2,IF(G178&lt;=301,G178/3,G178/4)))))*(($H$157)+1)</f>
        <v>190.29331152</v>
      </c>
      <c r="I178" s="35"/>
      <c r="L178" s="249"/>
      <c r="M178" s="249"/>
      <c r="N178" s="35"/>
      <c r="T178" s="20"/>
    </row>
    <row r="179" spans="1:20" s="91" customFormat="1" ht="15.75" customHeight="1" x14ac:dyDescent="0.25">
      <c r="A179" s="110">
        <v>16</v>
      </c>
      <c r="B179" s="111"/>
      <c r="C179" s="92" t="s">
        <v>395</v>
      </c>
      <c r="D179" s="97">
        <f>(2.13*4.24)*(10.764)</f>
        <v>97.2118368</v>
      </c>
      <c r="E179" s="92">
        <v>0</v>
      </c>
      <c r="F179" s="92">
        <f t="shared" si="12"/>
        <v>97.2118368</v>
      </c>
      <c r="G179" s="92">
        <v>0</v>
      </c>
      <c r="H179" s="92">
        <f t="shared" si="13"/>
        <v>150.67834704000001</v>
      </c>
      <c r="I179" s="35"/>
      <c r="L179" s="249"/>
      <c r="M179" s="249"/>
      <c r="N179" s="35"/>
      <c r="T179" s="20"/>
    </row>
    <row r="180" spans="1:20" s="91" customFormat="1" ht="15.75" customHeight="1" x14ac:dyDescent="0.25">
      <c r="A180" s="110">
        <v>17</v>
      </c>
      <c r="B180" s="111"/>
      <c r="C180" s="92" t="s">
        <v>395</v>
      </c>
      <c r="D180" s="97">
        <f>(2.99*4.24)*(10.764)</f>
        <v>136.46168640000002</v>
      </c>
      <c r="E180" s="92">
        <v>0</v>
      </c>
      <c r="F180" s="92">
        <f t="shared" si="12"/>
        <v>136.46168640000002</v>
      </c>
      <c r="G180" s="92">
        <v>0</v>
      </c>
      <c r="H180" s="92">
        <f t="shared" si="13"/>
        <v>211.51561392000005</v>
      </c>
      <c r="I180" s="35"/>
      <c r="L180" s="249"/>
      <c r="M180" s="249"/>
      <c r="N180" s="35"/>
      <c r="T180" s="34"/>
    </row>
    <row r="181" spans="1:20" s="91" customFormat="1" ht="15.75" customHeight="1" x14ac:dyDescent="0.25">
      <c r="A181" s="110">
        <v>18</v>
      </c>
      <c r="B181" s="111"/>
      <c r="C181" s="92" t="s">
        <v>395</v>
      </c>
      <c r="D181" s="97">
        <f>(2.75*2.93+0.95*1.36+1*1.26)*(10.764)</f>
        <v>114.200658</v>
      </c>
      <c r="E181" s="92">
        <v>0</v>
      </c>
      <c r="F181" s="92">
        <f t="shared" si="12"/>
        <v>114.200658</v>
      </c>
      <c r="G181" s="92">
        <v>0</v>
      </c>
      <c r="H181" s="92">
        <f t="shared" si="13"/>
        <v>177.01101990000001</v>
      </c>
      <c r="I181" s="35"/>
      <c r="L181" s="249"/>
      <c r="M181" s="249"/>
      <c r="N181" s="35"/>
      <c r="T181" s="33"/>
    </row>
    <row r="182" spans="1:20" s="91" customFormat="1" ht="15.75" customHeight="1" x14ac:dyDescent="0.25">
      <c r="A182" s="110">
        <v>19</v>
      </c>
      <c r="B182" s="111"/>
      <c r="C182" s="92" t="s">
        <v>395</v>
      </c>
      <c r="D182" s="97">
        <f>(3.04*4.24)*(10.764)</f>
        <v>138.7436544</v>
      </c>
      <c r="E182" s="92">
        <v>0</v>
      </c>
      <c r="F182" s="92">
        <f t="shared" si="12"/>
        <v>138.7436544</v>
      </c>
      <c r="G182" s="92">
        <v>0</v>
      </c>
      <c r="H182" s="92">
        <f t="shared" si="13"/>
        <v>215.05266431999999</v>
      </c>
      <c r="I182" s="35"/>
      <c r="L182" s="249"/>
      <c r="M182" s="249"/>
      <c r="N182" s="35"/>
      <c r="T182" s="20"/>
    </row>
    <row r="183" spans="1:20" s="91" customFormat="1" ht="15.75" customHeight="1" x14ac:dyDescent="0.25">
      <c r="A183" s="110">
        <v>20</v>
      </c>
      <c r="B183" s="111"/>
      <c r="C183" s="92" t="s">
        <v>395</v>
      </c>
      <c r="D183" s="97">
        <f>(5.49*2.2)*(10.764)</f>
        <v>130.00759200000002</v>
      </c>
      <c r="E183" s="92">
        <v>0</v>
      </c>
      <c r="F183" s="92">
        <f t="shared" si="12"/>
        <v>130.00759200000002</v>
      </c>
      <c r="G183" s="92">
        <v>0</v>
      </c>
      <c r="H183" s="92">
        <f t="shared" si="13"/>
        <v>201.51176760000004</v>
      </c>
      <c r="I183" s="35"/>
      <c r="L183" s="249"/>
      <c r="M183" s="249"/>
      <c r="N183" s="35"/>
      <c r="T183" s="20"/>
    </row>
    <row r="184" spans="1:20" s="91" customFormat="1" ht="15.75" customHeight="1" x14ac:dyDescent="0.25">
      <c r="A184" s="110">
        <v>21</v>
      </c>
      <c r="B184" s="111"/>
      <c r="C184" s="92" t="s">
        <v>395</v>
      </c>
      <c r="D184" s="97">
        <f>(2.9*2.91+1.5*0.9+1.12*1.89+1.2*0.9)*(10.764)</f>
        <v>139.77915119999997</v>
      </c>
      <c r="E184" s="92">
        <v>0</v>
      </c>
      <c r="F184" s="92">
        <f t="shared" si="12"/>
        <v>139.77915119999997</v>
      </c>
      <c r="G184" s="92">
        <v>0</v>
      </c>
      <c r="H184" s="92">
        <f t="shared" si="13"/>
        <v>216.65768435999996</v>
      </c>
      <c r="I184" s="35"/>
      <c r="L184" s="249"/>
      <c r="M184" s="249"/>
      <c r="N184" s="35"/>
      <c r="T184" s="34"/>
    </row>
    <row r="185" spans="1:20" s="91" customFormat="1" ht="15.75" customHeight="1" x14ac:dyDescent="0.25">
      <c r="A185" s="110">
        <v>22</v>
      </c>
      <c r="B185" s="111"/>
      <c r="C185" s="92" t="s">
        <v>395</v>
      </c>
      <c r="D185" s="97">
        <f>(2.9*2.91+1.5*0.9+1.12*1.89+1.2*0.9)*(10.764)</f>
        <v>139.77915119999997</v>
      </c>
      <c r="E185" s="92">
        <v>0</v>
      </c>
      <c r="F185" s="92">
        <f t="shared" si="12"/>
        <v>139.77915119999997</v>
      </c>
      <c r="G185" s="92">
        <v>0</v>
      </c>
      <c r="H185" s="92">
        <f t="shared" si="13"/>
        <v>216.65768435999996</v>
      </c>
      <c r="I185" s="35"/>
      <c r="L185" s="249"/>
      <c r="M185" s="249"/>
      <c r="N185" s="35"/>
      <c r="T185" s="33"/>
    </row>
    <row r="186" spans="1:20" s="91" customFormat="1" ht="15.75" customHeight="1" x14ac:dyDescent="0.25">
      <c r="A186" s="110">
        <v>23</v>
      </c>
      <c r="B186" s="111"/>
      <c r="C186" s="92" t="s">
        <v>395</v>
      </c>
      <c r="D186" s="97">
        <f>(5.52*2.53)*(10.764)</f>
        <v>150.32571839999997</v>
      </c>
      <c r="E186" s="92">
        <v>0</v>
      </c>
      <c r="F186" s="92">
        <f t="shared" si="12"/>
        <v>150.32571839999997</v>
      </c>
      <c r="G186" s="92">
        <v>0</v>
      </c>
      <c r="H186" s="92">
        <f t="shared" si="13"/>
        <v>233.00486351999996</v>
      </c>
      <c r="I186" s="35"/>
      <c r="L186" s="249"/>
      <c r="M186" s="249"/>
      <c r="N186" s="35"/>
      <c r="T186" s="20"/>
    </row>
    <row r="187" spans="1:20" s="36" customFormat="1" x14ac:dyDescent="0.25">
      <c r="A187" s="110"/>
      <c r="B187" s="123"/>
      <c r="C187" s="123"/>
      <c r="D187" s="123"/>
      <c r="E187" s="123"/>
      <c r="F187" s="123"/>
      <c r="G187" s="123"/>
      <c r="H187" s="111"/>
      <c r="I187" s="35"/>
      <c r="N187" s="35"/>
    </row>
    <row r="188" spans="1:20" ht="47.25" customHeight="1" x14ac:dyDescent="0.25">
      <c r="A188" s="113" t="s">
        <v>423</v>
      </c>
      <c r="B188" s="115" t="s">
        <v>397</v>
      </c>
      <c r="C188" s="115" t="s">
        <v>54</v>
      </c>
      <c r="D188" s="115" t="s">
        <v>366</v>
      </c>
      <c r="E188" s="115" t="s">
        <v>224</v>
      </c>
      <c r="F188" s="115" t="s">
        <v>55</v>
      </c>
      <c r="G188" s="117" t="s">
        <v>56</v>
      </c>
      <c r="H188" s="95" t="s">
        <v>143</v>
      </c>
      <c r="I188" s="70">
        <f>10.764</f>
        <v>10.763999999999999</v>
      </c>
      <c r="T188" s="36"/>
    </row>
    <row r="189" spans="1:20" s="36" customFormat="1" x14ac:dyDescent="0.25">
      <c r="A189" s="114"/>
      <c r="B189" s="116"/>
      <c r="C189" s="116"/>
      <c r="D189" s="116"/>
      <c r="E189" s="116"/>
      <c r="F189" s="116"/>
      <c r="G189" s="118"/>
      <c r="H189" s="96">
        <v>0.5</v>
      </c>
      <c r="I189" s="35"/>
    </row>
    <row r="190" spans="1:20" s="91" customFormat="1" x14ac:dyDescent="0.25">
      <c r="A190" s="106" t="s">
        <v>398</v>
      </c>
      <c r="B190" s="107"/>
      <c r="C190" s="107"/>
      <c r="D190" s="107"/>
      <c r="E190" s="107"/>
      <c r="F190" s="107"/>
      <c r="G190" s="107"/>
      <c r="H190" s="108"/>
      <c r="J190" s="35"/>
    </row>
    <row r="191" spans="1:20" s="36" customFormat="1" x14ac:dyDescent="0.25">
      <c r="A191" s="106" t="s">
        <v>444</v>
      </c>
      <c r="B191" s="107"/>
      <c r="C191" s="107"/>
      <c r="D191" s="107"/>
      <c r="E191" s="107"/>
      <c r="F191" s="107"/>
      <c r="G191" s="107"/>
      <c r="H191" s="108"/>
      <c r="I191" s="35">
        <f>1</f>
        <v>1</v>
      </c>
      <c r="J191" s="35"/>
    </row>
    <row r="192" spans="1:20" s="36" customFormat="1" ht="15.75" customHeight="1" x14ac:dyDescent="0.25">
      <c r="A192" s="92">
        <v>1</v>
      </c>
      <c r="B192" s="92" t="s">
        <v>401</v>
      </c>
      <c r="C192" s="41" t="s">
        <v>399</v>
      </c>
      <c r="D192" s="97">
        <f>(34.85)*(10.764)</f>
        <v>375.12540000000001</v>
      </c>
      <c r="E192" s="41">
        <v>0</v>
      </c>
      <c r="F192" s="41">
        <f>D192+E192</f>
        <v>375.12540000000001</v>
      </c>
      <c r="G192" s="41">
        <v>0</v>
      </c>
      <c r="H192" s="41">
        <f>F192*(($H$189)+1)+(IF(G192&lt;101,G192,IF(G192&lt;201,G192/2,IF(G192&lt;=301,G192/3,G192/4))))</f>
        <v>562.68810000000008</v>
      </c>
      <c r="I192" s="35"/>
      <c r="L192" s="249"/>
      <c r="M192" s="249"/>
      <c r="N192" s="35"/>
    </row>
    <row r="193" spans="1:20" s="36" customFormat="1" ht="15.75" customHeight="1" x14ac:dyDescent="0.25">
      <c r="A193" s="92">
        <f>A192+1</f>
        <v>2</v>
      </c>
      <c r="B193" s="92" t="s">
        <v>401</v>
      </c>
      <c r="C193" s="41" t="s">
        <v>400</v>
      </c>
      <c r="D193" s="97">
        <f>(55.12)*(10.764)</f>
        <v>593.31167999999991</v>
      </c>
      <c r="E193" s="41">
        <v>0</v>
      </c>
      <c r="F193" s="41">
        <f>D193+E193</f>
        <v>593.31167999999991</v>
      </c>
      <c r="G193" s="41">
        <v>0</v>
      </c>
      <c r="H193" s="41">
        <f>F193*(($H$189)+1)+(IF(G193&lt;101,G193,IF(G193&lt;201,G193/2,IF(G193&lt;=301,G193/3,G193/4))))</f>
        <v>889.96751999999992</v>
      </c>
      <c r="I193" s="35"/>
      <c r="L193" s="249"/>
      <c r="M193" s="249"/>
      <c r="N193" s="35"/>
    </row>
    <row r="194" spans="1:20" s="36" customFormat="1" ht="15.75" customHeight="1" x14ac:dyDescent="0.25">
      <c r="A194" s="92">
        <f>A193+1</f>
        <v>3</v>
      </c>
      <c r="B194" s="92" t="s">
        <v>401</v>
      </c>
      <c r="C194" s="92" t="s">
        <v>400</v>
      </c>
      <c r="D194" s="97">
        <f>(55.12)*(10.764)</f>
        <v>593.31167999999991</v>
      </c>
      <c r="E194" s="41">
        <v>0</v>
      </c>
      <c r="F194" s="41">
        <f>D194+E194</f>
        <v>593.31167999999991</v>
      </c>
      <c r="G194" s="41">
        <v>0</v>
      </c>
      <c r="H194" s="41">
        <f>F194*(($H$189)+1)+(IF(G194&lt;101,G194,IF(G194&lt;201,G194/2,IF(G194&lt;=301,G194/3,G194/4))))</f>
        <v>889.96751999999992</v>
      </c>
      <c r="I194" s="35"/>
      <c r="L194" s="249"/>
      <c r="M194" s="249"/>
      <c r="N194" s="35"/>
    </row>
    <row r="195" spans="1:20" s="36" customFormat="1" ht="15.75" customHeight="1" x14ac:dyDescent="0.25">
      <c r="A195" s="92">
        <f>A194+1</f>
        <v>4</v>
      </c>
      <c r="B195" s="92" t="s">
        <v>402</v>
      </c>
      <c r="C195" s="41" t="s">
        <v>402</v>
      </c>
      <c r="D195" s="110" t="s">
        <v>411</v>
      </c>
      <c r="E195" s="123"/>
      <c r="F195" s="123"/>
      <c r="G195" s="123"/>
      <c r="H195" s="111"/>
      <c r="I195" s="35"/>
      <c r="L195" s="249"/>
      <c r="M195" s="249"/>
      <c r="N195" s="35"/>
      <c r="T195" s="20"/>
    </row>
    <row r="196" spans="1:20" s="36" customFormat="1" x14ac:dyDescent="0.25">
      <c r="A196" s="119" t="s">
        <v>445</v>
      </c>
      <c r="B196" s="119"/>
      <c r="C196" s="119"/>
      <c r="D196" s="119"/>
      <c r="E196" s="119"/>
      <c r="F196" s="119"/>
      <c r="G196" s="119"/>
      <c r="H196" s="119"/>
      <c r="I196" s="35">
        <f>1</f>
        <v>1</v>
      </c>
      <c r="L196" s="249"/>
      <c r="M196" s="249"/>
    </row>
    <row r="197" spans="1:20" s="36" customFormat="1" x14ac:dyDescent="0.25">
      <c r="A197" s="92">
        <v>1</v>
      </c>
      <c r="B197" s="92" t="s">
        <v>402</v>
      </c>
      <c r="C197" s="92" t="s">
        <v>399</v>
      </c>
      <c r="D197" s="97">
        <f>(34.85)*(10.764)</f>
        <v>375.12540000000001</v>
      </c>
      <c r="E197" s="41">
        <v>0</v>
      </c>
      <c r="F197" s="41">
        <f>D197+E197</f>
        <v>375.12540000000001</v>
      </c>
      <c r="G197" s="41">
        <v>0</v>
      </c>
      <c r="H197" s="41">
        <f>F197*(($H$189)+1)+(IF(G197&lt;101,G197,IF(G197&lt;201,G197/2,IF(G197&lt;=301,G197/3,G197/4))))</f>
        <v>562.68810000000008</v>
      </c>
      <c r="I197" s="35"/>
      <c r="J197" s="36">
        <f>9000000/H197</f>
        <v>15994.651388575658</v>
      </c>
      <c r="L197" s="36">
        <f>9375000/H197</f>
        <v>16661.095196432976</v>
      </c>
      <c r="N197" s="35"/>
    </row>
    <row r="198" spans="1:20" s="36" customFormat="1" x14ac:dyDescent="0.25">
      <c r="A198" s="92">
        <f>A197+1</f>
        <v>2</v>
      </c>
      <c r="B198" s="92" t="s">
        <v>402</v>
      </c>
      <c r="C198" s="92" t="s">
        <v>400</v>
      </c>
      <c r="D198" s="97">
        <f>(55.12)*(10.764)</f>
        <v>593.31167999999991</v>
      </c>
      <c r="E198" s="41">
        <v>0</v>
      </c>
      <c r="F198" s="41">
        <f>D198+E198</f>
        <v>593.31167999999991</v>
      </c>
      <c r="G198" s="41">
        <v>0</v>
      </c>
      <c r="H198" s="41">
        <f>F198*(($H$189)+1)+(IF(G198&lt;101,G198,IF(G198&lt;201,G198/2,IF(G198&lt;=301,G198/3,G198/4))))</f>
        <v>889.96751999999992</v>
      </c>
      <c r="I198" s="35"/>
      <c r="J198" s="36">
        <f>14200000/H198</f>
        <v>15955.638470941054</v>
      </c>
      <c r="N198" s="35"/>
    </row>
    <row r="199" spans="1:20" s="36" customFormat="1" x14ac:dyDescent="0.25">
      <c r="A199" s="92">
        <f>A198+1</f>
        <v>3</v>
      </c>
      <c r="B199" s="92" t="s">
        <v>402</v>
      </c>
      <c r="C199" s="92" t="s">
        <v>400</v>
      </c>
      <c r="D199" s="97">
        <f>(55.12)*(10.764)</f>
        <v>593.31167999999991</v>
      </c>
      <c r="E199" s="41">
        <v>0</v>
      </c>
      <c r="F199" s="41">
        <f>D199+E199</f>
        <v>593.31167999999991</v>
      </c>
      <c r="G199" s="41">
        <v>0</v>
      </c>
      <c r="H199" s="41">
        <f>F199*(($H$189)+1)+(IF(G199&lt;101,G199,IF(G199&lt;201,G199/2,IF(G199&lt;=301,G199/3,G199/4))))</f>
        <v>889.96751999999992</v>
      </c>
      <c r="I199" s="35"/>
      <c r="N199" s="35"/>
    </row>
    <row r="200" spans="1:20" s="36" customFormat="1" x14ac:dyDescent="0.25">
      <c r="A200" s="92">
        <f>A199+1</f>
        <v>4</v>
      </c>
      <c r="B200" s="92" t="s">
        <v>402</v>
      </c>
      <c r="C200" s="92" t="s">
        <v>399</v>
      </c>
      <c r="D200" s="97">
        <f>(34.85)*(10.764)</f>
        <v>375.12540000000001</v>
      </c>
      <c r="E200" s="41">
        <v>0</v>
      </c>
      <c r="F200" s="41">
        <f>D200+E200</f>
        <v>375.12540000000001</v>
      </c>
      <c r="G200" s="41">
        <v>0</v>
      </c>
      <c r="H200" s="41">
        <f>F200*(($H$189)+1)+(IF(G200&lt;101,G200,IF(G200&lt;201,G200/2,IF(G200&lt;=301,G200/3,G200/4))))</f>
        <v>562.68810000000008</v>
      </c>
      <c r="I200" s="35"/>
      <c r="N200" s="35"/>
    </row>
    <row r="201" spans="1:20" s="91" customFormat="1" x14ac:dyDescent="0.25">
      <c r="A201" s="119" t="s">
        <v>403</v>
      </c>
      <c r="B201" s="119"/>
      <c r="C201" s="119"/>
      <c r="D201" s="119"/>
      <c r="E201" s="119"/>
      <c r="F201" s="119"/>
      <c r="G201" s="119"/>
      <c r="H201" s="119"/>
      <c r="I201" s="35">
        <f>1</f>
        <v>1</v>
      </c>
      <c r="L201" s="249"/>
      <c r="M201" s="249"/>
    </row>
    <row r="202" spans="1:20" s="91" customFormat="1" x14ac:dyDescent="0.25">
      <c r="A202" s="92">
        <v>1</v>
      </c>
      <c r="B202" s="92" t="s">
        <v>402</v>
      </c>
      <c r="C202" s="92" t="s">
        <v>399</v>
      </c>
      <c r="D202" s="97">
        <f>(34.85)*(10.764)</f>
        <v>375.12540000000001</v>
      </c>
      <c r="E202" s="92">
        <v>0</v>
      </c>
      <c r="F202" s="92">
        <f>D202+E202</f>
        <v>375.12540000000001</v>
      </c>
      <c r="G202" s="92">
        <v>0</v>
      </c>
      <c r="H202" s="92">
        <f>F202*(($H$189)+1)+(IF(G202&lt;101,G202,IF(G202&lt;201,G202/2,IF(G202&lt;=301,G202/3,G202/4))))</f>
        <v>562.68810000000008</v>
      </c>
      <c r="I202" s="35"/>
      <c r="N202" s="35"/>
    </row>
    <row r="203" spans="1:20" s="91" customFormat="1" x14ac:dyDescent="0.25">
      <c r="A203" s="92">
        <f>A202+1</f>
        <v>2</v>
      </c>
      <c r="B203" s="92" t="s">
        <v>402</v>
      </c>
      <c r="C203" s="92" t="s">
        <v>400</v>
      </c>
      <c r="D203" s="97">
        <f>(55.12)*(10.764)</f>
        <v>593.31167999999991</v>
      </c>
      <c r="E203" s="92">
        <v>0</v>
      </c>
      <c r="F203" s="92">
        <f>D203+E203</f>
        <v>593.31167999999991</v>
      </c>
      <c r="G203" s="92">
        <v>0</v>
      </c>
      <c r="H203" s="92">
        <f>F203*(($H$189)+1)+(IF(G203&lt;101,G203,IF(G203&lt;201,G203/2,IF(G203&lt;=301,G203/3,G203/4))))</f>
        <v>889.96751999999992</v>
      </c>
      <c r="I203" s="35"/>
      <c r="N203" s="35"/>
    </row>
    <row r="204" spans="1:20" s="91" customFormat="1" x14ac:dyDescent="0.25">
      <c r="A204" s="92">
        <f>A203+1</f>
        <v>3</v>
      </c>
      <c r="B204" s="92" t="s">
        <v>402</v>
      </c>
      <c r="C204" s="92" t="s">
        <v>400</v>
      </c>
      <c r="D204" s="97">
        <f>(55.12)*(10.764)</f>
        <v>593.31167999999991</v>
      </c>
      <c r="E204" s="92">
        <v>0</v>
      </c>
      <c r="F204" s="92">
        <f>D204+E204</f>
        <v>593.31167999999991</v>
      </c>
      <c r="G204" s="92">
        <v>0</v>
      </c>
      <c r="H204" s="92">
        <f>F204*(($H$189)+1)+(IF(G204&lt;101,G204,IF(G204&lt;201,G204/2,IF(G204&lt;=301,G204/3,G204/4))))</f>
        <v>889.96751999999992</v>
      </c>
      <c r="I204" s="35"/>
      <c r="N204" s="35"/>
    </row>
    <row r="205" spans="1:20" s="91" customFormat="1" x14ac:dyDescent="0.25">
      <c r="A205" s="92">
        <f>A204+1</f>
        <v>4</v>
      </c>
      <c r="B205" s="92" t="s">
        <v>402</v>
      </c>
      <c r="C205" s="92" t="s">
        <v>399</v>
      </c>
      <c r="D205" s="97">
        <f>(34.85)*(10.764)</f>
        <v>375.12540000000001</v>
      </c>
      <c r="E205" s="92">
        <v>0</v>
      </c>
      <c r="F205" s="92">
        <f>D205+E205</f>
        <v>375.12540000000001</v>
      </c>
      <c r="G205" s="92">
        <v>0</v>
      </c>
      <c r="H205" s="92">
        <f>F205*(($H$189)+1)+(IF(G205&lt;101,G205,IF(G205&lt;201,G205/2,IF(G205&lt;=301,G205/3,G205/4))))</f>
        <v>562.68810000000008</v>
      </c>
      <c r="I205" s="35"/>
      <c r="N205" s="35"/>
    </row>
    <row r="206" spans="1:20" s="91" customFormat="1" x14ac:dyDescent="0.25">
      <c r="A206" s="119" t="s">
        <v>404</v>
      </c>
      <c r="B206" s="119"/>
      <c r="C206" s="119"/>
      <c r="D206" s="119"/>
      <c r="E206" s="119"/>
      <c r="F206" s="119"/>
      <c r="G206" s="119"/>
      <c r="H206" s="119"/>
      <c r="I206" s="35">
        <f>3</f>
        <v>3</v>
      </c>
      <c r="L206" s="249"/>
      <c r="M206" s="249"/>
    </row>
    <row r="207" spans="1:20" s="91" customFormat="1" x14ac:dyDescent="0.25">
      <c r="A207" s="92">
        <v>1</v>
      </c>
      <c r="B207" s="92" t="s">
        <v>402</v>
      </c>
      <c r="C207" s="92" t="s">
        <v>399</v>
      </c>
      <c r="D207" s="97">
        <f>(34.85)*(10.764)</f>
        <v>375.12540000000001</v>
      </c>
      <c r="E207" s="92">
        <v>0</v>
      </c>
      <c r="F207" s="92">
        <f>D207+E207</f>
        <v>375.12540000000001</v>
      </c>
      <c r="G207" s="92">
        <v>0</v>
      </c>
      <c r="H207" s="92">
        <f>F207*(($H$189)+1)+(IF(G207&lt;101,G207,IF(G207&lt;201,G207/2,IF(G207&lt;=301,G207/3,G207/4))))</f>
        <v>562.68810000000008</v>
      </c>
      <c r="I207" s="35"/>
      <c r="N207" s="35"/>
    </row>
    <row r="208" spans="1:20" s="91" customFormat="1" x14ac:dyDescent="0.25">
      <c r="A208" s="92">
        <f>A207+1</f>
        <v>2</v>
      </c>
      <c r="B208" s="92" t="s">
        <v>402</v>
      </c>
      <c r="C208" s="92" t="s">
        <v>400</v>
      </c>
      <c r="D208" s="97">
        <f>(55.12)*(10.764)</f>
        <v>593.31167999999991</v>
      </c>
      <c r="E208" s="92">
        <v>0</v>
      </c>
      <c r="F208" s="92">
        <f>D208+E208</f>
        <v>593.31167999999991</v>
      </c>
      <c r="G208" s="92">
        <v>0</v>
      </c>
      <c r="H208" s="92">
        <f>F208*(($H$189)+1)+(IF(G208&lt;101,G208,IF(G208&lt;201,G208/2,IF(G208&lt;=301,G208/3,G208/4))))</f>
        <v>889.96751999999992</v>
      </c>
      <c r="I208" s="35"/>
      <c r="N208" s="35"/>
    </row>
    <row r="209" spans="1:14" s="91" customFormat="1" x14ac:dyDescent="0.25">
      <c r="A209" s="92">
        <f>A208+1</f>
        <v>3</v>
      </c>
      <c r="B209" s="92" t="s">
        <v>402</v>
      </c>
      <c r="C209" s="92" t="s">
        <v>400</v>
      </c>
      <c r="D209" s="97">
        <f>(55.12)*(10.764)</f>
        <v>593.31167999999991</v>
      </c>
      <c r="E209" s="92">
        <v>0</v>
      </c>
      <c r="F209" s="92">
        <f>D209+E209</f>
        <v>593.31167999999991</v>
      </c>
      <c r="G209" s="92">
        <v>0</v>
      </c>
      <c r="H209" s="92">
        <f>F209*(($H$189)+1)+(IF(G209&lt;101,G209,IF(G209&lt;201,G209/2,IF(G209&lt;=301,G209/3,G209/4))))</f>
        <v>889.96751999999992</v>
      </c>
      <c r="I209" s="35"/>
      <c r="N209" s="35"/>
    </row>
    <row r="210" spans="1:14" s="91" customFormat="1" x14ac:dyDescent="0.25">
      <c r="A210" s="92">
        <f>A209+1</f>
        <v>4</v>
      </c>
      <c r="B210" s="92" t="s">
        <v>402</v>
      </c>
      <c r="C210" s="92" t="s">
        <v>399</v>
      </c>
      <c r="D210" s="97">
        <f>(34.85)*(10.764)</f>
        <v>375.12540000000001</v>
      </c>
      <c r="E210" s="92">
        <v>0</v>
      </c>
      <c r="F210" s="92">
        <f>D210+E210</f>
        <v>375.12540000000001</v>
      </c>
      <c r="G210" s="92">
        <v>0</v>
      </c>
      <c r="H210" s="92">
        <f>F210*(($H$189)+1)+(IF(G210&lt;101,G210,IF(G210&lt;201,G210/2,IF(G210&lt;=301,G210/3,G210/4))))</f>
        <v>562.68810000000008</v>
      </c>
      <c r="I210" s="35"/>
      <c r="N210" s="35"/>
    </row>
    <row r="211" spans="1:14" s="91" customFormat="1" x14ac:dyDescent="0.25">
      <c r="A211" s="119" t="s">
        <v>405</v>
      </c>
      <c r="B211" s="119"/>
      <c r="C211" s="119"/>
      <c r="D211" s="119"/>
      <c r="E211" s="119"/>
      <c r="F211" s="119"/>
      <c r="G211" s="119"/>
      <c r="H211" s="119"/>
      <c r="I211" s="35">
        <f>2</f>
        <v>2</v>
      </c>
      <c r="L211" s="249"/>
      <c r="M211" s="249"/>
    </row>
    <row r="212" spans="1:14" s="91" customFormat="1" x14ac:dyDescent="0.25">
      <c r="A212" s="92">
        <v>1</v>
      </c>
      <c r="B212" s="92" t="s">
        <v>402</v>
      </c>
      <c r="C212" s="92" t="s">
        <v>399</v>
      </c>
      <c r="D212" s="97">
        <f>(34.85)*(10.764)</f>
        <v>375.12540000000001</v>
      </c>
      <c r="E212" s="92">
        <v>0</v>
      </c>
      <c r="F212" s="92">
        <f>D212+E212</f>
        <v>375.12540000000001</v>
      </c>
      <c r="G212" s="92">
        <v>0</v>
      </c>
      <c r="H212" s="92">
        <f>F212*(($H$189)+1)+(IF(G212&lt;101,G212,IF(G212&lt;201,G212/2,IF(G212&lt;=301,G212/3,G212/4))))</f>
        <v>562.68810000000008</v>
      </c>
      <c r="I212" s="35"/>
      <c r="N212" s="35"/>
    </row>
    <row r="213" spans="1:14" s="91" customFormat="1" x14ac:dyDescent="0.25">
      <c r="A213" s="92">
        <f>A212+1</f>
        <v>2</v>
      </c>
      <c r="B213" s="92" t="s">
        <v>402</v>
      </c>
      <c r="C213" s="92" t="s">
        <v>400</v>
      </c>
      <c r="D213" s="97">
        <f>(55.12)*(10.764)</f>
        <v>593.31167999999991</v>
      </c>
      <c r="E213" s="92">
        <v>0</v>
      </c>
      <c r="F213" s="92">
        <f>D213+E213</f>
        <v>593.31167999999991</v>
      </c>
      <c r="G213" s="92">
        <v>0</v>
      </c>
      <c r="H213" s="92">
        <f>F213*(($H$189)+1)+(IF(G213&lt;101,G213,IF(G213&lt;201,G213/2,IF(G213&lt;=301,G213/3,G213/4))))</f>
        <v>889.96751999999992</v>
      </c>
      <c r="I213" s="35"/>
      <c r="N213" s="35"/>
    </row>
    <row r="214" spans="1:14" s="91" customFormat="1" x14ac:dyDescent="0.25">
      <c r="A214" s="92">
        <f>A213+1</f>
        <v>3</v>
      </c>
      <c r="B214" s="92" t="s">
        <v>402</v>
      </c>
      <c r="C214" s="92" t="s">
        <v>400</v>
      </c>
      <c r="D214" s="97">
        <f>(55.12)*(10.764)</f>
        <v>593.31167999999991</v>
      </c>
      <c r="E214" s="92">
        <v>0</v>
      </c>
      <c r="F214" s="92">
        <f>D214+E214</f>
        <v>593.31167999999991</v>
      </c>
      <c r="G214" s="92">
        <v>0</v>
      </c>
      <c r="H214" s="92">
        <f>F214*(($H$189)+1)+(IF(G214&lt;101,G214,IF(G214&lt;201,G214/2,IF(G214&lt;=301,G214/3,G214/4))))</f>
        <v>889.96751999999992</v>
      </c>
      <c r="I214" s="35"/>
      <c r="N214" s="35"/>
    </row>
    <row r="215" spans="1:14" s="91" customFormat="1" x14ac:dyDescent="0.25">
      <c r="A215" s="92">
        <f>A214+1</f>
        <v>4</v>
      </c>
      <c r="B215" s="92" t="s">
        <v>402</v>
      </c>
      <c r="C215" s="92" t="s">
        <v>399</v>
      </c>
      <c r="D215" s="97">
        <f>(34.85)*(10.764)</f>
        <v>375.12540000000001</v>
      </c>
      <c r="E215" s="92">
        <v>0</v>
      </c>
      <c r="F215" s="92">
        <f>D215+E215</f>
        <v>375.12540000000001</v>
      </c>
      <c r="G215" s="92">
        <v>0</v>
      </c>
      <c r="H215" s="92">
        <f>F215*(($H$189)+1)+(IF(G215&lt;101,G215,IF(G215&lt;201,G215/2,IF(G215&lt;=301,G215/3,G215/4))))</f>
        <v>562.68810000000008</v>
      </c>
      <c r="I215" s="35"/>
      <c r="N215" s="35"/>
    </row>
    <row r="216" spans="1:14" s="91" customFormat="1" x14ac:dyDescent="0.25">
      <c r="A216" s="119" t="s">
        <v>406</v>
      </c>
      <c r="B216" s="119"/>
      <c r="C216" s="119"/>
      <c r="D216" s="119"/>
      <c r="E216" s="119"/>
      <c r="F216" s="119"/>
      <c r="G216" s="119"/>
      <c r="H216" s="119"/>
      <c r="I216" s="35">
        <f>2</f>
        <v>2</v>
      </c>
      <c r="L216" s="249"/>
      <c r="M216" s="249"/>
    </row>
    <row r="217" spans="1:14" s="91" customFormat="1" x14ac:dyDescent="0.25">
      <c r="A217" s="92">
        <v>1</v>
      </c>
      <c r="B217" s="92" t="s">
        <v>402</v>
      </c>
      <c r="C217" s="92" t="s">
        <v>399</v>
      </c>
      <c r="D217" s="97">
        <f>(34.85)*(10.764)</f>
        <v>375.12540000000001</v>
      </c>
      <c r="E217" s="92">
        <v>0</v>
      </c>
      <c r="F217" s="92">
        <f>D217+E217</f>
        <v>375.12540000000001</v>
      </c>
      <c r="G217" s="92">
        <v>0</v>
      </c>
      <c r="H217" s="92">
        <f>F217*(($H$189)+1)+(IF(G217&lt;101,G217,IF(G217&lt;201,G217/2,IF(G217&lt;=301,G217/3,G217/4))))</f>
        <v>562.68810000000008</v>
      </c>
      <c r="I217" s="35"/>
      <c r="N217" s="35"/>
    </row>
    <row r="218" spans="1:14" s="91" customFormat="1" x14ac:dyDescent="0.25">
      <c r="A218" s="92">
        <f>A217+1</f>
        <v>2</v>
      </c>
      <c r="B218" s="92" t="s">
        <v>402</v>
      </c>
      <c r="C218" s="92" t="s">
        <v>400</v>
      </c>
      <c r="D218" s="97">
        <f>(55.12)*(10.764)</f>
        <v>593.31167999999991</v>
      </c>
      <c r="E218" s="92">
        <v>0</v>
      </c>
      <c r="F218" s="92">
        <f>D218+E218</f>
        <v>593.31167999999991</v>
      </c>
      <c r="G218" s="92">
        <v>0</v>
      </c>
      <c r="H218" s="92">
        <f>F218*(($H$189)+1)+(IF(G218&lt;101,G218,IF(G218&lt;201,G218/2,IF(G218&lt;=301,G218/3,G218/4))))</f>
        <v>889.96751999999992</v>
      </c>
      <c r="I218" s="35"/>
      <c r="N218" s="35"/>
    </row>
    <row r="219" spans="1:14" s="91" customFormat="1" x14ac:dyDescent="0.25">
      <c r="A219" s="92">
        <f>A218+1</f>
        <v>3</v>
      </c>
      <c r="B219" s="92" t="s">
        <v>402</v>
      </c>
      <c r="C219" s="92" t="s">
        <v>400</v>
      </c>
      <c r="D219" s="97">
        <f>(55.12)*(10.764)</f>
        <v>593.31167999999991</v>
      </c>
      <c r="E219" s="92">
        <v>0</v>
      </c>
      <c r="F219" s="92">
        <f>D219+E219</f>
        <v>593.31167999999991</v>
      </c>
      <c r="G219" s="92">
        <v>0</v>
      </c>
      <c r="H219" s="92">
        <f>F219*(($H$189)+1)+(IF(G219&lt;101,G219,IF(G219&lt;201,G219/2,IF(G219&lt;=301,G219/3,G219/4))))</f>
        <v>889.96751999999992</v>
      </c>
      <c r="I219" s="35"/>
      <c r="N219" s="35"/>
    </row>
    <row r="220" spans="1:14" s="91" customFormat="1" x14ac:dyDescent="0.25">
      <c r="A220" s="92">
        <f>A219+1</f>
        <v>4</v>
      </c>
      <c r="B220" s="92" t="s">
        <v>402</v>
      </c>
      <c r="C220" s="92" t="s">
        <v>399</v>
      </c>
      <c r="D220" s="97">
        <f>(34.85)*(10.764)</f>
        <v>375.12540000000001</v>
      </c>
      <c r="E220" s="92">
        <v>0</v>
      </c>
      <c r="F220" s="92">
        <f>D220+E220</f>
        <v>375.12540000000001</v>
      </c>
      <c r="G220" s="92">
        <v>0</v>
      </c>
      <c r="H220" s="92">
        <f>F220*(($H$189)+1)+(IF(G220&lt;101,G220,IF(G220&lt;201,G220/2,IF(G220&lt;=301,G220/3,G220/4))))</f>
        <v>562.68810000000008</v>
      </c>
      <c r="I220" s="35"/>
      <c r="N220" s="35"/>
    </row>
    <row r="221" spans="1:14" s="91" customFormat="1" x14ac:dyDescent="0.25">
      <c r="A221" s="119" t="s">
        <v>407</v>
      </c>
      <c r="B221" s="119"/>
      <c r="C221" s="119"/>
      <c r="D221" s="119"/>
      <c r="E221" s="119"/>
      <c r="F221" s="119"/>
      <c r="G221" s="119"/>
      <c r="H221" s="119"/>
      <c r="I221" s="35">
        <f>1</f>
        <v>1</v>
      </c>
      <c r="L221" s="249"/>
      <c r="M221" s="249"/>
    </row>
    <row r="222" spans="1:14" s="91" customFormat="1" x14ac:dyDescent="0.25">
      <c r="A222" s="92">
        <v>1</v>
      </c>
      <c r="B222" s="92" t="s">
        <v>402</v>
      </c>
      <c r="C222" s="92" t="s">
        <v>399</v>
      </c>
      <c r="D222" s="97">
        <f>(34.85)*(10.764)</f>
        <v>375.12540000000001</v>
      </c>
      <c r="E222" s="92">
        <v>0</v>
      </c>
      <c r="F222" s="92">
        <f>D222+E222</f>
        <v>375.12540000000001</v>
      </c>
      <c r="G222" s="92">
        <v>0</v>
      </c>
      <c r="H222" s="92">
        <f>F222*(($H$189)+1)+(IF(G222&lt;101,G222,IF(G222&lt;201,G222/2,IF(G222&lt;=301,G222/3,G222/4))))</f>
        <v>562.68810000000008</v>
      </c>
      <c r="I222" s="35"/>
      <c r="N222" s="35"/>
    </row>
    <row r="223" spans="1:14" s="91" customFormat="1" x14ac:dyDescent="0.25">
      <c r="A223" s="92">
        <f>A222+1</f>
        <v>2</v>
      </c>
      <c r="B223" s="92" t="s">
        <v>402</v>
      </c>
      <c r="C223" s="92" t="s">
        <v>400</v>
      </c>
      <c r="D223" s="97">
        <f>(55.12)*(10.764)</f>
        <v>593.31167999999991</v>
      </c>
      <c r="E223" s="92">
        <v>0</v>
      </c>
      <c r="F223" s="92">
        <f>D223+E223</f>
        <v>593.31167999999991</v>
      </c>
      <c r="G223" s="92">
        <v>0</v>
      </c>
      <c r="H223" s="92">
        <f>F223*(($H$189)+1)+(IF(G223&lt;101,G223,IF(G223&lt;201,G223/2,IF(G223&lt;=301,G223/3,G223/4))))</f>
        <v>889.96751999999992</v>
      </c>
      <c r="I223" s="35"/>
      <c r="N223" s="35"/>
    </row>
    <row r="224" spans="1:14" s="91" customFormat="1" x14ac:dyDescent="0.25">
      <c r="A224" s="92">
        <f>A223+1</f>
        <v>3</v>
      </c>
      <c r="B224" s="92" t="s">
        <v>402</v>
      </c>
      <c r="C224" s="92" t="s">
        <v>402</v>
      </c>
      <c r="D224" s="110" t="s">
        <v>408</v>
      </c>
      <c r="E224" s="123"/>
      <c r="F224" s="123"/>
      <c r="G224" s="123"/>
      <c r="H224" s="111"/>
      <c r="I224" s="35"/>
      <c r="N224" s="35"/>
    </row>
    <row r="225" spans="1:14" s="91" customFormat="1" x14ac:dyDescent="0.25">
      <c r="A225" s="92">
        <f>A224+1</f>
        <v>4</v>
      </c>
      <c r="B225" s="92" t="s">
        <v>402</v>
      </c>
      <c r="C225" s="92" t="s">
        <v>399</v>
      </c>
      <c r="D225" s="97">
        <f>(34.85)*(10.764)</f>
        <v>375.12540000000001</v>
      </c>
      <c r="E225" s="92">
        <v>0</v>
      </c>
      <c r="F225" s="92">
        <f>D225+E225</f>
        <v>375.12540000000001</v>
      </c>
      <c r="G225" s="92">
        <v>0</v>
      </c>
      <c r="H225" s="92">
        <f>F225*(($H$189)+1)+(IF(G225&lt;101,G225,IF(G225&lt;201,G225/2,IF(G225&lt;=301,G225/3,G225/4))))</f>
        <v>562.68810000000008</v>
      </c>
      <c r="I225" s="35"/>
      <c r="N225" s="35"/>
    </row>
    <row r="226" spans="1:14" s="91" customFormat="1" x14ac:dyDescent="0.25">
      <c r="A226" s="119" t="s">
        <v>409</v>
      </c>
      <c r="B226" s="119"/>
      <c r="C226" s="119"/>
      <c r="D226" s="119"/>
      <c r="E226" s="119"/>
      <c r="F226" s="119"/>
      <c r="G226" s="119"/>
      <c r="H226" s="119"/>
      <c r="I226" s="35">
        <f>1</f>
        <v>1</v>
      </c>
      <c r="L226" s="249"/>
      <c r="M226" s="249"/>
    </row>
    <row r="227" spans="1:14" s="91" customFormat="1" x14ac:dyDescent="0.25">
      <c r="A227" s="92">
        <v>1</v>
      </c>
      <c r="B227" s="92" t="s">
        <v>402</v>
      </c>
      <c r="C227" s="92" t="s">
        <v>399</v>
      </c>
      <c r="D227" s="97">
        <f>(34.85)*(10.764)</f>
        <v>375.12540000000001</v>
      </c>
      <c r="E227" s="92">
        <v>0</v>
      </c>
      <c r="F227" s="92">
        <f>D227+E227</f>
        <v>375.12540000000001</v>
      </c>
      <c r="G227" s="92">
        <v>0</v>
      </c>
      <c r="H227" s="92">
        <f>F227*(($H$189)+1)+(IF(G227&lt;101,G227,IF(G227&lt;201,G227/2,IF(G227&lt;=301,G227/3,G227/4))))</f>
        <v>562.68810000000008</v>
      </c>
      <c r="I227" s="35"/>
      <c r="N227" s="35"/>
    </row>
    <row r="228" spans="1:14" s="91" customFormat="1" x14ac:dyDescent="0.25">
      <c r="A228" s="92">
        <f>A227+1</f>
        <v>2</v>
      </c>
      <c r="B228" s="92" t="s">
        <v>402</v>
      </c>
      <c r="C228" s="92" t="s">
        <v>400</v>
      </c>
      <c r="D228" s="97">
        <f>(55.12)*(10.764)</f>
        <v>593.31167999999991</v>
      </c>
      <c r="E228" s="92">
        <v>0</v>
      </c>
      <c r="F228" s="92">
        <f>D228+E228</f>
        <v>593.31167999999991</v>
      </c>
      <c r="G228" s="92">
        <v>0</v>
      </c>
      <c r="H228" s="92">
        <f>F228*(($H$189)+1)+(IF(G228&lt;101,G228,IF(G228&lt;201,G228/2,IF(G228&lt;=301,G228/3,G228/4))))</f>
        <v>889.96751999999992</v>
      </c>
      <c r="I228" s="35"/>
      <c r="N228" s="35"/>
    </row>
    <row r="229" spans="1:14" s="91" customFormat="1" x14ac:dyDescent="0.25">
      <c r="A229" s="92">
        <f>A228+1</f>
        <v>3</v>
      </c>
      <c r="B229" s="92" t="s">
        <v>402</v>
      </c>
      <c r="C229" s="92" t="s">
        <v>400</v>
      </c>
      <c r="D229" s="97">
        <f>(55.12)*(10.764)</f>
        <v>593.31167999999991</v>
      </c>
      <c r="E229" s="92">
        <v>0</v>
      </c>
      <c r="F229" s="92">
        <f>D229+E229</f>
        <v>593.31167999999991</v>
      </c>
      <c r="G229" s="92">
        <v>0</v>
      </c>
      <c r="H229" s="92">
        <f>F229*(($H$189)+1)+(IF(G229&lt;101,G229,IF(G229&lt;201,G229/2,IF(G229&lt;=301,G229/3,G229/4))))</f>
        <v>889.96751999999992</v>
      </c>
      <c r="I229" s="35"/>
      <c r="N229" s="35"/>
    </row>
    <row r="230" spans="1:14" s="91" customFormat="1" x14ac:dyDescent="0.25">
      <c r="A230" s="92">
        <f>A229+1</f>
        <v>4</v>
      </c>
      <c r="B230" s="92" t="s">
        <v>402</v>
      </c>
      <c r="C230" s="92" t="s">
        <v>399</v>
      </c>
      <c r="D230" s="97">
        <f>(34.85)*(10.764)</f>
        <v>375.12540000000001</v>
      </c>
      <c r="E230" s="92">
        <v>0</v>
      </c>
      <c r="F230" s="92">
        <f>D230+E230</f>
        <v>375.12540000000001</v>
      </c>
      <c r="G230" s="92">
        <v>0</v>
      </c>
      <c r="H230" s="92">
        <f>F230*(($H$189)+1)+(IF(G230&lt;101,G230,IF(G230&lt;201,G230/2,IF(G230&lt;=301,G230/3,G230/4))))</f>
        <v>562.68810000000008</v>
      </c>
      <c r="I230" s="35"/>
      <c r="N230" s="35"/>
    </row>
    <row r="231" spans="1:14" s="91" customFormat="1" x14ac:dyDescent="0.25">
      <c r="A231" s="119" t="s">
        <v>410</v>
      </c>
      <c r="B231" s="119"/>
      <c r="C231" s="119"/>
      <c r="D231" s="119"/>
      <c r="E231" s="119"/>
      <c r="F231" s="119"/>
      <c r="G231" s="119"/>
      <c r="H231" s="119"/>
      <c r="I231" s="35">
        <f>1</f>
        <v>1</v>
      </c>
      <c r="L231" s="249"/>
      <c r="M231" s="249"/>
    </row>
    <row r="232" spans="1:14" s="91" customFormat="1" x14ac:dyDescent="0.25">
      <c r="A232" s="92">
        <v>1</v>
      </c>
      <c r="B232" s="92" t="s">
        <v>402</v>
      </c>
      <c r="C232" s="92" t="s">
        <v>399</v>
      </c>
      <c r="D232" s="97">
        <f>(34.85)*(10.764)</f>
        <v>375.12540000000001</v>
      </c>
      <c r="E232" s="92">
        <v>0</v>
      </c>
      <c r="F232" s="92">
        <f>D232+E232</f>
        <v>375.12540000000001</v>
      </c>
      <c r="G232" s="92">
        <v>0</v>
      </c>
      <c r="H232" s="92">
        <f>F232*(($H$189)+1)+(IF(G232&lt;101,G232,IF(G232&lt;201,G232/2,IF(G232&lt;=301,G232/3,G232/4))))</f>
        <v>562.68810000000008</v>
      </c>
      <c r="I232" s="35"/>
      <c r="N232" s="35"/>
    </row>
    <row r="233" spans="1:14" s="91" customFormat="1" x14ac:dyDescent="0.25">
      <c r="A233" s="92">
        <f>A232+1</f>
        <v>2</v>
      </c>
      <c r="B233" s="92" t="s">
        <v>402</v>
      </c>
      <c r="C233" s="92" t="s">
        <v>400</v>
      </c>
      <c r="D233" s="97">
        <f>(55.12)*(10.764)</f>
        <v>593.31167999999991</v>
      </c>
      <c r="E233" s="92">
        <v>0</v>
      </c>
      <c r="F233" s="92">
        <f>D233+E233</f>
        <v>593.31167999999991</v>
      </c>
      <c r="G233" s="92">
        <v>0</v>
      </c>
      <c r="H233" s="92">
        <f>F233*(($H$189)+1)+(IF(G233&lt;101,G233,IF(G233&lt;201,G233/2,IF(G233&lt;=301,G233/3,G233/4))))</f>
        <v>889.96751999999992</v>
      </c>
      <c r="I233" s="35"/>
      <c r="N233" s="35"/>
    </row>
    <row r="234" spans="1:14" s="91" customFormat="1" x14ac:dyDescent="0.25">
      <c r="A234" s="92">
        <f>A233+1</f>
        <v>3</v>
      </c>
      <c r="B234" s="92" t="s">
        <v>402</v>
      </c>
      <c r="C234" s="92" t="s">
        <v>400</v>
      </c>
      <c r="D234" s="97">
        <f>(55.12)*(10.764)</f>
        <v>593.31167999999991</v>
      </c>
      <c r="E234" s="92">
        <v>0</v>
      </c>
      <c r="F234" s="92">
        <f>D234+E234</f>
        <v>593.31167999999991</v>
      </c>
      <c r="G234" s="92">
        <v>0</v>
      </c>
      <c r="H234" s="92">
        <f>F234*(($H$189)+1)+(IF(G234&lt;101,G234,IF(G234&lt;201,G234/2,IF(G234&lt;=301,G234/3,G234/4))))</f>
        <v>889.96751999999992</v>
      </c>
      <c r="I234" s="35"/>
      <c r="N234" s="35"/>
    </row>
    <row r="235" spans="1:14" s="91" customFormat="1" x14ac:dyDescent="0.25">
      <c r="A235" s="92">
        <f>A234+1</f>
        <v>4</v>
      </c>
      <c r="B235" s="92" t="s">
        <v>402</v>
      </c>
      <c r="C235" s="92" t="s">
        <v>399</v>
      </c>
      <c r="D235" s="97">
        <f>(34.85)*(10.764)</f>
        <v>375.12540000000001</v>
      </c>
      <c r="E235" s="92">
        <v>0</v>
      </c>
      <c r="F235" s="92">
        <f>D235+E235</f>
        <v>375.12540000000001</v>
      </c>
      <c r="G235" s="92">
        <v>0</v>
      </c>
      <c r="H235" s="92">
        <f>F235*(($H$189)+1)+(IF(G235&lt;101,G235,IF(G235&lt;201,G235/2,IF(G235&lt;=301,G235/3,G235/4))))</f>
        <v>562.68810000000008</v>
      </c>
      <c r="I235" s="35"/>
      <c r="N235" s="35"/>
    </row>
    <row r="236" spans="1:14" s="93" customFormat="1" x14ac:dyDescent="0.25">
      <c r="A236" s="106" t="s">
        <v>413</v>
      </c>
      <c r="B236" s="107"/>
      <c r="C236" s="107"/>
      <c r="D236" s="107"/>
      <c r="E236" s="107"/>
      <c r="F236" s="107"/>
      <c r="G236" s="107"/>
      <c r="H236" s="108"/>
      <c r="J236" s="35"/>
    </row>
    <row r="237" spans="1:14" s="93" customFormat="1" x14ac:dyDescent="0.25">
      <c r="A237" s="106" t="s">
        <v>446</v>
      </c>
      <c r="B237" s="107"/>
      <c r="C237" s="107"/>
      <c r="D237" s="107"/>
      <c r="E237" s="107"/>
      <c r="F237" s="107"/>
      <c r="G237" s="107"/>
      <c r="H237" s="108"/>
      <c r="I237" s="35">
        <f>1</f>
        <v>1</v>
      </c>
      <c r="J237" s="35"/>
    </row>
    <row r="238" spans="1:14" s="36" customFormat="1" ht="15.75" customHeight="1" x14ac:dyDescent="0.25">
      <c r="A238" s="92">
        <v>1</v>
      </c>
      <c r="B238" s="92" t="s">
        <v>402</v>
      </c>
      <c r="C238" s="92" t="s">
        <v>402</v>
      </c>
      <c r="D238" s="110" t="s">
        <v>447</v>
      </c>
      <c r="E238" s="123"/>
      <c r="F238" s="123"/>
      <c r="G238" s="123"/>
      <c r="H238" s="111"/>
      <c r="I238" s="35"/>
    </row>
    <row r="239" spans="1:14" s="36" customFormat="1" ht="15.75" customHeight="1" x14ac:dyDescent="0.25">
      <c r="A239" s="92">
        <v>2</v>
      </c>
      <c r="B239" s="92" t="s">
        <v>401</v>
      </c>
      <c r="C239" s="41" t="s">
        <v>399</v>
      </c>
      <c r="D239" s="97">
        <f>(46.87)*(10.764)</f>
        <v>504.50867999999997</v>
      </c>
      <c r="E239" s="41">
        <v>0</v>
      </c>
      <c r="F239" s="41">
        <f>D239+E239</f>
        <v>504.50867999999997</v>
      </c>
      <c r="G239" s="41">
        <v>0</v>
      </c>
      <c r="H239" s="41">
        <f>F239*(($H$189)+1)+(IF(G239&lt;101,G239,IF(G239&lt;201,G239/2,IF(G239&lt;=301,G239/3,G239/4))))</f>
        <v>756.76301999999998</v>
      </c>
      <c r="I239" s="35">
        <f>3.03*5.26+2.65*3.05+3.04*3.95+2.11*1.26+1.21*2.21+1.54*0.9+2.14*1.21</f>
        <v>45.336400000000005</v>
      </c>
    </row>
    <row r="240" spans="1:14" s="36" customFormat="1" ht="15.75" customHeight="1" x14ac:dyDescent="0.25">
      <c r="A240" s="92">
        <v>3</v>
      </c>
      <c r="B240" s="92" t="s">
        <v>402</v>
      </c>
      <c r="C240" s="92" t="s">
        <v>399</v>
      </c>
      <c r="D240" s="97">
        <f>(48.25)*(10.764)</f>
        <v>519.36299999999994</v>
      </c>
      <c r="E240" s="41">
        <v>0</v>
      </c>
      <c r="F240" s="41">
        <f>D240+E240</f>
        <v>519.36299999999994</v>
      </c>
      <c r="G240" s="41">
        <v>0</v>
      </c>
      <c r="H240" s="41">
        <f>F240*(($H$189)+1)+(IF(G240&lt;101,G240,IF(G240&lt;201,G240/2,IF(G240&lt;=301,G240/3,G240/4))))</f>
        <v>779.04449999999997</v>
      </c>
      <c r="I240" s="35"/>
    </row>
    <row r="241" spans="1:11" s="36" customFormat="1" ht="15.75" customHeight="1" x14ac:dyDescent="0.25">
      <c r="A241" s="92">
        <v>4</v>
      </c>
      <c r="B241" s="92" t="s">
        <v>402</v>
      </c>
      <c r="C241" s="41" t="s">
        <v>400</v>
      </c>
      <c r="D241" s="97">
        <f>(57.67)*(10.764)</f>
        <v>620.75987999999995</v>
      </c>
      <c r="E241" s="41">
        <v>0</v>
      </c>
      <c r="F241" s="41">
        <f>D241+E241</f>
        <v>620.75987999999995</v>
      </c>
      <c r="G241" s="41">
        <v>0</v>
      </c>
      <c r="H241" s="41">
        <f>F241*(($H$189)+1)+(IF(G241&lt;101,G241,IF(G241&lt;201,G241/2,IF(G241&lt;=301,G241/3,G241/4))))</f>
        <v>931.13981999999987</v>
      </c>
      <c r="I241" s="35"/>
      <c r="J241" s="36">
        <f>14900000/H241</f>
        <v>16001.893249501458</v>
      </c>
    </row>
    <row r="242" spans="1:11" s="93" customFormat="1" x14ac:dyDescent="0.25">
      <c r="A242" s="106" t="s">
        <v>445</v>
      </c>
      <c r="B242" s="107"/>
      <c r="C242" s="107"/>
      <c r="D242" s="107"/>
      <c r="E242" s="107"/>
      <c r="F242" s="107"/>
      <c r="G242" s="107"/>
      <c r="H242" s="108"/>
      <c r="I242" s="35">
        <f>1</f>
        <v>1</v>
      </c>
      <c r="J242" s="35"/>
    </row>
    <row r="243" spans="1:11" s="93" customFormat="1" ht="15.75" customHeight="1" x14ac:dyDescent="0.25">
      <c r="A243" s="92">
        <v>1</v>
      </c>
      <c r="B243" s="92" t="s">
        <v>402</v>
      </c>
      <c r="C243" s="92" t="s">
        <v>400</v>
      </c>
      <c r="D243" s="97">
        <f>(57.67)*(10.764)</f>
        <v>620.75987999999995</v>
      </c>
      <c r="E243" s="92">
        <v>0</v>
      </c>
      <c r="F243" s="92">
        <f>D243+E243</f>
        <v>620.75987999999995</v>
      </c>
      <c r="G243" s="92">
        <v>0</v>
      </c>
      <c r="H243" s="92">
        <f>F243*(($H$189)+1)+(IF(G243&lt;101,G243,IF(G243&lt;201,G243/2,IF(G243&lt;=301,G243/3,G243/4))))</f>
        <v>931.13981999999987</v>
      </c>
      <c r="I243" s="35"/>
    </row>
    <row r="244" spans="1:11" s="93" customFormat="1" ht="15.75" customHeight="1" x14ac:dyDescent="0.25">
      <c r="A244" s="92">
        <v>2</v>
      </c>
      <c r="B244" s="92" t="s">
        <v>402</v>
      </c>
      <c r="C244" s="92" t="s">
        <v>400</v>
      </c>
      <c r="D244" s="97">
        <f>(57.67)*(10.764)</f>
        <v>620.75987999999995</v>
      </c>
      <c r="E244" s="92">
        <v>0</v>
      </c>
      <c r="F244" s="92">
        <f>D244+E244</f>
        <v>620.75987999999995</v>
      </c>
      <c r="G244" s="92">
        <v>0</v>
      </c>
      <c r="H244" s="92">
        <f>F244*(($H$189)+1)+(IF(G244&lt;101,G244,IF(G244&lt;201,G244/2,IF(G244&lt;=301,G244/3,G244/4))))</f>
        <v>931.13981999999987</v>
      </c>
      <c r="I244" s="35"/>
    </row>
    <row r="245" spans="1:11" s="93" customFormat="1" ht="15.75" customHeight="1" x14ac:dyDescent="0.25">
      <c r="A245" s="92">
        <v>3</v>
      </c>
      <c r="B245" s="92" t="s">
        <v>402</v>
      </c>
      <c r="C245" s="92" t="s">
        <v>400</v>
      </c>
      <c r="D245" s="97">
        <f>(57.67)*(10.764)</f>
        <v>620.75987999999995</v>
      </c>
      <c r="E245" s="92">
        <v>0</v>
      </c>
      <c r="F245" s="92">
        <f>D245+E245</f>
        <v>620.75987999999995</v>
      </c>
      <c r="G245" s="92">
        <v>0</v>
      </c>
      <c r="H245" s="92">
        <f>F245*(($H$189)+1)+(IF(G245&lt;101,G245,IF(G245&lt;201,G245/2,IF(G245&lt;=301,G245/3,G245/4))))</f>
        <v>931.13981999999987</v>
      </c>
      <c r="I245" s="35"/>
    </row>
    <row r="246" spans="1:11" s="93" customFormat="1" ht="15.75" customHeight="1" x14ac:dyDescent="0.25">
      <c r="A246" s="92">
        <v>4</v>
      </c>
      <c r="B246" s="92" t="s">
        <v>402</v>
      </c>
      <c r="C246" s="92" t="s">
        <v>400</v>
      </c>
      <c r="D246" s="97">
        <f>(57.67)*(10.764)</f>
        <v>620.75987999999995</v>
      </c>
      <c r="E246" s="92">
        <v>0</v>
      </c>
      <c r="F246" s="92">
        <f>D246+E246</f>
        <v>620.75987999999995</v>
      </c>
      <c r="G246" s="92">
        <v>0</v>
      </c>
      <c r="H246" s="92">
        <f>F246*(($H$189)+1)+(IF(G246&lt;101,G246,IF(G246&lt;201,G246/2,IF(G246&lt;=301,G246/3,G246/4))))</f>
        <v>931.13981999999987</v>
      </c>
      <c r="I246" s="35">
        <f>3.03*5.26+2.11*3.05+2.89*3.95+1.65*0.6+2.14*1.21+1*0.9+1.21*2.21+3.04*3.95+2.11*1.26</f>
        <v>55.608899999999998</v>
      </c>
    </row>
    <row r="247" spans="1:11" s="93" customFormat="1" x14ac:dyDescent="0.25">
      <c r="A247" s="106" t="s">
        <v>403</v>
      </c>
      <c r="B247" s="107"/>
      <c r="C247" s="107"/>
      <c r="D247" s="107"/>
      <c r="E247" s="107"/>
      <c r="F247" s="107"/>
      <c r="G247" s="107"/>
      <c r="H247" s="108"/>
      <c r="I247" s="35">
        <f>1</f>
        <v>1</v>
      </c>
      <c r="J247" s="35"/>
    </row>
    <row r="248" spans="1:11" s="93" customFormat="1" ht="15.75" customHeight="1" x14ac:dyDescent="0.25">
      <c r="A248" s="92">
        <v>1</v>
      </c>
      <c r="B248" s="92" t="s">
        <v>402</v>
      </c>
      <c r="C248" s="92" t="s">
        <v>400</v>
      </c>
      <c r="D248" s="97">
        <f>(57.67)*(10.764)</f>
        <v>620.75987999999995</v>
      </c>
      <c r="E248" s="92">
        <v>0</v>
      </c>
      <c r="F248" s="92">
        <f>D248+E248</f>
        <v>620.75987999999995</v>
      </c>
      <c r="G248" s="92">
        <v>0</v>
      </c>
      <c r="H248" s="92">
        <f>F248*(($H$189)+1)+(IF(G248&lt;101,G248,IF(G248&lt;201,G248/2,IF(G248&lt;=301,G248/3,G248/4))))</f>
        <v>931.13981999999987</v>
      </c>
      <c r="I248" s="35"/>
    </row>
    <row r="249" spans="1:11" s="93" customFormat="1" ht="15.75" customHeight="1" x14ac:dyDescent="0.25">
      <c r="A249" s="92">
        <v>2</v>
      </c>
      <c r="B249" s="92" t="s">
        <v>402</v>
      </c>
      <c r="C249" s="92" t="s">
        <v>400</v>
      </c>
      <c r="D249" s="97">
        <f>(57.67)*(10.764)</f>
        <v>620.75987999999995</v>
      </c>
      <c r="E249" s="92">
        <v>0</v>
      </c>
      <c r="F249" s="92">
        <f>D249+E249</f>
        <v>620.75987999999995</v>
      </c>
      <c r="G249" s="92">
        <v>0</v>
      </c>
      <c r="H249" s="92">
        <f>F249*(($H$189)+1)+(IF(G249&lt;101,G249,IF(G249&lt;201,G249/2,IF(G249&lt;=301,G249/3,G249/4))))</f>
        <v>931.13981999999987</v>
      </c>
      <c r="I249" s="35"/>
    </row>
    <row r="250" spans="1:11" s="93" customFormat="1" ht="15.75" customHeight="1" x14ac:dyDescent="0.25">
      <c r="A250" s="92">
        <v>3</v>
      </c>
      <c r="B250" s="92" t="s">
        <v>402</v>
      </c>
      <c r="C250" s="92" t="s">
        <v>400</v>
      </c>
      <c r="D250" s="97">
        <f>(57.67)*(10.764)</f>
        <v>620.75987999999995</v>
      </c>
      <c r="E250" s="92">
        <v>0</v>
      </c>
      <c r="F250" s="92">
        <f>D250+E250</f>
        <v>620.75987999999995</v>
      </c>
      <c r="G250" s="92">
        <v>0</v>
      </c>
      <c r="H250" s="92">
        <f>F250*(($H$189)+1)+(IF(G250&lt;101,G250,IF(G250&lt;201,G250/2,IF(G250&lt;=301,G250/3,G250/4))))</f>
        <v>931.13981999999987</v>
      </c>
      <c r="I250" s="35"/>
      <c r="K250" s="93">
        <f>15500000/H250</f>
        <v>16646.264789749839</v>
      </c>
    </row>
    <row r="251" spans="1:11" s="93" customFormat="1" ht="15.75" customHeight="1" x14ac:dyDescent="0.25">
      <c r="A251" s="92">
        <v>4</v>
      </c>
      <c r="B251" s="92" t="s">
        <v>402</v>
      </c>
      <c r="C251" s="92" t="s">
        <v>400</v>
      </c>
      <c r="D251" s="97">
        <f>(57.67)*(10.764)</f>
        <v>620.75987999999995</v>
      </c>
      <c r="E251" s="92">
        <v>0</v>
      </c>
      <c r="F251" s="92">
        <f>D251+E251</f>
        <v>620.75987999999995</v>
      </c>
      <c r="G251" s="92">
        <v>0</v>
      </c>
      <c r="H251" s="92">
        <f>F251*(($H$189)+1)+(IF(G251&lt;101,G251,IF(G251&lt;201,G251/2,IF(G251&lt;=301,G251/3,G251/4))))</f>
        <v>931.13981999999987</v>
      </c>
      <c r="I251" s="35"/>
    </row>
    <row r="252" spans="1:11" s="93" customFormat="1" x14ac:dyDescent="0.25">
      <c r="A252" s="106" t="s">
        <v>404</v>
      </c>
      <c r="B252" s="107"/>
      <c r="C252" s="107"/>
      <c r="D252" s="107"/>
      <c r="E252" s="107"/>
      <c r="F252" s="107"/>
      <c r="G252" s="107"/>
      <c r="H252" s="108"/>
      <c r="I252" s="35">
        <f>3</f>
        <v>3</v>
      </c>
      <c r="J252" s="35"/>
    </row>
    <row r="253" spans="1:11" s="93" customFormat="1" ht="15.75" customHeight="1" x14ac:dyDescent="0.25">
      <c r="A253" s="92">
        <v>1</v>
      </c>
      <c r="B253" s="92" t="s">
        <v>402</v>
      </c>
      <c r="C253" s="92" t="s">
        <v>400</v>
      </c>
      <c r="D253" s="97">
        <f>(57.67)*(10.764)</f>
        <v>620.75987999999995</v>
      </c>
      <c r="E253" s="92">
        <v>0</v>
      </c>
      <c r="F253" s="92">
        <f>D253+E253</f>
        <v>620.75987999999995</v>
      </c>
      <c r="G253" s="92">
        <v>0</v>
      </c>
      <c r="H253" s="92">
        <f>F253*(($H$189)+1)+(IF(G253&lt;101,G253,IF(G253&lt;201,G253/2,IF(G253&lt;=301,G253/3,G253/4))))</f>
        <v>931.13981999999987</v>
      </c>
      <c r="I253" s="35"/>
    </row>
    <row r="254" spans="1:11" s="93" customFormat="1" ht="15.75" customHeight="1" x14ac:dyDescent="0.25">
      <c r="A254" s="92">
        <v>2</v>
      </c>
      <c r="B254" s="92" t="s">
        <v>402</v>
      </c>
      <c r="C254" s="92" t="s">
        <v>400</v>
      </c>
      <c r="D254" s="97">
        <f>(57.67)*(10.764)</f>
        <v>620.75987999999995</v>
      </c>
      <c r="E254" s="92">
        <v>0</v>
      </c>
      <c r="F254" s="92">
        <f>D254+E254</f>
        <v>620.75987999999995</v>
      </c>
      <c r="G254" s="92">
        <v>0</v>
      </c>
      <c r="H254" s="92">
        <f>F254*(($H$189)+1)+(IF(G254&lt;101,G254,IF(G254&lt;201,G254/2,IF(G254&lt;=301,G254/3,G254/4))))</f>
        <v>931.13981999999987</v>
      </c>
      <c r="I254" s="35"/>
    </row>
    <row r="255" spans="1:11" s="93" customFormat="1" ht="15.75" customHeight="1" x14ac:dyDescent="0.25">
      <c r="A255" s="92">
        <v>3</v>
      </c>
      <c r="B255" s="92" t="s">
        <v>402</v>
      </c>
      <c r="C255" s="92" t="s">
        <v>400</v>
      </c>
      <c r="D255" s="97">
        <f>(57.67)*(10.764)</f>
        <v>620.75987999999995</v>
      </c>
      <c r="E255" s="92">
        <v>0</v>
      </c>
      <c r="F255" s="92">
        <f>D255+E255</f>
        <v>620.75987999999995</v>
      </c>
      <c r="G255" s="92">
        <v>0</v>
      </c>
      <c r="H255" s="92">
        <f>F255*(($H$189)+1)+(IF(G255&lt;101,G255,IF(G255&lt;201,G255/2,IF(G255&lt;=301,G255/3,G255/4))))</f>
        <v>931.13981999999987</v>
      </c>
      <c r="I255" s="35"/>
    </row>
    <row r="256" spans="1:11" s="93" customFormat="1" ht="15.75" customHeight="1" x14ac:dyDescent="0.25">
      <c r="A256" s="92">
        <v>4</v>
      </c>
      <c r="B256" s="92" t="s">
        <v>402</v>
      </c>
      <c r="C256" s="92" t="s">
        <v>400</v>
      </c>
      <c r="D256" s="97">
        <f>(57.67)*(10.764)</f>
        <v>620.75987999999995</v>
      </c>
      <c r="E256" s="92">
        <v>0</v>
      </c>
      <c r="F256" s="92">
        <f>D256+E256</f>
        <v>620.75987999999995</v>
      </c>
      <c r="G256" s="92">
        <v>0</v>
      </c>
      <c r="H256" s="92">
        <f>F256*(($H$189)+1)+(IF(G256&lt;101,G256,IF(G256&lt;201,G256/2,IF(G256&lt;=301,G256/3,G256/4))))</f>
        <v>931.13981999999987</v>
      </c>
      <c r="I256" s="35"/>
    </row>
    <row r="257" spans="1:10" s="93" customFormat="1" x14ac:dyDescent="0.25">
      <c r="A257" s="106" t="s">
        <v>405</v>
      </c>
      <c r="B257" s="107"/>
      <c r="C257" s="107"/>
      <c r="D257" s="107"/>
      <c r="E257" s="107"/>
      <c r="F257" s="107"/>
      <c r="G257" s="107"/>
      <c r="H257" s="108"/>
      <c r="I257" s="35">
        <f>2</f>
        <v>2</v>
      </c>
      <c r="J257" s="35"/>
    </row>
    <row r="258" spans="1:10" s="93" customFormat="1" ht="15.75" customHeight="1" x14ac:dyDescent="0.25">
      <c r="A258" s="92">
        <v>1</v>
      </c>
      <c r="B258" s="92" t="s">
        <v>402</v>
      </c>
      <c r="C258" s="92" t="s">
        <v>400</v>
      </c>
      <c r="D258" s="97">
        <f>(57.67)*(10.764)</f>
        <v>620.75987999999995</v>
      </c>
      <c r="E258" s="92">
        <v>0</v>
      </c>
      <c r="F258" s="92">
        <f>D258+E258</f>
        <v>620.75987999999995</v>
      </c>
      <c r="G258" s="92">
        <v>0</v>
      </c>
      <c r="H258" s="92">
        <f>F258*(($H$189)+1)+(IF(G258&lt;101,G258,IF(G258&lt;201,G258/2,IF(G258&lt;=301,G258/3,G258/4))))</f>
        <v>931.13981999999987</v>
      </c>
      <c r="I258" s="35"/>
    </row>
    <row r="259" spans="1:10" s="93" customFormat="1" ht="15.75" customHeight="1" x14ac:dyDescent="0.25">
      <c r="A259" s="92">
        <v>2</v>
      </c>
      <c r="B259" s="92" t="s">
        <v>402</v>
      </c>
      <c r="C259" s="92" t="s">
        <v>400</v>
      </c>
      <c r="D259" s="97">
        <f>(57.67)*(10.764)</f>
        <v>620.75987999999995</v>
      </c>
      <c r="E259" s="92">
        <v>0</v>
      </c>
      <c r="F259" s="92">
        <f>D259+E259</f>
        <v>620.75987999999995</v>
      </c>
      <c r="G259" s="92">
        <v>0</v>
      </c>
      <c r="H259" s="92">
        <f>F259*(($H$189)+1)+(IF(G259&lt;101,G259,IF(G259&lt;201,G259/2,IF(G259&lt;=301,G259/3,G259/4))))</f>
        <v>931.13981999999987</v>
      </c>
      <c r="I259" s="35"/>
    </row>
    <row r="260" spans="1:10" s="93" customFormat="1" ht="15.75" customHeight="1" x14ac:dyDescent="0.25">
      <c r="A260" s="92">
        <v>3</v>
      </c>
      <c r="B260" s="92" t="s">
        <v>402</v>
      </c>
      <c r="C260" s="92" t="s">
        <v>400</v>
      </c>
      <c r="D260" s="97">
        <f>(57.67)*(10.764)</f>
        <v>620.75987999999995</v>
      </c>
      <c r="E260" s="92">
        <v>0</v>
      </c>
      <c r="F260" s="92">
        <f>D260+E260</f>
        <v>620.75987999999995</v>
      </c>
      <c r="G260" s="92">
        <v>0</v>
      </c>
      <c r="H260" s="92">
        <f>F260*(($H$189)+1)+(IF(G260&lt;101,G260,IF(G260&lt;201,G260/2,IF(G260&lt;=301,G260/3,G260/4))))</f>
        <v>931.13981999999987</v>
      </c>
      <c r="I260" s="35"/>
    </row>
    <row r="261" spans="1:10" s="93" customFormat="1" ht="15.75" customHeight="1" x14ac:dyDescent="0.25">
      <c r="A261" s="92">
        <v>4</v>
      </c>
      <c r="B261" s="92" t="s">
        <v>402</v>
      </c>
      <c r="C261" s="92" t="s">
        <v>400</v>
      </c>
      <c r="D261" s="97">
        <f>(57.67)*(10.764)</f>
        <v>620.75987999999995</v>
      </c>
      <c r="E261" s="92">
        <v>0</v>
      </c>
      <c r="F261" s="92">
        <f>D261+E261</f>
        <v>620.75987999999995</v>
      </c>
      <c r="G261" s="92">
        <v>0</v>
      </c>
      <c r="H261" s="92">
        <f>F261*(($H$189)+1)+(IF(G261&lt;101,G261,IF(G261&lt;201,G261/2,IF(G261&lt;=301,G261/3,G261/4))))</f>
        <v>931.13981999999987</v>
      </c>
      <c r="I261" s="35"/>
    </row>
    <row r="262" spans="1:10" s="93" customFormat="1" x14ac:dyDescent="0.25">
      <c r="A262" s="106" t="s">
        <v>406</v>
      </c>
      <c r="B262" s="107"/>
      <c r="C262" s="107"/>
      <c r="D262" s="107"/>
      <c r="E262" s="107"/>
      <c r="F262" s="107"/>
      <c r="G262" s="107"/>
      <c r="H262" s="108"/>
      <c r="I262" s="35">
        <f>2</f>
        <v>2</v>
      </c>
      <c r="J262" s="35"/>
    </row>
    <row r="263" spans="1:10" s="93" customFormat="1" ht="15.75" customHeight="1" x14ac:dyDescent="0.25">
      <c r="A263" s="92">
        <v>1</v>
      </c>
      <c r="B263" s="92" t="s">
        <v>402</v>
      </c>
      <c r="C263" s="92" t="s">
        <v>400</v>
      </c>
      <c r="D263" s="97">
        <f>(57.67)*(10.764)</f>
        <v>620.75987999999995</v>
      </c>
      <c r="E263" s="92">
        <v>0</v>
      </c>
      <c r="F263" s="92">
        <f>D263+E263</f>
        <v>620.75987999999995</v>
      </c>
      <c r="G263" s="92">
        <v>0</v>
      </c>
      <c r="H263" s="92">
        <f>F263*(($H$189)+1)+(IF(G263&lt;101,G263,IF(G263&lt;201,G263/2,IF(G263&lt;=301,G263/3,G263/4))))</f>
        <v>931.13981999999987</v>
      </c>
      <c r="I263" s="35"/>
    </row>
    <row r="264" spans="1:10" s="93" customFormat="1" ht="15.75" customHeight="1" x14ac:dyDescent="0.25">
      <c r="A264" s="92">
        <v>2</v>
      </c>
      <c r="B264" s="92" t="s">
        <v>402</v>
      </c>
      <c r="C264" s="92" t="s">
        <v>400</v>
      </c>
      <c r="D264" s="97">
        <f>(57.67)*(10.764)</f>
        <v>620.75987999999995</v>
      </c>
      <c r="E264" s="92">
        <v>0</v>
      </c>
      <c r="F264" s="92">
        <f>D264+E264</f>
        <v>620.75987999999995</v>
      </c>
      <c r="G264" s="92">
        <v>0</v>
      </c>
      <c r="H264" s="92">
        <f>F264*(($H$189)+1)+(IF(G264&lt;101,G264,IF(G264&lt;201,G264/2,IF(G264&lt;=301,G264/3,G264/4))))</f>
        <v>931.13981999999987</v>
      </c>
      <c r="I264" s="35"/>
    </row>
    <row r="265" spans="1:10" s="93" customFormat="1" ht="15.75" customHeight="1" x14ac:dyDescent="0.25">
      <c r="A265" s="92">
        <v>3</v>
      </c>
      <c r="B265" s="92" t="s">
        <v>402</v>
      </c>
      <c r="C265" s="92" t="s">
        <v>400</v>
      </c>
      <c r="D265" s="97">
        <f>(57.67)*(10.764)</f>
        <v>620.75987999999995</v>
      </c>
      <c r="E265" s="92">
        <v>0</v>
      </c>
      <c r="F265" s="92">
        <f>D265+E265</f>
        <v>620.75987999999995</v>
      </c>
      <c r="G265" s="92">
        <v>0</v>
      </c>
      <c r="H265" s="92">
        <f>F265*(($H$189)+1)+(IF(G265&lt;101,G265,IF(G265&lt;201,G265/2,IF(G265&lt;=301,G265/3,G265/4))))</f>
        <v>931.13981999999987</v>
      </c>
      <c r="I265" s="35"/>
    </row>
    <row r="266" spans="1:10" s="93" customFormat="1" ht="15.75" customHeight="1" x14ac:dyDescent="0.25">
      <c r="A266" s="92">
        <v>4</v>
      </c>
      <c r="B266" s="92" t="s">
        <v>402</v>
      </c>
      <c r="C266" s="92" t="s">
        <v>400</v>
      </c>
      <c r="D266" s="97">
        <f>(57.67)*(10.764)</f>
        <v>620.75987999999995</v>
      </c>
      <c r="E266" s="92">
        <v>0</v>
      </c>
      <c r="F266" s="92">
        <f>D266+E266</f>
        <v>620.75987999999995</v>
      </c>
      <c r="G266" s="92">
        <v>0</v>
      </c>
      <c r="H266" s="92">
        <f>F266*(($H$189)+1)+(IF(G266&lt;101,G266,IF(G266&lt;201,G266/2,IF(G266&lt;=301,G266/3,G266/4))))</f>
        <v>931.13981999999987</v>
      </c>
      <c r="I266" s="35"/>
    </row>
    <row r="267" spans="1:10" s="93" customFormat="1" x14ac:dyDescent="0.25">
      <c r="A267" s="106" t="s">
        <v>407</v>
      </c>
      <c r="B267" s="107"/>
      <c r="C267" s="107"/>
      <c r="D267" s="107"/>
      <c r="E267" s="107"/>
      <c r="F267" s="107"/>
      <c r="G267" s="107"/>
      <c r="H267" s="108"/>
      <c r="I267" s="35">
        <f>1</f>
        <v>1</v>
      </c>
      <c r="J267" s="35"/>
    </row>
    <row r="268" spans="1:10" s="93" customFormat="1" ht="15.75" customHeight="1" x14ac:dyDescent="0.25">
      <c r="A268" s="92">
        <v>1</v>
      </c>
      <c r="B268" s="92" t="s">
        <v>402</v>
      </c>
      <c r="C268" s="92" t="s">
        <v>400</v>
      </c>
      <c r="D268" s="97">
        <f>(57.67)*(10.764)</f>
        <v>620.75987999999995</v>
      </c>
      <c r="E268" s="92">
        <v>0</v>
      </c>
      <c r="F268" s="92">
        <f>D268+E268</f>
        <v>620.75987999999995</v>
      </c>
      <c r="G268" s="92">
        <v>0</v>
      </c>
      <c r="H268" s="92">
        <f>F268*(($H$189)+1)+(IF(G268&lt;101,G268,IF(G268&lt;201,G268/2,IF(G268&lt;=301,G268/3,G268/4))))</f>
        <v>931.13981999999987</v>
      </c>
      <c r="I268" s="35"/>
    </row>
    <row r="269" spans="1:10" s="93" customFormat="1" ht="15.75" customHeight="1" x14ac:dyDescent="0.25">
      <c r="A269" s="92">
        <v>2</v>
      </c>
      <c r="B269" s="92" t="s">
        <v>402</v>
      </c>
      <c r="C269" s="92" t="s">
        <v>400</v>
      </c>
      <c r="D269" s="97">
        <f>(57.67)*(10.764)</f>
        <v>620.75987999999995</v>
      </c>
      <c r="E269" s="92">
        <v>0</v>
      </c>
      <c r="F269" s="92">
        <f>D269+E269</f>
        <v>620.75987999999995</v>
      </c>
      <c r="G269" s="92">
        <v>0</v>
      </c>
      <c r="H269" s="92">
        <f>F269*(($H$189)+1)+(IF(G269&lt;101,G269,IF(G269&lt;201,G269/2,IF(G269&lt;=301,G269/3,G269/4))))</f>
        <v>931.13981999999987</v>
      </c>
      <c r="I269" s="35"/>
    </row>
    <row r="270" spans="1:10" s="93" customFormat="1" ht="15.75" customHeight="1" x14ac:dyDescent="0.25">
      <c r="A270" s="92" t="s">
        <v>402</v>
      </c>
      <c r="B270" s="92" t="s">
        <v>402</v>
      </c>
      <c r="C270" s="92" t="s">
        <v>402</v>
      </c>
      <c r="D270" s="110" t="s">
        <v>408</v>
      </c>
      <c r="E270" s="123"/>
      <c r="F270" s="123"/>
      <c r="G270" s="123"/>
      <c r="H270" s="111"/>
      <c r="I270" s="35"/>
    </row>
    <row r="271" spans="1:10" s="93" customFormat="1" ht="15.75" customHeight="1" x14ac:dyDescent="0.25">
      <c r="A271" s="92">
        <v>4</v>
      </c>
      <c r="B271" s="92" t="s">
        <v>402</v>
      </c>
      <c r="C271" s="92" t="s">
        <v>400</v>
      </c>
      <c r="D271" s="97">
        <f>(57.67)*(10.764)</f>
        <v>620.75987999999995</v>
      </c>
      <c r="E271" s="92">
        <v>0</v>
      </c>
      <c r="F271" s="92">
        <f>D271+E271</f>
        <v>620.75987999999995</v>
      </c>
      <c r="G271" s="92">
        <v>0</v>
      </c>
      <c r="H271" s="92">
        <f>F271*(($H$189)+1)+(IF(G271&lt;101,G271,IF(G271&lt;201,G271/2,IF(G271&lt;=301,G271/3,G271/4))))</f>
        <v>931.13981999999987</v>
      </c>
      <c r="I271" s="35"/>
    </row>
    <row r="272" spans="1:10" s="93" customFormat="1" x14ac:dyDescent="0.25">
      <c r="A272" s="106" t="s">
        <v>409</v>
      </c>
      <c r="B272" s="107"/>
      <c r="C272" s="107"/>
      <c r="D272" s="107"/>
      <c r="E272" s="107"/>
      <c r="F272" s="107"/>
      <c r="G272" s="107"/>
      <c r="H272" s="108"/>
      <c r="I272" s="35">
        <f>1</f>
        <v>1</v>
      </c>
      <c r="J272" s="35"/>
    </row>
    <row r="273" spans="1:10" s="93" customFormat="1" ht="15.75" customHeight="1" x14ac:dyDescent="0.25">
      <c r="A273" s="92">
        <v>1</v>
      </c>
      <c r="B273" s="92" t="s">
        <v>402</v>
      </c>
      <c r="C273" s="92" t="s">
        <v>400</v>
      </c>
      <c r="D273" s="97">
        <f>(57.67)*(10.764)</f>
        <v>620.75987999999995</v>
      </c>
      <c r="E273" s="92">
        <v>0</v>
      </c>
      <c r="F273" s="92">
        <f>D273+E273</f>
        <v>620.75987999999995</v>
      </c>
      <c r="G273" s="92">
        <v>0</v>
      </c>
      <c r="H273" s="92">
        <f>F273*(($H$189)+1)+(IF(G273&lt;101,G273,IF(G273&lt;201,G273/2,IF(G273&lt;=301,G273/3,G273/4))))</f>
        <v>931.13981999999987</v>
      </c>
      <c r="I273" s="35"/>
    </row>
    <row r="274" spans="1:10" s="93" customFormat="1" ht="15.75" customHeight="1" x14ac:dyDescent="0.25">
      <c r="A274" s="92">
        <v>2</v>
      </c>
      <c r="B274" s="92" t="s">
        <v>402</v>
      </c>
      <c r="C274" s="92" t="s">
        <v>400</v>
      </c>
      <c r="D274" s="97">
        <f>(57.67)*(10.764)</f>
        <v>620.75987999999995</v>
      </c>
      <c r="E274" s="92">
        <v>0</v>
      </c>
      <c r="F274" s="92">
        <f>D274+E274</f>
        <v>620.75987999999995</v>
      </c>
      <c r="G274" s="92">
        <v>0</v>
      </c>
      <c r="H274" s="92">
        <f>F274*(($H$189)+1)+(IF(G274&lt;101,G274,IF(G274&lt;201,G274/2,IF(G274&lt;=301,G274/3,G274/4))))</f>
        <v>931.13981999999987</v>
      </c>
      <c r="I274" s="35"/>
    </row>
    <row r="275" spans="1:10" s="93" customFormat="1" ht="15.75" customHeight="1" x14ac:dyDescent="0.25">
      <c r="A275" s="92">
        <v>3</v>
      </c>
      <c r="B275" s="92" t="s">
        <v>402</v>
      </c>
      <c r="C275" s="92" t="s">
        <v>400</v>
      </c>
      <c r="D275" s="97">
        <f>(57.67)*(10.764)</f>
        <v>620.75987999999995</v>
      </c>
      <c r="E275" s="92">
        <v>0</v>
      </c>
      <c r="F275" s="92">
        <f>D275+E275</f>
        <v>620.75987999999995</v>
      </c>
      <c r="G275" s="92">
        <v>0</v>
      </c>
      <c r="H275" s="92">
        <f>F275*(($H$189)+1)+(IF(G275&lt;101,G275,IF(G275&lt;201,G275/2,IF(G275&lt;=301,G275/3,G275/4))))</f>
        <v>931.13981999999987</v>
      </c>
      <c r="I275" s="35"/>
    </row>
    <row r="276" spans="1:10" s="93" customFormat="1" ht="15.75" customHeight="1" x14ac:dyDescent="0.25">
      <c r="A276" s="92">
        <v>4</v>
      </c>
      <c r="B276" s="92" t="s">
        <v>402</v>
      </c>
      <c r="C276" s="92" t="s">
        <v>400</v>
      </c>
      <c r="D276" s="97">
        <f>(57.67)*(10.764)</f>
        <v>620.75987999999995</v>
      </c>
      <c r="E276" s="92">
        <v>0</v>
      </c>
      <c r="F276" s="92">
        <f>D276+E276</f>
        <v>620.75987999999995</v>
      </c>
      <c r="G276" s="92">
        <v>0</v>
      </c>
      <c r="H276" s="92">
        <f>F276*(($H$189)+1)+(IF(G276&lt;101,G276,IF(G276&lt;201,G276/2,IF(G276&lt;=301,G276/3,G276/4))))</f>
        <v>931.13981999999987</v>
      </c>
      <c r="I276" s="35"/>
    </row>
    <row r="277" spans="1:10" s="93" customFormat="1" x14ac:dyDescent="0.25">
      <c r="A277" s="106" t="s">
        <v>410</v>
      </c>
      <c r="B277" s="107"/>
      <c r="C277" s="107"/>
      <c r="D277" s="107"/>
      <c r="E277" s="107"/>
      <c r="F277" s="107"/>
      <c r="G277" s="107"/>
      <c r="H277" s="108"/>
      <c r="I277" s="35">
        <f>1</f>
        <v>1</v>
      </c>
      <c r="J277" s="35"/>
    </row>
    <row r="278" spans="1:10" s="93" customFormat="1" ht="15.75" customHeight="1" x14ac:dyDescent="0.25">
      <c r="A278" s="92">
        <v>1</v>
      </c>
      <c r="B278" s="92" t="s">
        <v>402</v>
      </c>
      <c r="C278" s="92" t="s">
        <v>400</v>
      </c>
      <c r="D278" s="97">
        <f>(57.67)*(10.764)</f>
        <v>620.75987999999995</v>
      </c>
      <c r="E278" s="92">
        <v>0</v>
      </c>
      <c r="F278" s="92">
        <f>D278+E278</f>
        <v>620.75987999999995</v>
      </c>
      <c r="G278" s="92">
        <v>0</v>
      </c>
      <c r="H278" s="92">
        <f>F278*(($H$189)+1)+(IF(G278&lt;101,G278,IF(G278&lt;201,G278/2,IF(G278&lt;=301,G278/3,G278/4))))</f>
        <v>931.13981999999987</v>
      </c>
      <c r="I278" s="35"/>
    </row>
    <row r="279" spans="1:10" s="93" customFormat="1" ht="15.75" customHeight="1" x14ac:dyDescent="0.25">
      <c r="A279" s="92">
        <v>2</v>
      </c>
      <c r="B279" s="92" t="s">
        <v>402</v>
      </c>
      <c r="C279" s="92" t="s">
        <v>400</v>
      </c>
      <c r="D279" s="97">
        <f>(57.67)*(10.764)</f>
        <v>620.75987999999995</v>
      </c>
      <c r="E279" s="92">
        <v>0</v>
      </c>
      <c r="F279" s="92">
        <f>D279+E279</f>
        <v>620.75987999999995</v>
      </c>
      <c r="G279" s="92">
        <v>0</v>
      </c>
      <c r="H279" s="92">
        <f>F279*(($H$189)+1)+(IF(G279&lt;101,G279,IF(G279&lt;201,G279/2,IF(G279&lt;=301,G279/3,G279/4))))</f>
        <v>931.13981999999987</v>
      </c>
      <c r="I279" s="35"/>
    </row>
    <row r="280" spans="1:10" s="93" customFormat="1" ht="15.75" customHeight="1" x14ac:dyDescent="0.25">
      <c r="A280" s="92">
        <v>3</v>
      </c>
      <c r="B280" s="92" t="s">
        <v>402</v>
      </c>
      <c r="C280" s="92" t="s">
        <v>400</v>
      </c>
      <c r="D280" s="97">
        <f>(57.67)*(10.764)</f>
        <v>620.75987999999995</v>
      </c>
      <c r="E280" s="92">
        <v>0</v>
      </c>
      <c r="F280" s="92">
        <f>D280+E280</f>
        <v>620.75987999999995</v>
      </c>
      <c r="G280" s="92">
        <v>0</v>
      </c>
      <c r="H280" s="92">
        <f>F280*(($H$189)+1)+(IF(G280&lt;101,G280,IF(G280&lt;201,G280/2,IF(G280&lt;=301,G280/3,G280/4))))</f>
        <v>931.13981999999987</v>
      </c>
      <c r="I280" s="35"/>
    </row>
    <row r="281" spans="1:10" s="93" customFormat="1" ht="15.75" customHeight="1" x14ac:dyDescent="0.25">
      <c r="A281" s="92">
        <v>4</v>
      </c>
      <c r="B281" s="92" t="s">
        <v>402</v>
      </c>
      <c r="C281" s="92" t="s">
        <v>400</v>
      </c>
      <c r="D281" s="97">
        <f>(57.67)*(10.764)</f>
        <v>620.75987999999995</v>
      </c>
      <c r="E281" s="92">
        <v>0</v>
      </c>
      <c r="F281" s="92">
        <f>D281+E281</f>
        <v>620.75987999999995</v>
      </c>
      <c r="G281" s="92">
        <v>0</v>
      </c>
      <c r="H281" s="92">
        <f>F281*(($H$189)+1)+(IF(G281&lt;101,G281,IF(G281&lt;201,G281/2,IF(G281&lt;=301,G281/3,G281/4))))</f>
        <v>931.13981999999987</v>
      </c>
      <c r="I281" s="35"/>
    </row>
    <row r="282" spans="1:10" s="93" customFormat="1" x14ac:dyDescent="0.25">
      <c r="A282" s="106" t="s">
        <v>418</v>
      </c>
      <c r="B282" s="107"/>
      <c r="C282" s="107"/>
      <c r="D282" s="107"/>
      <c r="E282" s="107"/>
      <c r="F282" s="107"/>
      <c r="G282" s="107"/>
      <c r="H282" s="108"/>
      <c r="J282" s="35"/>
    </row>
    <row r="283" spans="1:10" s="93" customFormat="1" x14ac:dyDescent="0.25">
      <c r="A283" s="106" t="s">
        <v>412</v>
      </c>
      <c r="B283" s="107"/>
      <c r="C283" s="107"/>
      <c r="D283" s="107"/>
      <c r="E283" s="107"/>
      <c r="F283" s="107"/>
      <c r="G283" s="107"/>
      <c r="H283" s="108"/>
      <c r="I283" s="35">
        <f>1</f>
        <v>1</v>
      </c>
      <c r="J283" s="35"/>
    </row>
    <row r="284" spans="1:10" s="36" customFormat="1" ht="15.75" customHeight="1" x14ac:dyDescent="0.25">
      <c r="A284" s="92">
        <v>1</v>
      </c>
      <c r="B284" s="92" t="s">
        <v>401</v>
      </c>
      <c r="C284" s="110" t="s">
        <v>414</v>
      </c>
      <c r="D284" s="123"/>
      <c r="E284" s="123"/>
      <c r="F284" s="123"/>
      <c r="G284" s="123"/>
      <c r="H284" s="111"/>
      <c r="I284" s="35"/>
    </row>
    <row r="285" spans="1:10" s="36" customFormat="1" ht="15.75" customHeight="1" x14ac:dyDescent="0.25">
      <c r="A285" s="92">
        <f>A284+1</f>
        <v>2</v>
      </c>
      <c r="B285" s="92" t="s">
        <v>401</v>
      </c>
      <c r="C285" s="41" t="s">
        <v>399</v>
      </c>
      <c r="D285" s="97">
        <f>(34.99)*(10.764)</f>
        <v>376.63236000000001</v>
      </c>
      <c r="E285" s="41">
        <v>0</v>
      </c>
      <c r="F285" s="41">
        <f>D285+E285</f>
        <v>376.63236000000001</v>
      </c>
      <c r="G285" s="41">
        <v>0</v>
      </c>
      <c r="H285" s="41">
        <f>F285*(($H$189)+1)+(IF(G285&lt;101,G285,IF(G285&lt;201,G285/2,IF(G285&lt;=301,G285/3,G285/4))))</f>
        <v>564.94853999999998</v>
      </c>
      <c r="I285" s="35"/>
    </row>
    <row r="286" spans="1:10" s="36" customFormat="1" ht="15.75" customHeight="1" x14ac:dyDescent="0.25">
      <c r="A286" s="92">
        <v>3</v>
      </c>
      <c r="B286" s="92" t="s">
        <v>401</v>
      </c>
      <c r="C286" s="110" t="s">
        <v>414</v>
      </c>
      <c r="D286" s="123"/>
      <c r="E286" s="123"/>
      <c r="F286" s="123"/>
      <c r="G286" s="123"/>
      <c r="H286" s="111"/>
      <c r="I286" s="35"/>
      <c r="J286" s="36" t="s">
        <v>451</v>
      </c>
    </row>
    <row r="287" spans="1:10" s="36" customFormat="1" ht="15.75" customHeight="1" x14ac:dyDescent="0.25">
      <c r="A287" s="92">
        <v>5</v>
      </c>
      <c r="B287" s="92" t="s">
        <v>401</v>
      </c>
      <c r="C287" s="110" t="s">
        <v>414</v>
      </c>
      <c r="D287" s="123"/>
      <c r="E287" s="123"/>
      <c r="F287" s="123"/>
      <c r="G287" s="123"/>
      <c r="H287" s="111"/>
      <c r="I287" s="35"/>
    </row>
    <row r="288" spans="1:10" s="36" customFormat="1" x14ac:dyDescent="0.25">
      <c r="A288" s="106" t="s">
        <v>114</v>
      </c>
      <c r="B288" s="107"/>
      <c r="C288" s="107"/>
      <c r="D288" s="107"/>
      <c r="E288" s="107"/>
      <c r="F288" s="107"/>
      <c r="G288" s="107"/>
      <c r="H288" s="108"/>
      <c r="I288" s="35">
        <f>1</f>
        <v>1</v>
      </c>
    </row>
    <row r="289" spans="1:9" s="36" customFormat="1" ht="15.75" customHeight="1" x14ac:dyDescent="0.25">
      <c r="A289" s="92">
        <v>1</v>
      </c>
      <c r="B289" s="92" t="s">
        <v>401</v>
      </c>
      <c r="C289" s="41" t="s">
        <v>399</v>
      </c>
      <c r="D289" s="97">
        <f>(34.98)*(10.764)</f>
        <v>376.52471999999995</v>
      </c>
      <c r="E289" s="41">
        <v>0</v>
      </c>
      <c r="F289" s="41">
        <f>D289+E289</f>
        <v>376.52471999999995</v>
      </c>
      <c r="G289" s="41">
        <v>0</v>
      </c>
      <c r="H289" s="41">
        <f>F289*(($H$189)+1)+(IF(G289&lt;101,G289,IF(G289&lt;201,G289/2,IF(G289&lt;=301,G289/3,G289/4))))</f>
        <v>564.78707999999995</v>
      </c>
      <c r="I289" s="35"/>
    </row>
    <row r="290" spans="1:9" s="36" customFormat="1" ht="15.75" customHeight="1" x14ac:dyDescent="0.25">
      <c r="A290" s="92">
        <v>2</v>
      </c>
      <c r="B290" s="92" t="s">
        <v>401</v>
      </c>
      <c r="C290" s="92" t="s">
        <v>399</v>
      </c>
      <c r="D290" s="97">
        <f>(34.99)*(10.764)</f>
        <v>376.63236000000001</v>
      </c>
      <c r="E290" s="41">
        <v>0</v>
      </c>
      <c r="F290" s="41">
        <f>D290+E290</f>
        <v>376.63236000000001</v>
      </c>
      <c r="G290" s="41">
        <v>0</v>
      </c>
      <c r="H290" s="41">
        <f>F290*(($H$189)+1)+(IF(G290&lt;101,G290,IF(G290&lt;201,G290/2,IF(G290&lt;=301,G290/3,G290/4))))</f>
        <v>564.94853999999998</v>
      </c>
      <c r="I290" s="35"/>
    </row>
    <row r="291" spans="1:9" s="36" customFormat="1" ht="15.75" customHeight="1" x14ac:dyDescent="0.25">
      <c r="A291" s="92">
        <v>3</v>
      </c>
      <c r="B291" s="92" t="s">
        <v>401</v>
      </c>
      <c r="C291" s="92" t="s">
        <v>400</v>
      </c>
      <c r="D291" s="97">
        <f>(54.41)*(10.764)</f>
        <v>585.66923999999995</v>
      </c>
      <c r="E291" s="41">
        <v>0</v>
      </c>
      <c r="F291" s="41">
        <f>D291+E291</f>
        <v>585.66923999999995</v>
      </c>
      <c r="G291" s="41">
        <v>0</v>
      </c>
      <c r="H291" s="41">
        <f>F291*(($H$189)+1)+(IF(G291&lt;101,G291,IF(G291&lt;201,G291/2,IF(G291&lt;=301,G291/3,G291/4))))</f>
        <v>878.50385999999992</v>
      </c>
      <c r="I291" s="35"/>
    </row>
    <row r="292" spans="1:9" s="36" customFormat="1" ht="15.75" customHeight="1" x14ac:dyDescent="0.25">
      <c r="A292" s="92">
        <v>4</v>
      </c>
      <c r="B292" s="92" t="s">
        <v>402</v>
      </c>
      <c r="C292" s="92" t="s">
        <v>400</v>
      </c>
      <c r="D292" s="97">
        <f>(54.37)*(10.764)</f>
        <v>585.23867999999993</v>
      </c>
      <c r="E292" s="41">
        <v>0</v>
      </c>
      <c r="F292" s="41">
        <f>D292+E292</f>
        <v>585.23867999999993</v>
      </c>
      <c r="G292" s="41">
        <v>0</v>
      </c>
      <c r="H292" s="41">
        <f>F292*(($H$189)+1)+(IF(G292&lt;101,G292,IF(G292&lt;201,G292/2,IF(G292&lt;=301,G292/3,G292/4))))</f>
        <v>877.8580199999999</v>
      </c>
      <c r="I292" s="35"/>
    </row>
    <row r="293" spans="1:9" s="36" customFormat="1" ht="15.75" customHeight="1" x14ac:dyDescent="0.25">
      <c r="A293" s="92">
        <v>5</v>
      </c>
      <c r="B293" s="92" t="s">
        <v>402</v>
      </c>
      <c r="C293" s="92" t="s">
        <v>400</v>
      </c>
      <c r="D293" s="97">
        <f>(54.94)*(10.764)</f>
        <v>591.37415999999996</v>
      </c>
      <c r="E293" s="41">
        <v>0</v>
      </c>
      <c r="F293" s="41">
        <f>D293+E293</f>
        <v>591.37415999999996</v>
      </c>
      <c r="G293" s="41">
        <v>0</v>
      </c>
      <c r="H293" s="41">
        <f>F293*(($H$189)+1)+(IF(G293&lt;101,G293,IF(G293&lt;201,G293/2,IF(G293&lt;=301,G293/3,G293/4))))</f>
        <v>887.06124</v>
      </c>
      <c r="I293" s="35"/>
    </row>
    <row r="294" spans="1:9" s="93" customFormat="1" x14ac:dyDescent="0.25">
      <c r="A294" s="106" t="s">
        <v>403</v>
      </c>
      <c r="B294" s="107"/>
      <c r="C294" s="107"/>
      <c r="D294" s="107"/>
      <c r="E294" s="107"/>
      <c r="F294" s="107"/>
      <c r="G294" s="107"/>
      <c r="H294" s="108"/>
      <c r="I294" s="35">
        <f>1</f>
        <v>1</v>
      </c>
    </row>
    <row r="295" spans="1:9" s="93" customFormat="1" ht="15.75" customHeight="1" x14ac:dyDescent="0.25">
      <c r="A295" s="92">
        <v>1</v>
      </c>
      <c r="B295" s="92" t="s">
        <v>401</v>
      </c>
      <c r="C295" s="92" t="s">
        <v>399</v>
      </c>
      <c r="D295" s="97">
        <f>(34.98)*(10.764)</f>
        <v>376.52471999999995</v>
      </c>
      <c r="E295" s="92">
        <v>0</v>
      </c>
      <c r="F295" s="92">
        <f>D295+E295</f>
        <v>376.52471999999995</v>
      </c>
      <c r="G295" s="92">
        <v>0</v>
      </c>
      <c r="H295" s="92">
        <f>F295*(($H$189)+1)+(IF(G295&lt;101,G295,IF(G295&lt;201,G295/2,IF(G295&lt;=301,G295/3,G295/4))))</f>
        <v>564.78707999999995</v>
      </c>
      <c r="I295" s="35"/>
    </row>
    <row r="296" spans="1:9" s="93" customFormat="1" ht="15.75" customHeight="1" x14ac:dyDescent="0.25">
      <c r="A296" s="92">
        <v>2</v>
      </c>
      <c r="B296" s="92" t="s">
        <v>401</v>
      </c>
      <c r="C296" s="92" t="s">
        <v>399</v>
      </c>
      <c r="D296" s="97">
        <f>(34.99)*(10.764)</f>
        <v>376.63236000000001</v>
      </c>
      <c r="E296" s="92">
        <v>0</v>
      </c>
      <c r="F296" s="92">
        <f>D296+E296</f>
        <v>376.63236000000001</v>
      </c>
      <c r="G296" s="92">
        <v>0</v>
      </c>
      <c r="H296" s="92">
        <f>F296*(($H$189)+1)+(IF(G296&lt;101,G296,IF(G296&lt;201,G296/2,IF(G296&lt;=301,G296/3,G296/4))))</f>
        <v>564.94853999999998</v>
      </c>
      <c r="I296" s="35"/>
    </row>
    <row r="297" spans="1:9" s="93" customFormat="1" ht="15.75" customHeight="1" x14ac:dyDescent="0.25">
      <c r="A297" s="92">
        <v>3</v>
      </c>
      <c r="B297" s="92" t="s">
        <v>401</v>
      </c>
      <c r="C297" s="92" t="s">
        <v>400</v>
      </c>
      <c r="D297" s="97">
        <f>(54.41)*(10.764)</f>
        <v>585.66923999999995</v>
      </c>
      <c r="E297" s="92">
        <v>0</v>
      </c>
      <c r="F297" s="92">
        <f>D297+E297</f>
        <v>585.66923999999995</v>
      </c>
      <c r="G297" s="92">
        <v>0</v>
      </c>
      <c r="H297" s="92">
        <f>F297*(($H$189)+1)+(IF(G297&lt;101,G297,IF(G297&lt;201,G297/2,IF(G297&lt;=301,G297/3,G297/4))))</f>
        <v>878.50385999999992</v>
      </c>
      <c r="I297" s="35"/>
    </row>
    <row r="298" spans="1:9" s="93" customFormat="1" ht="15.75" customHeight="1" x14ac:dyDescent="0.25">
      <c r="A298" s="92">
        <v>4</v>
      </c>
      <c r="B298" s="92" t="s">
        <v>401</v>
      </c>
      <c r="C298" s="92" t="s">
        <v>400</v>
      </c>
      <c r="D298" s="97">
        <f>(54.37)*(10.764)</f>
        <v>585.23867999999993</v>
      </c>
      <c r="E298" s="92">
        <v>0</v>
      </c>
      <c r="F298" s="92">
        <f>D298+E298</f>
        <v>585.23867999999993</v>
      </c>
      <c r="G298" s="92">
        <v>0</v>
      </c>
      <c r="H298" s="92">
        <f>F298*(($H$189)+1)+(IF(G298&lt;101,G298,IF(G298&lt;201,G298/2,IF(G298&lt;=301,G298/3,G298/4))))</f>
        <v>877.8580199999999</v>
      </c>
      <c r="I298" s="35"/>
    </row>
    <row r="299" spans="1:9" s="93" customFormat="1" ht="15.75" customHeight="1" x14ac:dyDescent="0.25">
      <c r="A299" s="92">
        <v>5</v>
      </c>
      <c r="B299" s="92" t="s">
        <v>402</v>
      </c>
      <c r="C299" s="92" t="s">
        <v>400</v>
      </c>
      <c r="D299" s="97">
        <f>(54.94)*(10.764)</f>
        <v>591.37415999999996</v>
      </c>
      <c r="E299" s="92">
        <v>0</v>
      </c>
      <c r="F299" s="92">
        <f>D299+E299</f>
        <v>591.37415999999996</v>
      </c>
      <c r="G299" s="92">
        <v>0</v>
      </c>
      <c r="H299" s="92">
        <f>F299*(($H$189)+1)+(IF(G299&lt;101,G299,IF(G299&lt;201,G299/2,IF(G299&lt;=301,G299/3,G299/4))))</f>
        <v>887.06124</v>
      </c>
      <c r="I299" s="35"/>
    </row>
    <row r="300" spans="1:9" s="100" customFormat="1" x14ac:dyDescent="0.25">
      <c r="A300" s="106" t="s">
        <v>448</v>
      </c>
      <c r="B300" s="107"/>
      <c r="C300" s="107"/>
      <c r="D300" s="107"/>
      <c r="E300" s="107"/>
      <c r="F300" s="107"/>
      <c r="G300" s="107"/>
      <c r="H300" s="108"/>
      <c r="I300" s="35">
        <f>3</f>
        <v>3</v>
      </c>
    </row>
    <row r="301" spans="1:9" s="100" customFormat="1" ht="15.75" customHeight="1" x14ac:dyDescent="0.25">
      <c r="A301" s="92">
        <v>1</v>
      </c>
      <c r="B301" s="92" t="s">
        <v>401</v>
      </c>
      <c r="C301" s="92" t="s">
        <v>399</v>
      </c>
      <c r="D301" s="97">
        <f>(34.98)*(10.764)</f>
        <v>376.52471999999995</v>
      </c>
      <c r="E301" s="92">
        <v>0</v>
      </c>
      <c r="F301" s="92">
        <f>D301+E301</f>
        <v>376.52471999999995</v>
      </c>
      <c r="G301" s="92">
        <v>0</v>
      </c>
      <c r="H301" s="92">
        <f>F301*(($H$189)+1)+(IF(G301&lt;101,G301,IF(G301&lt;201,G301/2,IF(G301&lt;=301,G301/3,G301/4))))</f>
        <v>564.78707999999995</v>
      </c>
      <c r="I301" s="35"/>
    </row>
    <row r="302" spans="1:9" s="100" customFormat="1" ht="15.75" customHeight="1" x14ac:dyDescent="0.25">
      <c r="A302" s="92">
        <v>2</v>
      </c>
      <c r="B302" s="92" t="s">
        <v>401</v>
      </c>
      <c r="C302" s="92" t="s">
        <v>399</v>
      </c>
      <c r="D302" s="97">
        <f>(34.99)*(10.764)</f>
        <v>376.63236000000001</v>
      </c>
      <c r="E302" s="92">
        <v>0</v>
      </c>
      <c r="F302" s="92">
        <f>D302+E302</f>
        <v>376.63236000000001</v>
      </c>
      <c r="G302" s="92">
        <v>0</v>
      </c>
      <c r="H302" s="92">
        <f>F302*(($H$189)+1)+(IF(G302&lt;101,G302,IF(G302&lt;201,G302/2,IF(G302&lt;=301,G302/3,G302/4))))</f>
        <v>564.94853999999998</v>
      </c>
      <c r="I302" s="35"/>
    </row>
    <row r="303" spans="1:9" s="100" customFormat="1" ht="15.75" customHeight="1" x14ac:dyDescent="0.25">
      <c r="A303" s="92">
        <v>3</v>
      </c>
      <c r="B303" s="92" t="s">
        <v>402</v>
      </c>
      <c r="C303" s="92" t="s">
        <v>400</v>
      </c>
      <c r="D303" s="97">
        <f>(54.41)*(10.764)</f>
        <v>585.66923999999995</v>
      </c>
      <c r="E303" s="92">
        <v>0</v>
      </c>
      <c r="F303" s="92">
        <f>D303+E303</f>
        <v>585.66923999999995</v>
      </c>
      <c r="G303" s="92">
        <v>0</v>
      </c>
      <c r="H303" s="92">
        <f>F303*(($H$189)+1)+(IF(G303&lt;101,G303,IF(G303&lt;201,G303/2,IF(G303&lt;=301,G303/3,G303/4))))</f>
        <v>878.50385999999992</v>
      </c>
      <c r="I303" s="35"/>
    </row>
    <row r="304" spans="1:9" s="100" customFormat="1" ht="15.75" customHeight="1" x14ac:dyDescent="0.25">
      <c r="A304" s="92">
        <v>4</v>
      </c>
      <c r="B304" s="92" t="s">
        <v>402</v>
      </c>
      <c r="C304" s="92" t="s">
        <v>400</v>
      </c>
      <c r="D304" s="97">
        <f>(54.37)*(10.764)</f>
        <v>585.23867999999993</v>
      </c>
      <c r="E304" s="92">
        <v>0</v>
      </c>
      <c r="F304" s="92">
        <f>D304+E304</f>
        <v>585.23867999999993</v>
      </c>
      <c r="G304" s="92">
        <v>0</v>
      </c>
      <c r="H304" s="92">
        <f>F304*(($H$189)+1)+(IF(G304&lt;101,G304,IF(G304&lt;201,G304/2,IF(G304&lt;=301,G304/3,G304/4))))</f>
        <v>877.8580199999999</v>
      </c>
      <c r="I304" s="35"/>
    </row>
    <row r="305" spans="1:9" s="100" customFormat="1" ht="15.75" customHeight="1" x14ac:dyDescent="0.25">
      <c r="A305" s="92">
        <v>5</v>
      </c>
      <c r="B305" s="92" t="s">
        <v>402</v>
      </c>
      <c r="C305" s="92" t="s">
        <v>400</v>
      </c>
      <c r="D305" s="97">
        <f>(54.94)*(10.764)</f>
        <v>591.37415999999996</v>
      </c>
      <c r="E305" s="92">
        <v>0</v>
      </c>
      <c r="F305" s="92">
        <f>D305+E305</f>
        <v>591.37415999999996</v>
      </c>
      <c r="G305" s="92">
        <v>0</v>
      </c>
      <c r="H305" s="92">
        <f>F305*(($H$189)+1)+(IF(G305&lt;101,G305,IF(G305&lt;201,G305/2,IF(G305&lt;=301,G305/3,G305/4))))</f>
        <v>887.06124</v>
      </c>
      <c r="I305" s="35"/>
    </row>
    <row r="306" spans="1:9" s="93" customFormat="1" x14ac:dyDescent="0.25">
      <c r="A306" s="106" t="s">
        <v>449</v>
      </c>
      <c r="B306" s="107"/>
      <c r="C306" s="107"/>
      <c r="D306" s="107"/>
      <c r="E306" s="107"/>
      <c r="F306" s="107"/>
      <c r="G306" s="107"/>
      <c r="H306" s="108"/>
      <c r="I306" s="35">
        <f>3</f>
        <v>3</v>
      </c>
    </row>
    <row r="307" spans="1:9" s="93" customFormat="1" ht="15.75" customHeight="1" x14ac:dyDescent="0.25">
      <c r="A307" s="92">
        <v>1</v>
      </c>
      <c r="B307" s="92" t="s">
        <v>401</v>
      </c>
      <c r="C307" s="92" t="s">
        <v>399</v>
      </c>
      <c r="D307" s="97">
        <f>(34.98)*(10.764)</f>
        <v>376.52471999999995</v>
      </c>
      <c r="E307" s="92">
        <v>0</v>
      </c>
      <c r="F307" s="92">
        <f>D307+E307</f>
        <v>376.52471999999995</v>
      </c>
      <c r="G307" s="92">
        <v>0</v>
      </c>
      <c r="H307" s="92">
        <f>F307*(($H$189)+1)+(IF(G307&lt;101,G307,IF(G307&lt;201,G307/2,IF(G307&lt;=301,G307/3,G307/4))))</f>
        <v>564.78707999999995</v>
      </c>
      <c r="I307" s="35"/>
    </row>
    <row r="308" spans="1:9" s="93" customFormat="1" ht="15.75" customHeight="1" x14ac:dyDescent="0.25">
      <c r="A308" s="92">
        <v>2</v>
      </c>
      <c r="B308" s="92" t="s">
        <v>401</v>
      </c>
      <c r="C308" s="92" t="s">
        <v>399</v>
      </c>
      <c r="D308" s="97">
        <f>(34.99)*(10.764)</f>
        <v>376.63236000000001</v>
      </c>
      <c r="E308" s="92">
        <v>0</v>
      </c>
      <c r="F308" s="92">
        <f>D308+E308</f>
        <v>376.63236000000001</v>
      </c>
      <c r="G308" s="92">
        <v>0</v>
      </c>
      <c r="H308" s="92">
        <f>F308*(($H$189)+1)+(IF(G308&lt;101,G308,IF(G308&lt;201,G308/2,IF(G308&lt;=301,G308/3,G308/4))))</f>
        <v>564.94853999999998</v>
      </c>
      <c r="I308" s="35"/>
    </row>
    <row r="309" spans="1:9" s="93" customFormat="1" ht="15.75" customHeight="1" x14ac:dyDescent="0.25">
      <c r="A309" s="92">
        <v>3</v>
      </c>
      <c r="B309" s="92" t="s">
        <v>402</v>
      </c>
      <c r="C309" s="92" t="s">
        <v>400</v>
      </c>
      <c r="D309" s="97">
        <f>(54.41)*(10.764)</f>
        <v>585.66923999999995</v>
      </c>
      <c r="E309" s="92">
        <v>0</v>
      </c>
      <c r="F309" s="92">
        <f>D309+E309</f>
        <v>585.66923999999995</v>
      </c>
      <c r="G309" s="92">
        <v>0</v>
      </c>
      <c r="H309" s="92">
        <f>F309*(($H$189)+1)+(IF(G309&lt;101,G309,IF(G309&lt;201,G309/2,IF(G309&lt;=301,G309/3,G309/4))))</f>
        <v>878.50385999999992</v>
      </c>
      <c r="I309" s="35"/>
    </row>
    <row r="310" spans="1:9" s="93" customFormat="1" ht="15.75" customHeight="1" x14ac:dyDescent="0.25">
      <c r="A310" s="92">
        <v>4</v>
      </c>
      <c r="B310" s="92" t="s">
        <v>402</v>
      </c>
      <c r="C310" s="92" t="s">
        <v>400</v>
      </c>
      <c r="D310" s="97">
        <f>(54.37)*(10.764)</f>
        <v>585.23867999999993</v>
      </c>
      <c r="E310" s="92">
        <v>0</v>
      </c>
      <c r="F310" s="92">
        <f>D310+E310</f>
        <v>585.23867999999993</v>
      </c>
      <c r="G310" s="92">
        <v>0</v>
      </c>
      <c r="H310" s="92">
        <f>F310*(($H$189)+1)+(IF(G310&lt;101,G310,IF(G310&lt;201,G310/2,IF(G310&lt;=301,G310/3,G310/4))))</f>
        <v>877.8580199999999</v>
      </c>
      <c r="I310" s="35"/>
    </row>
    <row r="311" spans="1:9" s="93" customFormat="1" ht="15.75" customHeight="1" x14ac:dyDescent="0.25">
      <c r="A311" s="92">
        <v>5</v>
      </c>
      <c r="B311" s="92" t="s">
        <v>402</v>
      </c>
      <c r="C311" s="92" t="s">
        <v>400</v>
      </c>
      <c r="D311" s="97">
        <f>(54.94)*(10.764)</f>
        <v>591.37415999999996</v>
      </c>
      <c r="E311" s="92">
        <v>0</v>
      </c>
      <c r="F311" s="92">
        <f>D311+E311</f>
        <v>591.37415999999996</v>
      </c>
      <c r="G311" s="92">
        <v>0</v>
      </c>
      <c r="H311" s="92">
        <f>F311*(($H$189)+1)+(IF(G311&lt;101,G311,IF(G311&lt;201,G311/2,IF(G311&lt;=301,G311/3,G311/4))))</f>
        <v>887.06124</v>
      </c>
      <c r="I311" s="35"/>
    </row>
    <row r="312" spans="1:9" s="93" customFormat="1" x14ac:dyDescent="0.25">
      <c r="A312" s="106" t="s">
        <v>405</v>
      </c>
      <c r="B312" s="107"/>
      <c r="C312" s="107"/>
      <c r="D312" s="107"/>
      <c r="E312" s="107"/>
      <c r="F312" s="107"/>
      <c r="G312" s="107"/>
      <c r="H312" s="108"/>
      <c r="I312" s="35">
        <f>2</f>
        <v>2</v>
      </c>
    </row>
    <row r="313" spans="1:9" s="93" customFormat="1" ht="15.75" customHeight="1" x14ac:dyDescent="0.25">
      <c r="A313" s="92">
        <v>1</v>
      </c>
      <c r="B313" s="92" t="s">
        <v>402</v>
      </c>
      <c r="C313" s="92" t="s">
        <v>399</v>
      </c>
      <c r="D313" s="97">
        <f>(34.98)*(10.764)</f>
        <v>376.52471999999995</v>
      </c>
      <c r="E313" s="92">
        <v>0</v>
      </c>
      <c r="F313" s="92">
        <f>D313+E313</f>
        <v>376.52471999999995</v>
      </c>
      <c r="G313" s="92">
        <v>0</v>
      </c>
      <c r="H313" s="92">
        <f>F313*(($H$189)+1)+(IF(G313&lt;101,G313,IF(G313&lt;201,G313/2,IF(G313&lt;=301,G313/3,G313/4))))</f>
        <v>564.78707999999995</v>
      </c>
      <c r="I313" s="35"/>
    </row>
    <row r="314" spans="1:9" s="93" customFormat="1" ht="15.75" customHeight="1" x14ac:dyDescent="0.25">
      <c r="A314" s="92">
        <v>2</v>
      </c>
      <c r="B314" s="92" t="s">
        <v>402</v>
      </c>
      <c r="C314" s="92" t="s">
        <v>399</v>
      </c>
      <c r="D314" s="97">
        <f>(34.99)*(10.764)</f>
        <v>376.63236000000001</v>
      </c>
      <c r="E314" s="92">
        <v>0</v>
      </c>
      <c r="F314" s="92">
        <f>D314+E314</f>
        <v>376.63236000000001</v>
      </c>
      <c r="G314" s="92">
        <v>0</v>
      </c>
      <c r="H314" s="92">
        <f>F314*(($H$189)+1)+(IF(G314&lt;101,G314,IF(G314&lt;201,G314/2,IF(G314&lt;=301,G314/3,G314/4))))</f>
        <v>564.94853999999998</v>
      </c>
      <c r="I314" s="35"/>
    </row>
    <row r="315" spans="1:9" s="93" customFormat="1" ht="15.75" customHeight="1" x14ac:dyDescent="0.25">
      <c r="A315" s="92">
        <v>3</v>
      </c>
      <c r="B315" s="92" t="s">
        <v>402</v>
      </c>
      <c r="C315" s="92" t="s">
        <v>400</v>
      </c>
      <c r="D315" s="97">
        <f>(54.41)*(10.764)</f>
        <v>585.66923999999995</v>
      </c>
      <c r="E315" s="92">
        <v>0</v>
      </c>
      <c r="F315" s="92">
        <f>D315+E315</f>
        <v>585.66923999999995</v>
      </c>
      <c r="G315" s="92">
        <v>0</v>
      </c>
      <c r="H315" s="92">
        <f>F315*(($H$189)+1)+(IF(G315&lt;101,G315,IF(G315&lt;201,G315/2,IF(G315&lt;=301,G315/3,G315/4))))</f>
        <v>878.50385999999992</v>
      </c>
      <c r="I315" s="35"/>
    </row>
    <row r="316" spans="1:9" s="93" customFormat="1" ht="15.75" customHeight="1" x14ac:dyDescent="0.25">
      <c r="A316" s="92">
        <v>4</v>
      </c>
      <c r="B316" s="92" t="s">
        <v>402</v>
      </c>
      <c r="C316" s="92" t="s">
        <v>400</v>
      </c>
      <c r="D316" s="97">
        <f>(54.37)*(10.764)</f>
        <v>585.23867999999993</v>
      </c>
      <c r="E316" s="92">
        <v>0</v>
      </c>
      <c r="F316" s="92">
        <f>D316+E316</f>
        <v>585.23867999999993</v>
      </c>
      <c r="G316" s="92">
        <v>0</v>
      </c>
      <c r="H316" s="92">
        <f>F316*(($H$189)+1)+(IF(G316&lt;101,G316,IF(G316&lt;201,G316/2,IF(G316&lt;=301,G316/3,G316/4))))</f>
        <v>877.8580199999999</v>
      </c>
      <c r="I316" s="35"/>
    </row>
    <row r="317" spans="1:9" s="93" customFormat="1" ht="15.75" customHeight="1" x14ac:dyDescent="0.25">
      <c r="A317" s="92">
        <v>5</v>
      </c>
      <c r="B317" s="92" t="s">
        <v>402</v>
      </c>
      <c r="C317" s="92" t="s">
        <v>400</v>
      </c>
      <c r="D317" s="97">
        <f>(54.94)*(10.764)</f>
        <v>591.37415999999996</v>
      </c>
      <c r="E317" s="92">
        <v>0</v>
      </c>
      <c r="F317" s="92">
        <f>D317+E317</f>
        <v>591.37415999999996</v>
      </c>
      <c r="G317" s="92">
        <v>0</v>
      </c>
      <c r="H317" s="92">
        <f>F317*(($H$189)+1)+(IF(G317&lt;101,G317,IF(G317&lt;201,G317/2,IF(G317&lt;=301,G317/3,G317/4))))</f>
        <v>887.06124</v>
      </c>
      <c r="I317" s="35"/>
    </row>
    <row r="318" spans="1:9" s="93" customFormat="1" x14ac:dyDescent="0.25">
      <c r="A318" s="106" t="s">
        <v>450</v>
      </c>
      <c r="B318" s="107"/>
      <c r="C318" s="107"/>
      <c r="D318" s="107"/>
      <c r="E318" s="107"/>
      <c r="F318" s="107"/>
      <c r="G318" s="107"/>
      <c r="H318" s="108"/>
      <c r="I318" s="35">
        <f>2</f>
        <v>2</v>
      </c>
    </row>
    <row r="319" spans="1:9" s="93" customFormat="1" ht="15.75" customHeight="1" x14ac:dyDescent="0.25">
      <c r="A319" s="92">
        <v>1</v>
      </c>
      <c r="B319" s="92" t="s">
        <v>401</v>
      </c>
      <c r="C319" s="92" t="s">
        <v>399</v>
      </c>
      <c r="D319" s="97">
        <f>(34.98)*(10.764)</f>
        <v>376.52471999999995</v>
      </c>
      <c r="E319" s="92">
        <v>0</v>
      </c>
      <c r="F319" s="92">
        <f>D319+E319</f>
        <v>376.52471999999995</v>
      </c>
      <c r="G319" s="92">
        <v>0</v>
      </c>
      <c r="H319" s="92">
        <f>F319*(($H$189)+1)+(IF(G319&lt;101,G319,IF(G319&lt;201,G319/2,IF(G319&lt;=301,G319/3,G319/4))))</f>
        <v>564.78707999999995</v>
      </c>
      <c r="I319" s="35"/>
    </row>
    <row r="320" spans="1:9" s="93" customFormat="1" ht="15.75" customHeight="1" x14ac:dyDescent="0.25">
      <c r="A320" s="92">
        <v>2</v>
      </c>
      <c r="B320" s="92" t="s">
        <v>402</v>
      </c>
      <c r="C320" s="92" t="s">
        <v>399</v>
      </c>
      <c r="D320" s="97">
        <f>(34.99)*(10.764)</f>
        <v>376.63236000000001</v>
      </c>
      <c r="E320" s="92">
        <v>0</v>
      </c>
      <c r="F320" s="92">
        <f>D320+E320</f>
        <v>376.63236000000001</v>
      </c>
      <c r="G320" s="92">
        <v>0</v>
      </c>
      <c r="H320" s="92">
        <f>F320*(($H$189)+1)+(IF(G320&lt;101,G320,IF(G320&lt;201,G320/2,IF(G320&lt;=301,G320/3,G320/4))))</f>
        <v>564.94853999999998</v>
      </c>
      <c r="I320" s="35"/>
    </row>
    <row r="321" spans="1:9" s="93" customFormat="1" ht="15.75" customHeight="1" x14ac:dyDescent="0.25">
      <c r="A321" s="92">
        <v>3</v>
      </c>
      <c r="B321" s="92" t="s">
        <v>402</v>
      </c>
      <c r="C321" s="92" t="s">
        <v>400</v>
      </c>
      <c r="D321" s="97">
        <f>(54.41)*(10.764)</f>
        <v>585.66923999999995</v>
      </c>
      <c r="E321" s="92">
        <v>0</v>
      </c>
      <c r="F321" s="92">
        <f>D321+E321</f>
        <v>585.66923999999995</v>
      </c>
      <c r="G321" s="92">
        <v>0</v>
      </c>
      <c r="H321" s="92">
        <f>F321*(($H$189)+1)+(IF(G321&lt;101,G321,IF(G321&lt;201,G321/2,IF(G321&lt;=301,G321/3,G321/4))))</f>
        <v>878.50385999999992</v>
      </c>
      <c r="I321" s="35"/>
    </row>
    <row r="322" spans="1:9" s="93" customFormat="1" ht="15.75" customHeight="1" x14ac:dyDescent="0.25">
      <c r="A322" s="92">
        <v>4</v>
      </c>
      <c r="B322" s="92" t="s">
        <v>402</v>
      </c>
      <c r="C322" s="92" t="s">
        <v>400</v>
      </c>
      <c r="D322" s="97">
        <f>(54.37)*(10.764)</f>
        <v>585.23867999999993</v>
      </c>
      <c r="E322" s="92">
        <v>0</v>
      </c>
      <c r="F322" s="92">
        <f>D322+E322</f>
        <v>585.23867999999993</v>
      </c>
      <c r="G322" s="92">
        <v>0</v>
      </c>
      <c r="H322" s="92">
        <f>F322*(($H$189)+1)+(IF(G322&lt;101,G322,IF(G322&lt;201,G322/2,IF(G322&lt;=301,G322/3,G322/4))))</f>
        <v>877.8580199999999</v>
      </c>
      <c r="I322" s="35"/>
    </row>
    <row r="323" spans="1:9" s="93" customFormat="1" ht="15.75" customHeight="1" x14ac:dyDescent="0.25">
      <c r="A323" s="92">
        <v>5</v>
      </c>
      <c r="B323" s="92" t="s">
        <v>402</v>
      </c>
      <c r="C323" s="92" t="s">
        <v>400</v>
      </c>
      <c r="D323" s="97">
        <f>(54.94)*(10.764)</f>
        <v>591.37415999999996</v>
      </c>
      <c r="E323" s="92">
        <v>0</v>
      </c>
      <c r="F323" s="92">
        <f>D323+E323</f>
        <v>591.37415999999996</v>
      </c>
      <c r="G323" s="92">
        <v>0</v>
      </c>
      <c r="H323" s="92">
        <f>F323*(($H$189)+1)+(IF(G323&lt;101,G323,IF(G323&lt;201,G323/2,IF(G323&lt;=301,G323/3,G323/4))))</f>
        <v>887.06124</v>
      </c>
      <c r="I323" s="35"/>
    </row>
    <row r="324" spans="1:9" s="93" customFormat="1" x14ac:dyDescent="0.25">
      <c r="A324" s="106" t="s">
        <v>415</v>
      </c>
      <c r="B324" s="107"/>
      <c r="C324" s="107"/>
      <c r="D324" s="107"/>
      <c r="E324" s="107"/>
      <c r="F324" s="107"/>
      <c r="G324" s="107"/>
      <c r="H324" s="108"/>
      <c r="I324" s="35">
        <f>1</f>
        <v>1</v>
      </c>
    </row>
    <row r="325" spans="1:9" s="93" customFormat="1" ht="15.75" customHeight="1" x14ac:dyDescent="0.25">
      <c r="A325" s="92">
        <v>1</v>
      </c>
      <c r="B325" s="92" t="s">
        <v>402</v>
      </c>
      <c r="C325" s="92" t="s">
        <v>399</v>
      </c>
      <c r="D325" s="97">
        <f>(34.98)*(10.764)</f>
        <v>376.52471999999995</v>
      </c>
      <c r="E325" s="92">
        <v>0</v>
      </c>
      <c r="F325" s="92">
        <f>D325+E325</f>
        <v>376.52471999999995</v>
      </c>
      <c r="G325" s="92">
        <v>0</v>
      </c>
      <c r="H325" s="92">
        <f>F325*(($H$189)+1)+(IF(G325&lt;101,G325,IF(G325&lt;201,G325/2,IF(G325&lt;=301,G325/3,G325/4))))</f>
        <v>564.78707999999995</v>
      </c>
      <c r="I325" s="35"/>
    </row>
    <row r="326" spans="1:9" s="93" customFormat="1" ht="15.75" customHeight="1" x14ac:dyDescent="0.25">
      <c r="A326" s="92">
        <v>2</v>
      </c>
      <c r="B326" s="92" t="s">
        <v>402</v>
      </c>
      <c r="C326" s="92" t="s">
        <v>399</v>
      </c>
      <c r="D326" s="97">
        <f>(34.99)*(10.764)</f>
        <v>376.63236000000001</v>
      </c>
      <c r="E326" s="92">
        <v>0</v>
      </c>
      <c r="F326" s="92">
        <f>D326+E326</f>
        <v>376.63236000000001</v>
      </c>
      <c r="G326" s="92">
        <v>0</v>
      </c>
      <c r="H326" s="92">
        <f>F326*(($H$189)+1)+(IF(G326&lt;101,G326,IF(G326&lt;201,G326/2,IF(G326&lt;=301,G326/3,G326/4))))</f>
        <v>564.94853999999998</v>
      </c>
      <c r="I326" s="35"/>
    </row>
    <row r="327" spans="1:9" s="93" customFormat="1" ht="15.75" customHeight="1" x14ac:dyDescent="0.25">
      <c r="A327" s="92">
        <v>3</v>
      </c>
      <c r="B327" s="92" t="s">
        <v>402</v>
      </c>
      <c r="C327" s="92" t="s">
        <v>400</v>
      </c>
      <c r="D327" s="97">
        <f>(54.41)*(10.764)</f>
        <v>585.66923999999995</v>
      </c>
      <c r="E327" s="92">
        <v>0</v>
      </c>
      <c r="F327" s="92">
        <f>D327+E327</f>
        <v>585.66923999999995</v>
      </c>
      <c r="G327" s="92">
        <v>0</v>
      </c>
      <c r="H327" s="92">
        <f>F327*(($H$189)+1)+(IF(G327&lt;101,G327,IF(G327&lt;201,G327/2,IF(G327&lt;=301,G327/3,G327/4))))</f>
        <v>878.50385999999992</v>
      </c>
      <c r="I327" s="35"/>
    </row>
    <row r="328" spans="1:9" s="93" customFormat="1" ht="15.75" customHeight="1" x14ac:dyDescent="0.25">
      <c r="A328" s="92">
        <v>4</v>
      </c>
      <c r="B328" s="92" t="s">
        <v>402</v>
      </c>
      <c r="C328" s="92" t="s">
        <v>400</v>
      </c>
      <c r="D328" s="97">
        <f>(54.37)*(10.764)</f>
        <v>585.23867999999993</v>
      </c>
      <c r="E328" s="92">
        <v>0</v>
      </c>
      <c r="F328" s="92">
        <f>D328+E328</f>
        <v>585.23867999999993</v>
      </c>
      <c r="G328" s="92">
        <v>0</v>
      </c>
      <c r="H328" s="92">
        <f>F328*(($H$189)+1)+(IF(G328&lt;101,G328,IF(G328&lt;201,G328/2,IF(G328&lt;=301,G328/3,G328/4))))</f>
        <v>877.8580199999999</v>
      </c>
      <c r="I328" s="35"/>
    </row>
    <row r="329" spans="1:9" s="93" customFormat="1" ht="15.75" customHeight="1" x14ac:dyDescent="0.25">
      <c r="A329" s="92">
        <v>5</v>
      </c>
      <c r="B329" s="102" t="s">
        <v>401</v>
      </c>
      <c r="C329" s="92" t="s">
        <v>399</v>
      </c>
      <c r="D329" s="97">
        <f>(43.5)*(10.764)</f>
        <v>468.23399999999998</v>
      </c>
      <c r="E329" s="92">
        <v>0</v>
      </c>
      <c r="F329" s="92">
        <f>D329+E329</f>
        <v>468.23399999999998</v>
      </c>
      <c r="G329" s="92">
        <v>0</v>
      </c>
      <c r="H329" s="92">
        <f>F329*(($H$189)+1)+(IF(G329&lt;101,G329,IF(G329&lt;201,G329/2,IF(G329&lt;=301,G329/3,G329/4))))</f>
        <v>702.351</v>
      </c>
      <c r="I329" s="35"/>
    </row>
    <row r="330" spans="1:9" s="93" customFormat="1" x14ac:dyDescent="0.25">
      <c r="A330" s="106" t="s">
        <v>409</v>
      </c>
      <c r="B330" s="107"/>
      <c r="C330" s="107"/>
      <c r="D330" s="107"/>
      <c r="E330" s="107"/>
      <c r="F330" s="107"/>
      <c r="G330" s="107"/>
      <c r="H330" s="108"/>
      <c r="I330" s="35">
        <f>1</f>
        <v>1</v>
      </c>
    </row>
    <row r="331" spans="1:9" s="93" customFormat="1" ht="15.75" customHeight="1" x14ac:dyDescent="0.25">
      <c r="A331" s="92">
        <v>1</v>
      </c>
      <c r="B331" s="92" t="s">
        <v>402</v>
      </c>
      <c r="C331" s="92" t="s">
        <v>399</v>
      </c>
      <c r="D331" s="97">
        <f>(34.98)*(10.764)</f>
        <v>376.52471999999995</v>
      </c>
      <c r="E331" s="92">
        <v>0</v>
      </c>
      <c r="F331" s="92">
        <f>D331+E331</f>
        <v>376.52471999999995</v>
      </c>
      <c r="G331" s="92">
        <v>0</v>
      </c>
      <c r="H331" s="92">
        <f>F331*(($H$189)+1)+(IF(G331&lt;101,G331,IF(G331&lt;201,G331/2,IF(G331&lt;=301,G331/3,G331/4))))</f>
        <v>564.78707999999995</v>
      </c>
      <c r="I331" s="35"/>
    </row>
    <row r="332" spans="1:9" s="93" customFormat="1" ht="15.75" customHeight="1" x14ac:dyDescent="0.25">
      <c r="A332" s="92">
        <v>2</v>
      </c>
      <c r="B332" s="92" t="s">
        <v>401</v>
      </c>
      <c r="C332" s="92" t="s">
        <v>399</v>
      </c>
      <c r="D332" s="97">
        <f>(34.99)*(10.764)</f>
        <v>376.63236000000001</v>
      </c>
      <c r="E332" s="92">
        <v>0</v>
      </c>
      <c r="F332" s="92">
        <f>D332+E332</f>
        <v>376.63236000000001</v>
      </c>
      <c r="G332" s="92">
        <v>0</v>
      </c>
      <c r="H332" s="92">
        <f>F332*(($H$189)+1)+(IF(G332&lt;101,G332,IF(G332&lt;201,G332/2,IF(G332&lt;=301,G332/3,G332/4))))</f>
        <v>564.94853999999998</v>
      </c>
      <c r="I332" s="35"/>
    </row>
    <row r="333" spans="1:9" s="93" customFormat="1" ht="15.75" customHeight="1" x14ac:dyDescent="0.25">
      <c r="A333" s="92">
        <v>3</v>
      </c>
      <c r="B333" s="92" t="s">
        <v>402</v>
      </c>
      <c r="C333" s="92" t="s">
        <v>400</v>
      </c>
      <c r="D333" s="97">
        <f>(54.41)*(10.764)</f>
        <v>585.66923999999995</v>
      </c>
      <c r="E333" s="92">
        <v>0</v>
      </c>
      <c r="F333" s="92">
        <f>D333+E333</f>
        <v>585.66923999999995</v>
      </c>
      <c r="G333" s="92">
        <v>0</v>
      </c>
      <c r="H333" s="92">
        <f>F333*(($H$189)+1)+(IF(G333&lt;101,G333,IF(G333&lt;201,G333/2,IF(G333&lt;=301,G333/3,G333/4))))</f>
        <v>878.50385999999992</v>
      </c>
      <c r="I333" s="35"/>
    </row>
    <row r="334" spans="1:9" s="93" customFormat="1" ht="15.75" customHeight="1" x14ac:dyDescent="0.25">
      <c r="A334" s="92">
        <v>4</v>
      </c>
      <c r="B334" s="92" t="s">
        <v>402</v>
      </c>
      <c r="C334" s="92" t="s">
        <v>400</v>
      </c>
      <c r="D334" s="97">
        <f>(54.37)*(10.764)</f>
        <v>585.23867999999993</v>
      </c>
      <c r="E334" s="92">
        <v>0</v>
      </c>
      <c r="F334" s="92">
        <f>D334+E334</f>
        <v>585.23867999999993</v>
      </c>
      <c r="G334" s="92">
        <v>0</v>
      </c>
      <c r="H334" s="92">
        <f>F334*(($H$189)+1)+(IF(G334&lt;101,G334,IF(G334&lt;201,G334/2,IF(G334&lt;=301,G334/3,G334/4))))</f>
        <v>877.8580199999999</v>
      </c>
      <c r="I334" s="35"/>
    </row>
    <row r="335" spans="1:9" s="93" customFormat="1" ht="15.75" customHeight="1" x14ac:dyDescent="0.25">
      <c r="A335" s="92">
        <v>5</v>
      </c>
      <c r="B335" s="92" t="s">
        <v>402</v>
      </c>
      <c r="C335" s="92" t="s">
        <v>400</v>
      </c>
      <c r="D335" s="97">
        <f>(54.94)*(10.764)</f>
        <v>591.37415999999996</v>
      </c>
      <c r="E335" s="92">
        <v>0</v>
      </c>
      <c r="F335" s="92">
        <f>D335+E335</f>
        <v>591.37415999999996</v>
      </c>
      <c r="G335" s="92">
        <v>0</v>
      </c>
      <c r="H335" s="92">
        <f>F335*(($H$189)+1)+(IF(G335&lt;101,G335,IF(G335&lt;201,G335/2,IF(G335&lt;=301,G335/3,G335/4))))</f>
        <v>887.06124</v>
      </c>
      <c r="I335" s="35"/>
    </row>
    <row r="336" spans="1:9" s="93" customFormat="1" x14ac:dyDescent="0.25">
      <c r="A336" s="106" t="s">
        <v>416</v>
      </c>
      <c r="B336" s="107"/>
      <c r="C336" s="107"/>
      <c r="D336" s="107"/>
      <c r="E336" s="107"/>
      <c r="F336" s="107"/>
      <c r="G336" s="107"/>
      <c r="H336" s="108"/>
      <c r="I336" s="35">
        <f>1</f>
        <v>1</v>
      </c>
    </row>
    <row r="337" spans="1:20" s="93" customFormat="1" ht="15.75" customHeight="1" x14ac:dyDescent="0.25">
      <c r="A337" s="92">
        <v>1</v>
      </c>
      <c r="B337" s="92" t="s">
        <v>401</v>
      </c>
      <c r="C337" s="92" t="s">
        <v>399</v>
      </c>
      <c r="D337" s="97">
        <f>(34.98)*(10.764)</f>
        <v>376.52471999999995</v>
      </c>
      <c r="E337" s="92">
        <v>0</v>
      </c>
      <c r="F337" s="92">
        <f>D337+E337</f>
        <v>376.52471999999995</v>
      </c>
      <c r="G337" s="92">
        <v>0</v>
      </c>
      <c r="H337" s="92">
        <f>F337*(($H$189)+1)+(IF(G337&lt;101,G337,IF(G337&lt;201,G337/2,IF(G337&lt;=301,G337/3,G337/4))))</f>
        <v>564.78707999999995</v>
      </c>
      <c r="I337" s="35"/>
    </row>
    <row r="338" spans="1:20" s="93" customFormat="1" ht="15.75" customHeight="1" x14ac:dyDescent="0.25">
      <c r="A338" s="92" t="s">
        <v>402</v>
      </c>
      <c r="B338" s="92" t="s">
        <v>402</v>
      </c>
      <c r="C338" s="92" t="s">
        <v>402</v>
      </c>
      <c r="D338" s="124" t="s">
        <v>417</v>
      </c>
      <c r="E338" s="125"/>
      <c r="F338" s="125"/>
      <c r="G338" s="125"/>
      <c r="H338" s="126"/>
      <c r="I338" s="35"/>
    </row>
    <row r="339" spans="1:20" s="93" customFormat="1" ht="15.75" customHeight="1" x14ac:dyDescent="0.25">
      <c r="A339" s="92" t="s">
        <v>402</v>
      </c>
      <c r="B339" s="92" t="s">
        <v>402</v>
      </c>
      <c r="C339" s="92" t="s">
        <v>402</v>
      </c>
      <c r="D339" s="127"/>
      <c r="E339" s="128"/>
      <c r="F339" s="128"/>
      <c r="G339" s="128"/>
      <c r="H339" s="129"/>
      <c r="I339" s="35"/>
    </row>
    <row r="340" spans="1:20" s="93" customFormat="1" ht="15.75" customHeight="1" x14ac:dyDescent="0.25">
      <c r="A340" s="92" t="s">
        <v>402</v>
      </c>
      <c r="B340" s="92" t="s">
        <v>402</v>
      </c>
      <c r="C340" s="92" t="s">
        <v>402</v>
      </c>
      <c r="D340" s="127"/>
      <c r="E340" s="128"/>
      <c r="F340" s="128"/>
      <c r="G340" s="128"/>
      <c r="H340" s="129"/>
      <c r="I340" s="35"/>
    </row>
    <row r="341" spans="1:20" s="93" customFormat="1" ht="15.75" customHeight="1" x14ac:dyDescent="0.25">
      <c r="A341" s="92" t="s">
        <v>402</v>
      </c>
      <c r="B341" s="92" t="s">
        <v>402</v>
      </c>
      <c r="C341" s="92" t="s">
        <v>402</v>
      </c>
      <c r="D341" s="130"/>
      <c r="E341" s="131"/>
      <c r="F341" s="131"/>
      <c r="G341" s="131"/>
      <c r="H341" s="132"/>
      <c r="I341" s="35"/>
    </row>
    <row r="342" spans="1:20" s="34" customFormat="1" x14ac:dyDescent="0.25">
      <c r="A342" s="176" t="s">
        <v>64</v>
      </c>
      <c r="B342" s="176"/>
      <c r="C342" s="176"/>
      <c r="D342" s="176"/>
      <c r="E342" s="176"/>
      <c r="F342" s="176"/>
      <c r="G342" s="176"/>
      <c r="H342" s="176"/>
      <c r="T342" s="36"/>
    </row>
    <row r="343" spans="1:20" s="34" customFormat="1" x14ac:dyDescent="0.25">
      <c r="A343" s="44" t="s">
        <v>147</v>
      </c>
      <c r="B343" s="120" t="s">
        <v>452</v>
      </c>
      <c r="C343" s="121"/>
      <c r="D343" s="121"/>
      <c r="E343" s="121"/>
      <c r="F343" s="121"/>
      <c r="G343" s="121"/>
      <c r="H343" s="122"/>
      <c r="T343" s="36"/>
    </row>
    <row r="344" spans="1:20" s="34" customFormat="1" x14ac:dyDescent="0.25">
      <c r="A344" s="44" t="s">
        <v>147</v>
      </c>
      <c r="B344" s="120" t="str">
        <f>(IF(H188="Saleable area Loading :","We have considered Saleable area of Flats as per our Calculation.","We considered Saleable area of Flat as per Builder area Sheet."))</f>
        <v>We have considered Saleable area of Flats as per our Calculation.</v>
      </c>
      <c r="C344" s="121"/>
      <c r="D344" s="121"/>
      <c r="E344" s="121"/>
      <c r="F344" s="121"/>
      <c r="G344" s="121"/>
      <c r="H344" s="122"/>
      <c r="T344" s="36"/>
    </row>
    <row r="345" spans="1:20" s="34" customFormat="1" x14ac:dyDescent="0.25">
      <c r="A345" s="44" t="s">
        <v>147</v>
      </c>
      <c r="B345" s="120" t="str">
        <f>(IF(H156="Saleable area Loading :","We have considered Saleable area of Commercial as per our Calculation.","We considered Saleable area of Commercial as per Builder area Sheet."))</f>
        <v>We have considered Saleable area of Commercial as per our Calculation.</v>
      </c>
      <c r="C345" s="121"/>
      <c r="D345" s="121"/>
      <c r="E345" s="121"/>
      <c r="F345" s="121"/>
      <c r="G345" s="121"/>
      <c r="H345" s="122"/>
      <c r="T345" s="36"/>
    </row>
    <row r="346" spans="1:20" s="34" customFormat="1" x14ac:dyDescent="0.25">
      <c r="A346" s="44" t="s">
        <v>147</v>
      </c>
      <c r="B346" s="172" t="s">
        <v>117</v>
      </c>
      <c r="C346" s="173"/>
      <c r="D346" s="173"/>
      <c r="E346" s="173"/>
      <c r="F346" s="173"/>
      <c r="G346" s="173"/>
      <c r="H346" s="174"/>
      <c r="T346" s="36"/>
    </row>
    <row r="347" spans="1:20" s="34" customFormat="1" x14ac:dyDescent="0.25">
      <c r="A347" s="44" t="s">
        <v>147</v>
      </c>
      <c r="B347" s="120" t="s">
        <v>425</v>
      </c>
      <c r="C347" s="121"/>
      <c r="D347" s="121"/>
      <c r="E347" s="121"/>
      <c r="F347" s="121"/>
      <c r="G347" s="121"/>
      <c r="H347" s="122"/>
      <c r="T347" s="36"/>
    </row>
    <row r="348" spans="1:20" s="34" customFormat="1" x14ac:dyDescent="0.25">
      <c r="A348" s="44" t="s">
        <v>147</v>
      </c>
      <c r="B348" s="172" t="s">
        <v>146</v>
      </c>
      <c r="C348" s="173"/>
      <c r="D348" s="173"/>
      <c r="E348" s="173"/>
      <c r="F348" s="173"/>
      <c r="G348" s="173"/>
      <c r="H348" s="174"/>
    </row>
    <row r="349" spans="1:20" s="34" customFormat="1" x14ac:dyDescent="0.25">
      <c r="A349" s="44" t="s">
        <v>147</v>
      </c>
      <c r="B349" s="172" t="s">
        <v>118</v>
      </c>
      <c r="C349" s="173"/>
      <c r="D349" s="173"/>
      <c r="E349" s="173"/>
      <c r="F349" s="173"/>
      <c r="G349" s="173"/>
      <c r="H349" s="174"/>
    </row>
    <row r="350" spans="1:20" s="34" customFormat="1" ht="34.5" customHeight="1" x14ac:dyDescent="0.25">
      <c r="A350" s="44" t="s">
        <v>147</v>
      </c>
      <c r="B350" s="120" t="s">
        <v>148</v>
      </c>
      <c r="C350" s="121"/>
      <c r="D350" s="121"/>
      <c r="E350" s="121"/>
      <c r="F350" s="121"/>
      <c r="G350" s="121"/>
      <c r="H350" s="122"/>
    </row>
    <row r="351" spans="1:20" s="34" customFormat="1" x14ac:dyDescent="0.25">
      <c r="A351" s="44" t="s">
        <v>147</v>
      </c>
      <c r="B351" s="172" t="s">
        <v>119</v>
      </c>
      <c r="C351" s="173"/>
      <c r="D351" s="173"/>
      <c r="E351" s="173"/>
      <c r="F351" s="173"/>
      <c r="G351" s="173"/>
      <c r="H351" s="174"/>
    </row>
    <row r="352" spans="1:20" s="34" customFormat="1" ht="32.25" customHeight="1" x14ac:dyDescent="0.25">
      <c r="A352" s="44" t="s">
        <v>147</v>
      </c>
      <c r="B352" s="120" t="s">
        <v>289</v>
      </c>
      <c r="C352" s="121"/>
      <c r="D352" s="121"/>
      <c r="E352" s="121"/>
      <c r="F352" s="121"/>
      <c r="G352" s="121"/>
      <c r="H352" s="122"/>
    </row>
    <row r="353" spans="1:20" s="34" customFormat="1" x14ac:dyDescent="0.25">
      <c r="A353" s="44" t="s">
        <v>147</v>
      </c>
      <c r="B353" s="120" t="s">
        <v>467</v>
      </c>
      <c r="C353" s="121"/>
      <c r="D353" s="121"/>
      <c r="E353" s="121"/>
      <c r="F353" s="121"/>
      <c r="G353" s="121"/>
      <c r="H353" s="122"/>
    </row>
    <row r="354" spans="1:20" s="34" customFormat="1" x14ac:dyDescent="0.25">
      <c r="A354" s="99" t="s">
        <v>147</v>
      </c>
      <c r="B354" s="120" t="s">
        <v>342</v>
      </c>
      <c r="C354" s="121"/>
      <c r="D354" s="121"/>
      <c r="E354" s="121"/>
      <c r="F354" s="121"/>
      <c r="G354" s="121"/>
      <c r="H354" s="122"/>
    </row>
    <row r="355" spans="1:20" s="34" customFormat="1" ht="32.25" customHeight="1" x14ac:dyDescent="0.25">
      <c r="A355" s="44" t="s">
        <v>147</v>
      </c>
      <c r="B355" s="120" t="s">
        <v>466</v>
      </c>
      <c r="C355" s="121"/>
      <c r="D355" s="121"/>
      <c r="E355" s="121"/>
      <c r="F355" s="121"/>
      <c r="G355" s="121"/>
      <c r="H355" s="122"/>
    </row>
    <row r="356" spans="1:20" s="34" customFormat="1" hidden="1" x14ac:dyDescent="0.25">
      <c r="A356" s="44" t="s">
        <v>147</v>
      </c>
      <c r="B356" s="167" t="str">
        <f ca="1">IF(G55&gt;EDATE(E3,-48),"NO REMARK FOR CC","REMARK FOR CC")</f>
        <v>NO REMARK FOR CC</v>
      </c>
      <c r="C356" s="168"/>
      <c r="D356" s="168"/>
      <c r="E356" s="168"/>
      <c r="F356" s="168"/>
      <c r="G356" s="168"/>
      <c r="H356" s="169"/>
    </row>
    <row r="357" spans="1:20" s="34" customFormat="1" ht="81.75" hidden="1" customHeight="1" x14ac:dyDescent="0.25">
      <c r="A357" s="44" t="s">
        <v>147</v>
      </c>
      <c r="B357" s="167" t="s">
        <v>343</v>
      </c>
      <c r="C357" s="168"/>
      <c r="D357" s="168"/>
      <c r="E357" s="168"/>
      <c r="F357" s="168"/>
      <c r="G357" s="168"/>
      <c r="H357" s="169"/>
    </row>
    <row r="358" spans="1:20" x14ac:dyDescent="0.25">
      <c r="A358" s="181" t="s">
        <v>57</v>
      </c>
      <c r="B358" s="181"/>
      <c r="C358" s="181"/>
      <c r="D358" s="181"/>
      <c r="E358" s="181"/>
      <c r="F358" s="181"/>
      <c r="G358" s="181"/>
      <c r="H358" s="181"/>
      <c r="T358" s="34"/>
    </row>
    <row r="359" spans="1:20" x14ac:dyDescent="0.25">
      <c r="A359" s="150" t="s">
        <v>58</v>
      </c>
      <c r="B359" s="150"/>
      <c r="C359" s="150"/>
      <c r="D359" s="150"/>
      <c r="E359" s="150"/>
      <c r="F359" s="150"/>
      <c r="G359" s="150"/>
      <c r="H359" s="150"/>
      <c r="T359" s="34"/>
    </row>
    <row r="360" spans="1:20" ht="15.75" customHeight="1" x14ac:dyDescent="0.25">
      <c r="A360" s="166" t="s">
        <v>59</v>
      </c>
      <c r="B360" s="166"/>
      <c r="C360" s="166"/>
      <c r="D360" s="166"/>
      <c r="E360" s="166"/>
      <c r="F360" s="166"/>
      <c r="G360" s="166"/>
      <c r="H360" s="166"/>
      <c r="T360" s="34"/>
    </row>
    <row r="361" spans="1:20" x14ac:dyDescent="0.25">
      <c r="A361" s="150" t="s">
        <v>60</v>
      </c>
      <c r="B361" s="150"/>
      <c r="C361" s="150"/>
      <c r="D361" s="150"/>
      <c r="E361" s="150"/>
      <c r="F361" s="150"/>
      <c r="G361" s="150"/>
      <c r="H361" s="150"/>
      <c r="T361" s="34"/>
    </row>
    <row r="362" spans="1:20" x14ac:dyDescent="0.25">
      <c r="A362" s="150" t="s">
        <v>61</v>
      </c>
      <c r="B362" s="150"/>
      <c r="C362" s="150"/>
      <c r="D362" s="150"/>
      <c r="E362" s="150"/>
      <c r="F362" s="150"/>
      <c r="G362" s="150"/>
      <c r="H362" s="150"/>
      <c r="T362" s="34"/>
    </row>
    <row r="363" spans="1:20" x14ac:dyDescent="0.25">
      <c r="A363" s="150" t="s">
        <v>120</v>
      </c>
      <c r="B363" s="150"/>
      <c r="C363" s="150"/>
      <c r="D363" s="150"/>
      <c r="E363" s="150"/>
      <c r="F363" s="150"/>
      <c r="G363" s="150"/>
      <c r="H363" s="150"/>
      <c r="T363" s="34"/>
    </row>
    <row r="364" spans="1:20" ht="33.950000000000003" customHeight="1" x14ac:dyDescent="0.25">
      <c r="A364" s="155" t="s">
        <v>121</v>
      </c>
      <c r="B364" s="155"/>
      <c r="C364" s="155"/>
      <c r="D364" s="155"/>
      <c r="E364" s="155"/>
      <c r="F364" s="155"/>
      <c r="G364" s="155"/>
      <c r="H364" s="155"/>
    </row>
    <row r="365" spans="1:20" x14ac:dyDescent="0.25">
      <c r="A365" s="178" t="s">
        <v>71</v>
      </c>
      <c r="B365" s="178"/>
      <c r="C365" s="178" t="s">
        <v>435</v>
      </c>
      <c r="D365" s="178"/>
      <c r="E365" s="178" t="s">
        <v>101</v>
      </c>
      <c r="F365" s="178"/>
      <c r="G365" s="178" t="s">
        <v>434</v>
      </c>
      <c r="H365" s="178"/>
    </row>
    <row r="366" spans="1:20" x14ac:dyDescent="0.25">
      <c r="A366" s="177" t="s">
        <v>73</v>
      </c>
      <c r="B366" s="177"/>
      <c r="C366" s="177"/>
      <c r="D366" s="177"/>
      <c r="E366" s="177"/>
      <c r="F366" s="177"/>
      <c r="G366" s="177"/>
      <c r="H366" s="177"/>
    </row>
    <row r="367" spans="1:20" x14ac:dyDescent="0.25">
      <c r="A367" s="177"/>
      <c r="B367" s="177"/>
      <c r="C367" s="177"/>
      <c r="D367" s="177"/>
      <c r="E367" s="177"/>
      <c r="F367" s="177"/>
      <c r="G367" s="177"/>
      <c r="H367" s="177"/>
    </row>
    <row r="368" spans="1:20" x14ac:dyDescent="0.25">
      <c r="A368" s="177"/>
      <c r="B368" s="177"/>
      <c r="C368" s="177"/>
      <c r="D368" s="177"/>
      <c r="E368" s="177"/>
      <c r="F368" s="177"/>
      <c r="G368" s="177"/>
      <c r="H368" s="177"/>
    </row>
    <row r="369" spans="1:8" x14ac:dyDescent="0.25">
      <c r="A369" s="177"/>
      <c r="B369" s="177"/>
      <c r="C369" s="177"/>
      <c r="D369" s="177"/>
      <c r="E369" s="177"/>
      <c r="F369" s="177"/>
      <c r="G369" s="177"/>
      <c r="H369" s="177"/>
    </row>
    <row r="370" spans="1:8" x14ac:dyDescent="0.25">
      <c r="A370" s="37" t="s">
        <v>62</v>
      </c>
      <c r="B370" s="38"/>
      <c r="C370" s="38"/>
      <c r="D370" s="37" t="str">
        <f>E9</f>
        <v>Queens Glory</v>
      </c>
      <c r="F370" s="38"/>
      <c r="G370" s="38"/>
      <c r="H370" s="38"/>
    </row>
    <row r="371" spans="1:8" x14ac:dyDescent="0.25">
      <c r="A371" s="38"/>
      <c r="B371" s="38"/>
      <c r="C371" s="38"/>
      <c r="D371" s="38"/>
      <c r="E371" s="38"/>
      <c r="F371" s="38"/>
      <c r="G371" s="38"/>
      <c r="H371" s="38"/>
    </row>
    <row r="372" spans="1:8" x14ac:dyDescent="0.25">
      <c r="A372" s="38"/>
      <c r="B372" s="38"/>
      <c r="C372" s="38"/>
      <c r="D372" s="38"/>
      <c r="E372" s="38"/>
      <c r="F372" s="38"/>
      <c r="G372" s="38"/>
      <c r="H372" s="38"/>
    </row>
    <row r="373" spans="1:8" ht="15" customHeight="1" x14ac:dyDescent="0.25"/>
    <row r="414" spans="1:1" x14ac:dyDescent="0.25">
      <c r="A414" s="40" t="s">
        <v>157</v>
      </c>
    </row>
    <row r="458" spans="1:1" x14ac:dyDescent="0.25">
      <c r="A458" s="40" t="s">
        <v>63</v>
      </c>
    </row>
  </sheetData>
  <mergeCells count="460">
    <mergeCell ref="A138:B138"/>
    <mergeCell ref="C138:D138"/>
    <mergeCell ref="E138:F138"/>
    <mergeCell ref="G138:H138"/>
    <mergeCell ref="A137:B137"/>
    <mergeCell ref="C137:D137"/>
    <mergeCell ref="E137:F137"/>
    <mergeCell ref="G137:H137"/>
    <mergeCell ref="L216:M216"/>
    <mergeCell ref="L201:M201"/>
    <mergeCell ref="L196:M196"/>
    <mergeCell ref="L195:M195"/>
    <mergeCell ref="L192:M192"/>
    <mergeCell ref="L193:M193"/>
    <mergeCell ref="L194:M194"/>
    <mergeCell ref="D195:H195"/>
    <mergeCell ref="A182:B182"/>
    <mergeCell ref="L182:M182"/>
    <mergeCell ref="A183:B183"/>
    <mergeCell ref="L183:M183"/>
    <mergeCell ref="A184:B184"/>
    <mergeCell ref="L184:M184"/>
    <mergeCell ref="A185:B185"/>
    <mergeCell ref="L185:M185"/>
    <mergeCell ref="L221:M221"/>
    <mergeCell ref="D224:H224"/>
    <mergeCell ref="A226:H226"/>
    <mergeCell ref="L226:M226"/>
    <mergeCell ref="A231:H231"/>
    <mergeCell ref="L231:M231"/>
    <mergeCell ref="L206:M206"/>
    <mergeCell ref="A211:H211"/>
    <mergeCell ref="L211:M211"/>
    <mergeCell ref="L186:M186"/>
    <mergeCell ref="L174:M174"/>
    <mergeCell ref="L175:M175"/>
    <mergeCell ref="L178:M178"/>
    <mergeCell ref="A179:B179"/>
    <mergeCell ref="L179:M179"/>
    <mergeCell ref="A180:B180"/>
    <mergeCell ref="L180:M180"/>
    <mergeCell ref="A181:B181"/>
    <mergeCell ref="L181:M181"/>
    <mergeCell ref="L164:M164"/>
    <mergeCell ref="A165:B165"/>
    <mergeCell ref="L165:M165"/>
    <mergeCell ref="L168:M168"/>
    <mergeCell ref="L169:M169"/>
    <mergeCell ref="L170:M170"/>
    <mergeCell ref="L171:M171"/>
    <mergeCell ref="L172:M172"/>
    <mergeCell ref="L173:M173"/>
    <mergeCell ref="A169:B169"/>
    <mergeCell ref="A170:B170"/>
    <mergeCell ref="A171:B171"/>
    <mergeCell ref="A172:B172"/>
    <mergeCell ref="A173:B173"/>
    <mergeCell ref="A112:B112"/>
    <mergeCell ref="E112:F121"/>
    <mergeCell ref="G112:H121"/>
    <mergeCell ref="A113:B113"/>
    <mergeCell ref="A114:B114"/>
    <mergeCell ref="A115:B115"/>
    <mergeCell ref="A117:B117"/>
    <mergeCell ref="A176:H176"/>
    <mergeCell ref="A164:B164"/>
    <mergeCell ref="A174:B174"/>
    <mergeCell ref="A175:B175"/>
    <mergeCell ref="F124:H124"/>
    <mergeCell ref="A124:E124"/>
    <mergeCell ref="E153:F153"/>
    <mergeCell ref="A129:E129"/>
    <mergeCell ref="G145:H145"/>
    <mergeCell ref="A147:H147"/>
    <mergeCell ref="A148:B148"/>
    <mergeCell ref="C148:D148"/>
    <mergeCell ref="E148:F148"/>
    <mergeCell ref="G148:H148"/>
    <mergeCell ref="A149:B149"/>
    <mergeCell ref="C149:D149"/>
    <mergeCell ref="E149:F149"/>
    <mergeCell ref="E97:F97"/>
    <mergeCell ref="E98:F107"/>
    <mergeCell ref="A108:B108"/>
    <mergeCell ref="C108:H108"/>
    <mergeCell ref="A110:B110"/>
    <mergeCell ref="C110:H110"/>
    <mergeCell ref="A111:B111"/>
    <mergeCell ref="E111:F111"/>
    <mergeCell ref="G111:H111"/>
    <mergeCell ref="G98:H107"/>
    <mergeCell ref="A101:B101"/>
    <mergeCell ref="E84:F93"/>
    <mergeCell ref="G84:H93"/>
    <mergeCell ref="B353:H353"/>
    <mergeCell ref="A127:E127"/>
    <mergeCell ref="A146:B146"/>
    <mergeCell ref="E146:F146"/>
    <mergeCell ref="A132:E132"/>
    <mergeCell ref="G146:H146"/>
    <mergeCell ref="A140:B140"/>
    <mergeCell ref="C140:D140"/>
    <mergeCell ref="E140:F140"/>
    <mergeCell ref="G140:H140"/>
    <mergeCell ref="A144:B144"/>
    <mergeCell ref="C144:D144"/>
    <mergeCell ref="E144:F144"/>
    <mergeCell ref="A103:B103"/>
    <mergeCell ref="G97:H97"/>
    <mergeCell ref="B351:H351"/>
    <mergeCell ref="A105:B105"/>
    <mergeCell ref="A121:B121"/>
    <mergeCell ref="C156:C157"/>
    <mergeCell ref="B188:B189"/>
    <mergeCell ref="B345:H345"/>
    <mergeCell ref="A97:B97"/>
    <mergeCell ref="A96:B96"/>
    <mergeCell ref="A160:B160"/>
    <mergeCell ref="A40:B40"/>
    <mergeCell ref="C40:H40"/>
    <mergeCell ref="F156:F157"/>
    <mergeCell ref="C139:D139"/>
    <mergeCell ref="E139:F139"/>
    <mergeCell ref="B156:B157"/>
    <mergeCell ref="A156:A157"/>
    <mergeCell ref="G153:H153"/>
    <mergeCell ref="A116:B116"/>
    <mergeCell ref="A119:B119"/>
    <mergeCell ref="C57:H57"/>
    <mergeCell ref="A67:C67"/>
    <mergeCell ref="A73:C73"/>
    <mergeCell ref="A74:C74"/>
    <mergeCell ref="A118:B118"/>
    <mergeCell ref="A120:B120"/>
    <mergeCell ref="A86:B86"/>
    <mergeCell ref="E42:H42"/>
    <mergeCell ref="A41:H41"/>
    <mergeCell ref="A62:B64"/>
    <mergeCell ref="C64:H64"/>
    <mergeCell ref="G55:H55"/>
    <mergeCell ref="A38:H38"/>
    <mergeCell ref="E45:H45"/>
    <mergeCell ref="E46:H46"/>
    <mergeCell ref="L163:M163"/>
    <mergeCell ref="L162:M162"/>
    <mergeCell ref="L161:M161"/>
    <mergeCell ref="L160:M160"/>
    <mergeCell ref="A91:B91"/>
    <mergeCell ref="C143:D143"/>
    <mergeCell ref="E143:F143"/>
    <mergeCell ref="G143:H143"/>
    <mergeCell ref="A123:E123"/>
    <mergeCell ref="A94:B94"/>
    <mergeCell ref="C94:H94"/>
    <mergeCell ref="A159:H159"/>
    <mergeCell ref="E156:E157"/>
    <mergeCell ref="A98:B98"/>
    <mergeCell ref="C96:H96"/>
    <mergeCell ref="A99:B99"/>
    <mergeCell ref="A100:B100"/>
    <mergeCell ref="A45:D45"/>
    <mergeCell ref="A49:B49"/>
    <mergeCell ref="C49:H49"/>
    <mergeCell ref="G56:H56"/>
    <mergeCell ref="A66:H66"/>
    <mergeCell ref="A68:C68"/>
    <mergeCell ref="G63:H63"/>
    <mergeCell ref="C82:H82"/>
    <mergeCell ref="A76:C76"/>
    <mergeCell ref="D76:H76"/>
    <mergeCell ref="A79:C79"/>
    <mergeCell ref="D79:H79"/>
    <mergeCell ref="A78:C78"/>
    <mergeCell ref="C80:H80"/>
    <mergeCell ref="A75:C75"/>
    <mergeCell ref="D75:H75"/>
    <mergeCell ref="C51:E51"/>
    <mergeCell ref="C50:E50"/>
    <mergeCell ref="G50:H50"/>
    <mergeCell ref="A51:B51"/>
    <mergeCell ref="G60:H60"/>
    <mergeCell ref="G62:H62"/>
    <mergeCell ref="G51:H51"/>
    <mergeCell ref="C59:H59"/>
    <mergeCell ref="A55:B57"/>
    <mergeCell ref="C58:E58"/>
    <mergeCell ref="C52:E53"/>
    <mergeCell ref="G52:H52"/>
    <mergeCell ref="A52:B54"/>
    <mergeCell ref="G53:H53"/>
    <mergeCell ref="C54:H54"/>
    <mergeCell ref="A83:B83"/>
    <mergeCell ref="A46:D46"/>
    <mergeCell ref="A47:D47"/>
    <mergeCell ref="D74:H74"/>
    <mergeCell ref="A70:C72"/>
    <mergeCell ref="D70:H70"/>
    <mergeCell ref="D71:H71"/>
    <mergeCell ref="A82:B82"/>
    <mergeCell ref="A80:B80"/>
    <mergeCell ref="D73:H73"/>
    <mergeCell ref="C62:E63"/>
    <mergeCell ref="D72:H72"/>
    <mergeCell ref="A77:C77"/>
    <mergeCell ref="D78:H78"/>
    <mergeCell ref="C55:E56"/>
    <mergeCell ref="C60:E60"/>
    <mergeCell ref="G58:H58"/>
    <mergeCell ref="A60:B61"/>
    <mergeCell ref="E47:H47"/>
    <mergeCell ref="C61:H61"/>
    <mergeCell ref="A48:H48"/>
    <mergeCell ref="D69:H69"/>
    <mergeCell ref="A69:C69"/>
    <mergeCell ref="G83:H83"/>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F37:H37"/>
    <mergeCell ref="A39:B39"/>
    <mergeCell ref="C39:H39"/>
    <mergeCell ref="A44:D44"/>
    <mergeCell ref="E44:H44"/>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366:H369"/>
    <mergeCell ref="A365:B365"/>
    <mergeCell ref="E365:F365"/>
    <mergeCell ref="C365:D365"/>
    <mergeCell ref="G365:H365"/>
    <mergeCell ref="A135:H135"/>
    <mergeCell ref="A133:E133"/>
    <mergeCell ref="F133:H133"/>
    <mergeCell ref="A134:E134"/>
    <mergeCell ref="F134:H134"/>
    <mergeCell ref="A196:H196"/>
    <mergeCell ref="A143:B143"/>
    <mergeCell ref="A139:B139"/>
    <mergeCell ref="A361:H361"/>
    <mergeCell ref="A141:H141"/>
    <mergeCell ref="A364:H364"/>
    <mergeCell ref="A362:H362"/>
    <mergeCell ref="A358:H358"/>
    <mergeCell ref="G142:H142"/>
    <mergeCell ref="B348:H348"/>
    <mergeCell ref="D156:D157"/>
    <mergeCell ref="C153:D153"/>
    <mergeCell ref="B349:H349"/>
    <mergeCell ref="B357:H357"/>
    <mergeCell ref="A363:H363"/>
    <mergeCell ref="A360:H360"/>
    <mergeCell ref="A142:B142"/>
    <mergeCell ref="D188:D189"/>
    <mergeCell ref="E188:E189"/>
    <mergeCell ref="A102:B102"/>
    <mergeCell ref="A104:B104"/>
    <mergeCell ref="F123:H123"/>
    <mergeCell ref="G139:H139"/>
    <mergeCell ref="A107:B107"/>
    <mergeCell ref="F129:H129"/>
    <mergeCell ref="C136:D136"/>
    <mergeCell ref="C146:D146"/>
    <mergeCell ref="A191:H191"/>
    <mergeCell ref="B347:H347"/>
    <mergeCell ref="B356:H356"/>
    <mergeCell ref="B355:H355"/>
    <mergeCell ref="F125:H125"/>
    <mergeCell ref="A359:H359"/>
    <mergeCell ref="G144:H144"/>
    <mergeCell ref="B352:H352"/>
    <mergeCell ref="A153:B153"/>
    <mergeCell ref="A106:B106"/>
    <mergeCell ref="B350:H350"/>
    <mergeCell ref="E83:F83"/>
    <mergeCell ref="A85:B85"/>
    <mergeCell ref="E142:F142"/>
    <mergeCell ref="I15:P15"/>
    <mergeCell ref="F132:H132"/>
    <mergeCell ref="F130:H130"/>
    <mergeCell ref="G136:H136"/>
    <mergeCell ref="A131:E131"/>
    <mergeCell ref="A65:B65"/>
    <mergeCell ref="C65:E65"/>
    <mergeCell ref="D67:H67"/>
    <mergeCell ref="F131:H131"/>
    <mergeCell ref="E136:F136"/>
    <mergeCell ref="A136:B136"/>
    <mergeCell ref="C142:D142"/>
    <mergeCell ref="D77:H77"/>
    <mergeCell ref="D68:H68"/>
    <mergeCell ref="G65:H65"/>
    <mergeCell ref="A58:B59"/>
    <mergeCell ref="A90:B90"/>
    <mergeCell ref="A89:B89"/>
    <mergeCell ref="A50:B50"/>
    <mergeCell ref="A125:E125"/>
    <mergeCell ref="A122:E122"/>
    <mergeCell ref="A152:B152"/>
    <mergeCell ref="C152:D152"/>
    <mergeCell ref="E152:F152"/>
    <mergeCell ref="G152:H152"/>
    <mergeCell ref="A312:H312"/>
    <mergeCell ref="A318:H318"/>
    <mergeCell ref="A282:H282"/>
    <mergeCell ref="A283:H283"/>
    <mergeCell ref="C284:H284"/>
    <mergeCell ref="C286:H286"/>
    <mergeCell ref="C287:H287"/>
    <mergeCell ref="A294:H294"/>
    <mergeCell ref="A306:H306"/>
    <mergeCell ref="A242:H242"/>
    <mergeCell ref="A247:H247"/>
    <mergeCell ref="A158:H158"/>
    <mergeCell ref="A177:H177"/>
    <mergeCell ref="A166:H166"/>
    <mergeCell ref="A167:H167"/>
    <mergeCell ref="A168:B168"/>
    <mergeCell ref="G156:G157"/>
    <mergeCell ref="A163:B163"/>
    <mergeCell ref="A162:B162"/>
    <mergeCell ref="D238:H238"/>
    <mergeCell ref="A84:B84"/>
    <mergeCell ref="A150:B150"/>
    <mergeCell ref="C150:D150"/>
    <mergeCell ref="E150:F150"/>
    <mergeCell ref="G150:H150"/>
    <mergeCell ref="A151:B151"/>
    <mergeCell ref="C151:D151"/>
    <mergeCell ref="E151:F151"/>
    <mergeCell ref="G151:H151"/>
    <mergeCell ref="A145:B145"/>
    <mergeCell ref="G149:H149"/>
    <mergeCell ref="C145:D145"/>
    <mergeCell ref="E145:F145"/>
    <mergeCell ref="A92:B92"/>
    <mergeCell ref="A93:B93"/>
    <mergeCell ref="A88:B88"/>
    <mergeCell ref="A87:B87"/>
    <mergeCell ref="F126:H126"/>
    <mergeCell ref="A126:E126"/>
    <mergeCell ref="F122:H122"/>
    <mergeCell ref="F127:H127"/>
    <mergeCell ref="F128:H128"/>
    <mergeCell ref="A128:E128"/>
    <mergeCell ref="A130:E130"/>
    <mergeCell ref="A300:H300"/>
    <mergeCell ref="B354:H354"/>
    <mergeCell ref="A252:H252"/>
    <mergeCell ref="A257:H257"/>
    <mergeCell ref="A262:H262"/>
    <mergeCell ref="A267:H267"/>
    <mergeCell ref="D270:H270"/>
    <mergeCell ref="D338:H341"/>
    <mergeCell ref="A272:H272"/>
    <mergeCell ref="A277:H277"/>
    <mergeCell ref="A324:H324"/>
    <mergeCell ref="A330:H330"/>
    <mergeCell ref="A336:H336"/>
    <mergeCell ref="B343:H343"/>
    <mergeCell ref="B344:H344"/>
    <mergeCell ref="B346:H346"/>
    <mergeCell ref="A342:H342"/>
    <mergeCell ref="A288:H288"/>
    <mergeCell ref="A237:H237"/>
    <mergeCell ref="A155:H155"/>
    <mergeCell ref="A161:B161"/>
    <mergeCell ref="A154:H154"/>
    <mergeCell ref="A188:A189"/>
    <mergeCell ref="F188:F189"/>
    <mergeCell ref="A236:H236"/>
    <mergeCell ref="C188:C189"/>
    <mergeCell ref="G188:G189"/>
    <mergeCell ref="A190:H190"/>
    <mergeCell ref="A201:H201"/>
    <mergeCell ref="A178:B178"/>
    <mergeCell ref="A206:H206"/>
    <mergeCell ref="A216:H216"/>
    <mergeCell ref="A187:H187"/>
    <mergeCell ref="A186:B186"/>
    <mergeCell ref="A221:H22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6:E157">
      <formula1>"Attached Loft area,Attached Otla area,Attached Mezzanine area"</formula1>
    </dataValidation>
    <dataValidation type="list" allowBlank="1" showInputMessage="1" showErrorMessage="1" sqref="G365:H365">
      <formula1>"Kunal Kadam,Pranita Mhatre,Shruti Fule,Pooja Kawale,Gaurav Panchal,Shruti Tathare, Dipti Gothawade,Saurav Panse, Sachin Sawant"</formula1>
    </dataValidation>
    <dataValidation type="list" allowBlank="1" showInputMessage="1" showErrorMessage="1" sqref="F122:H122">
      <formula1>"On Saleable Area,On Builtup Area,On Carpet Area,On Plot Area"</formula1>
    </dataValidation>
    <dataValidation type="list" allowBlank="1" showInputMessage="1" showErrorMessage="1" sqref="F133:H133">
      <formula1>OFFSET($S$122,1,MATCH($G20,$S$122:$W$122,0)-1,15,1)</formula1>
    </dataValidation>
    <dataValidation type="list" allowBlank="1" showInputMessage="1" showErrorMessage="1" sqref="B156:B157">
      <formula1>"Shop No. (Sale Plan),Sale / Rehab,Sale / Mhada"</formula1>
    </dataValidation>
    <dataValidation type="list" allowBlank="1" showInputMessage="1" showErrorMessage="1" sqref="B188:B18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8:E189">
      <formula1>"Fungible area,Balcony Area,Chajja Area,Cornice Area,AP Area,WS Area"</formula1>
    </dataValidation>
    <dataValidation type="list" allowBlank="1" showInputMessage="1" showErrorMessage="1" sqref="H189 H157">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56 H188">
      <formula1>"Saleable area Loading :,Builder Saleable Area"</formula1>
    </dataValidation>
    <dataValidation type="list" allowBlank="1" showInputMessage="1" showErrorMessage="1" sqref="D156:D157">
      <formula1>"Carpet area,RERA Carpet area"</formula1>
    </dataValidation>
    <dataValidation type="list" allowBlank="1" showInputMessage="1" showErrorMessage="1" sqref="D188:D189">
      <formula1>"Carpet Area,Carpet + Encl Balcony Area,RERA Carpet area"</formula1>
    </dataValidation>
  </dataValidations>
  <hyperlinks>
    <hyperlink ref="C40" r:id="rId1"/>
    <hyperlink ref="I70" r:id="rId2"/>
  </hyperlinks>
  <printOptions horizontalCentered="1"/>
  <pageMargins left="0.39370078740157483" right="0.39370078740157483" top="0.82677165354330717" bottom="0.78740157480314965" header="0.15748031496062992" footer="0.19685039370078741"/>
  <pageSetup paperSize="2" scale="93" orientation="portrait" r:id="rId3"/>
  <headerFooter>
    <oddHeader>&amp;C&amp;G</oddHeader>
    <oddFooter>&amp;L&amp;"Times New Roman,Bold"&amp;12Ref No: &amp;F&amp;C&amp;G&amp;R&amp;"Times New Roman,Bold"&amp;12&amp;P</oddFooter>
  </headerFooter>
  <rowBreaks count="4" manualBreakCount="4">
    <brk id="40" max="7" man="1"/>
    <brk id="369" max="16383" man="1"/>
    <brk id="413" max="16383" man="1"/>
    <brk id="457"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46" zoomScale="85" zoomScaleNormal="85" workbookViewId="0">
      <selection activeCell="F26" sqref="F26"/>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9" t="s">
        <v>102</v>
      </c>
      <c r="C3" s="269"/>
      <c r="D3" s="269"/>
      <c r="E3" s="269"/>
      <c r="F3" s="269"/>
      <c r="G3" s="269"/>
      <c r="H3" s="269"/>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171</v>
      </c>
      <c r="E4" s="52" t="s">
        <v>181</v>
      </c>
      <c r="F4" s="52" t="s">
        <v>165</v>
      </c>
      <c r="G4" s="52" t="s">
        <v>186</v>
      </c>
      <c r="H4" s="52" t="s">
        <v>204</v>
      </c>
      <c r="J4" t="s">
        <v>186</v>
      </c>
      <c r="K4" t="s">
        <v>202</v>
      </c>
    </row>
    <row r="5" spans="2:11" x14ac:dyDescent="0.25">
      <c r="B5" s="51"/>
      <c r="C5" s="51"/>
      <c r="D5" s="52" t="s">
        <v>172</v>
      </c>
      <c r="E5" s="52" t="s">
        <v>179</v>
      </c>
      <c r="F5" s="52" t="s">
        <v>201</v>
      </c>
      <c r="G5" s="52" t="s">
        <v>187</v>
      </c>
      <c r="H5" s="52" t="s">
        <v>205</v>
      </c>
    </row>
    <row r="6" spans="2:11" x14ac:dyDescent="0.25">
      <c r="B6" s="51"/>
      <c r="C6" s="51"/>
      <c r="D6" s="52" t="s">
        <v>173</v>
      </c>
      <c r="E6" s="52" t="s">
        <v>180</v>
      </c>
      <c r="F6" s="52" t="s">
        <v>202</v>
      </c>
      <c r="G6" s="52" t="s">
        <v>188</v>
      </c>
      <c r="H6" s="52" t="s">
        <v>218</v>
      </c>
    </row>
    <row r="7" spans="2:11" x14ac:dyDescent="0.25">
      <c r="B7" s="51"/>
      <c r="C7" s="51"/>
      <c r="D7" s="52" t="s">
        <v>174</v>
      </c>
      <c r="E7" s="52" t="s">
        <v>182</v>
      </c>
      <c r="F7" s="52" t="s">
        <v>203</v>
      </c>
      <c r="G7" s="52" t="s">
        <v>189</v>
      </c>
      <c r="H7" s="52" t="s">
        <v>206</v>
      </c>
    </row>
    <row r="8" spans="2:11" x14ac:dyDescent="0.25">
      <c r="B8" s="51"/>
      <c r="C8" s="51"/>
      <c r="D8" s="52" t="s">
        <v>175</v>
      </c>
      <c r="E8" s="52" t="s">
        <v>183</v>
      </c>
      <c r="F8" s="52"/>
      <c r="G8" s="52" t="s">
        <v>190</v>
      </c>
      <c r="H8" s="52" t="s">
        <v>207</v>
      </c>
    </row>
    <row r="9" spans="2:11" x14ac:dyDescent="0.25">
      <c r="B9" s="51"/>
      <c r="C9" s="51"/>
      <c r="D9" s="52" t="s">
        <v>176</v>
      </c>
      <c r="E9" s="52" t="s">
        <v>181</v>
      </c>
      <c r="F9" s="52"/>
      <c r="G9" s="52" t="s">
        <v>191</v>
      </c>
      <c r="H9" s="52" t="s">
        <v>208</v>
      </c>
    </row>
    <row r="10" spans="2:11" x14ac:dyDescent="0.25">
      <c r="B10" s="51"/>
      <c r="C10" s="51"/>
      <c r="D10" s="52" t="s">
        <v>177</v>
      </c>
      <c r="E10" s="52" t="s">
        <v>184</v>
      </c>
      <c r="F10" s="52"/>
      <c r="G10" s="52" t="s">
        <v>192</v>
      </c>
      <c r="H10" s="52" t="s">
        <v>209</v>
      </c>
    </row>
    <row r="11" spans="2:11" x14ac:dyDescent="0.25">
      <c r="B11" s="51"/>
      <c r="C11" s="51"/>
      <c r="D11" s="52" t="s">
        <v>178</v>
      </c>
      <c r="E11" s="52" t="s">
        <v>185</v>
      </c>
      <c r="F11" s="52"/>
      <c r="G11" s="52" t="s">
        <v>193</v>
      </c>
      <c r="H11" s="52" t="s">
        <v>210</v>
      </c>
    </row>
    <row r="12" spans="2:11" x14ac:dyDescent="0.25">
      <c r="B12" s="51"/>
      <c r="C12" s="51"/>
      <c r="D12" s="52"/>
      <c r="E12" s="52"/>
      <c r="F12" s="52"/>
      <c r="G12" s="52" t="s">
        <v>194</v>
      </c>
      <c r="H12" s="52" t="s">
        <v>211</v>
      </c>
    </row>
    <row r="13" spans="2:11" x14ac:dyDescent="0.25">
      <c r="B13" s="51"/>
      <c r="C13" s="51"/>
      <c r="D13" s="52"/>
      <c r="E13" s="52"/>
      <c r="F13" s="52"/>
      <c r="G13" s="52" t="s">
        <v>195</v>
      </c>
      <c r="H13" s="52" t="s">
        <v>212</v>
      </c>
    </row>
    <row r="14" spans="2:11" x14ac:dyDescent="0.25">
      <c r="B14" s="51"/>
      <c r="C14" s="51"/>
      <c r="D14" s="52"/>
      <c r="E14" s="52"/>
      <c r="F14" s="52"/>
      <c r="G14" s="52" t="s">
        <v>196</v>
      </c>
      <c r="H14" s="52" t="s">
        <v>213</v>
      </c>
    </row>
    <row r="15" spans="2:11" x14ac:dyDescent="0.25">
      <c r="B15" s="51"/>
      <c r="C15" s="51"/>
      <c r="D15" s="52"/>
      <c r="E15" s="52"/>
      <c r="F15" s="52"/>
      <c r="G15" s="52" t="s">
        <v>197</v>
      </c>
      <c r="H15" s="52" t="s">
        <v>214</v>
      </c>
    </row>
    <row r="16" spans="2:11" x14ac:dyDescent="0.25">
      <c r="B16" s="51"/>
      <c r="C16" s="51"/>
      <c r="D16" s="52"/>
      <c r="E16" s="52"/>
      <c r="F16" s="52"/>
      <c r="G16" s="52" t="s">
        <v>198</v>
      </c>
      <c r="H16" s="52" t="s">
        <v>215</v>
      </c>
    </row>
    <row r="17" spans="2:8" x14ac:dyDescent="0.25">
      <c r="B17" s="51"/>
      <c r="C17" s="51"/>
      <c r="D17" s="52"/>
      <c r="E17" s="52"/>
      <c r="F17" s="52"/>
      <c r="G17" s="52" t="s">
        <v>199</v>
      </c>
      <c r="H17" s="52" t="s">
        <v>216</v>
      </c>
    </row>
    <row r="18" spans="2:8" x14ac:dyDescent="0.25">
      <c r="B18" s="51"/>
      <c r="C18" s="51"/>
      <c r="D18" s="52"/>
      <c r="E18" s="52"/>
      <c r="F18" s="52"/>
      <c r="G18" s="52" t="s">
        <v>200</v>
      </c>
      <c r="H18" s="52" t="s">
        <v>217</v>
      </c>
    </row>
    <row r="24" spans="2:8" x14ac:dyDescent="0.25">
      <c r="C24" t="s">
        <v>162</v>
      </c>
    </row>
    <row r="25" spans="2:8" x14ac:dyDescent="0.25">
      <c r="C25" t="s">
        <v>219</v>
      </c>
    </row>
    <row r="26" spans="2:8" x14ac:dyDescent="0.25">
      <c r="C26" t="s">
        <v>220</v>
      </c>
    </row>
    <row r="27" spans="2:8" x14ac:dyDescent="0.25">
      <c r="C27" t="s">
        <v>221</v>
      </c>
    </row>
    <row r="28" spans="2:8" x14ac:dyDescent="0.25">
      <c r="C28" t="s">
        <v>222</v>
      </c>
    </row>
    <row r="29" spans="2:8" x14ac:dyDescent="0.25">
      <c r="C29" t="s">
        <v>223</v>
      </c>
    </row>
    <row r="30" spans="2:8" x14ac:dyDescent="0.25">
      <c r="C30" t="s">
        <v>162</v>
      </c>
    </row>
    <row r="33" spans="3:11" x14ac:dyDescent="0.25">
      <c r="J33">
        <v>1</v>
      </c>
      <c r="K33">
        <v>2</v>
      </c>
    </row>
    <row r="34" spans="3:11" x14ac:dyDescent="0.25">
      <c r="C34" s="53" t="s">
        <v>229</v>
      </c>
      <c r="D34" s="52" t="s">
        <v>227</v>
      </c>
      <c r="E34" s="52" t="s">
        <v>232</v>
      </c>
      <c r="F34" s="52" t="s">
        <v>230</v>
      </c>
      <c r="G34" s="52" t="s">
        <v>231</v>
      </c>
      <c r="H34" s="52" t="s">
        <v>233</v>
      </c>
      <c r="J34" t="s">
        <v>186</v>
      </c>
      <c r="K34" t="s">
        <v>202</v>
      </c>
    </row>
    <row r="35" spans="3:11" x14ac:dyDescent="0.25">
      <c r="C35" s="51" t="s">
        <v>228</v>
      </c>
      <c r="D35" s="52" t="s">
        <v>163</v>
      </c>
      <c r="E35" s="52" t="s">
        <v>237</v>
      </c>
      <c r="F35" s="52" t="s">
        <v>239</v>
      </c>
      <c r="G35" s="52" t="s">
        <v>241</v>
      </c>
      <c r="H35" s="52"/>
    </row>
    <row r="36" spans="3:11" x14ac:dyDescent="0.25">
      <c r="C36" s="51"/>
      <c r="D36" s="52" t="s">
        <v>234</v>
      </c>
      <c r="E36" s="52" t="s">
        <v>238</v>
      </c>
      <c r="F36" s="52" t="s">
        <v>240</v>
      </c>
      <c r="G36" s="52" t="s">
        <v>242</v>
      </c>
      <c r="H36" s="52"/>
    </row>
    <row r="37" spans="3:11" x14ac:dyDescent="0.25">
      <c r="C37" s="51"/>
      <c r="D37" s="52" t="s">
        <v>235</v>
      </c>
      <c r="E37" s="52"/>
      <c r="F37" s="52"/>
      <c r="G37" s="52" t="s">
        <v>243</v>
      </c>
      <c r="H37" s="52"/>
    </row>
    <row r="38" spans="3:11" x14ac:dyDescent="0.25">
      <c r="C38" s="51"/>
      <c r="D38" s="52" t="s">
        <v>236</v>
      </c>
      <c r="E38" s="52"/>
      <c r="F38" s="52"/>
      <c r="G38" s="52" t="s">
        <v>243</v>
      </c>
      <c r="H38" s="52"/>
    </row>
    <row r="39" spans="3:11" x14ac:dyDescent="0.25">
      <c r="C39" s="51"/>
      <c r="D39" s="52"/>
      <c r="E39" s="52"/>
      <c r="F39" s="52"/>
      <c r="G39" s="52" t="s">
        <v>244</v>
      </c>
      <c r="H39" s="52"/>
    </row>
    <row r="40" spans="3:11" x14ac:dyDescent="0.25">
      <c r="C40" s="51"/>
      <c r="D40" s="52"/>
      <c r="E40" s="52"/>
      <c r="F40" s="52"/>
      <c r="G40" s="52" t="s">
        <v>245</v>
      </c>
      <c r="H40" s="52"/>
    </row>
    <row r="41" spans="3:11" x14ac:dyDescent="0.25">
      <c r="C41" s="51"/>
      <c r="D41" s="52"/>
      <c r="E41" s="52"/>
      <c r="F41" s="52"/>
      <c r="G41" s="52"/>
      <c r="H41" s="52"/>
    </row>
    <row r="43" spans="3:11" x14ac:dyDescent="0.25">
      <c r="C43" t="s">
        <v>246</v>
      </c>
    </row>
    <row r="44" spans="3:11" x14ac:dyDescent="0.25">
      <c r="C44" t="s">
        <v>165</v>
      </c>
      <c r="D44" t="s">
        <v>247</v>
      </c>
    </row>
    <row r="45" spans="3:11" x14ac:dyDescent="0.25">
      <c r="D45" t="s">
        <v>248</v>
      </c>
    </row>
    <row r="46" spans="3:11" x14ac:dyDescent="0.25">
      <c r="D46" t="s">
        <v>249</v>
      </c>
    </row>
    <row r="47" spans="3:11" x14ac:dyDescent="0.25">
      <c r="D47" t="s">
        <v>250</v>
      </c>
    </row>
    <row r="48" spans="3:11" x14ac:dyDescent="0.25">
      <c r="D48" t="s">
        <v>251</v>
      </c>
    </row>
    <row r="49" spans="3:4" x14ac:dyDescent="0.25">
      <c r="C49" t="s">
        <v>171</v>
      </c>
      <c r="D49" t="s">
        <v>252</v>
      </c>
    </row>
    <row r="50" spans="3:4" x14ac:dyDescent="0.25">
      <c r="D50" t="s">
        <v>253</v>
      </c>
    </row>
    <row r="51" spans="3:4" x14ac:dyDescent="0.25">
      <c r="D51" t="s">
        <v>254</v>
      </c>
    </row>
    <row r="52" spans="3:4" x14ac:dyDescent="0.25">
      <c r="D52" t="s">
        <v>257</v>
      </c>
    </row>
    <row r="53" spans="3:4" x14ac:dyDescent="0.25">
      <c r="D53" t="s">
        <v>255</v>
      </c>
    </row>
    <row r="54" spans="3:4" x14ac:dyDescent="0.25">
      <c r="D54" t="s">
        <v>256</v>
      </c>
    </row>
    <row r="55" spans="3:4" x14ac:dyDescent="0.25">
      <c r="D55" t="s">
        <v>258</v>
      </c>
    </row>
    <row r="56" spans="3:4" x14ac:dyDescent="0.25">
      <c r="D56" t="s">
        <v>259</v>
      </c>
    </row>
    <row r="57" spans="3:4" x14ac:dyDescent="0.25">
      <c r="D57" t="s">
        <v>260</v>
      </c>
    </row>
    <row r="58" spans="3:4" x14ac:dyDescent="0.25">
      <c r="D58" t="s">
        <v>262</v>
      </c>
    </row>
    <row r="59" spans="3:4" x14ac:dyDescent="0.25">
      <c r="D59" t="s">
        <v>271</v>
      </c>
    </row>
    <row r="60" spans="3:4" x14ac:dyDescent="0.25">
      <c r="C60" t="s">
        <v>186</v>
      </c>
      <c r="D60" t="s">
        <v>263</v>
      </c>
    </row>
    <row r="61" spans="3:4" x14ac:dyDescent="0.25">
      <c r="D61" t="s">
        <v>261</v>
      </c>
    </row>
    <row r="62" spans="3:4" x14ac:dyDescent="0.25">
      <c r="D62" t="s">
        <v>251</v>
      </c>
    </row>
    <row r="63" spans="3:4" x14ac:dyDescent="0.25">
      <c r="D63" t="s">
        <v>264</v>
      </c>
    </row>
    <row r="64" spans="3:4" x14ac:dyDescent="0.25">
      <c r="D64" t="s">
        <v>265</v>
      </c>
    </row>
    <row r="65" spans="3:4" x14ac:dyDescent="0.25">
      <c r="D65" t="s">
        <v>266</v>
      </c>
    </row>
    <row r="66" spans="3:4" x14ac:dyDescent="0.25">
      <c r="D66" t="s">
        <v>267</v>
      </c>
    </row>
    <row r="67" spans="3:4" x14ac:dyDescent="0.25">
      <c r="C67" t="s">
        <v>181</v>
      </c>
      <c r="D67" t="s">
        <v>268</v>
      </c>
    </row>
    <row r="68" spans="3:4" x14ac:dyDescent="0.25">
      <c r="D68" t="s">
        <v>269</v>
      </c>
    </row>
    <row r="69" spans="3:4" x14ac:dyDescent="0.2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C7" zoomScaleNormal="100" workbookViewId="0">
      <selection activeCell="C13" sqref="C13"/>
    </sheetView>
  </sheetViews>
  <sheetFormatPr defaultRowHeight="15" x14ac:dyDescent="0.25"/>
  <cols>
    <col min="2" max="2" width="3" bestFit="1" customWidth="1"/>
    <col min="3" max="3" width="155.28515625" customWidth="1"/>
  </cols>
  <sheetData>
    <row r="2" spans="2:3" ht="15" customHeight="1" x14ac:dyDescent="0.25">
      <c r="B2" s="54">
        <v>1</v>
      </c>
      <c r="C2" s="56" t="s">
        <v>275</v>
      </c>
    </row>
    <row r="3" spans="2:3" x14ac:dyDescent="0.25">
      <c r="B3" s="54">
        <v>2</v>
      </c>
      <c r="C3" s="55" t="s">
        <v>276</v>
      </c>
    </row>
    <row r="4" spans="2:3" x14ac:dyDescent="0.25">
      <c r="B4" s="54">
        <v>3</v>
      </c>
      <c r="C4" s="54" t="s">
        <v>277</v>
      </c>
    </row>
    <row r="5" spans="2:3" x14ac:dyDescent="0.25">
      <c r="B5" s="54">
        <v>4</v>
      </c>
      <c r="C5" s="55" t="s">
        <v>278</v>
      </c>
    </row>
    <row r="6" spans="2:3" x14ac:dyDescent="0.25">
      <c r="B6" s="54">
        <v>5</v>
      </c>
      <c r="C6" s="54" t="s">
        <v>279</v>
      </c>
    </row>
    <row r="7" spans="2:3" ht="30" x14ac:dyDescent="0.25">
      <c r="B7" s="54">
        <v>6</v>
      </c>
      <c r="C7" s="55" t="s">
        <v>280</v>
      </c>
    </row>
    <row r="8" spans="2:3" ht="75" x14ac:dyDescent="0.25">
      <c r="B8" s="54">
        <v>7</v>
      </c>
      <c r="C8" s="55" t="s">
        <v>281</v>
      </c>
    </row>
    <row r="9" spans="2:3" x14ac:dyDescent="0.25">
      <c r="B9" s="54">
        <v>8</v>
      </c>
      <c r="C9" s="54" t="s">
        <v>282</v>
      </c>
    </row>
    <row r="10" spans="2:3" x14ac:dyDescent="0.25">
      <c r="B10" s="54">
        <v>9</v>
      </c>
      <c r="C10" s="54" t="s">
        <v>283</v>
      </c>
    </row>
    <row r="11" spans="2:3" x14ac:dyDescent="0.25">
      <c r="B11" s="54">
        <v>10</v>
      </c>
      <c r="C11" s="54" t="s">
        <v>284</v>
      </c>
    </row>
    <row r="12" spans="2:3" x14ac:dyDescent="0.25">
      <c r="B12" s="54">
        <v>11</v>
      </c>
      <c r="C12" s="54" t="s">
        <v>285</v>
      </c>
    </row>
    <row r="13" spans="2:3" x14ac:dyDescent="0.25">
      <c r="B13" s="54">
        <v>12</v>
      </c>
      <c r="C13" s="54" t="s">
        <v>286</v>
      </c>
    </row>
    <row r="14" spans="2:3" x14ac:dyDescent="0.25">
      <c r="B14" s="54">
        <v>13</v>
      </c>
      <c r="C14" s="54" t="s">
        <v>287</v>
      </c>
    </row>
    <row r="15" spans="2:3" x14ac:dyDescent="0.25">
      <c r="B15" s="54">
        <v>14</v>
      </c>
      <c r="C15" s="54" t="s">
        <v>277</v>
      </c>
    </row>
    <row r="16" spans="2:3" x14ac:dyDescent="0.25">
      <c r="B16" s="54">
        <v>15</v>
      </c>
      <c r="C16" s="54" t="s">
        <v>289</v>
      </c>
    </row>
    <row r="17" spans="2:3" x14ac:dyDescent="0.25">
      <c r="B17" s="72">
        <v>16</v>
      </c>
      <c r="C17" s="59" t="s">
        <v>290</v>
      </c>
    </row>
    <row r="18" spans="2:3" x14ac:dyDescent="0.25">
      <c r="B18" s="58">
        <v>17</v>
      </c>
      <c r="C18" s="59" t="s">
        <v>291</v>
      </c>
    </row>
    <row r="19" spans="2:3" x14ac:dyDescent="0.25">
      <c r="B19" s="57">
        <v>18</v>
      </c>
      <c r="C19" s="54" t="s">
        <v>292</v>
      </c>
    </row>
    <row r="20" spans="2:3" x14ac:dyDescent="0.25">
      <c r="B20" s="58">
        <v>19</v>
      </c>
      <c r="C20" s="54" t="s">
        <v>328</v>
      </c>
    </row>
    <row r="21" spans="2:3" x14ac:dyDescent="0.25">
      <c r="B21" s="54">
        <v>20</v>
      </c>
      <c r="C21" s="54" t="s">
        <v>293</v>
      </c>
    </row>
    <row r="22" spans="2:3" x14ac:dyDescent="0.25">
      <c r="B22" s="58">
        <v>21</v>
      </c>
      <c r="C22" s="54" t="s">
        <v>292</v>
      </c>
    </row>
    <row r="23" spans="2:3" s="67" customFormat="1" ht="29.25" customHeight="1" x14ac:dyDescent="0.25">
      <c r="B23" s="66">
        <v>22</v>
      </c>
      <c r="C23" s="56" t="s">
        <v>320</v>
      </c>
    </row>
    <row r="24" spans="2:3" s="67" customFormat="1" ht="30.75" customHeight="1" x14ac:dyDescent="0.25">
      <c r="B24" s="68">
        <v>23</v>
      </c>
      <c r="C24" s="56" t="s">
        <v>321</v>
      </c>
    </row>
    <row r="25" spans="2:3" x14ac:dyDescent="0.25">
      <c r="B25" s="54">
        <v>24</v>
      </c>
      <c r="C25" s="54" t="s">
        <v>324</v>
      </c>
    </row>
    <row r="26" spans="2:3" x14ac:dyDescent="0.25">
      <c r="B26" s="58">
        <v>25</v>
      </c>
      <c r="C26" s="54" t="s">
        <v>322</v>
      </c>
    </row>
    <row r="27" spans="2:3" x14ac:dyDescent="0.25">
      <c r="B27" s="68">
        <v>26</v>
      </c>
      <c r="C27" s="54" t="s">
        <v>323</v>
      </c>
    </row>
    <row r="28" spans="2:3" x14ac:dyDescent="0.25">
      <c r="B28" s="58">
        <v>27</v>
      </c>
      <c r="C28" s="54" t="s">
        <v>325</v>
      </c>
    </row>
    <row r="29" spans="2:3" ht="60" x14ac:dyDescent="0.25">
      <c r="B29" s="71">
        <v>28</v>
      </c>
      <c r="C29" s="55" t="s">
        <v>326</v>
      </c>
    </row>
    <row r="30" spans="2:3" x14ac:dyDescent="0.25">
      <c r="B30" s="68">
        <v>29</v>
      </c>
      <c r="C30" s="54" t="s">
        <v>327</v>
      </c>
    </row>
    <row r="31" spans="2:3" ht="30" x14ac:dyDescent="0.25">
      <c r="B31" s="68">
        <v>30</v>
      </c>
      <c r="C31" s="55" t="s">
        <v>329</v>
      </c>
    </row>
    <row r="32" spans="2:3" x14ac:dyDescent="0.25">
      <c r="B32" s="68">
        <v>31</v>
      </c>
      <c r="C32" s="54" t="s">
        <v>330</v>
      </c>
    </row>
    <row r="33" spans="2:4" x14ac:dyDescent="0.25">
      <c r="B33" s="68">
        <v>32</v>
      </c>
      <c r="C33" s="54" t="s">
        <v>331</v>
      </c>
    </row>
    <row r="34" spans="2:4" ht="36.75" customHeight="1" x14ac:dyDescent="0.25">
      <c r="B34" s="68">
        <v>33</v>
      </c>
      <c r="C34" s="59" t="s">
        <v>332</v>
      </c>
    </row>
    <row r="35" spans="2:4" x14ac:dyDescent="0.25">
      <c r="B35" s="66">
        <v>34</v>
      </c>
      <c r="C35" s="54" t="s">
        <v>340</v>
      </c>
    </row>
    <row r="36" spans="2:4" ht="60" x14ac:dyDescent="0.25">
      <c r="B36" s="66">
        <v>35</v>
      </c>
      <c r="C36" s="55" t="s">
        <v>343</v>
      </c>
    </row>
    <row r="37" spans="2:4" x14ac:dyDescent="0.25">
      <c r="B37" s="54">
        <v>36</v>
      </c>
      <c r="C37" s="55" t="s">
        <v>353</v>
      </c>
    </row>
    <row r="38" spans="2:4" x14ac:dyDescent="0.25">
      <c r="B38" s="54">
        <f t="shared" ref="B38:B44" si="0">B37+1</f>
        <v>37</v>
      </c>
      <c r="C38" s="54" t="s">
        <v>349</v>
      </c>
    </row>
    <row r="39" spans="2:4" x14ac:dyDescent="0.25">
      <c r="B39" s="54">
        <f t="shared" si="0"/>
        <v>38</v>
      </c>
      <c r="C39" s="54" t="s">
        <v>350</v>
      </c>
    </row>
    <row r="40" spans="2:4" x14ac:dyDescent="0.25">
      <c r="B40" s="54">
        <f t="shared" si="0"/>
        <v>39</v>
      </c>
      <c r="C40" s="54" t="s">
        <v>351</v>
      </c>
    </row>
    <row r="41" spans="2:4" x14ac:dyDescent="0.25">
      <c r="B41" s="54">
        <f t="shared" si="0"/>
        <v>40</v>
      </c>
      <c r="C41" s="54" t="s">
        <v>352</v>
      </c>
    </row>
    <row r="42" spans="2:4" ht="30.75" thickBot="1" x14ac:dyDescent="0.3">
      <c r="B42" s="75">
        <f t="shared" si="0"/>
        <v>41</v>
      </c>
      <c r="C42" s="76" t="s">
        <v>354</v>
      </c>
    </row>
    <row r="43" spans="2:4" ht="30" x14ac:dyDescent="0.25">
      <c r="B43" s="79">
        <f t="shared" si="0"/>
        <v>42</v>
      </c>
      <c r="C43" s="84" t="s">
        <v>359</v>
      </c>
      <c r="D43" t="s">
        <v>360</v>
      </c>
    </row>
    <row r="44" spans="2:4" ht="15.75" thickBot="1" x14ac:dyDescent="0.3">
      <c r="B44" s="81">
        <f t="shared" si="0"/>
        <v>43</v>
      </c>
      <c r="C44" s="83" t="s">
        <v>355</v>
      </c>
    </row>
    <row r="45" spans="2:4" ht="15.75" thickBot="1" x14ac:dyDescent="0.3">
      <c r="B45" s="77">
        <f t="shared" ref="B45:B54" si="1">B44+1</f>
        <v>44</v>
      </c>
      <c r="C45" s="78" t="s">
        <v>356</v>
      </c>
    </row>
    <row r="46" spans="2:4" ht="30" x14ac:dyDescent="0.25">
      <c r="B46" s="79">
        <f t="shared" si="1"/>
        <v>45</v>
      </c>
      <c r="C46" s="80" t="s">
        <v>357</v>
      </c>
    </row>
    <row r="47" spans="2:4" ht="15.75" thickBot="1" x14ac:dyDescent="0.3">
      <c r="B47" s="81">
        <f t="shared" si="1"/>
        <v>46</v>
      </c>
      <c r="C47" s="82" t="s">
        <v>358</v>
      </c>
    </row>
    <row r="48" spans="2:4" x14ac:dyDescent="0.25">
      <c r="B48" s="85">
        <f t="shared" si="1"/>
        <v>47</v>
      </c>
      <c r="C48" s="86" t="s">
        <v>361</v>
      </c>
    </row>
    <row r="49" spans="2:4" x14ac:dyDescent="0.25">
      <c r="B49" s="85">
        <f t="shared" si="1"/>
        <v>48</v>
      </c>
      <c r="C49" s="86" t="s">
        <v>362</v>
      </c>
    </row>
    <row r="50" spans="2:4" x14ac:dyDescent="0.25">
      <c r="B50" s="85">
        <f t="shared" si="1"/>
        <v>49</v>
      </c>
      <c r="C50" s="86" t="s">
        <v>364</v>
      </c>
      <c r="D50" t="s">
        <v>363</v>
      </c>
    </row>
    <row r="51" spans="2:4" ht="30" x14ac:dyDescent="0.25">
      <c r="B51" s="87">
        <f t="shared" si="1"/>
        <v>50</v>
      </c>
      <c r="C51" s="88" t="s">
        <v>365</v>
      </c>
    </row>
    <row r="52" spans="2:4" x14ac:dyDescent="0.25">
      <c r="B52" s="87">
        <f t="shared" si="1"/>
        <v>51</v>
      </c>
      <c r="C52" s="89" t="s">
        <v>367</v>
      </c>
      <c r="D52" t="s">
        <v>368</v>
      </c>
    </row>
    <row r="53" spans="2:4" x14ac:dyDescent="0.25">
      <c r="B53" s="87">
        <f t="shared" si="1"/>
        <v>52</v>
      </c>
      <c r="C53" s="89" t="s">
        <v>370</v>
      </c>
      <c r="D53" t="s">
        <v>371</v>
      </c>
    </row>
    <row r="54" spans="2:4" ht="45" x14ac:dyDescent="0.25">
      <c r="B54" s="87">
        <f t="shared" si="1"/>
        <v>53</v>
      </c>
      <c r="C54" s="59" t="s">
        <v>375</v>
      </c>
      <c r="D54" t="s">
        <v>374</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0" t="s">
        <v>294</v>
      </c>
      <c r="C2" s="270"/>
      <c r="D2" s="270"/>
    </row>
    <row r="3" spans="1:12" x14ac:dyDescent="0.25">
      <c r="D3" s="61"/>
      <c r="E3" s="61"/>
      <c r="F3" s="61"/>
      <c r="G3" s="61"/>
      <c r="H3" s="61"/>
      <c r="I3" s="61"/>
    </row>
    <row r="4" spans="1:12" x14ac:dyDescent="0.25">
      <c r="A4" s="60" t="s">
        <v>65</v>
      </c>
      <c r="B4" s="62" t="s">
        <v>295</v>
      </c>
      <c r="C4" s="271" t="s">
        <v>296</v>
      </c>
      <c r="D4" s="271"/>
      <c r="E4" s="271"/>
      <c r="F4" s="62"/>
      <c r="G4" s="272" t="s">
        <v>297</v>
      </c>
      <c r="H4" s="272"/>
      <c r="I4" s="272"/>
      <c r="J4" s="273" t="s">
        <v>298</v>
      </c>
      <c r="K4" s="273"/>
      <c r="L4" s="273"/>
    </row>
    <row r="5" spans="1:12" x14ac:dyDescent="0.25">
      <c r="A5" s="60"/>
      <c r="B5" s="62"/>
      <c r="C5" s="62" t="s">
        <v>299</v>
      </c>
      <c r="D5" s="62" t="s">
        <v>300</v>
      </c>
      <c r="E5" s="62" t="s">
        <v>301</v>
      </c>
      <c r="F5" s="62"/>
      <c r="G5" s="62" t="s">
        <v>299</v>
      </c>
      <c r="H5" s="62" t="s">
        <v>300</v>
      </c>
      <c r="I5" s="62" t="s">
        <v>301</v>
      </c>
      <c r="J5" s="62" t="s">
        <v>299</v>
      </c>
      <c r="K5" s="62" t="s">
        <v>300</v>
      </c>
      <c r="L5" s="62" t="s">
        <v>301</v>
      </c>
    </row>
    <row r="6" spans="1:12" x14ac:dyDescent="0.25">
      <c r="B6" s="52" t="s">
        <v>302</v>
      </c>
      <c r="C6" s="52"/>
      <c r="D6" s="52"/>
      <c r="E6" s="52">
        <f>C6*D6</f>
        <v>0</v>
      </c>
      <c r="F6" s="52" t="s">
        <v>319</v>
      </c>
      <c r="G6" s="52"/>
      <c r="H6" s="52"/>
      <c r="I6" s="52">
        <f>G6*H6</f>
        <v>0</v>
      </c>
      <c r="J6" s="52"/>
      <c r="K6" s="52"/>
      <c r="L6" s="52">
        <f>J6*K6</f>
        <v>0</v>
      </c>
    </row>
    <row r="7" spans="1:12" x14ac:dyDescent="0.25">
      <c r="B7" s="52"/>
      <c r="C7" s="52"/>
      <c r="D7" s="52"/>
      <c r="E7" s="52">
        <f t="shared" ref="E7:E41" si="0">C7*D7</f>
        <v>0</v>
      </c>
      <c r="F7" s="52" t="s">
        <v>319</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303</v>
      </c>
      <c r="G9" s="52"/>
      <c r="H9" s="52"/>
      <c r="I9" s="52">
        <f t="shared" si="1"/>
        <v>0</v>
      </c>
      <c r="J9" s="52"/>
      <c r="K9" s="52"/>
      <c r="L9" s="52">
        <f t="shared" si="2"/>
        <v>0</v>
      </c>
    </row>
    <row r="10" spans="1:12" x14ac:dyDescent="0.25">
      <c r="B10" s="52" t="s">
        <v>304</v>
      </c>
      <c r="C10" s="52"/>
      <c r="D10" s="52"/>
      <c r="E10" s="52">
        <f t="shared" si="0"/>
        <v>0</v>
      </c>
      <c r="F10" s="52" t="s">
        <v>303</v>
      </c>
      <c r="G10" s="52"/>
      <c r="H10" s="52"/>
      <c r="I10" s="52">
        <f t="shared" si="1"/>
        <v>0</v>
      </c>
      <c r="J10" s="52"/>
      <c r="K10" s="52"/>
      <c r="L10" s="52">
        <f t="shared" si="2"/>
        <v>0</v>
      </c>
    </row>
    <row r="11" spans="1:12" x14ac:dyDescent="0.25">
      <c r="B11" s="52"/>
      <c r="C11" s="52"/>
      <c r="D11" s="52"/>
      <c r="E11" s="52">
        <f t="shared" si="0"/>
        <v>0</v>
      </c>
      <c r="F11" s="52" t="s">
        <v>305</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306</v>
      </c>
      <c r="C14" s="52"/>
      <c r="D14" s="52"/>
      <c r="E14" s="52">
        <f t="shared" si="0"/>
        <v>0</v>
      </c>
      <c r="F14" s="52" t="s">
        <v>303</v>
      </c>
      <c r="G14" s="52"/>
      <c r="H14" s="52"/>
      <c r="I14" s="52">
        <f t="shared" si="1"/>
        <v>0</v>
      </c>
      <c r="J14" s="52"/>
      <c r="K14" s="52"/>
      <c r="L14" s="52">
        <f t="shared" si="2"/>
        <v>0</v>
      </c>
    </row>
    <row r="15" spans="1:12" x14ac:dyDescent="0.25">
      <c r="B15" s="52"/>
      <c r="C15" s="52"/>
      <c r="D15" s="52"/>
      <c r="E15" s="52">
        <f t="shared" si="0"/>
        <v>0</v>
      </c>
      <c r="F15" s="52" t="s">
        <v>305</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307</v>
      </c>
      <c r="C18" s="52"/>
      <c r="D18" s="52"/>
      <c r="E18" s="52">
        <f t="shared" si="0"/>
        <v>0</v>
      </c>
      <c r="F18" s="52" t="s">
        <v>303</v>
      </c>
      <c r="G18" s="52"/>
      <c r="H18" s="52"/>
      <c r="I18" s="52">
        <f t="shared" si="1"/>
        <v>0</v>
      </c>
      <c r="J18" s="52"/>
      <c r="K18" s="52"/>
      <c r="L18" s="52">
        <f t="shared" si="2"/>
        <v>0</v>
      </c>
    </row>
    <row r="19" spans="2:12" x14ac:dyDescent="0.25">
      <c r="B19" s="52"/>
      <c r="C19" s="52"/>
      <c r="D19" s="52"/>
      <c r="E19" s="52">
        <f t="shared" si="0"/>
        <v>0</v>
      </c>
      <c r="F19" s="52" t="s">
        <v>305</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308</v>
      </c>
      <c r="C21" s="52"/>
      <c r="D21" s="52"/>
      <c r="E21" s="52">
        <f t="shared" si="0"/>
        <v>0</v>
      </c>
      <c r="F21" s="52" t="s">
        <v>303</v>
      </c>
      <c r="G21" s="52"/>
      <c r="H21" s="52"/>
      <c r="I21" s="52">
        <f t="shared" si="1"/>
        <v>0</v>
      </c>
      <c r="J21" s="52"/>
      <c r="K21" s="52"/>
      <c r="L21" s="52">
        <f t="shared" si="2"/>
        <v>0</v>
      </c>
    </row>
    <row r="22" spans="2:12" x14ac:dyDescent="0.25">
      <c r="B22" s="52"/>
      <c r="C22" s="52"/>
      <c r="D22" s="52"/>
      <c r="E22" s="52">
        <f t="shared" si="0"/>
        <v>0</v>
      </c>
      <c r="F22" s="52" t="s">
        <v>305</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309</v>
      </c>
      <c r="C24" s="52"/>
      <c r="D24" s="52"/>
      <c r="E24" s="52">
        <f t="shared" si="0"/>
        <v>0</v>
      </c>
      <c r="F24" s="52" t="s">
        <v>310</v>
      </c>
      <c r="G24" s="52"/>
      <c r="H24" s="52"/>
      <c r="I24" s="52">
        <f t="shared" si="1"/>
        <v>0</v>
      </c>
      <c r="J24" s="52"/>
      <c r="K24" s="52"/>
      <c r="L24" s="52">
        <f t="shared" si="2"/>
        <v>0</v>
      </c>
    </row>
    <row r="25" spans="2:12" x14ac:dyDescent="0.25">
      <c r="B25" s="52"/>
      <c r="C25" s="52"/>
      <c r="D25" s="52"/>
      <c r="E25" s="52">
        <f>C25*D25</f>
        <v>0</v>
      </c>
      <c r="F25" s="52" t="s">
        <v>310</v>
      </c>
      <c r="G25" s="52"/>
      <c r="H25" s="52"/>
      <c r="I25" s="52">
        <f>G25*H25</f>
        <v>0</v>
      </c>
      <c r="J25" s="52"/>
      <c r="K25" s="52"/>
      <c r="L25" s="52">
        <f>J25*K25</f>
        <v>0</v>
      </c>
    </row>
    <row r="26" spans="2:12" x14ac:dyDescent="0.25">
      <c r="B26" s="52"/>
      <c r="C26" s="52"/>
      <c r="D26" s="52"/>
      <c r="E26" s="52">
        <f>C26*D26</f>
        <v>0</v>
      </c>
      <c r="F26" s="52" t="s">
        <v>310</v>
      </c>
      <c r="G26" s="52"/>
      <c r="H26" s="52"/>
      <c r="I26" s="52">
        <f>G26*H26</f>
        <v>0</v>
      </c>
      <c r="J26" s="52"/>
      <c r="K26" s="52"/>
      <c r="L26" s="52">
        <f>J26*K26</f>
        <v>0</v>
      </c>
    </row>
    <row r="27" spans="2:12" x14ac:dyDescent="0.25">
      <c r="B27" s="52"/>
      <c r="C27" s="52"/>
      <c r="D27" s="52"/>
      <c r="E27" s="52">
        <f>C27*D27</f>
        <v>0</v>
      </c>
      <c r="F27" s="52" t="s">
        <v>310</v>
      </c>
      <c r="G27" s="52"/>
      <c r="H27" s="52"/>
      <c r="I27" s="52">
        <f>G27*H27</f>
        <v>0</v>
      </c>
      <c r="J27" s="52"/>
      <c r="K27" s="52"/>
      <c r="L27" s="52">
        <f>J27*K27</f>
        <v>0</v>
      </c>
    </row>
    <row r="28" spans="2:12" x14ac:dyDescent="0.25">
      <c r="B28" s="52" t="s">
        <v>311</v>
      </c>
      <c r="C28" s="52"/>
      <c r="D28" s="52"/>
      <c r="E28" s="52">
        <f t="shared" si="0"/>
        <v>0</v>
      </c>
      <c r="F28" s="52" t="s">
        <v>310</v>
      </c>
      <c r="G28" s="52"/>
      <c r="H28" s="52"/>
      <c r="I28" s="52">
        <f t="shared" si="1"/>
        <v>0</v>
      </c>
      <c r="J28" s="52"/>
      <c r="K28" s="52"/>
      <c r="L28" s="52">
        <f t="shared" si="2"/>
        <v>0</v>
      </c>
    </row>
    <row r="29" spans="2:12" x14ac:dyDescent="0.25">
      <c r="B29" s="52" t="s">
        <v>312</v>
      </c>
      <c r="C29" s="52"/>
      <c r="D29" s="52"/>
      <c r="E29" s="52">
        <f t="shared" si="0"/>
        <v>0</v>
      </c>
      <c r="F29" s="52" t="s">
        <v>310</v>
      </c>
      <c r="G29" s="52"/>
      <c r="H29" s="52"/>
      <c r="I29" s="52">
        <f t="shared" si="1"/>
        <v>0</v>
      </c>
      <c r="J29" s="52"/>
      <c r="K29" s="52"/>
      <c r="L29" s="52">
        <f t="shared" si="2"/>
        <v>0</v>
      </c>
    </row>
    <row r="30" spans="2:12" x14ac:dyDescent="0.25">
      <c r="B30" s="52" t="s">
        <v>316</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313</v>
      </c>
      <c r="C33" s="52"/>
      <c r="D33" s="52"/>
      <c r="E33" s="52">
        <f t="shared" si="0"/>
        <v>0</v>
      </c>
      <c r="F33" s="52"/>
      <c r="G33" s="52"/>
      <c r="H33" s="52"/>
      <c r="I33" s="52">
        <f t="shared" si="1"/>
        <v>0</v>
      </c>
      <c r="J33" s="52"/>
      <c r="K33" s="52"/>
      <c r="L33" s="52">
        <f t="shared" si="2"/>
        <v>0</v>
      </c>
    </row>
    <row r="34" spans="2:12" x14ac:dyDescent="0.25">
      <c r="B34" s="52" t="s">
        <v>317</v>
      </c>
      <c r="C34" s="52"/>
      <c r="D34" s="52"/>
      <c r="E34" s="52">
        <f t="shared" si="0"/>
        <v>0</v>
      </c>
      <c r="F34" s="52"/>
      <c r="G34" s="52"/>
      <c r="H34" s="52"/>
      <c r="I34" s="52">
        <f t="shared" si="1"/>
        <v>0</v>
      </c>
      <c r="J34" s="52"/>
      <c r="K34" s="52"/>
      <c r="L34" s="52">
        <f t="shared" si="2"/>
        <v>0</v>
      </c>
    </row>
    <row r="35" spans="2:12" x14ac:dyDescent="0.25">
      <c r="B35" s="52" t="s">
        <v>314</v>
      </c>
      <c r="C35" s="52"/>
      <c r="D35" s="52"/>
      <c r="E35" s="52">
        <f t="shared" si="0"/>
        <v>0</v>
      </c>
      <c r="F35" s="52"/>
      <c r="G35" s="52"/>
      <c r="H35" s="52"/>
      <c r="I35" s="52">
        <f t="shared" si="1"/>
        <v>0</v>
      </c>
      <c r="J35" s="52"/>
      <c r="K35" s="52"/>
      <c r="L35" s="52">
        <f t="shared" si="2"/>
        <v>0</v>
      </c>
    </row>
    <row r="36" spans="2:12" x14ac:dyDescent="0.25">
      <c r="B36" s="52" t="s">
        <v>315</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318</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144</v>
      </c>
      <c r="C42" s="52"/>
      <c r="D42" s="52">
        <f>E42*10.764</f>
        <v>0</v>
      </c>
      <c r="E42" s="65">
        <f>SUM(E6:E41)</f>
        <v>0</v>
      </c>
      <c r="F42" s="52"/>
      <c r="G42" s="52"/>
      <c r="H42" s="52">
        <f>I42*10.764</f>
        <v>0</v>
      </c>
      <c r="I42" s="64">
        <f>SUM(I6:I41)</f>
        <v>0</v>
      </c>
      <c r="J42" s="52"/>
      <c r="K42" s="52">
        <f>L42*10.764</f>
        <v>0</v>
      </c>
      <c r="L42" s="63">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2025-07-25T05:58:08Z</cp:lastPrinted>
  <dcterms:created xsi:type="dcterms:W3CDTF">2019-07-16T09:29:46Z</dcterms:created>
  <dcterms:modified xsi:type="dcterms:W3CDTF">2025-07-25T05:58:10Z</dcterms:modified>
</cp:coreProperties>
</file>