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Z:\APF\25-26\July 2025\Jio\Pranita\"/>
    </mc:Choice>
  </mc:AlternateContent>
  <bookViews>
    <workbookView xWindow="0" yWindow="0" windowWidth="20490" windowHeight="702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Report!$A$1:$H$687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72" i="1" l="1"/>
  <c r="I338" i="1"/>
  <c r="K343" i="1"/>
  <c r="I343" i="1" l="1"/>
  <c r="D378" i="1"/>
  <c r="F378" i="1" s="1"/>
  <c r="H378" i="1" s="1"/>
  <c r="D377" i="1"/>
  <c r="F377" i="1" s="1"/>
  <c r="H377" i="1" s="1"/>
  <c r="A378" i="1"/>
  <c r="D394" i="1"/>
  <c r="F394" i="1" s="1"/>
  <c r="H394" i="1" s="1"/>
  <c r="A394" i="1"/>
  <c r="D393" i="1"/>
  <c r="F393" i="1" s="1"/>
  <c r="H393" i="1" s="1"/>
  <c r="D386" i="1"/>
  <c r="F386" i="1" s="1"/>
  <c r="H386" i="1" s="1"/>
  <c r="D385" i="1"/>
  <c r="F385" i="1" s="1"/>
  <c r="H385" i="1" s="1"/>
  <c r="A386" i="1"/>
  <c r="D390" i="1"/>
  <c r="F390" i="1" s="1"/>
  <c r="H390" i="1" s="1"/>
  <c r="D388" i="1"/>
  <c r="F388" i="1" s="1"/>
  <c r="H388" i="1" s="1"/>
  <c r="D389" i="1"/>
  <c r="F389" i="1" s="1"/>
  <c r="H389" i="1" s="1"/>
  <c r="A389" i="1"/>
  <c r="A390" i="1" s="1"/>
  <c r="D382" i="1"/>
  <c r="F382" i="1" s="1"/>
  <c r="H382" i="1" s="1"/>
  <c r="D381" i="1"/>
  <c r="F381" i="1" s="1"/>
  <c r="H381" i="1" s="1"/>
  <c r="D380" i="1"/>
  <c r="F380" i="1" s="1"/>
  <c r="H380" i="1" s="1"/>
  <c r="A381" i="1"/>
  <c r="A382" i="1" s="1"/>
  <c r="D374" i="1"/>
  <c r="D373" i="1"/>
  <c r="D372" i="1"/>
  <c r="D368" i="1"/>
  <c r="D367" i="1"/>
  <c r="D366" i="1"/>
  <c r="D365" i="1"/>
  <c r="I197" i="1"/>
  <c r="D208" i="1"/>
  <c r="I203" i="1"/>
  <c r="D215" i="1"/>
  <c r="D214" i="1"/>
  <c r="D213" i="1"/>
  <c r="D212" i="1"/>
  <c r="D211" i="1"/>
  <c r="D210" i="1"/>
  <c r="D209" i="1"/>
  <c r="D207" i="1"/>
  <c r="D206" i="1"/>
  <c r="D205" i="1"/>
  <c r="D204" i="1"/>
  <c r="D203" i="1"/>
  <c r="D202" i="1"/>
  <c r="D201" i="1"/>
  <c r="D200" i="1"/>
  <c r="D198" i="1"/>
  <c r="D199" i="1"/>
  <c r="D197" i="1"/>
  <c r="D196" i="1"/>
  <c r="D195" i="1"/>
  <c r="D194" i="1"/>
  <c r="D193" i="1"/>
  <c r="D192" i="1"/>
  <c r="I185" i="1"/>
  <c r="I183" i="1"/>
  <c r="I182" i="1"/>
  <c r="I181" i="1"/>
  <c r="L329" i="1" l="1"/>
  <c r="D346" i="1"/>
  <c r="F346" i="1" s="1"/>
  <c r="H346" i="1" s="1"/>
  <c r="D345" i="1"/>
  <c r="F345" i="1" s="1"/>
  <c r="H345" i="1" s="1"/>
  <c r="I328" i="1" s="1"/>
  <c r="J328" i="1" s="1"/>
  <c r="D344" i="1"/>
  <c r="F344" i="1" s="1"/>
  <c r="H344" i="1" s="1"/>
  <c r="I327" i="1" s="1"/>
  <c r="L326" i="1"/>
  <c r="K326" i="1"/>
  <c r="D343" i="1"/>
  <c r="F343" i="1" s="1"/>
  <c r="H343" i="1" s="1"/>
  <c r="D342" i="1"/>
  <c r="F342" i="1" s="1"/>
  <c r="H342" i="1" s="1"/>
  <c r="A342" i="1"/>
  <c r="A343" i="1" s="1"/>
  <c r="A344" i="1" s="1"/>
  <c r="A345" i="1" s="1"/>
  <c r="A346" i="1" s="1"/>
  <c r="K324" i="1"/>
  <c r="D341" i="1"/>
  <c r="F341" i="1" s="1"/>
  <c r="H341" i="1" s="1"/>
  <c r="I329" i="1" l="1"/>
  <c r="J327" i="1"/>
  <c r="J329" i="1" s="1"/>
  <c r="K307" i="1"/>
  <c r="G52" i="1" l="1"/>
  <c r="C52" i="1"/>
  <c r="C114" i="1" l="1"/>
  <c r="B115" i="1" s="1"/>
  <c r="D533" i="1"/>
  <c r="F533" i="1" s="1"/>
  <c r="H533" i="1" s="1"/>
  <c r="D532" i="1"/>
  <c r="F532" i="1" s="1"/>
  <c r="H532" i="1" s="1"/>
  <c r="D531" i="1"/>
  <c r="F531" i="1" s="1"/>
  <c r="H531" i="1" s="1"/>
  <c r="D530" i="1"/>
  <c r="F530" i="1" s="1"/>
  <c r="H530" i="1" s="1"/>
  <c r="D529" i="1"/>
  <c r="F529" i="1" s="1"/>
  <c r="H529" i="1" s="1"/>
  <c r="D528" i="1"/>
  <c r="F528" i="1" s="1"/>
  <c r="H528" i="1" s="1"/>
  <c r="D527" i="1"/>
  <c r="F527" i="1" s="1"/>
  <c r="H527" i="1" s="1"/>
  <c r="D526" i="1"/>
  <c r="F526" i="1" s="1"/>
  <c r="H526" i="1" s="1"/>
  <c r="D525" i="1"/>
  <c r="F525" i="1" s="1"/>
  <c r="H525" i="1" s="1"/>
  <c r="D524" i="1"/>
  <c r="F524" i="1" s="1"/>
  <c r="H524" i="1" s="1"/>
  <c r="D522" i="1"/>
  <c r="F522" i="1" s="1"/>
  <c r="H522" i="1" s="1"/>
  <c r="D521" i="1"/>
  <c r="F521" i="1" s="1"/>
  <c r="H521" i="1" s="1"/>
  <c r="D520" i="1"/>
  <c r="F520" i="1" s="1"/>
  <c r="H520" i="1" s="1"/>
  <c r="D519" i="1"/>
  <c r="F519" i="1" s="1"/>
  <c r="H519" i="1" s="1"/>
  <c r="D518" i="1"/>
  <c r="F518" i="1" s="1"/>
  <c r="H518" i="1" s="1"/>
  <c r="D517" i="1"/>
  <c r="F517" i="1" s="1"/>
  <c r="H517" i="1" s="1"/>
  <c r="D516" i="1"/>
  <c r="F516" i="1" s="1"/>
  <c r="H516" i="1" s="1"/>
  <c r="D515" i="1"/>
  <c r="F515" i="1" s="1"/>
  <c r="H515" i="1" s="1"/>
  <c r="D514" i="1"/>
  <c r="F514" i="1" s="1"/>
  <c r="H514" i="1" s="1"/>
  <c r="D513" i="1"/>
  <c r="F513" i="1" s="1"/>
  <c r="H513" i="1" s="1"/>
  <c r="D502" i="1"/>
  <c r="F502" i="1" s="1"/>
  <c r="H502" i="1" s="1"/>
  <c r="D511" i="1"/>
  <c r="F511" i="1" s="1"/>
  <c r="H511" i="1" s="1"/>
  <c r="D510" i="1"/>
  <c r="F510" i="1" s="1"/>
  <c r="H510" i="1" s="1"/>
  <c r="D509" i="1"/>
  <c r="F509" i="1" s="1"/>
  <c r="H509" i="1" s="1"/>
  <c r="D508" i="1"/>
  <c r="F508" i="1" s="1"/>
  <c r="H508" i="1" s="1"/>
  <c r="D507" i="1"/>
  <c r="F507" i="1" s="1"/>
  <c r="H507" i="1" s="1"/>
  <c r="D506" i="1"/>
  <c r="F506" i="1" s="1"/>
  <c r="H506" i="1" s="1"/>
  <c r="D505" i="1"/>
  <c r="F505" i="1" s="1"/>
  <c r="H505" i="1" s="1"/>
  <c r="D504" i="1"/>
  <c r="F504" i="1" s="1"/>
  <c r="H504" i="1" s="1"/>
  <c r="D503" i="1"/>
  <c r="F503" i="1" s="1"/>
  <c r="H503" i="1" s="1"/>
  <c r="D500" i="1"/>
  <c r="D499" i="1"/>
  <c r="D498" i="1"/>
  <c r="D497" i="1"/>
  <c r="D496" i="1"/>
  <c r="D495" i="1"/>
  <c r="D493" i="1"/>
  <c r="D492" i="1"/>
  <c r="D491" i="1"/>
  <c r="D489" i="1"/>
  <c r="D488" i="1"/>
  <c r="D487" i="1"/>
  <c r="D485" i="1"/>
  <c r="D482" i="1"/>
  <c r="D481" i="1"/>
  <c r="D480" i="1"/>
  <c r="D478" i="1"/>
  <c r="D477" i="1"/>
  <c r="D476" i="1"/>
  <c r="D475" i="1"/>
  <c r="D474" i="1"/>
  <c r="D473" i="1"/>
  <c r="D472" i="1"/>
  <c r="D471" i="1"/>
  <c r="D470" i="1"/>
  <c r="D469" i="1"/>
  <c r="D464" i="1"/>
  <c r="D463" i="1"/>
  <c r="D462" i="1"/>
  <c r="D461" i="1"/>
  <c r="D460" i="1"/>
  <c r="D459" i="1"/>
  <c r="D458" i="1"/>
  <c r="D457" i="1"/>
  <c r="D456" i="1"/>
  <c r="D455" i="1"/>
  <c r="D453" i="1"/>
  <c r="D452" i="1"/>
  <c r="D451" i="1"/>
  <c r="D450" i="1"/>
  <c r="D449" i="1"/>
  <c r="D448" i="1"/>
  <c r="D447" i="1"/>
  <c r="D446" i="1"/>
  <c r="D445" i="1"/>
  <c r="D444" i="1"/>
  <c r="D442" i="1"/>
  <c r="D441" i="1"/>
  <c r="D440" i="1"/>
  <c r="D439" i="1"/>
  <c r="D438" i="1"/>
  <c r="D437" i="1"/>
  <c r="D436" i="1"/>
  <c r="D435" i="1"/>
  <c r="D434" i="1"/>
  <c r="D433" i="1"/>
  <c r="D431" i="1"/>
  <c r="D430" i="1"/>
  <c r="D429" i="1"/>
  <c r="D428" i="1"/>
  <c r="D427" i="1"/>
  <c r="D424" i="1"/>
  <c r="D423" i="1"/>
  <c r="D422" i="1"/>
  <c r="D420" i="1"/>
  <c r="D419" i="1"/>
  <c r="D418" i="1"/>
  <c r="D416" i="1"/>
  <c r="D413" i="1"/>
  <c r="D412" i="1"/>
  <c r="D411" i="1"/>
  <c r="D409" i="1"/>
  <c r="D408" i="1"/>
  <c r="D407" i="1"/>
  <c r="D406" i="1"/>
  <c r="D405" i="1"/>
  <c r="D404" i="1"/>
  <c r="D403" i="1"/>
  <c r="D402" i="1"/>
  <c r="D401" i="1"/>
  <c r="D400" i="1"/>
  <c r="D358" i="1"/>
  <c r="D357" i="1"/>
  <c r="D356" i="1"/>
  <c r="D355" i="1"/>
  <c r="D351" i="1"/>
  <c r="D350" i="1"/>
  <c r="D349" i="1"/>
  <c r="D348" i="1"/>
  <c r="D339" i="1"/>
  <c r="D338" i="1"/>
  <c r="D337" i="1"/>
  <c r="D336" i="1"/>
  <c r="D335" i="1"/>
  <c r="D334" i="1"/>
  <c r="D330" i="1"/>
  <c r="D329" i="1"/>
  <c r="D328" i="1"/>
  <c r="D327" i="1"/>
  <c r="D324" i="1"/>
  <c r="D323" i="1"/>
  <c r="D322" i="1"/>
  <c r="D321" i="1"/>
  <c r="D320" i="1"/>
  <c r="D319" i="1"/>
  <c r="D307" i="1"/>
  <c r="D306" i="1"/>
  <c r="D305" i="1"/>
  <c r="D304" i="1"/>
  <c r="D303" i="1"/>
  <c r="D302" i="1"/>
  <c r="C159" i="1" s="1"/>
  <c r="D301" i="1"/>
  <c r="D300" i="1"/>
  <c r="D299" i="1"/>
  <c r="D298" i="1"/>
  <c r="D297" i="1"/>
  <c r="D296" i="1"/>
  <c r="D295" i="1"/>
  <c r="D294" i="1"/>
  <c r="D293" i="1"/>
  <c r="D292" i="1"/>
  <c r="D291" i="1"/>
  <c r="D289" i="1"/>
  <c r="D288" i="1"/>
  <c r="D287" i="1"/>
  <c r="D286" i="1"/>
  <c r="D285" i="1"/>
  <c r="D284" i="1"/>
  <c r="D283" i="1"/>
  <c r="D282" i="1"/>
  <c r="D281" i="1"/>
  <c r="D280" i="1"/>
  <c r="D279" i="1"/>
  <c r="D278" i="1"/>
  <c r="D277" i="1"/>
  <c r="D276" i="1"/>
  <c r="D275" i="1"/>
  <c r="D274" i="1"/>
  <c r="D273" i="1"/>
  <c r="D272" i="1"/>
  <c r="D271" i="1"/>
  <c r="D270" i="1"/>
  <c r="D269" i="1"/>
  <c r="D268" i="1"/>
  <c r="D264" i="1"/>
  <c r="D263" i="1"/>
  <c r="D262" i="1"/>
  <c r="D261" i="1"/>
  <c r="D259" i="1"/>
  <c r="D253" i="1"/>
  <c r="D251" i="1"/>
  <c r="D246" i="1"/>
  <c r="D245" i="1"/>
  <c r="D244" i="1"/>
  <c r="D243" i="1"/>
  <c r="D242" i="1"/>
  <c r="D241" i="1"/>
  <c r="D240" i="1"/>
  <c r="D239" i="1"/>
  <c r="D238" i="1"/>
  <c r="D237" i="1"/>
  <c r="D236" i="1"/>
  <c r="D235" i="1"/>
  <c r="D234" i="1"/>
  <c r="D233" i="1"/>
  <c r="D232" i="1"/>
  <c r="D231" i="1"/>
  <c r="D230" i="1"/>
  <c r="D229" i="1"/>
  <c r="D228" i="1"/>
  <c r="D227" i="1"/>
  <c r="D226" i="1"/>
  <c r="D225" i="1"/>
  <c r="D224" i="1"/>
  <c r="D223" i="1"/>
  <c r="A525" i="1"/>
  <c r="A526" i="1" s="1"/>
  <c r="A527" i="1" s="1"/>
  <c r="A528" i="1" s="1"/>
  <c r="A529" i="1" s="1"/>
  <c r="A530" i="1" s="1"/>
  <c r="A531" i="1" s="1"/>
  <c r="A532" i="1" s="1"/>
  <c r="A533" i="1" s="1"/>
  <c r="A514" i="1"/>
  <c r="A515" i="1" s="1"/>
  <c r="A516" i="1" s="1"/>
  <c r="A517" i="1" s="1"/>
  <c r="A518" i="1" s="1"/>
  <c r="A519" i="1" s="1"/>
  <c r="A520" i="1" s="1"/>
  <c r="A521" i="1" s="1"/>
  <c r="A522" i="1" s="1"/>
  <c r="A503" i="1"/>
  <c r="A504" i="1" s="1"/>
  <c r="A505" i="1" s="1"/>
  <c r="A506" i="1" s="1"/>
  <c r="A507" i="1" s="1"/>
  <c r="A508" i="1" s="1"/>
  <c r="A509" i="1" s="1"/>
  <c r="A510" i="1" s="1"/>
  <c r="A511" i="1" s="1"/>
  <c r="H115" i="1"/>
  <c r="C158" i="1" l="1"/>
  <c r="J119" i="1"/>
  <c r="C118" i="1" s="1"/>
  <c r="J117" i="1"/>
  <c r="J114" i="1"/>
  <c r="J116" i="1" s="1"/>
  <c r="D127" i="1"/>
  <c r="D123" i="1"/>
  <c r="D121" i="1"/>
  <c r="D126" i="1"/>
  <c r="D122" i="1"/>
  <c r="J118" i="1"/>
  <c r="D125" i="1"/>
  <c r="D124" i="1"/>
  <c r="D120" i="1"/>
  <c r="J120" i="1"/>
  <c r="J124" i="1"/>
  <c r="J125" i="1"/>
  <c r="J122" i="1"/>
  <c r="J123" i="1"/>
  <c r="C182" i="1"/>
  <c r="G176" i="1"/>
  <c r="C165" i="1"/>
  <c r="C180" i="1"/>
  <c r="C171" i="1"/>
  <c r="C170" i="1"/>
  <c r="C176" i="1"/>
  <c r="C175" i="1"/>
  <c r="C166" i="1"/>
  <c r="E176" i="1"/>
  <c r="F500" i="1"/>
  <c r="H500" i="1" s="1"/>
  <c r="F499" i="1"/>
  <c r="H499" i="1" s="1"/>
  <c r="F496" i="1"/>
  <c r="H496" i="1" s="1"/>
  <c r="F495" i="1"/>
  <c r="F498" i="1"/>
  <c r="H498" i="1" s="1"/>
  <c r="F497" i="1"/>
  <c r="H497" i="1" s="1"/>
  <c r="F493" i="1"/>
  <c r="H493" i="1" s="1"/>
  <c r="F492" i="1"/>
  <c r="H492" i="1" s="1"/>
  <c r="A492" i="1"/>
  <c r="A493" i="1" s="1"/>
  <c r="A494" i="1" s="1"/>
  <c r="A495" i="1" s="1"/>
  <c r="A496" i="1" s="1"/>
  <c r="A497" i="1" s="1"/>
  <c r="A498" i="1" s="1"/>
  <c r="A499" i="1" s="1"/>
  <c r="A500" i="1" s="1"/>
  <c r="F491" i="1"/>
  <c r="H491" i="1" s="1"/>
  <c r="F488" i="1"/>
  <c r="H488" i="1" s="1"/>
  <c r="F487" i="1"/>
  <c r="H487" i="1" s="1"/>
  <c r="F485" i="1"/>
  <c r="H485" i="1" s="1"/>
  <c r="F481" i="1"/>
  <c r="H481" i="1" s="1"/>
  <c r="F489" i="1"/>
  <c r="H489" i="1" s="1"/>
  <c r="F482" i="1"/>
  <c r="H482" i="1" s="1"/>
  <c r="A481" i="1"/>
  <c r="A482" i="1" s="1"/>
  <c r="A483" i="1" s="1"/>
  <c r="A484" i="1" s="1"/>
  <c r="A485" i="1" s="1"/>
  <c r="A486" i="1" s="1"/>
  <c r="A487" i="1" s="1"/>
  <c r="A488" i="1" s="1"/>
  <c r="A489" i="1" s="1"/>
  <c r="F480" i="1"/>
  <c r="H480" i="1" s="1"/>
  <c r="F477" i="1"/>
  <c r="H477" i="1" s="1"/>
  <c r="F475" i="1"/>
  <c r="H475" i="1" s="1"/>
  <c r="F476" i="1"/>
  <c r="H476" i="1" s="1"/>
  <c r="F478" i="1"/>
  <c r="H478" i="1" s="1"/>
  <c r="F474" i="1"/>
  <c r="H474" i="1" s="1"/>
  <c r="F470" i="1"/>
  <c r="H470" i="1" s="1"/>
  <c r="F469" i="1"/>
  <c r="A470" i="1"/>
  <c r="A471" i="1" s="1"/>
  <c r="A472" i="1" s="1"/>
  <c r="A473" i="1" s="1"/>
  <c r="A474" i="1" s="1"/>
  <c r="A475" i="1" s="1"/>
  <c r="A476" i="1" s="1"/>
  <c r="A477" i="1" s="1"/>
  <c r="A478" i="1" s="1"/>
  <c r="F473" i="1"/>
  <c r="H473" i="1" s="1"/>
  <c r="F472" i="1"/>
  <c r="H472" i="1" s="1"/>
  <c r="F471" i="1"/>
  <c r="H471" i="1" s="1"/>
  <c r="F461" i="1"/>
  <c r="H461" i="1" s="1"/>
  <c r="F464" i="1"/>
  <c r="H464" i="1" s="1"/>
  <c r="F463" i="1"/>
  <c r="H463" i="1" s="1"/>
  <c r="F462" i="1"/>
  <c r="H462" i="1" s="1"/>
  <c r="F460" i="1"/>
  <c r="H460" i="1" s="1"/>
  <c r="F459" i="1"/>
  <c r="H459" i="1" s="1"/>
  <c r="F458" i="1"/>
  <c r="H458" i="1" s="1"/>
  <c r="F457" i="1"/>
  <c r="H457" i="1" s="1"/>
  <c r="F456" i="1"/>
  <c r="H456" i="1" s="1"/>
  <c r="A456" i="1"/>
  <c r="A457" i="1" s="1"/>
  <c r="A458" i="1" s="1"/>
  <c r="A459" i="1" s="1"/>
  <c r="A460" i="1" s="1"/>
  <c r="A461" i="1" s="1"/>
  <c r="A462" i="1" s="1"/>
  <c r="A463" i="1" s="1"/>
  <c r="A464" i="1" s="1"/>
  <c r="F455" i="1"/>
  <c r="H455" i="1" s="1"/>
  <c r="F451" i="1"/>
  <c r="H451" i="1" s="1"/>
  <c r="F453" i="1"/>
  <c r="H453" i="1" s="1"/>
  <c r="F452" i="1"/>
  <c r="H452" i="1" s="1"/>
  <c r="F450" i="1"/>
  <c r="H450" i="1" s="1"/>
  <c r="F449" i="1"/>
  <c r="H449" i="1" s="1"/>
  <c r="F448" i="1"/>
  <c r="H448" i="1" s="1"/>
  <c r="F447" i="1"/>
  <c r="H447" i="1" s="1"/>
  <c r="F446" i="1"/>
  <c r="H446" i="1" s="1"/>
  <c r="F445" i="1"/>
  <c r="H445" i="1" s="1"/>
  <c r="A445" i="1"/>
  <c r="A446" i="1" s="1"/>
  <c r="A447" i="1" s="1"/>
  <c r="A448" i="1" s="1"/>
  <c r="A449" i="1" s="1"/>
  <c r="A450" i="1" s="1"/>
  <c r="A451" i="1" s="1"/>
  <c r="A452" i="1" s="1"/>
  <c r="A453" i="1" s="1"/>
  <c r="F444" i="1"/>
  <c r="H444" i="1" s="1"/>
  <c r="F441" i="1"/>
  <c r="H441" i="1" s="1"/>
  <c r="F440" i="1"/>
  <c r="H440" i="1" s="1"/>
  <c r="F437" i="1"/>
  <c r="F439" i="1"/>
  <c r="F436" i="1"/>
  <c r="H436" i="1" s="1"/>
  <c r="F442" i="1"/>
  <c r="H442" i="1" s="1"/>
  <c r="F438" i="1"/>
  <c r="H438" i="1" s="1"/>
  <c r="F435" i="1"/>
  <c r="H435" i="1" s="1"/>
  <c r="F434" i="1"/>
  <c r="H434" i="1" s="1"/>
  <c r="A434" i="1"/>
  <c r="A435" i="1" s="1"/>
  <c r="A436" i="1" s="1"/>
  <c r="A437" i="1" s="1"/>
  <c r="A438" i="1" s="1"/>
  <c r="A439" i="1" s="1"/>
  <c r="A440" i="1" s="1"/>
  <c r="A441" i="1" s="1"/>
  <c r="A442" i="1" s="1"/>
  <c r="F433" i="1"/>
  <c r="H433" i="1" s="1"/>
  <c r="F430" i="1"/>
  <c r="H430" i="1" s="1"/>
  <c r="F428" i="1"/>
  <c r="H428" i="1" s="1"/>
  <c r="F427" i="1"/>
  <c r="H427" i="1" s="1"/>
  <c r="F424" i="1"/>
  <c r="H424" i="1" s="1"/>
  <c r="F422" i="1"/>
  <c r="H422" i="1" s="1"/>
  <c r="F431" i="1"/>
  <c r="H431" i="1" s="1"/>
  <c r="F429" i="1"/>
  <c r="H429" i="1" s="1"/>
  <c r="F423" i="1"/>
  <c r="H423" i="1" s="1"/>
  <c r="A423" i="1"/>
  <c r="A424" i="1" s="1"/>
  <c r="A425" i="1" s="1"/>
  <c r="A426" i="1" s="1"/>
  <c r="A427" i="1" s="1"/>
  <c r="A428" i="1" s="1"/>
  <c r="A429" i="1" s="1"/>
  <c r="A430" i="1" s="1"/>
  <c r="A431" i="1" s="1"/>
  <c r="F420" i="1"/>
  <c r="H420" i="1" s="1"/>
  <c r="F419" i="1"/>
  <c r="H419" i="1" s="1"/>
  <c r="F418" i="1"/>
  <c r="H418" i="1" s="1"/>
  <c r="F416" i="1"/>
  <c r="H416" i="1" s="1"/>
  <c r="F413" i="1"/>
  <c r="H413" i="1" s="1"/>
  <c r="F412" i="1"/>
  <c r="H412" i="1" s="1"/>
  <c r="A412" i="1"/>
  <c r="A413" i="1" s="1"/>
  <c r="A414" i="1" s="1"/>
  <c r="A415" i="1" s="1"/>
  <c r="A416" i="1" s="1"/>
  <c r="A417" i="1" s="1"/>
  <c r="A418" i="1" s="1"/>
  <c r="A419" i="1" s="1"/>
  <c r="A420" i="1" s="1"/>
  <c r="F411" i="1"/>
  <c r="H411" i="1" s="1"/>
  <c r="F406" i="1"/>
  <c r="H406" i="1" s="1"/>
  <c r="F405" i="1"/>
  <c r="H405" i="1" s="1"/>
  <c r="F403" i="1"/>
  <c r="H403" i="1" s="1"/>
  <c r="F402" i="1"/>
  <c r="H402" i="1" s="1"/>
  <c r="F400" i="1"/>
  <c r="F409" i="1"/>
  <c r="H409" i="1" s="1"/>
  <c r="F408" i="1"/>
  <c r="H408" i="1" s="1"/>
  <c r="F407" i="1"/>
  <c r="H407" i="1" s="1"/>
  <c r="A401" i="1"/>
  <c r="A402" i="1" s="1"/>
  <c r="A403" i="1" s="1"/>
  <c r="A404" i="1" s="1"/>
  <c r="A405" i="1" s="1"/>
  <c r="A406" i="1" s="1"/>
  <c r="A407" i="1" s="1"/>
  <c r="A408" i="1" s="1"/>
  <c r="A409" i="1" s="1"/>
  <c r="F404" i="1"/>
  <c r="H404" i="1" s="1"/>
  <c r="F401" i="1"/>
  <c r="H401" i="1" s="1"/>
  <c r="F307" i="1"/>
  <c r="H307" i="1" s="1"/>
  <c r="F306" i="1"/>
  <c r="H306" i="1" s="1"/>
  <c r="F305" i="1"/>
  <c r="H305" i="1" s="1"/>
  <c r="F303" i="1"/>
  <c r="H303" i="1" s="1"/>
  <c r="F302" i="1"/>
  <c r="F298" i="1"/>
  <c r="H298" i="1" s="1"/>
  <c r="F297" i="1"/>
  <c r="H297" i="1" s="1"/>
  <c r="F296" i="1"/>
  <c r="H296" i="1" s="1"/>
  <c r="F295" i="1"/>
  <c r="H295" i="1" s="1"/>
  <c r="F294" i="1"/>
  <c r="H294" i="1" s="1"/>
  <c r="F293" i="1"/>
  <c r="H293" i="1" s="1"/>
  <c r="F292" i="1"/>
  <c r="H292" i="1" s="1"/>
  <c r="F304" i="1"/>
  <c r="H304" i="1" s="1"/>
  <c r="F301" i="1"/>
  <c r="H301" i="1" s="1"/>
  <c r="F300" i="1"/>
  <c r="H300" i="1" s="1"/>
  <c r="F299" i="1"/>
  <c r="H299" i="1" s="1"/>
  <c r="A299" i="1"/>
  <c r="A300" i="1" s="1"/>
  <c r="A301" i="1" s="1"/>
  <c r="A302" i="1" s="1"/>
  <c r="A303" i="1" s="1"/>
  <c r="A304" i="1" s="1"/>
  <c r="A305" i="1" s="1"/>
  <c r="A306" i="1" s="1"/>
  <c r="A307" i="1" s="1"/>
  <c r="F291" i="1"/>
  <c r="H291" i="1" s="1"/>
  <c r="F264" i="1"/>
  <c r="H264" i="1" s="1"/>
  <c r="F263" i="1"/>
  <c r="H263" i="1" s="1"/>
  <c r="F262" i="1"/>
  <c r="H262" i="1" s="1"/>
  <c r="F261" i="1"/>
  <c r="H261" i="1" s="1"/>
  <c r="F259" i="1"/>
  <c r="H259" i="1" s="1"/>
  <c r="F232" i="1"/>
  <c r="H232" i="1" s="1"/>
  <c r="F231" i="1"/>
  <c r="H231" i="1" s="1"/>
  <c r="F230" i="1"/>
  <c r="H230" i="1" s="1"/>
  <c r="F229" i="1"/>
  <c r="H229" i="1" s="1"/>
  <c r="F223" i="1"/>
  <c r="F224" i="1"/>
  <c r="H224" i="1" s="1"/>
  <c r="F253" i="1"/>
  <c r="H253" i="1" s="1"/>
  <c r="F251" i="1"/>
  <c r="H251" i="1" s="1"/>
  <c r="A249" i="1"/>
  <c r="A250" i="1" s="1"/>
  <c r="A251" i="1" s="1"/>
  <c r="A252" i="1" s="1"/>
  <c r="A253" i="1" s="1"/>
  <c r="A254" i="1" s="1"/>
  <c r="A255" i="1" s="1"/>
  <c r="A256" i="1" s="1"/>
  <c r="A257" i="1" s="1"/>
  <c r="A258" i="1" s="1"/>
  <c r="A259" i="1" s="1"/>
  <c r="A260" i="1" s="1"/>
  <c r="A261" i="1" s="1"/>
  <c r="A262" i="1" s="1"/>
  <c r="A263" i="1" s="1"/>
  <c r="A264" i="1" s="1"/>
  <c r="F245" i="1"/>
  <c r="H245" i="1" s="1"/>
  <c r="F244" i="1"/>
  <c r="H244" i="1" s="1"/>
  <c r="F243" i="1"/>
  <c r="H243" i="1" s="1"/>
  <c r="F246" i="1"/>
  <c r="H246" i="1" s="1"/>
  <c r="F242" i="1"/>
  <c r="H242" i="1" s="1"/>
  <c r="F240" i="1"/>
  <c r="H240" i="1" s="1"/>
  <c r="F241" i="1"/>
  <c r="H241" i="1" s="1"/>
  <c r="F237" i="1"/>
  <c r="H237" i="1" s="1"/>
  <c r="F236" i="1"/>
  <c r="F235" i="1"/>
  <c r="F234" i="1"/>
  <c r="H234" i="1" s="1"/>
  <c r="F233" i="1"/>
  <c r="H233" i="1" s="1"/>
  <c r="F228" i="1"/>
  <c r="H228" i="1" s="1"/>
  <c r="F226" i="1"/>
  <c r="H226" i="1" s="1"/>
  <c r="F238" i="1"/>
  <c r="H238" i="1" s="1"/>
  <c r="F239" i="1"/>
  <c r="H239" i="1" s="1"/>
  <c r="A224" i="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F227" i="1"/>
  <c r="H227" i="1" s="1"/>
  <c r="F225" i="1"/>
  <c r="H225" i="1" s="1"/>
  <c r="F289" i="1"/>
  <c r="H289" i="1" s="1"/>
  <c r="F288" i="1"/>
  <c r="H288" i="1" s="1"/>
  <c r="F286" i="1"/>
  <c r="H286" i="1" s="1"/>
  <c r="F284" i="1"/>
  <c r="H284" i="1" s="1"/>
  <c r="F283" i="1"/>
  <c r="H283" i="1" s="1"/>
  <c r="F282" i="1"/>
  <c r="H282" i="1" s="1"/>
  <c r="F281" i="1"/>
  <c r="H281" i="1" s="1"/>
  <c r="F280" i="1"/>
  <c r="H280" i="1" s="1"/>
  <c r="F279" i="1"/>
  <c r="H279" i="1" s="1"/>
  <c r="F278" i="1"/>
  <c r="H278" i="1" s="1"/>
  <c r="F277" i="1"/>
  <c r="H277" i="1" s="1"/>
  <c r="F276" i="1"/>
  <c r="H276" i="1" s="1"/>
  <c r="F275" i="1"/>
  <c r="H275" i="1" s="1"/>
  <c r="F274" i="1"/>
  <c r="F273" i="1"/>
  <c r="H273" i="1" s="1"/>
  <c r="F272" i="1"/>
  <c r="H272" i="1" s="1"/>
  <c r="F270" i="1"/>
  <c r="H270" i="1" s="1"/>
  <c r="F268" i="1"/>
  <c r="A274" i="1"/>
  <c r="A275" i="1" s="1"/>
  <c r="A276" i="1" s="1"/>
  <c r="A277" i="1" s="1"/>
  <c r="A278" i="1" s="1"/>
  <c r="A279" i="1" s="1"/>
  <c r="A280" i="1" s="1"/>
  <c r="A281" i="1" s="1"/>
  <c r="A282" i="1" s="1"/>
  <c r="A283" i="1" s="1"/>
  <c r="A284" i="1" s="1"/>
  <c r="A285" i="1" s="1"/>
  <c r="A286" i="1" s="1"/>
  <c r="A287" i="1" s="1"/>
  <c r="A288" i="1" s="1"/>
  <c r="A289" i="1" s="1"/>
  <c r="F287" i="1"/>
  <c r="H287" i="1" s="1"/>
  <c r="F285" i="1"/>
  <c r="H285" i="1" s="1"/>
  <c r="F271" i="1"/>
  <c r="H271" i="1" s="1"/>
  <c r="F269" i="1"/>
  <c r="H269" i="1" s="1"/>
  <c r="F356" i="1"/>
  <c r="H356" i="1" s="1"/>
  <c r="I339" i="1"/>
  <c r="F350" i="1"/>
  <c r="H350" i="1" s="1"/>
  <c r="F358" i="1"/>
  <c r="H358" i="1" s="1"/>
  <c r="F355" i="1"/>
  <c r="H355" i="1" s="1"/>
  <c r="F357" i="1"/>
  <c r="H357" i="1" s="1"/>
  <c r="A356" i="1"/>
  <c r="A357" i="1" s="1"/>
  <c r="A358" i="1" s="1"/>
  <c r="F351" i="1"/>
  <c r="H351" i="1" s="1"/>
  <c r="F349" i="1"/>
  <c r="H349" i="1" s="1"/>
  <c r="F348" i="1"/>
  <c r="H348" i="1" s="1"/>
  <c r="A349" i="1"/>
  <c r="A350" i="1" s="1"/>
  <c r="A351" i="1" s="1"/>
  <c r="A352" i="1" s="1"/>
  <c r="A353" i="1" s="1"/>
  <c r="F339" i="1"/>
  <c r="H339" i="1" s="1"/>
  <c r="A373" i="1"/>
  <c r="A374" i="1" s="1"/>
  <c r="A366" i="1"/>
  <c r="A367" i="1" s="1"/>
  <c r="A368" i="1" s="1"/>
  <c r="A320" i="1"/>
  <c r="A321" i="1" s="1"/>
  <c r="A322" i="1" s="1"/>
  <c r="A323" i="1" s="1"/>
  <c r="A324" i="1" s="1"/>
  <c r="A328" i="1"/>
  <c r="A329" i="1" s="1"/>
  <c r="A330" i="1" s="1"/>
  <c r="A331" i="1" s="1"/>
  <c r="A332" i="1" s="1"/>
  <c r="A335" i="1"/>
  <c r="A336" i="1" s="1"/>
  <c r="A337" i="1" s="1"/>
  <c r="A338" i="1" s="1"/>
  <c r="A339" i="1" s="1"/>
  <c r="F338" i="1"/>
  <c r="H338" i="1" s="1"/>
  <c r="F337" i="1"/>
  <c r="H337" i="1" s="1"/>
  <c r="F336" i="1"/>
  <c r="H336" i="1" s="1"/>
  <c r="F335" i="1"/>
  <c r="H335" i="1" s="1"/>
  <c r="K317" i="1"/>
  <c r="F334" i="1"/>
  <c r="H334" i="1" s="1"/>
  <c r="F328" i="1"/>
  <c r="H328" i="1" s="1"/>
  <c r="F330" i="1"/>
  <c r="H330" i="1" s="1"/>
  <c r="K312" i="1"/>
  <c r="F329" i="1"/>
  <c r="H329" i="1" s="1"/>
  <c r="K310" i="1"/>
  <c r="F327" i="1"/>
  <c r="H327" i="1" s="1"/>
  <c r="J304" i="1"/>
  <c r="I304" i="1"/>
  <c r="J302" i="1"/>
  <c r="I302" i="1"/>
  <c r="F324" i="1"/>
  <c r="H324" i="1" s="1"/>
  <c r="J307" i="1" s="1"/>
  <c r="F323" i="1"/>
  <c r="H323" i="1" s="1"/>
  <c r="F322" i="1"/>
  <c r="H322" i="1" s="1"/>
  <c r="F320" i="1"/>
  <c r="H320" i="1" s="1"/>
  <c r="F319" i="1"/>
  <c r="F321" i="1"/>
  <c r="H321" i="1" s="1"/>
  <c r="F374" i="1"/>
  <c r="H374" i="1" s="1"/>
  <c r="F373" i="1"/>
  <c r="H373" i="1" s="1"/>
  <c r="F372" i="1"/>
  <c r="H372" i="1" s="1"/>
  <c r="J352" i="1"/>
  <c r="I352" i="1"/>
  <c r="J353" i="1"/>
  <c r="I353" i="1"/>
  <c r="F368" i="1"/>
  <c r="H368" i="1" s="1"/>
  <c r="F367" i="1"/>
  <c r="H367" i="1" s="1"/>
  <c r="F366" i="1"/>
  <c r="H366" i="1" s="1"/>
  <c r="F365" i="1"/>
  <c r="F208" i="1"/>
  <c r="H208" i="1" s="1"/>
  <c r="F194" i="1"/>
  <c r="H194" i="1" s="1"/>
  <c r="F193" i="1"/>
  <c r="H193" i="1" s="1"/>
  <c r="I180" i="1"/>
  <c r="I191" i="1"/>
  <c r="F215" i="1"/>
  <c r="H215" i="1" s="1"/>
  <c r="F214" i="1"/>
  <c r="H214" i="1" s="1"/>
  <c r="F213" i="1"/>
  <c r="H213" i="1" s="1"/>
  <c r="F212" i="1"/>
  <c r="H212" i="1" s="1"/>
  <c r="F211" i="1"/>
  <c r="H211" i="1" s="1"/>
  <c r="F210" i="1"/>
  <c r="H210" i="1" s="1"/>
  <c r="F209" i="1"/>
  <c r="H209" i="1" s="1"/>
  <c r="F207" i="1"/>
  <c r="H207" i="1" s="1"/>
  <c r="F206" i="1"/>
  <c r="H206" i="1" s="1"/>
  <c r="F205" i="1"/>
  <c r="H205" i="1" s="1"/>
  <c r="F204" i="1"/>
  <c r="H204" i="1" s="1"/>
  <c r="F203" i="1"/>
  <c r="H203" i="1" s="1"/>
  <c r="F202" i="1"/>
  <c r="H202" i="1" s="1"/>
  <c r="F201" i="1"/>
  <c r="H201" i="1" s="1"/>
  <c r="F200" i="1"/>
  <c r="H200" i="1" s="1"/>
  <c r="F199" i="1"/>
  <c r="H199" i="1" s="1"/>
  <c r="F198" i="1"/>
  <c r="H198" i="1" s="1"/>
  <c r="F197" i="1"/>
  <c r="H197" i="1" s="1"/>
  <c r="F196" i="1"/>
  <c r="H196" i="1" s="1"/>
  <c r="F195" i="1"/>
  <c r="H195" i="1" s="1"/>
  <c r="F192" i="1"/>
  <c r="C181" i="1" l="1"/>
  <c r="E181" i="1"/>
  <c r="E157" i="1"/>
  <c r="C157" i="1"/>
  <c r="E164" i="1"/>
  <c r="C164" i="1"/>
  <c r="E163" i="1"/>
  <c r="C163" i="1"/>
  <c r="C160" i="1"/>
  <c r="D118" i="1"/>
  <c r="J121" i="1"/>
  <c r="J126" i="1" s="1"/>
  <c r="C183" i="1"/>
  <c r="H302" i="1"/>
  <c r="G159" i="1" s="1"/>
  <c r="E159" i="1"/>
  <c r="E158" i="1"/>
  <c r="C177" i="1"/>
  <c r="C172" i="1"/>
  <c r="H268" i="1"/>
  <c r="G182" i="1" s="1"/>
  <c r="E182" i="1"/>
  <c r="H469" i="1"/>
  <c r="G166" i="1" s="1"/>
  <c r="E166" i="1"/>
  <c r="H192" i="1"/>
  <c r="G180" i="1" s="1"/>
  <c r="E180" i="1"/>
  <c r="H223" i="1"/>
  <c r="G181" i="1" s="1"/>
  <c r="H439" i="1"/>
  <c r="G175" i="1" s="1"/>
  <c r="G177" i="1" s="1"/>
  <c r="E175" i="1"/>
  <c r="E177" i="1" s="1"/>
  <c r="H437" i="1"/>
  <c r="G170" i="1" s="1"/>
  <c r="E170" i="1"/>
  <c r="H319" i="1"/>
  <c r="G163" i="1" s="1"/>
  <c r="H235" i="1"/>
  <c r="H400" i="1"/>
  <c r="G165" i="1" s="1"/>
  <c r="E165" i="1"/>
  <c r="H274" i="1"/>
  <c r="G158" i="1" s="1"/>
  <c r="H236" i="1"/>
  <c r="G157" i="1" s="1"/>
  <c r="H365" i="1"/>
  <c r="G164" i="1" s="1"/>
  <c r="H495" i="1"/>
  <c r="G171" i="1" s="1"/>
  <c r="E171" i="1"/>
  <c r="K304" i="1"/>
  <c r="K353" i="1"/>
  <c r="K352" i="1"/>
  <c r="K302" i="1"/>
  <c r="C128" i="1"/>
  <c r="C100" i="1"/>
  <c r="C167" i="1" l="1"/>
  <c r="C184" i="1" s="1"/>
  <c r="I158" i="1"/>
  <c r="J127" i="1"/>
  <c r="C119" i="1" s="1"/>
  <c r="D119" i="1" s="1"/>
  <c r="I115" i="1" s="1"/>
  <c r="I116" i="1" s="1"/>
  <c r="G160" i="1"/>
  <c r="G183" i="1"/>
  <c r="E160" i="1"/>
  <c r="E167" i="1"/>
  <c r="E183" i="1"/>
  <c r="G167" i="1"/>
  <c r="E172" i="1"/>
  <c r="G172" i="1"/>
  <c r="J115" i="1" l="1"/>
  <c r="I114" i="1" s="1"/>
  <c r="C116" i="1" s="1"/>
  <c r="E118" i="1"/>
  <c r="G118" i="1"/>
  <c r="E184" i="1"/>
  <c r="G184" i="1"/>
  <c r="E31" i="1"/>
  <c r="E26" i="1"/>
  <c r="L38" i="7" l="1"/>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l="1"/>
  <c r="I42" i="7"/>
  <c r="H42" i="7" s="1"/>
  <c r="L42" i="7"/>
  <c r="K42" i="7" s="1"/>
  <c r="D42" i="7"/>
  <c r="E44" i="7"/>
  <c r="D44" i="7" l="1"/>
  <c r="B536" i="1"/>
  <c r="G68" i="1" l="1"/>
  <c r="C68" i="1"/>
  <c r="S33" i="1" l="1"/>
  <c r="F11" i="5" l="1"/>
  <c r="G11" i="5" s="1"/>
  <c r="F10" i="5"/>
  <c r="G10" i="5" s="1"/>
  <c r="F9" i="5"/>
  <c r="G9" i="5" s="1"/>
  <c r="F8" i="5"/>
  <c r="G8" i="5" s="1"/>
  <c r="F7" i="5"/>
  <c r="G7" i="5" s="1"/>
  <c r="F6" i="5"/>
  <c r="G6" i="5" s="1"/>
  <c r="F5" i="5"/>
  <c r="G5" i="5" s="1"/>
  <c r="G12" i="5" s="1"/>
  <c r="D559" i="1"/>
  <c r="B537" i="1"/>
  <c r="F154" i="1"/>
  <c r="C86" i="1"/>
  <c r="B87" i="1" s="1"/>
  <c r="D72" i="1"/>
  <c r="E44" i="1"/>
  <c r="E45" i="1" s="1"/>
  <c r="E28" i="1"/>
  <c r="C16" i="1"/>
  <c r="I15" i="1"/>
  <c r="Z13" i="1"/>
  <c r="E8" i="1"/>
  <c r="E3" i="1"/>
  <c r="D80" i="1" s="1"/>
  <c r="J96" i="1" l="1"/>
  <c r="J94" i="1"/>
  <c r="J95" i="1"/>
  <c r="J97" i="1"/>
  <c r="H87" i="1"/>
  <c r="D97" i="1" l="1"/>
  <c r="J86" i="1"/>
  <c r="J88" i="1" s="1"/>
  <c r="D94" i="1"/>
  <c r="D93" i="1"/>
  <c r="J92" i="1"/>
  <c r="C91" i="1" s="1"/>
  <c r="J91" i="1"/>
  <c r="C90" i="1" s="1"/>
  <c r="D99" i="1"/>
  <c r="J89" i="1"/>
  <c r="D96" i="1"/>
  <c r="D98" i="1"/>
  <c r="J90" i="1"/>
  <c r="D95" i="1"/>
  <c r="D92" i="1"/>
  <c r="B101" i="1"/>
  <c r="H101" i="1"/>
  <c r="J93" i="1" l="1"/>
  <c r="J98" i="1" s="1"/>
  <c r="J99" i="1" s="1"/>
  <c r="G90" i="1"/>
  <c r="D84" i="1" s="1"/>
  <c r="F85" i="1" s="1"/>
  <c r="D90" i="1"/>
  <c r="J103" i="1"/>
  <c r="D113" i="1"/>
  <c r="D107" i="1"/>
  <c r="J105" i="1"/>
  <c r="D111" i="1"/>
  <c r="J100" i="1"/>
  <c r="J102" i="1" s="1"/>
  <c r="D108" i="1"/>
  <c r="D112" i="1"/>
  <c r="D106" i="1"/>
  <c r="D110" i="1"/>
  <c r="J104" i="1"/>
  <c r="D109" i="1"/>
  <c r="J106" i="1"/>
  <c r="J107" i="1" s="1"/>
  <c r="J112" i="1" s="1"/>
  <c r="J113" i="1" s="1"/>
  <c r="J111" i="1"/>
  <c r="J110" i="1"/>
  <c r="J109" i="1"/>
  <c r="J108" i="1"/>
  <c r="J87" i="1" l="1"/>
  <c r="E90" i="1"/>
  <c r="D91" i="1"/>
  <c r="I87" i="1" s="1"/>
  <c r="I88" i="1" s="1"/>
  <c r="D85" i="1"/>
  <c r="B129" i="1"/>
  <c r="E104" i="1"/>
  <c r="D105" i="1"/>
  <c r="G104" i="1"/>
  <c r="D104" i="1"/>
  <c r="H129" i="1"/>
  <c r="I86" i="1" l="1"/>
  <c r="C88" i="1" s="1"/>
  <c r="J131" i="1"/>
  <c r="D140" i="1"/>
  <c r="J133" i="1"/>
  <c r="C132" i="1" s="1"/>
  <c r="D132" i="1" s="1"/>
  <c r="D139" i="1"/>
  <c r="D138" i="1"/>
  <c r="J132" i="1"/>
  <c r="J128" i="1"/>
  <c r="J130" i="1" s="1"/>
  <c r="D136" i="1"/>
  <c r="D141" i="1"/>
  <c r="D135" i="1"/>
  <c r="D134" i="1"/>
  <c r="D137" i="1"/>
  <c r="I101" i="1"/>
  <c r="I102" i="1" s="1"/>
  <c r="J138" i="1"/>
  <c r="J136" i="1"/>
  <c r="J134" i="1"/>
  <c r="J139" i="1"/>
  <c r="J137" i="1"/>
  <c r="J101" i="1"/>
  <c r="J135" i="1" l="1"/>
  <c r="I100" i="1"/>
  <c r="C102" i="1" s="1"/>
  <c r="J140" i="1" l="1"/>
  <c r="J141" i="1" l="1"/>
  <c r="C133" i="1" s="1"/>
  <c r="G132" i="1" l="1"/>
  <c r="E132" i="1"/>
  <c r="J129" i="1"/>
  <c r="D133" i="1"/>
  <c r="I129" i="1" s="1"/>
  <c r="I130" i="1" l="1"/>
  <c r="I128" i="1" s="1"/>
  <c r="C130"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6" authorId="1" shapeId="0">
      <text>
        <r>
          <rPr>
            <b/>
            <sz val="9"/>
            <color indexed="81"/>
            <rFont val="Tahoma"/>
            <family val="2"/>
          </rPr>
          <t>SACHIN:</t>
        </r>
        <r>
          <rPr>
            <sz val="9"/>
            <color indexed="81"/>
            <rFont val="Tahoma"/>
            <family val="2"/>
          </rPr>
          <t xml:space="preserve">
Floor with height</t>
        </r>
      </text>
    </comment>
    <comment ref="C65" authorId="1" shapeId="0">
      <text>
        <r>
          <rPr>
            <b/>
            <sz val="9"/>
            <color indexed="81"/>
            <rFont val="Tahoma"/>
            <family val="2"/>
          </rPr>
          <t>SACHIN:</t>
        </r>
        <r>
          <rPr>
            <sz val="9"/>
            <color indexed="81"/>
            <rFont val="Tahoma"/>
            <family val="2"/>
          </rPr>
          <t xml:space="preserve">
Floor with height</t>
        </r>
      </text>
    </comment>
    <comment ref="C67" authorId="1" shapeId="0">
      <text>
        <r>
          <rPr>
            <b/>
            <sz val="9"/>
            <color indexed="81"/>
            <rFont val="Tahoma"/>
            <family val="2"/>
          </rPr>
          <t>SACHIN:</t>
        </r>
        <r>
          <rPr>
            <sz val="9"/>
            <color indexed="81"/>
            <rFont val="Tahoma"/>
            <family val="2"/>
          </rPr>
          <t xml:space="preserve">
Survey Nos.</t>
        </r>
      </text>
    </comment>
    <comment ref="C69" authorId="1" shapeId="0">
      <text>
        <r>
          <rPr>
            <b/>
            <sz val="9"/>
            <color indexed="81"/>
            <rFont val="Tahoma"/>
            <family val="2"/>
          </rPr>
          <t>SACHIN:</t>
        </r>
        <r>
          <rPr>
            <sz val="9"/>
            <color indexed="81"/>
            <rFont val="Tahoma"/>
            <family val="2"/>
          </rPr>
          <t xml:space="preserve">
Height from AMSL</t>
        </r>
      </text>
    </comment>
    <comment ref="D7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47"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310"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<sst xmlns="http://schemas.openxmlformats.org/spreadsheetml/2006/main" count="1333" uniqueCount="487">
  <si>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</si>
  <si>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</si>
  <si>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</si>
  <si>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</si>
  <si>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</si>
  <si>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</si>
  <si>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</si>
  <si>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</si>
  <si>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</si>
  <si>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</si>
  <si>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</si>
  <si>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</si>
  <si>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</si>
  <si>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</si>
  <si>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</si>
  <si>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</si>
  <si>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</si>
  <si>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</si>
  <si>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</si>
  <si>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</si>
  <si>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</si>
  <si>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</si>
  <si>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</si>
  <si>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</si>
  <si>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</si>
  <si>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</si>
  <si>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</si>
  <si>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</si>
  <si>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</si>
  <si>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</si>
  <si>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</si>
  <si>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</si>
  <si>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</si>
  <si>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</si>
  <si>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</si>
  <si>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</si>
  <si>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</si>
  <si>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</si>
  <si>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</si>
  <si>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</si>
  <si>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</si>
  <si>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</si>
  <si>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</si>
  <si>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</si>
  <si>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</si>
  <si>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</si>
  <si>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</si>
  <si>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</si>
  <si>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</si>
  <si>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</si>
  <si>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</si>
  <si>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</si>
  <si>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</si>
  <si>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</si>
  <si>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</si>
  <si>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</si>
  <si>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</si>
  <si>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</si>
  <si>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</si>
  <si>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</si>
  <si>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</si>
  <si>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</si>
  <si>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</si>
  <si>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</si>
  <si>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</si>
  <si>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</si>
  <si>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</si>
  <si>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</si>
  <si>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</si>
  <si>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</si>
  <si>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</si>
  <si>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</si>
  <si>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</si>
  <si>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</si>
  <si>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</si>
  <si>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</si>
  <si>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</si>
  <si>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</si>
  <si>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</si>
  <si>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</si>
  <si>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</si>
  <si>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</si>
  <si>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</si>
  <si>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</si>
  <si>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</si>
  <si>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</si>
  <si>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</si>
  <si>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</si>
  <si>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</si>
  <si>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</si>
  <si>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</si>
  <si>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</si>
  <si>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</si>
  <si>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</si>
  <si>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</si>
  <si>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</si>
  <si>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</si>
  <si>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</si>
  <si>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</si>
  <si>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</si>
  <si>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</si>
  <si>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</si>
  <si>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</si>
  <si>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</si>
  <si>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</si>
  <si>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</si>
  <si>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</si>
  <si>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</si>
  <si>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</si>
  <si>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</si>
  <si>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</si>
  <si>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Flat No.
</t>
    </r>
    <r>
      <rPr>
        <b/>
        <sz val="11"/>
        <color rgb="FF000000"/>
        <rFont val="Times New Roman"/>
        <family val="1"/>
      </rPr>
      <t>(Approved Plan)</t>
    </r>
  </si>
  <si>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</si>
  <si>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</si>
  <si>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</si>
  <si>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</si>
  <si>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</si>
  <si>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</si>
  <si>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</si>
  <si>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</si>
  <si>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</si>
  <si>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</si>
  <si>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</si>
  <si>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</si>
  <si>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</si>
  <si>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</si>
  <si>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</si>
  <si>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</si>
  <si>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</si>
  <si>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</si>
  <si>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</si>
  <si>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</si>
  <si>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</si>
  <si>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</si>
  <si>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</si>
  <si>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</si>
  <si>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</si>
  <si>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</si>
  <si>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</si>
  <si>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</si>
  <si>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</si>
  <si>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</si>
  <si>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</si>
  <si>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</si>
  <si>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</si>
  <si>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</si>
  <si>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</si>
  <si>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</si>
  <si>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</si>
  <si>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</si>
  <si>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</si>
  <si>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</si>
  <si>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</si>
  <si>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</si>
  <si>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</si>
  <si>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</si>
  <si>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</si>
  <si>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</si>
  <si>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</si>
  <si>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</si>
  <si>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</si>
  <si>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</si>
  <si>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</si>
  <si>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</si>
  <si>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</si>
  <si>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</si>
  <si>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</si>
  <si>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CTS No</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</si>
  <si>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</si>
  <si>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</si>
  <si>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</si>
  <si>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</si>
  <si>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</si>
  <si>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</si>
  <si>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</si>
  <si>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</si>
  <si>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</si>
  <si>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</si>
  <si>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</si>
  <si>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</si>
  <si>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</si>
  <si>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</si>
  <si>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</si>
  <si>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</si>
  <si>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</si>
  <si>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</si>
  <si>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</si>
  <si>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</si>
  <si>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</si>
  <si>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</si>
  <si>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</si>
  <si>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</si>
  <si>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</si>
  <si>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</si>
  <si>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</si>
  <si>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</si>
  <si>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</si>
  <si>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</si>
  <si>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</si>
  <si>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</si>
  <si>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</si>
  <si>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</si>
  <si>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</si>
  <si>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</si>
  <si>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</si>
  <si>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</si>
  <si>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</si>
  <si>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</si>
  <si>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</si>
  <si>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</si>
  <si>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</si>
  <si>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</si>
  <si>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</si>
  <si>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</si>
  <si>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</si>
  <si>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</si>
  <si>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</si>
  <si>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</si>
  <si>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</si>
  <si>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</si>
  <si>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</si>
  <si>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</si>
  <si>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</si>
  <si>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</si>
  <si>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</si>
  <si>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</si>
  <si>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</si>
  <si>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</si>
  <si>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</si>
  <si>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</si>
  <si>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</si>
  <si>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</si>
  <si>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</si>
  <si>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</si>
  <si>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</si>
  <si>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</si>
  <si>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</si>
  <si>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</si>
  <si>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</si>
  <si>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</si>
  <si>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</si>
  <si>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</si>
  <si>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</si>
  <si>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</si>
  <si>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</si>
  <si>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</si>
  <si>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</si>
  <si>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</si>
  <si>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</si>
  <si>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</si>
  <si>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</si>
  <si>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</si>
  <si>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</si>
  <si>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</si>
  <si>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</si>
  <si>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</si>
  <si>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</si>
  <si>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</si>
  <si>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</si>
  <si>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</si>
  <si>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</si>
  <si>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</si>
  <si>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</si>
  <si>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</si>
  <si>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</si>
  <si>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</si>
  <si>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</si>
  <si>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</si>
  <si>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</si>
  <si>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</si>
  <si>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</si>
  <si>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</si>
  <si>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</si>
  <si>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</si>
  <si>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</si>
  <si>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</si>
  <si>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</si>
  <si>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</si>
  <si>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</si>
  <si>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</si>
  <si>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</si>
  <si>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</si>
  <si>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</si>
  <si>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</si>
  <si>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</si>
  <si>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</si>
  <si>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</si>
  <si>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</si>
  <si>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</si>
  <si>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</si>
  <si>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</si>
  <si>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</si>
  <si>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</si>
  <si>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</si>
  <si>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</si>
  <si>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</si>
  <si>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</si>
  <si>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</si>
  <si>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</si>
  <si>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</si>
  <si>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</si>
  <si>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</si>
  <si>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</si>
  <si>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</si>
  <si>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</si>
  <si>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</si>
  <si>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</si>
  <si>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</si>
  <si>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</si>
  <si>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</si>
  <si>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</si>
  <si>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</si>
  <si>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</si>
  <si>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</si>
  <si>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</si>
  <si>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</si>
  <si>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</si>
  <si>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</si>
  <si>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</si>
  <si>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</si>
  <si>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</si>
  <si>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</si>
  <si>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</si>
  <si>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</si>
  <si>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</si>
  <si>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</si>
  <si>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</si>
  <si>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</si>
  <si>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</si>
  <si>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</si>
  <si>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</si>
  <si>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</si>
  <si>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</si>
  <si>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</si>
  <si>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</si>
  <si>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</si>
  <si>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</si>
  <si>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</si>
  <si>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</si>
  <si>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</si>
  <si>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</si>
  <si>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</si>
  <si>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The Edge</t>
  </si>
  <si>
    <t>04 Buildings</t>
  </si>
  <si>
    <t>P51900032613</t>
  </si>
  <si>
    <t>3/52, 3A/52, 3A-1/52 &amp; 3B/52, Redevelopement of " Tejukaya Mansion &amp; Ranveer Sadan "</t>
  </si>
  <si>
    <t>Dr. Babasaheb Ambedkar Road</t>
  </si>
  <si>
    <t>Lalbaug</t>
  </si>
  <si>
    <t>https://maps.app.goo.gl/986GcfLgNrnBiB767</t>
  </si>
  <si>
    <t>18.9934688,72.8362595</t>
  </si>
  <si>
    <t>36.60 M W Road</t>
  </si>
  <si>
    <t>Other Plot</t>
  </si>
  <si>
    <t>Building</t>
  </si>
  <si>
    <t>As per RERA - 31/12/2030</t>
  </si>
  <si>
    <t>Basement For Domestic Tank, Fire Tank &amp; Parking</t>
  </si>
  <si>
    <t>Ground Floor For Entrance Lobby &amp; Parking</t>
  </si>
  <si>
    <t>Tower 1</t>
  </si>
  <si>
    <t>Tower 2</t>
  </si>
  <si>
    <t>Ground Floor For Commercial</t>
  </si>
  <si>
    <t>Ground Floor For Commercial &amp; Meter Room</t>
  </si>
  <si>
    <t>Shop</t>
  </si>
  <si>
    <t>Shop (Duplex With 1st Floor)</t>
  </si>
  <si>
    <t>2BHK</t>
  </si>
  <si>
    <t>3BHK</t>
  </si>
  <si>
    <t>11th to 16th, 18th to 23rd, 25th to 30th, 32nd to 34th Floor For Residential</t>
  </si>
  <si>
    <t>Refuge Area</t>
  </si>
  <si>
    <t>-</t>
  </si>
  <si>
    <t>4BHK</t>
  </si>
  <si>
    <t>1st Floor For Double Height Entrance Below</t>
  </si>
  <si>
    <t>17th, 24th, 31st &amp; 38th Floor (Part Refuge Area)</t>
  </si>
  <si>
    <t>45th Floor (Part Refuge Area)</t>
  </si>
  <si>
    <t>1st Service Floor Between 30th &amp; 31st Floor</t>
  </si>
  <si>
    <t>Rehab</t>
  </si>
  <si>
    <t>Basement For Domestic Tank, Fire Tank &amp; Pump Room</t>
  </si>
  <si>
    <t>2A</t>
  </si>
  <si>
    <t>3A</t>
  </si>
  <si>
    <t>Office</t>
  </si>
  <si>
    <t>Wing B</t>
  </si>
  <si>
    <t>Wing A</t>
  </si>
  <si>
    <t>1st Floor For Commercial</t>
  </si>
  <si>
    <t>Duplex With Ground Floors</t>
  </si>
  <si>
    <t>1A</t>
  </si>
  <si>
    <t>3B</t>
  </si>
  <si>
    <t>4A</t>
  </si>
  <si>
    <t>1st Floor For Commercial &amp; Fitness Center</t>
  </si>
  <si>
    <t>2nd Floor For Amenity</t>
  </si>
  <si>
    <t>6th, 13th, 20th &amp; 27th Floor (Part Refuge Area)</t>
  </si>
  <si>
    <t>34th Floor (Part Refuge Area)</t>
  </si>
  <si>
    <t>35th Floor</t>
  </si>
  <si>
    <t>1BHK</t>
  </si>
  <si>
    <t>Mhada</t>
  </si>
  <si>
    <t>36th Floor</t>
  </si>
  <si>
    <t>37th Floor</t>
  </si>
  <si>
    <t>1st Service Floor Between 2nd &amp; 3rd Floor</t>
  </si>
  <si>
    <t>3rd to 5th, 7th to 12th, 14th to 19th, 21st to 26th, 28th to 33rd Floor For Residential</t>
  </si>
  <si>
    <t>1RK</t>
  </si>
  <si>
    <t>We considered Gross carpet area = Net carpet + Deck Area + Utility Area.</t>
  </si>
  <si>
    <t>Sale</t>
  </si>
  <si>
    <t>Tower 1 (Sale Tower)</t>
  </si>
  <si>
    <t>Tower 2 (Sale Tower)</t>
  </si>
  <si>
    <t>Wing A &amp; B = 673</t>
  </si>
  <si>
    <t>Wing A (Office)</t>
  </si>
  <si>
    <t>Wing B (Office)</t>
  </si>
  <si>
    <t>Wing B (Shop)</t>
  </si>
  <si>
    <t>P-2513/2019/ (3/52 and other)/ F/South/Parel-Sewri/IOD/1/New</t>
  </si>
  <si>
    <t>https://www.googleadservices.com/pagead/aclk?sa=L&amp;ai=DChcSEwi3lqz-mb-HAxW8o2YCHXSWMS0YABAAGgJzbQ&amp;ase=2&amp;gclid=CjwKCAjwzIK1BhAuEiwAHQmU3rRXQlSF_tK88GPXoV3HrTiIy2tRNXGXnKLK0KhpoShsDLYYilA-bRoCkcEQAvD_BwE&amp;ohost=www.google.com&amp;cid=CAESVuD2u7cXfduYZ6w8EK_BTToDGzWFk1UEikDy7CfI40AdliylVWlwzxrmnGChiwrLGy3vfrS30HxnNsuA03Vo5ai9ewlSGDeK-tlQzIqS4febQdHD-bcV&amp;sig=AOD64_1p1WgjPodYLQKQSUXPW-YmuQslcQ&amp;q&amp;nis=4&amp;adurl&amp;ved=2ahUKEwiAnqX-mb-HAxVRzTgGHdATAP4Q0Qx6BAgHEAE</t>
  </si>
  <si>
    <t xml:space="preserve">(Bldg No.1, 3, 4, 5, 6, 7, 8, 9, 10, 11, 12) Known as " Tejukaya Mansion ", (Bldg No.2) Known as " Ranveer Sadan " 
</t>
  </si>
  <si>
    <t xml:space="preserve">Tower 1 &amp; 2   </t>
  </si>
  <si>
    <r>
      <t xml:space="preserve">Proposed Amenities :                                                                                                                                                                                                                         </t>
    </r>
    <r>
      <rPr>
        <b/>
        <sz val="12"/>
        <rFont val="Times New Roman"/>
        <family val="1"/>
      </rPr>
      <t xml:space="preserve">                                               </t>
    </r>
  </si>
  <si>
    <r>
      <t xml:space="preserve">Shop No.
</t>
    </r>
    <r>
      <rPr>
        <b/>
        <sz val="11"/>
        <rFont val="Times New Roman"/>
        <family val="1"/>
      </rPr>
      <t>(Approved Plan)</t>
    </r>
  </si>
  <si>
    <t>Parel Sewri</t>
  </si>
  <si>
    <t>3.5BHK</t>
  </si>
  <si>
    <t>35th to 37th, 39th to 42nd, 44th, 46th to 49th Floor</t>
  </si>
  <si>
    <t>43rd Floor</t>
  </si>
  <si>
    <t>28000 to 35500&amp; OC 10L &amp; Park 12L  rate by trupti for special case 4304 &amp; 4305 on 27/02/2025 (LTV 70%)</t>
  </si>
  <si>
    <t>This C.C. is endorsed up to Plinth i.e. top of 9th podium level as per amended approval dated 21.05.2025.</t>
  </si>
  <si>
    <t>Pranita Mhatre</t>
  </si>
  <si>
    <t>P-2513/2019/(3/52 And Other)/ F/South/PARELSEWERI/337/4/Amend</t>
  </si>
  <si>
    <t>P-2513/2019/(3/52 And Other) /F/ South/PAREL-SEWERI/CC/3/Amend</t>
  </si>
  <si>
    <t xml:space="preserve">Tower 1 = 1B + G + P1 to P10 + 11th to 30th + Service + 31st to 50th + Service Floor </t>
  </si>
  <si>
    <t xml:space="preserve">Tower 2 = 1B + G + P1 to P10 + 11th to 30th + Service + 31st to 50th + Service Floor </t>
  </si>
  <si>
    <t>1st Basement Floor For Parking</t>
  </si>
  <si>
    <t xml:space="preserve">Shop </t>
  </si>
  <si>
    <t>Shop Duplex With 1st Floor</t>
  </si>
  <si>
    <t>1st Floor For Commercial &amp; Parking Area</t>
  </si>
  <si>
    <t>16/17</t>
  </si>
  <si>
    <t>Shop Duplex With Ground Floor</t>
  </si>
  <si>
    <t>Parking Area</t>
  </si>
  <si>
    <t>1st to 8th Podium Floor For Parking</t>
  </si>
  <si>
    <t>9th Podium For Parking, Refuge Area &amp; Amenity</t>
  </si>
  <si>
    <t>10th Floor (Upper Stilt) Floor For Parking</t>
  </si>
  <si>
    <t>11th to 16th, 18th to 23rd, 25th to 30th Floor For Residential</t>
  </si>
  <si>
    <t>17th &amp; 24th Floor (Part Refuge Area)</t>
  </si>
  <si>
    <t>32th, 34th, 36th, 40th, 42nd, 44th, 46th, 48th &amp; 50th Floor For Residential</t>
  </si>
  <si>
    <t xml:space="preserve">33rd, 35th, 37th, 39th, 41st, 43rd, 47th &amp; 49th Floor </t>
  </si>
  <si>
    <t>38th Floor For Part Refuge Area</t>
  </si>
  <si>
    <t>45th Floor For Part Refuge Area</t>
  </si>
  <si>
    <t>2nd Service Floor Above 50th Floor</t>
  </si>
  <si>
    <t>31st Floor (Part Refuge Area)</t>
  </si>
  <si>
    <t>50th Floor</t>
  </si>
  <si>
    <t>Approved Floor plan No</t>
  </si>
  <si>
    <t xml:space="preserve">Commencement-CC No
Valid Up to: </t>
  </si>
  <si>
    <t xml:space="preserve">Commencement-CC No
Valid Up to: 
</t>
  </si>
  <si>
    <t>CHE/CTY/1139/F/S/337(NEW)/FCC/1/Amend</t>
  </si>
  <si>
    <r>
      <t xml:space="preserve">Further C.C. for Wing 'A' rehab building is granted up to 37th floor i.e. Full C.C. for </t>
    </r>
    <r>
      <rPr>
        <b/>
        <sz val="12"/>
        <color indexed="8"/>
        <rFont val="Times New Roman"/>
        <family val="1"/>
      </rPr>
      <t>rehab 'A' wing</t>
    </r>
    <r>
      <rPr>
        <sz val="12"/>
        <color indexed="8"/>
        <rFont val="Times New Roman"/>
        <family val="1"/>
      </rPr>
      <t xml:space="preserve"> including L.M.R. &amp; O.H.T. excluding parking tower area as per amended approved plan dated 06.06.2024.</t>
    </r>
  </si>
  <si>
    <t>CHE/CTY/1139/F/S/337(NEW)/FCC/1/New</t>
  </si>
  <si>
    <t xml:space="preserve">Karan Misal </t>
  </si>
  <si>
    <t>We have given valuation for Sale Unit only.</t>
  </si>
  <si>
    <t>JFL Koparkhairane</t>
  </si>
  <si>
    <t>Tower 1 , 2 &amp; Rehab Building (Wing A &amp; B)</t>
  </si>
  <si>
    <t>CHE/CTY/1139/F/S/337(NEW)/337/5/AMEND</t>
  </si>
  <si>
    <t>Approved Floor plan No.</t>
  </si>
  <si>
    <r>
      <t xml:space="preserve">This C.C. is further extended for Rehab 'B' wing up to 37th floor i.e. Full C.C.for </t>
    </r>
    <r>
      <rPr>
        <b/>
        <sz val="12"/>
        <color indexed="8"/>
        <rFont val="Times New Roman"/>
        <family val="1"/>
      </rPr>
      <t xml:space="preserve">rehab 'B' wing </t>
    </r>
    <r>
      <rPr>
        <sz val="12"/>
        <color indexed="8"/>
        <rFont val="Times New Roman"/>
        <family val="1"/>
      </rPr>
      <t>including L.M.R.&amp; O.H.T.excluding parking tower area as per amended approved plan dated 06.06.2024.</t>
    </r>
  </si>
  <si>
    <t>RERA Certificate</t>
  </si>
  <si>
    <t>Avighna IX</t>
  </si>
  <si>
    <t>Approved Sale BUA area of building (Sq.Mt)</t>
  </si>
  <si>
    <t>Total Permissible Builtup area of the project (Sq.Mt)</t>
  </si>
  <si>
    <t>CHE/CTY/1139/F/S/337(NEW)/CFO/3/Amend,</t>
  </si>
  <si>
    <t>Wing A &amp; B = 1B + G + 1st to 37th Floor (Height = 119.80 Mtrs)</t>
  </si>
  <si>
    <t xml:space="preserve"> P-2513/2019/(3/52 And Other ) /F/South/PARELSEWERI/CFO/1/Amend </t>
  </si>
  <si>
    <t>Sale Tower 1 &amp; 2 = 1B + G + P1 to P10 + 11th to 30th + Service + 31st to 50th + Service Floor (Height = 192 Mtrs)</t>
  </si>
  <si>
    <t>Tejukaya Corp Private Limited</t>
  </si>
  <si>
    <t>https://tribecalalbaug.com/</t>
  </si>
  <si>
    <t>Garden, Gymnasium, Clubhouse, Indoor Games, Kids Play Area, Intercom Facility, Banquet Hall, Swimming Pool, Power Backup, Video/CCTV Security, Lift(s), Jogging Track etc.</t>
  </si>
  <si>
    <t>Rehab Building (Wing A)</t>
  </si>
  <si>
    <t>Rehab Building (Wing B)</t>
  </si>
  <si>
    <t>Wing A = 1B + G + 1st &amp; 2nd + Service + 3rd to 37th Floor</t>
  </si>
  <si>
    <t>Wing B = 1B + G + 1st &amp; 2nd + Service + 3rd to 37th Floor</t>
  </si>
  <si>
    <t>Rehab Bldg</t>
  </si>
  <si>
    <t>Tower 1 = 1B + G + P1 to P10 + 11th to 30th + Service + 31st to 50th + Service Floor 
Tower 2 = 1B + G + P1 to P10 + 11th to 30th + Service + 31st to 50th + Service Floor 
Wing A &amp; B = 1B + G + 1st &amp; 2nd + Service + 3rd to 37th Floor</t>
  </si>
  <si>
    <t>Miss. Sonali Mishra 9769760400</t>
  </si>
  <si>
    <t>Tower 1, Wing A &amp; B = Construction work is in process at the time of Visit. (Labour Found)
Tower 2 = Work not yet started</t>
  </si>
  <si>
    <t>Rehab Building (A &amp; B Wing)</t>
  </si>
  <si>
    <t>Residential Area Details : (Sale Flat)</t>
  </si>
  <si>
    <t>Residential Area Details : (Mhada Flat)</t>
  </si>
  <si>
    <t>Residential Area Details : (Rehab Flat)</t>
  </si>
  <si>
    <t>Commercial Area Details : (Rehab Shop)</t>
  </si>
  <si>
    <t>Building Details Floor Wise</t>
  </si>
  <si>
    <t>VIST</t>
  </si>
  <si>
    <t>We have referred Environment Clearance Certificate from PARIVESH Portal</t>
  </si>
  <si>
    <t>SIA/MH/INFRA2/492528/2024</t>
  </si>
  <si>
    <t>C.S. NO.3/52, 3A/52, 3A-1/52 &amp; 3B/52
Proposed BUA = 181233.16 Sq.M
Sale Tower 1= 1B + G + P1 to P10 + 11th to 30th + Service + 31st to 50th + Service Floor
Sale Tower 2= 1B + G + P1 to P10 + 11th to 30th + Service + 31st to 50th + Service Floor (Pt)
Rehab Wing A &amp; B = 1B + G + 1st &amp; 2nd + 3rd to 37th Floor</t>
  </si>
  <si>
    <t>Commercial Area Details : (Sale)</t>
  </si>
  <si>
    <t>Currey Road East</t>
  </si>
  <si>
    <t>Sale Flats - 1002, Sale Offices - 17, Sale Shops -1,
Mhada Flats - 26, Rehab Flats - 8,  Rehab Shops - 77</t>
  </si>
  <si>
    <t>We have referred approved plans, CC &amp; Fire Noc from MCGM Portal</t>
  </si>
  <si>
    <t>0.65Km from Currey Road Railway Station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</si>
</sst>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9" fillId="0" borderId="0"/>
    <xf numFmtId="9" fontId="20" fillId="0" borderId="0" applyFont="0" applyFill="0" applyBorder="0" applyAlignment="0" applyProtection="0"/>
    <xf numFmtId="43" fontId="20" fillId="0" borderId="0" applyFont="0" applyFill="0" applyBorder="0" applyAlignment="0" applyProtection="0"/>
    <xf numFmtId="0" fontId="25" fillId="0" borderId="0" applyNumberFormat="0" applyFill="0" applyBorder="0" applyAlignment="0" applyProtection="0"/>
  </cellStyleXfs>
  <cellXfs count="299">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8"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7" fillId="0" borderId="1" xfId="5" applyNumberFormat="1" applyFont="1" applyBorder="1" applyAlignment="1">
      <alignment horizontal="center" vertical="center"/>
    </xf>
    <xf numFmtId="0" fontId="4" fillId="0" borderId="1" xfId="4" applyBorder="1" applyAlignment="1">
      <alignment horizontal="center" vertical="center"/>
    </xf>
    <xf numFmtId="0" fontId="16" fillId="0" borderId="0" xfId="0" applyFont="1" applyProtection="1">
      <protection hidden="1"/>
    </xf>
    <xf numFmtId="0" fontId="16"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6"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3" fillId="2" borderId="30" xfId="0" applyFont="1" applyFill="1" applyBorder="1"/>
    <xf numFmtId="0" fontId="24" fillId="0" borderId="31" xfId="0" applyFont="1" applyBorder="1"/>
    <xf numFmtId="0" fontId="24" fillId="0" borderId="1" xfId="0" applyFont="1" applyBorder="1"/>
    <xf numFmtId="0" fontId="24" fillId="0" borderId="5" xfId="0" applyFont="1" applyBorder="1"/>
    <xf numFmtId="0" fontId="11"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1" fillId="0" borderId="1" xfId="1" applyFont="1" applyBorder="1"/>
    <xf numFmtId="0" fontId="6" fillId="0" borderId="1" xfId="1" applyFont="1" applyBorder="1"/>
    <xf numFmtId="0" fontId="0" fillId="0" borderId="8" xfId="0" applyBorder="1" applyAlignment="1">
      <alignment vertical="top"/>
    </xf>
    <xf numFmtId="0" fontId="0" fillId="0" borderId="25" xfId="0" applyBorder="1" applyAlignment="1">
      <alignment horizontal="center" vertical="top"/>
    </xf>
    <xf numFmtId="1" fontId="6" fillId="0" borderId="1" xfId="1" applyNumberFormat="1" applyFont="1" applyBorder="1" applyAlignment="1">
      <alignment horizontal="center" vertical="center"/>
    </xf>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9" fontId="11" fillId="0" borderId="7" xfId="8" applyFont="1" applyFill="1" applyBorder="1" applyAlignment="1" applyProtection="1">
      <alignment horizontal="center" vertical="top" wrapText="1"/>
      <protection locked="0"/>
    </xf>
    <xf numFmtId="0" fontId="23" fillId="0" borderId="31" xfId="0" applyFont="1" applyBorder="1"/>
    <xf numFmtId="0" fontId="23" fillId="0" borderId="0" xfId="0" applyFont="1"/>
    <xf numFmtId="0" fontId="23" fillId="0" borderId="1" xfId="0" applyFont="1" applyBorder="1"/>
    <xf numFmtId="0" fontId="23" fillId="0" borderId="5" xfId="0" applyFont="1" applyBorder="1"/>
    <xf numFmtId="0" fontId="13" fillId="0" borderId="0" xfId="0" applyFont="1" applyProtection="1">
      <protection hidden="1"/>
    </xf>
    <xf numFmtId="0" fontId="11" fillId="0" borderId="10" xfId="1" applyFont="1" applyBorder="1"/>
    <xf numFmtId="0" fontId="13" fillId="0" borderId="10" xfId="0" applyFont="1" applyBorder="1" applyProtection="1">
      <protection hidden="1"/>
    </xf>
    <xf numFmtId="1" fontId="23" fillId="0" borderId="10" xfId="0" applyNumberFormat="1" applyFont="1" applyBorder="1"/>
    <xf numFmtId="1" fontId="23" fillId="0" borderId="10" xfId="0" applyNumberFormat="1" applyFont="1" applyBorder="1" applyAlignment="1">
      <alignment horizontal="right"/>
    </xf>
    <xf numFmtId="0" fontId="13" fillId="0" borderId="11" xfId="0" applyFont="1" applyBorder="1" applyProtection="1">
      <protection hidden="1"/>
    </xf>
    <xf numFmtId="1" fontId="23" fillId="0" borderId="12" xfId="0" applyNumberFormat="1" applyFont="1" applyBorder="1"/>
    <xf numFmtId="1" fontId="11" fillId="0" borderId="1" xfId="1" applyNumberFormat="1" applyFont="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23" fillId="2" borderId="15" xfId="0" applyFont="1" applyFill="1" applyBorder="1"/>
    <xf numFmtId="0" fontId="23" fillId="0" borderId="9" xfId="0" applyFont="1" applyBorder="1"/>
    <xf numFmtId="0" fontId="24" fillId="0" borderId="9" xfId="0" applyFont="1" applyBorder="1"/>
    <xf numFmtId="1" fontId="5" fillId="0" borderId="1" xfId="1" applyNumberFormat="1" applyFont="1" applyBorder="1" applyAlignment="1" applyProtection="1">
      <alignment horizontal="center" vertical="center" wrapText="1"/>
      <protection locked="0"/>
    </xf>
    <xf numFmtId="0" fontId="5" fillId="0" borderId="1" xfId="1" applyFont="1" applyBorder="1" applyAlignment="1" applyProtection="1">
      <alignment vertical="top" wrapText="1"/>
      <protection locked="0"/>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0" fontId="5" fillId="0" borderId="1" xfId="1" applyFont="1" applyBorder="1" applyAlignment="1" applyProtection="1">
      <alignment vertical="top" wrapText="1"/>
      <protection locked="0"/>
    </xf>
    <xf numFmtId="2" fontId="6" fillId="0" borderId="0" xfId="1" applyNumberFormat="1" applyFont="1" applyAlignment="1">
      <alignment horizontal="center" vertical="center"/>
    </xf>
    <xf numFmtId="1" fontId="11" fillId="0" borderId="1" xfId="1" applyNumberFormat="1" applyFont="1" applyBorder="1" applyAlignment="1" applyProtection="1">
      <alignment horizontal="center" vertical="center" wrapText="1"/>
      <protection locked="0"/>
    </xf>
    <xf numFmtId="1" fontId="11" fillId="0" borderId="1" xfId="1" applyNumberFormat="1" applyFont="1" applyBorder="1" applyAlignment="1">
      <alignment horizontal="center" vertical="center"/>
    </xf>
    <xf numFmtId="0" fontId="5" fillId="0" borderId="1" xfId="1" applyNumberFormat="1" applyFont="1" applyBorder="1" applyAlignment="1" applyProtection="1">
      <alignment horizontal="center" vertical="center" wrapText="1"/>
      <protection locked="0"/>
    </xf>
    <xf numFmtId="1" fontId="9" fillId="0" borderId="0" xfId="0" applyNumberFormat="1" applyFont="1" applyAlignment="1">
      <alignment horizontal="center" vertical="center"/>
    </xf>
    <xf numFmtId="1" fontId="11" fillId="0" borderId="1" xfId="0" applyNumberFormat="1" applyFont="1" applyBorder="1" applyAlignment="1" applyProtection="1">
      <alignment horizontal="center" vertical="center" wrapText="1"/>
      <protection locked="0"/>
    </xf>
    <xf numFmtId="0" fontId="25" fillId="0" borderId="0" xfId="10"/>
    <xf numFmtId="0" fontId="11" fillId="0" borderId="1"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0" fontId="11" fillId="0" borderId="1" xfId="1" applyFont="1" applyBorder="1" applyAlignment="1" applyProtection="1">
      <alignment horizontal="center" vertical="top"/>
      <protection locked="0"/>
    </xf>
    <xf numFmtId="1" fontId="11" fillId="0" borderId="1" xfId="1" applyNumberFormat="1" applyFont="1" applyBorder="1" applyAlignment="1" applyProtection="1">
      <alignment horizontal="center" vertical="center" wrapText="1"/>
      <protection locked="0"/>
    </xf>
    <xf numFmtId="0" fontId="9" fillId="0" borderId="0" xfId="1" applyFont="1" applyAlignment="1">
      <alignment horizontal="center" vertical="center"/>
    </xf>
    <xf numFmtId="1" fontId="9" fillId="0" borderId="0" xfId="1" applyNumberFormat="1" applyFont="1" applyAlignment="1">
      <alignment horizontal="center" vertical="center"/>
    </xf>
    <xf numFmtId="0" fontId="11" fillId="0" borderId="1" xfId="1" applyFont="1" applyBorder="1" applyAlignment="1" applyProtection="1">
      <alignment vertical="top" wrapText="1"/>
      <protection locked="0"/>
    </xf>
    <xf numFmtId="1" fontId="7" fillId="0" borderId="1" xfId="0" applyNumberFormat="1" applyFont="1" applyBorder="1" applyAlignment="1" applyProtection="1">
      <alignment horizontal="center" vertical="top" wrapText="1"/>
      <protection locked="0"/>
    </xf>
    <xf numFmtId="0" fontId="9"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center"/>
      <protection locked="0"/>
    </xf>
    <xf numFmtId="1" fontId="9" fillId="0" borderId="1" xfId="0" applyNumberFormat="1" applyFont="1" applyBorder="1" applyAlignment="1" applyProtection="1">
      <alignment horizontal="center" vertical="center"/>
      <protection locked="0"/>
    </xf>
    <xf numFmtId="1"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center" wrapText="1"/>
      <protection locked="0"/>
    </xf>
    <xf numFmtId="0" fontId="12" fillId="0" borderId="22"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12" fillId="0" borderId="13"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11" fillId="0" borderId="4" xfId="1" applyFont="1" applyBorder="1" applyAlignment="1" applyProtection="1">
      <alignment horizontal="center" vertical="top" wrapText="1"/>
      <protection locked="0"/>
    </xf>
    <xf numFmtId="0" fontId="11" fillId="0" borderId="5" xfId="1" applyFont="1" applyBorder="1" applyAlignment="1" applyProtection="1">
      <alignment horizontal="center" vertical="top" wrapText="1"/>
      <protection locked="0"/>
    </xf>
    <xf numFmtId="0" fontId="11" fillId="0" borderId="6"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0" fontId="6" fillId="0" borderId="0" xfId="1" applyFont="1" applyAlignment="1">
      <alignment horizontal="center" vertical="center"/>
    </xf>
    <xf numFmtId="1" fontId="7" fillId="0" borderId="1" xfId="1" applyNumberFormat="1" applyFont="1" applyBorder="1" applyAlignment="1" applyProtection="1">
      <alignment horizontal="center" vertical="center" wrapText="1"/>
      <protection locked="0"/>
    </xf>
    <xf numFmtId="1" fontId="12" fillId="0" borderId="8" xfId="1" applyNumberFormat="1" applyFont="1" applyBorder="1" applyAlignment="1" applyProtection="1">
      <alignment horizontal="center" vertical="center" wrapText="1"/>
      <protection locked="0"/>
    </xf>
    <xf numFmtId="1" fontId="12" fillId="0" borderId="21" xfId="1" applyNumberFormat="1" applyFont="1" applyBorder="1" applyAlignment="1" applyProtection="1">
      <alignment horizontal="center" vertical="center" wrapText="1"/>
      <protection locked="0"/>
    </xf>
    <xf numFmtId="1" fontId="12" fillId="0" borderId="9"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11" fillId="0" borderId="8" xfId="1" applyNumberFormat="1" applyFont="1" applyBorder="1" applyAlignment="1" applyProtection="1">
      <alignment horizontal="center" vertical="center" wrapText="1"/>
      <protection locked="0"/>
    </xf>
    <xf numFmtId="1" fontId="11" fillId="0" borderId="9" xfId="1" applyNumberFormat="1" applyFont="1" applyBorder="1" applyAlignment="1" applyProtection="1">
      <alignment horizontal="center" vertical="center" wrapText="1"/>
      <protection locked="0"/>
    </xf>
    <xf numFmtId="1" fontId="5" fillId="0" borderId="21" xfId="1" applyNumberFormat="1" applyFont="1" applyBorder="1" applyAlignment="1" applyProtection="1">
      <alignment horizontal="center" vertical="center" wrapText="1"/>
      <protection locked="0"/>
    </xf>
    <xf numFmtId="1" fontId="5" fillId="0" borderId="3" xfId="0" applyNumberFormat="1" applyFont="1" applyBorder="1" applyAlignment="1" applyProtection="1">
      <alignment horizontal="center" vertical="center" wrapText="1"/>
      <protection locked="0"/>
    </xf>
    <xf numFmtId="1" fontId="5" fillId="0" borderId="16" xfId="0" applyNumberFormat="1" applyFont="1" applyBorder="1" applyAlignment="1" applyProtection="1">
      <alignment horizontal="center" vertical="center" wrapText="1"/>
      <protection locked="0"/>
    </xf>
    <xf numFmtId="0" fontId="6" fillId="0" borderId="25" xfId="1" applyFont="1" applyBorder="1" applyAlignment="1">
      <alignment horizontal="center"/>
    </xf>
    <xf numFmtId="0" fontId="6" fillId="0" borderId="0" xfId="1" applyFont="1" applyAlignment="1">
      <alignment horizontal="center"/>
    </xf>
    <xf numFmtId="167" fontId="11" fillId="0" borderId="1" xfId="9" applyNumberFormat="1" applyFont="1" applyFill="1" applyBorder="1" applyAlignment="1" applyProtection="1">
      <alignment horizontal="left" vertical="top"/>
      <protection locked="0"/>
    </xf>
    <xf numFmtId="0" fontId="12" fillId="0" borderId="1" xfId="1" applyFont="1" applyBorder="1" applyAlignment="1" applyProtection="1">
      <alignment horizontal="center" vertical="top"/>
      <protection locked="0"/>
    </xf>
    <xf numFmtId="0" fontId="5" fillId="0" borderId="1" xfId="1" applyFont="1" applyBorder="1" applyAlignment="1" applyProtection="1">
      <alignment horizontal="left" vertical="top"/>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0" fontId="5" fillId="0" borderId="1" xfId="1" applyFont="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20"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0" fontId="11" fillId="0" borderId="8" xfId="1" applyFont="1" applyBorder="1" applyAlignment="1" applyProtection="1">
      <alignment horizontal="left" vertical="top" wrapText="1"/>
      <protection locked="0"/>
    </xf>
    <xf numFmtId="0" fontId="11" fillId="0" borderId="21" xfId="1" applyFont="1" applyBorder="1" applyAlignment="1" applyProtection="1">
      <alignment horizontal="left" vertical="top" wrapText="1"/>
      <protection locked="0"/>
    </xf>
    <xf numFmtId="0" fontId="11" fillId="0" borderId="9" xfId="1" applyFont="1" applyBorder="1" applyAlignment="1" applyProtection="1">
      <alignment horizontal="left" vertical="top" wrapText="1"/>
      <protection locked="0"/>
    </xf>
    <xf numFmtId="1" fontId="12" fillId="0" borderId="1" xfId="0" applyNumberFormat="1" applyFont="1" applyBorder="1" applyAlignment="1" applyProtection="1">
      <alignment horizontal="left" vertical="top" wrapText="1"/>
      <protection locked="0"/>
    </xf>
    <xf numFmtId="1" fontId="7" fillId="0" borderId="17" xfId="1" applyNumberFormat="1" applyFont="1" applyBorder="1" applyAlignment="1" applyProtection="1">
      <alignment horizontal="center" vertical="top" wrapText="1"/>
      <protection locked="0"/>
    </xf>
    <xf numFmtId="1" fontId="7" fillId="0" borderId="19" xfId="1" applyNumberFormat="1" applyFont="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1" fontId="7" fillId="0" borderId="3" xfId="1" applyNumberFormat="1" applyFont="1" applyBorder="1" applyAlignment="1" applyProtection="1">
      <alignment horizontal="center" vertical="top" wrapText="1"/>
      <protection locked="0"/>
    </xf>
    <xf numFmtId="1" fontId="7" fillId="0" borderId="16" xfId="1" applyNumberFormat="1" applyFont="1" applyBorder="1" applyAlignment="1" applyProtection="1">
      <alignment horizontal="center" vertical="top" wrapText="1"/>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1" fontId="9" fillId="0" borderId="33" xfId="0" applyNumberFormat="1"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wrapText="1"/>
      <protection locked="0"/>
    </xf>
    <xf numFmtId="0" fontId="12" fillId="0" borderId="16" xfId="1" applyFont="1" applyBorder="1" applyAlignment="1" applyProtection="1">
      <alignment horizontal="center" vertical="top"/>
      <protection locked="0"/>
    </xf>
    <xf numFmtId="0" fontId="5" fillId="0" borderId="1" xfId="1" applyFont="1" applyBorder="1" applyAlignment="1" applyProtection="1">
      <alignment vertical="top"/>
      <protection locked="0"/>
    </xf>
    <xf numFmtId="1" fontId="12" fillId="0" borderId="1" xfId="0" applyNumberFormat="1" applyFont="1" applyBorder="1" applyAlignment="1" applyProtection="1">
      <alignment vertical="top" wrapText="1"/>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7" fillId="0" borderId="1" xfId="1" applyFont="1" applyBorder="1" applyAlignment="1" applyProtection="1">
      <alignment horizontal="left" vertical="top"/>
      <protection locked="0"/>
    </xf>
    <xf numFmtId="0" fontId="12" fillId="0" borderId="1" xfId="1" applyFont="1" applyBorder="1" applyAlignment="1" applyProtection="1">
      <alignment vertical="top"/>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14" fillId="0" borderId="1" xfId="1" applyFont="1" applyBorder="1" applyAlignment="1" applyProtection="1">
      <alignment horizontal="left" vertical="top"/>
      <protection locked="0"/>
    </xf>
    <xf numFmtId="14" fontId="11"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left"/>
      <protection locked="0"/>
    </xf>
    <xf numFmtId="0" fontId="11" fillId="0" borderId="1" xfId="1" applyFont="1" applyBorder="1" applyAlignment="1" applyProtection="1">
      <alignment horizontal="center" vertical="top"/>
      <protection locked="0"/>
    </xf>
    <xf numFmtId="164" fontId="11" fillId="0" borderId="1" xfId="1" applyNumberFormat="1" applyFont="1" applyBorder="1" applyAlignment="1" applyProtection="1">
      <alignment horizontal="left" vertical="top"/>
      <protection locked="0"/>
    </xf>
    <xf numFmtId="2" fontId="11" fillId="0" borderId="1" xfId="1" applyNumberFormat="1" applyFont="1" applyBorder="1" applyAlignment="1" applyProtection="1">
      <alignment horizontal="left" vertical="top"/>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25" fillId="0" borderId="1" xfId="10" applyFill="1" applyBorder="1" applyAlignment="1" applyProtection="1">
      <alignment horizontal="left" vertical="top" wrapText="1"/>
      <protection locked="0"/>
    </xf>
    <xf numFmtId="0" fontId="7" fillId="0" borderId="8" xfId="1" applyFont="1" applyBorder="1" applyAlignment="1" applyProtection="1">
      <alignment horizontal="center" vertical="center" wrapText="1"/>
      <protection locked="0"/>
    </xf>
    <xf numFmtId="0" fontId="7" fillId="0" borderId="21" xfId="1" applyFont="1" applyBorder="1" applyAlignment="1" applyProtection="1">
      <alignment horizontal="center" vertical="center" wrapText="1"/>
      <protection locked="0"/>
    </xf>
    <xf numFmtId="0" fontId="7" fillId="0" borderId="9" xfId="1" applyFont="1" applyBorder="1" applyAlignment="1" applyProtection="1">
      <alignment horizontal="center" vertical="center" wrapText="1"/>
      <protection locked="0"/>
    </xf>
    <xf numFmtId="0" fontId="7" fillId="0" borderId="8" xfId="1" applyFont="1" applyBorder="1" applyAlignment="1" applyProtection="1">
      <alignment horizontal="center" vertical="top" wrapText="1"/>
      <protection locked="0"/>
    </xf>
    <xf numFmtId="0" fontId="7" fillId="0" borderId="21" xfId="1" applyFont="1" applyBorder="1" applyAlignment="1" applyProtection="1">
      <alignment horizontal="center" vertical="top" wrapText="1"/>
      <protection locked="0"/>
    </xf>
    <xf numFmtId="0" fontId="7" fillId="0" borderId="9" xfId="1" applyFont="1" applyBorder="1" applyAlignment="1" applyProtection="1">
      <alignment horizontal="center" vertical="top" wrapText="1"/>
      <protection locked="0"/>
    </xf>
    <xf numFmtId="0" fontId="11" fillId="0" borderId="1" xfId="1" applyFont="1" applyBorder="1" applyAlignment="1" applyProtection="1">
      <alignment horizontal="center"/>
      <protection locked="0"/>
    </xf>
    <xf numFmtId="2" fontId="11" fillId="0" borderId="1" xfId="1" applyNumberFormat="1" applyFont="1" applyBorder="1" applyAlignment="1" applyProtection="1">
      <alignment horizontal="left" vertical="top" wrapText="1"/>
      <protection locked="0"/>
    </xf>
    <xf numFmtId="0" fontId="12" fillId="0" borderId="1" xfId="1" applyFont="1" applyBorder="1" applyAlignment="1" applyProtection="1">
      <alignment horizontal="center"/>
      <protection locked="0"/>
    </xf>
    <xf numFmtId="0" fontId="7" fillId="0" borderId="1" xfId="1" applyFont="1" applyBorder="1" applyAlignment="1" applyProtection="1">
      <alignment vertical="top"/>
      <protection locked="0"/>
    </xf>
    <xf numFmtId="14" fontId="5" fillId="0" borderId="1" xfId="1" applyNumberFormat="1" applyFont="1" applyBorder="1" applyAlignment="1" applyProtection="1">
      <alignment horizontal="left" vertical="top" wrapText="1"/>
      <protection locked="0"/>
    </xf>
    <xf numFmtId="0" fontId="11" fillId="0" borderId="25" xfId="1" applyFont="1" applyBorder="1" applyAlignment="1" applyProtection="1">
      <alignment horizontal="left" vertical="top"/>
      <protection locked="0"/>
    </xf>
    <xf numFmtId="0" fontId="11" fillId="0" borderId="0" xfId="1" applyFont="1" applyAlignment="1" applyProtection="1">
      <alignment horizontal="left" vertical="top"/>
      <protection locked="0"/>
    </xf>
    <xf numFmtId="0" fontId="11"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protection locked="0"/>
    </xf>
    <xf numFmtId="0" fontId="11" fillId="0" borderId="24"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5" fillId="0" borderId="1" xfId="1" applyFont="1" applyBorder="1" applyAlignment="1" applyProtection="1">
      <alignment vertical="top" wrapText="1"/>
      <protection locked="0"/>
    </xf>
    <xf numFmtId="14" fontId="11" fillId="0" borderId="8" xfId="1" applyNumberFormat="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1" fontId="5" fillId="0" borderId="17" xfId="1" applyNumberFormat="1" applyFont="1" applyBorder="1" applyAlignment="1" applyProtection="1">
      <alignment horizontal="center" vertical="center" wrapText="1"/>
      <protection locked="0"/>
    </xf>
    <xf numFmtId="1" fontId="5" fillId="0" borderId="24"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1" fontId="5" fillId="0" borderId="25" xfId="1" applyNumberFormat="1" applyFont="1" applyBorder="1" applyAlignment="1" applyProtection="1">
      <alignment horizontal="center" vertical="center" wrapText="1"/>
      <protection locked="0"/>
    </xf>
    <xf numFmtId="1" fontId="5" fillId="0" borderId="0" xfId="1" applyNumberFormat="1" applyFont="1" applyAlignment="1" applyProtection="1">
      <alignment horizontal="center" vertical="center" wrapText="1"/>
      <protection locked="0"/>
    </xf>
    <xf numFmtId="1" fontId="5" fillId="0" borderId="26" xfId="1" applyNumberFormat="1" applyFont="1" applyBorder="1" applyAlignment="1" applyProtection="1">
      <alignment horizontal="center" vertical="center" wrapText="1"/>
      <protection locked="0"/>
    </xf>
    <xf numFmtId="1" fontId="5" fillId="0" borderId="19" xfId="1" applyNumberFormat="1" applyFont="1" applyBorder="1" applyAlignment="1" applyProtection="1">
      <alignment horizontal="center" vertical="center" wrapText="1"/>
      <protection locked="0"/>
    </xf>
    <xf numFmtId="1" fontId="5" fillId="0" borderId="2" xfId="1" applyNumberFormat="1" applyFont="1" applyBorder="1" applyAlignment="1" applyProtection="1">
      <alignment horizontal="center" vertical="center" wrapText="1"/>
      <protection locked="0"/>
    </xf>
    <xf numFmtId="1" fontId="5" fillId="0" borderId="20" xfId="1"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1" fontId="11" fillId="0" borderId="1" xfId="1" applyNumberFormat="1" applyFont="1" applyBorder="1" applyAlignment="1" applyProtection="1">
      <alignment horizontal="center" vertical="center" wrapText="1"/>
      <protection locked="0"/>
    </xf>
    <xf numFmtId="1" fontId="7" fillId="0" borderId="3" xfId="0" applyNumberFormat="1" applyFont="1" applyBorder="1" applyAlignment="1" applyProtection="1">
      <alignment horizontal="center" vertical="center" wrapText="1"/>
      <protection locked="0"/>
    </xf>
    <xf numFmtId="1" fontId="9" fillId="0" borderId="3"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1" fontId="7" fillId="5" borderId="8" xfId="1" applyNumberFormat="1" applyFont="1" applyFill="1" applyBorder="1" applyAlignment="1" applyProtection="1">
      <alignment horizontal="center" vertical="center" wrapText="1"/>
      <protection locked="0"/>
    </xf>
    <xf numFmtId="1" fontId="7" fillId="5" borderId="21" xfId="1" applyNumberFormat="1" applyFont="1" applyFill="1" applyBorder="1" applyAlignment="1" applyProtection="1">
      <alignment horizontal="center" vertical="center" wrapText="1"/>
      <protection locked="0"/>
    </xf>
    <xf numFmtId="1" fontId="7" fillId="5" borderId="9" xfId="1" applyNumberFormat="1" applyFont="1" applyFill="1" applyBorder="1" applyAlignment="1" applyProtection="1">
      <alignment horizontal="center" vertical="center" wrapText="1"/>
      <protection locked="0"/>
    </xf>
    <xf numFmtId="1" fontId="7" fillId="3" borderId="8" xfId="1" applyNumberFormat="1" applyFont="1" applyFill="1" applyBorder="1" applyAlignment="1" applyProtection="1">
      <alignment horizontal="center" vertical="center" wrapText="1"/>
      <protection locked="0"/>
    </xf>
    <xf numFmtId="1" fontId="7" fillId="3" borderId="21" xfId="1" applyNumberFormat="1" applyFont="1" applyFill="1" applyBorder="1" applyAlignment="1" applyProtection="1">
      <alignment horizontal="center" vertical="center" wrapText="1"/>
      <protection locked="0"/>
    </xf>
    <xf numFmtId="1" fontId="7" fillId="3" borderId="9" xfId="1" applyNumberFormat="1" applyFont="1" applyFill="1" applyBorder="1" applyAlignment="1" applyProtection="1">
      <alignment horizontal="center" vertical="center"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12" fillId="0" borderId="35"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36"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0" fontId="11" fillId="0" borderId="25" xfId="1" applyFont="1" applyBorder="1" applyAlignment="1" applyProtection="1">
      <alignment horizontal="left" vertical="top" wrapText="1"/>
      <protection locked="0"/>
    </xf>
    <xf numFmtId="0" fontId="11" fillId="0" borderId="0" xfId="1" applyFont="1" applyAlignment="1" applyProtection="1">
      <alignment horizontal="left" vertical="top" wrapText="1"/>
      <protection locked="0"/>
    </xf>
    <xf numFmtId="0" fontId="11" fillId="0" borderId="2" xfId="1" applyFont="1" applyBorder="1" applyAlignment="1" applyProtection="1">
      <alignment horizontal="left" vertical="top" wrapText="1"/>
      <protection locked="0"/>
    </xf>
    <xf numFmtId="0" fontId="11" fillId="0" borderId="26" xfId="1" applyFont="1" applyBorder="1" applyAlignment="1" applyProtection="1">
      <alignment horizontal="left" vertical="top" wrapText="1"/>
      <protection locked="0"/>
    </xf>
    <xf numFmtId="9" fontId="11" fillId="0" borderId="17" xfId="8" applyFont="1" applyFill="1" applyBorder="1" applyAlignment="1" applyProtection="1">
      <alignment horizontal="center" vertical="center" wrapText="1"/>
      <protection locked="0"/>
    </xf>
    <xf numFmtId="9" fontId="11" fillId="0" borderId="27"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10" xfId="8" applyFont="1" applyFill="1" applyBorder="1" applyAlignment="1" applyProtection="1">
      <alignment horizontal="center" vertical="center" wrapText="1"/>
      <protection locked="0"/>
    </xf>
    <xf numFmtId="9" fontId="11" fillId="0" borderId="28" xfId="8" applyFont="1" applyFill="1" applyBorder="1" applyAlignment="1" applyProtection="1">
      <alignment horizontal="center" vertical="center" wrapText="1"/>
      <protection locked="0"/>
    </xf>
    <xf numFmtId="9" fontId="11" fillId="0" borderId="12" xfId="8" applyFont="1" applyFill="1" applyBorder="1" applyAlignment="1" applyProtection="1">
      <alignment horizontal="center" vertical="center" wrapText="1"/>
      <protection locked="0"/>
    </xf>
    <xf numFmtId="9" fontId="11" fillId="0" borderId="18" xfId="8" applyFont="1" applyFill="1" applyBorder="1" applyAlignment="1" applyProtection="1">
      <alignment horizontal="center" vertical="center" wrapText="1"/>
      <protection locked="0"/>
    </xf>
    <xf numFmtId="9" fontId="11" fillId="0" borderId="26" xfId="8" applyFont="1" applyFill="1" applyBorder="1" applyAlignment="1" applyProtection="1">
      <alignment horizontal="center" vertical="center" wrapText="1"/>
      <protection locked="0"/>
    </xf>
    <xf numFmtId="9" fontId="11" fillId="0" borderId="29" xfId="8" applyFont="1" applyFill="1" applyBorder="1" applyAlignment="1" applyProtection="1">
      <alignment horizontal="center" vertical="center" wrapText="1"/>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9" fontId="6" fillId="0" borderId="1" xfId="8" applyFont="1" applyFill="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167" fontId="14" fillId="0" borderId="1" xfId="9" applyNumberFormat="1" applyFont="1" applyFill="1" applyBorder="1" applyAlignment="1" applyProtection="1">
      <alignment horizontal="left" vertical="top"/>
      <protection locked="0"/>
    </xf>
    <xf numFmtId="0" fontId="7" fillId="0" borderId="16" xfId="1" applyFont="1" applyBorder="1" applyAlignment="1" applyProtection="1">
      <alignment horizontal="left" vertical="top"/>
      <protection locked="0"/>
    </xf>
    <xf numFmtId="1" fontId="5" fillId="0" borderId="34" xfId="0" applyNumberFormat="1" applyFont="1" applyBorder="1" applyAlignment="1" applyProtection="1">
      <alignment horizontal="center" vertical="center" wrapText="1"/>
      <protection locked="0"/>
    </xf>
    <xf numFmtId="1" fontId="7" fillId="3" borderId="1" xfId="1" applyNumberFormat="1" applyFont="1" applyFill="1" applyBorder="1" applyAlignment="1" applyProtection="1">
      <alignment horizontal="center" vertical="center" wrapText="1"/>
      <protection locked="0"/>
    </xf>
    <xf numFmtId="1" fontId="12" fillId="0" borderId="1" xfId="1" applyNumberFormat="1" applyFont="1" applyBorder="1" applyAlignment="1" applyProtection="1">
      <alignment horizontal="center" vertical="center" wrapText="1"/>
      <protection locked="0"/>
    </xf>
    <xf numFmtId="1" fontId="12" fillId="5" borderId="8" xfId="1" applyNumberFormat="1" applyFont="1" applyFill="1" applyBorder="1" applyAlignment="1" applyProtection="1">
      <alignment horizontal="center" vertical="center" wrapText="1"/>
      <protection locked="0"/>
    </xf>
    <xf numFmtId="1" fontId="12" fillId="5" borderId="21" xfId="1" applyNumberFormat="1" applyFont="1" applyFill="1" applyBorder="1" applyAlignment="1" applyProtection="1">
      <alignment horizontal="center" vertical="center" wrapText="1"/>
      <protection locked="0"/>
    </xf>
    <xf numFmtId="1" fontId="12" fillId="5" borderId="9" xfId="1" applyNumberFormat="1" applyFont="1" applyFill="1" applyBorder="1" applyAlignment="1" applyProtection="1">
      <alignment horizontal="center" vertical="center" wrapText="1"/>
      <protection locked="0"/>
    </xf>
    <xf numFmtId="0" fontId="6" fillId="0" borderId="0" xfId="1" applyFont="1" applyAlignment="1">
      <alignment horizontal="center" vertical="top" wrapText="1"/>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pn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png"/><Relationship Id="rId29" Type="http://schemas.openxmlformats.org/officeDocument/2006/relationships/image" Target="../media/image29.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pn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png"/><Relationship Id="rId28" Type="http://schemas.openxmlformats.org/officeDocument/2006/relationships/image" Target="../media/image28.jpeg"/><Relationship Id="rId10" Type="http://schemas.openxmlformats.org/officeDocument/2006/relationships/image" Target="../media/image10.jpeg"/><Relationship Id="rId19" Type="http://schemas.openxmlformats.org/officeDocument/2006/relationships/image" Target="../media/image19.png"/><Relationship Id="rId31" Type="http://schemas.openxmlformats.org/officeDocument/2006/relationships/image" Target="../media/image31.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png"/><Relationship Id="rId27" Type="http://schemas.openxmlformats.org/officeDocument/2006/relationships/image" Target="../media/image27.jpeg"/><Relationship Id="rId30" Type="http://schemas.openxmlformats.org/officeDocument/2006/relationships/image" Target="../media/image30.jpeg"/><Relationship Id="rId8" Type="http://schemas.openxmlformats.org/officeDocument/2006/relationships/image" Target="../media/image8.png"/></Relationships>
</file>

<file path=xl/drawings/_rels/drawing2.xml.rels><?xml version="1.0" encoding="UTF-8" standalone="yes"?>
<Relationships xmlns="http://schemas.openxmlformats.org/package/2006/relationships"><Relationship Id="rId3" Type="http://schemas.openxmlformats.org/officeDocument/2006/relationships/image" Target="../media/image38.png"/><Relationship Id="rId2" Type="http://schemas.openxmlformats.org/officeDocument/2006/relationships/image" Target="../media/image37.png"/><Relationship Id="rId1" Type="http://schemas.openxmlformats.org/officeDocument/2006/relationships/image" Target="../media/image36.jpeg"/><Relationship Id="rId4" Type="http://schemas.openxmlformats.org/officeDocument/2006/relationships/image" Target="../media/image39.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5.png"/><Relationship Id="rId1" Type="http://schemas.openxmlformats.org/officeDocument/2006/relationships/image" Target="../media/image34.png"/></Relationships>
</file>

<file path=xl/drawings/drawing1.xml><?xml version="1.0" encoding="utf-8"?>
<xdr:wsDr xmlns:xdr="http://schemas.openxmlformats.org/drawingml/2006/spreadsheetDrawing" xmlns:a="http://schemas.openxmlformats.org/drawingml/2006/main">
  <xdr:twoCellAnchor editAs="oneCell">
    <xdr:from>
      <xdr:col>8</xdr:col>
      <xdr:colOff>745752</xdr:colOff>
      <xdr:row>12</xdr:row>
      <xdr:rowOff>439270</xdr:rowOff>
    </xdr:from>
    <xdr:to>
      <xdr:col>14</xdr:col>
      <xdr:colOff>491381</xdr:colOff>
      <xdr:row>21</xdr:row>
      <xdr:rowOff>117189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054664" y="3050241"/>
          <a:ext cx="4933952" cy="2894007"/>
        </a:xfrm>
        <a:prstGeom prst="rect">
          <a:avLst/>
        </a:prstGeom>
      </xdr:spPr>
    </xdr:pic>
    <xdr:clientData/>
  </xdr:twoCellAnchor>
  <xdr:twoCellAnchor editAs="oneCell">
    <xdr:from>
      <xdr:col>10</xdr:col>
      <xdr:colOff>527237</xdr:colOff>
      <xdr:row>150</xdr:row>
      <xdr:rowOff>169769</xdr:rowOff>
    </xdr:from>
    <xdr:to>
      <xdr:col>17</xdr:col>
      <xdr:colOff>311990</xdr:colOff>
      <xdr:row>156</xdr:row>
      <xdr:rowOff>363488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8763561" y="38762828"/>
          <a:ext cx="5242017" cy="1170312"/>
        </a:xfrm>
        <a:prstGeom prst="rect">
          <a:avLst/>
        </a:prstGeom>
      </xdr:spPr>
    </xdr:pic>
    <xdr:clientData/>
  </xdr:twoCellAnchor>
  <xdr:twoCellAnchor editAs="oneCell">
    <xdr:from>
      <xdr:col>9</xdr:col>
      <xdr:colOff>209550</xdr:colOff>
      <xdr:row>158</xdr:row>
      <xdr:rowOff>66675</xdr:rowOff>
    </xdr:from>
    <xdr:to>
      <xdr:col>14</xdr:col>
      <xdr:colOff>28095</xdr:colOff>
      <xdr:row>159</xdr:row>
      <xdr:rowOff>180913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7686675" y="37137975"/>
          <a:ext cx="3838095" cy="514286"/>
        </a:xfrm>
        <a:prstGeom prst="rect">
          <a:avLst/>
        </a:prstGeom>
      </xdr:spPr>
    </xdr:pic>
    <xdr:clientData/>
  </xdr:twoCellAnchor>
  <xdr:twoCellAnchor editAs="oneCell">
    <xdr:from>
      <xdr:col>9</xdr:col>
      <xdr:colOff>161925</xdr:colOff>
      <xdr:row>161</xdr:row>
      <xdr:rowOff>76200</xdr:rowOff>
    </xdr:from>
    <xdr:to>
      <xdr:col>13</xdr:col>
      <xdr:colOff>466289</xdr:colOff>
      <xdr:row>163</xdr:row>
      <xdr:rowOff>95200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7639050" y="37747575"/>
          <a:ext cx="3485714" cy="419048"/>
        </a:xfrm>
        <a:prstGeom prst="rect">
          <a:avLst/>
        </a:prstGeom>
      </xdr:spPr>
    </xdr:pic>
    <xdr:clientData/>
  </xdr:twoCellAnchor>
  <xdr:twoCellAnchor editAs="oneCell">
    <xdr:from>
      <xdr:col>1</xdr:col>
      <xdr:colOff>386444</xdr:colOff>
      <xdr:row>602</xdr:row>
      <xdr:rowOff>23542</xdr:rowOff>
    </xdr:from>
    <xdr:to>
      <xdr:col>6</xdr:col>
      <xdr:colOff>115063</xdr:colOff>
      <xdr:row>618</xdr:row>
      <xdr:rowOff>230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1148444" y="129454685"/>
          <a:ext cx="3810762" cy="3240000"/>
        </a:xfrm>
        <a:prstGeom prst="rect">
          <a:avLst/>
        </a:prstGeom>
        <a:ln>
          <a:solidFill>
            <a:schemeClr val="tx1"/>
          </a:solidFill>
        </a:ln>
      </xdr:spPr>
    </xdr:pic>
    <xdr:clientData/>
  </xdr:twoCellAnchor>
  <xdr:twoCellAnchor>
    <xdr:from>
      <xdr:col>1</xdr:col>
      <xdr:colOff>449036</xdr:colOff>
      <xdr:row>618</xdr:row>
      <xdr:rowOff>176894</xdr:rowOff>
    </xdr:from>
    <xdr:to>
      <xdr:col>6</xdr:col>
      <xdr:colOff>13340</xdr:colOff>
      <xdr:row>642</xdr:row>
      <xdr:rowOff>184150</xdr:rowOff>
    </xdr:to>
    <xdr:grpSp>
      <xdr:nvGrpSpPr>
        <xdr:cNvPr id="27" name="Group 26">
          <a:extLst>
            <a:ext uri="{FF2B5EF4-FFF2-40B4-BE49-F238E27FC236}">
              <a16:creationId xmlns:a16="http://schemas.microsoft.com/office/drawing/2014/main" id="{00000000-0008-0000-0000-00001B000000}"/>
            </a:ext>
          </a:extLst>
        </xdr:cNvPr>
        <xdr:cNvGrpSpPr/>
      </xdr:nvGrpSpPr>
      <xdr:grpSpPr>
        <a:xfrm>
          <a:off x="1211036" y="137994119"/>
          <a:ext cx="3650529" cy="4807856"/>
          <a:chOff x="1211036" y="132873751"/>
          <a:chExt cx="3646447" cy="5065259"/>
        </a:xfrm>
      </xdr:grpSpPr>
      <xdr:grpSp>
        <xdr:nvGrpSpPr>
          <xdr:cNvPr id="22" name="Group 21">
            <a:extLst>
              <a:ext uri="{FF2B5EF4-FFF2-40B4-BE49-F238E27FC236}">
                <a16:creationId xmlns:a16="http://schemas.microsoft.com/office/drawing/2014/main" id="{00000000-0008-0000-0000-000016000000}"/>
              </a:ext>
            </a:extLst>
          </xdr:cNvPr>
          <xdr:cNvGrpSpPr/>
        </xdr:nvGrpSpPr>
        <xdr:grpSpPr>
          <a:xfrm>
            <a:off x="1211036" y="132873751"/>
            <a:ext cx="3646447" cy="5065259"/>
            <a:chOff x="1183822" y="132846536"/>
            <a:chExt cx="3646447" cy="5065259"/>
          </a:xfrm>
        </xdr:grpSpPr>
        <xdr:grpSp>
          <xdr:nvGrpSpPr>
            <xdr:cNvPr id="12" name="Group 11">
              <a:extLst>
                <a:ext uri="{FF2B5EF4-FFF2-40B4-BE49-F238E27FC236}">
                  <a16:creationId xmlns:a16="http://schemas.microsoft.com/office/drawing/2014/main" id="{00000000-0008-0000-0000-00000C000000}"/>
                </a:ext>
              </a:extLst>
            </xdr:cNvPr>
            <xdr:cNvGrpSpPr/>
          </xdr:nvGrpSpPr>
          <xdr:grpSpPr>
            <a:xfrm>
              <a:off x="1183822" y="132846536"/>
              <a:ext cx="3646447" cy="5065259"/>
              <a:chOff x="1183822" y="132846536"/>
              <a:chExt cx="3646447" cy="5065259"/>
            </a:xfrm>
          </xdr:grpSpPr>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stretch>
                <a:fillRect/>
              </a:stretch>
            </xdr:blipFill>
            <xdr:spPr>
              <a:xfrm rot="16200000">
                <a:off x="507663" y="133589189"/>
                <a:ext cx="5045212" cy="3600000"/>
              </a:xfrm>
              <a:prstGeom prst="rect">
                <a:avLst/>
              </a:prstGeom>
              <a:ln>
                <a:solidFill>
                  <a:schemeClr val="tx1"/>
                </a:solidFill>
              </a:ln>
            </xdr:spPr>
          </xdr:pic>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flipV="1">
                <a:off x="1347107" y="133227536"/>
                <a:ext cx="0" cy="46264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1183822" y="132846536"/>
                <a:ext cx="544285" cy="4218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400" b="1">
                    <a:solidFill>
                      <a:srgbClr val="FF0000"/>
                    </a:solidFill>
                  </a:rPr>
                  <a:t>N</a:t>
                </a:r>
              </a:p>
            </xdr:txBody>
          </xdr:sp>
        </xdr:grpSp>
        <xdr:sp macro="" textlink="">
          <xdr:nvSpPr>
            <xdr:cNvPr id="13" name="Rectangle 12">
              <a:extLst>
                <a:ext uri="{FF2B5EF4-FFF2-40B4-BE49-F238E27FC236}">
                  <a16:creationId xmlns:a16="http://schemas.microsoft.com/office/drawing/2014/main" id="{00000000-0008-0000-0000-00000D000000}"/>
                </a:ext>
              </a:extLst>
            </xdr:cNvPr>
            <xdr:cNvSpPr/>
          </xdr:nvSpPr>
          <xdr:spPr>
            <a:xfrm>
              <a:off x="1973036" y="135363857"/>
              <a:ext cx="938893" cy="16600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4" name="Rectangle 13">
              <a:extLst>
                <a:ext uri="{FF2B5EF4-FFF2-40B4-BE49-F238E27FC236}">
                  <a16:creationId xmlns:a16="http://schemas.microsoft.com/office/drawing/2014/main" id="{00000000-0008-0000-0000-00000E000000}"/>
                </a:ext>
              </a:extLst>
            </xdr:cNvPr>
            <xdr:cNvSpPr/>
          </xdr:nvSpPr>
          <xdr:spPr>
            <a:xfrm>
              <a:off x="3565071" y="135363857"/>
              <a:ext cx="884466" cy="179614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1932214" y="135527143"/>
              <a:ext cx="126546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solidFill>
                    <a:srgbClr val="FF0000"/>
                  </a:solidFill>
                </a:rPr>
                <a:t>Towe</a:t>
              </a:r>
              <a:r>
                <a:rPr lang="en-IN" sz="1800" b="1" baseline="0">
                  <a:solidFill>
                    <a:srgbClr val="FF0000"/>
                  </a:solidFill>
                </a:rPr>
                <a:t>r 1</a:t>
              </a:r>
              <a:endParaRPr lang="en-IN" sz="1800" b="1">
                <a:solidFill>
                  <a:srgbClr val="FF0000"/>
                </a:solidFill>
              </a:endParaRPr>
            </a:p>
          </xdr:txBody>
        </xdr:sp>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3537857" y="135431893"/>
              <a:ext cx="126546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solidFill>
                    <a:srgbClr val="FF0000"/>
                  </a:solidFill>
                </a:rPr>
                <a:t>Towe</a:t>
              </a:r>
              <a:r>
                <a:rPr lang="en-IN" sz="1800" b="1" baseline="0">
                  <a:solidFill>
                    <a:srgbClr val="FF0000"/>
                  </a:solidFill>
                </a:rPr>
                <a:t>r 2</a:t>
              </a:r>
              <a:endParaRPr lang="en-IN" sz="1800" b="1">
                <a:solidFill>
                  <a:srgbClr val="FF0000"/>
                </a:solidFill>
              </a:endParaRPr>
            </a:p>
          </xdr:txBody>
        </xdr:sp>
        <xdr:sp macro="" textlink="">
          <xdr:nvSpPr>
            <xdr:cNvPr id="17" name="Rectangle 16">
              <a:extLst>
                <a:ext uri="{FF2B5EF4-FFF2-40B4-BE49-F238E27FC236}">
                  <a16:creationId xmlns:a16="http://schemas.microsoft.com/office/drawing/2014/main" id="{00000000-0008-0000-0000-000011000000}"/>
                </a:ext>
              </a:extLst>
            </xdr:cNvPr>
            <xdr:cNvSpPr/>
          </xdr:nvSpPr>
          <xdr:spPr>
            <a:xfrm>
              <a:off x="1728108" y="133635750"/>
              <a:ext cx="1061356" cy="1469571"/>
            </a:xfrm>
            <a:prstGeom prst="rect">
              <a:avLst/>
            </a:prstGeom>
            <a:noFill/>
            <a:ln w="381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8" name="Rectangle 17">
              <a:extLst>
                <a:ext uri="{FF2B5EF4-FFF2-40B4-BE49-F238E27FC236}">
                  <a16:creationId xmlns:a16="http://schemas.microsoft.com/office/drawing/2014/main" id="{00000000-0008-0000-0000-000012000000}"/>
                </a:ext>
              </a:extLst>
            </xdr:cNvPr>
            <xdr:cNvSpPr/>
          </xdr:nvSpPr>
          <xdr:spPr>
            <a:xfrm>
              <a:off x="3388179" y="133635750"/>
              <a:ext cx="1061356" cy="1469571"/>
            </a:xfrm>
            <a:prstGeom prst="rect">
              <a:avLst/>
            </a:prstGeom>
            <a:noFill/>
            <a:ln w="381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3473725" y="133270257"/>
              <a:ext cx="126546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solidFill>
                    <a:srgbClr val="002060"/>
                  </a:solidFill>
                </a:rPr>
                <a:t>Wing</a:t>
              </a:r>
              <a:r>
                <a:rPr lang="en-IN" sz="1800" b="1" baseline="0">
                  <a:solidFill>
                    <a:srgbClr val="002060"/>
                  </a:solidFill>
                </a:rPr>
                <a:t> A</a:t>
              </a:r>
              <a:endParaRPr lang="en-IN" sz="1800" b="1">
                <a:solidFill>
                  <a:srgbClr val="002060"/>
                </a:solidFill>
              </a:endParaRPr>
            </a:p>
          </xdr:txBody>
        </xdr:sp>
        <xdr:sp macro="" textlink="">
          <xdr:nvSpPr>
            <xdr:cNvPr id="21" name="TextBox 20">
              <a:extLst>
                <a:ext uri="{FF2B5EF4-FFF2-40B4-BE49-F238E27FC236}">
                  <a16:creationId xmlns:a16="http://schemas.microsoft.com/office/drawing/2014/main" id="{00000000-0008-0000-0000-000015000000}"/>
                </a:ext>
              </a:extLst>
            </xdr:cNvPr>
            <xdr:cNvSpPr txBox="1"/>
          </xdr:nvSpPr>
          <xdr:spPr>
            <a:xfrm>
              <a:off x="1823359" y="133281965"/>
              <a:ext cx="126546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solidFill>
                    <a:srgbClr val="002060"/>
                  </a:solidFill>
                </a:rPr>
                <a:t>Wing</a:t>
              </a:r>
              <a:r>
                <a:rPr lang="en-IN" sz="1800" b="1" baseline="0">
                  <a:solidFill>
                    <a:srgbClr val="002060"/>
                  </a:solidFill>
                </a:rPr>
                <a:t> B</a:t>
              </a:r>
              <a:endParaRPr lang="en-IN" sz="1800" b="1">
                <a:solidFill>
                  <a:srgbClr val="002060"/>
                </a:solidFill>
              </a:endParaRPr>
            </a:p>
          </xdr:txBody>
        </xdr:sp>
      </xdr:grpSp>
      <xdr:sp macro="" textlink="">
        <xdr:nvSpPr>
          <xdr:cNvPr id="23" name="Rectangle 22">
            <a:extLst>
              <a:ext uri="{FF2B5EF4-FFF2-40B4-BE49-F238E27FC236}">
                <a16:creationId xmlns:a16="http://schemas.microsoft.com/office/drawing/2014/main" id="{00000000-0008-0000-0000-000017000000}"/>
              </a:ext>
            </a:extLst>
          </xdr:cNvPr>
          <xdr:cNvSpPr/>
        </xdr:nvSpPr>
        <xdr:spPr>
          <a:xfrm>
            <a:off x="1646464" y="133350000"/>
            <a:ext cx="3007179" cy="1877786"/>
          </a:xfrm>
          <a:prstGeom prst="rect">
            <a:avLst/>
          </a:prstGeom>
          <a:no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2190750" y="132955393"/>
            <a:ext cx="174171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solidFill>
                  <a:srgbClr val="002060"/>
                </a:solidFill>
              </a:rPr>
              <a:t>Rehab</a:t>
            </a:r>
            <a:r>
              <a:rPr lang="en-IN" sz="1800" b="1" baseline="0">
                <a:solidFill>
                  <a:srgbClr val="002060"/>
                </a:solidFill>
              </a:rPr>
              <a:t> Sale Bldg</a:t>
            </a:r>
            <a:endParaRPr lang="en-IN" sz="1800" b="1">
              <a:solidFill>
                <a:srgbClr val="002060"/>
              </a:solidFill>
            </a:endParaRPr>
          </a:p>
        </xdr:txBody>
      </xdr:sp>
      <xdr:sp macro="" textlink="">
        <xdr:nvSpPr>
          <xdr:cNvPr id="25" name="Rectangle 24">
            <a:extLst>
              <a:ext uri="{FF2B5EF4-FFF2-40B4-BE49-F238E27FC236}">
                <a16:creationId xmlns:a16="http://schemas.microsoft.com/office/drawing/2014/main" id="{00000000-0008-0000-0000-000019000000}"/>
              </a:ext>
            </a:extLst>
          </xdr:cNvPr>
          <xdr:cNvSpPr/>
        </xdr:nvSpPr>
        <xdr:spPr>
          <a:xfrm>
            <a:off x="1796142" y="135295821"/>
            <a:ext cx="2816679" cy="20002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6" name="TextBox 25">
            <a:extLst>
              <a:ext uri="{FF2B5EF4-FFF2-40B4-BE49-F238E27FC236}">
                <a16:creationId xmlns:a16="http://schemas.microsoft.com/office/drawing/2014/main" id="{00000000-0008-0000-0000-00001A000000}"/>
              </a:ext>
            </a:extLst>
          </xdr:cNvPr>
          <xdr:cNvSpPr txBox="1"/>
        </xdr:nvSpPr>
        <xdr:spPr>
          <a:xfrm>
            <a:off x="2537902" y="137046411"/>
            <a:ext cx="174171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baseline="0">
                <a:solidFill>
                  <a:srgbClr val="FF0000"/>
                </a:solidFill>
              </a:rPr>
              <a:t>Sale Tower</a:t>
            </a:r>
            <a:endParaRPr lang="en-IN" sz="1800" b="1">
              <a:solidFill>
                <a:srgbClr val="FF0000"/>
              </a:solidFill>
            </a:endParaRPr>
          </a:p>
        </xdr:txBody>
      </xdr:sp>
    </xdr:grpSp>
    <xdr:clientData/>
  </xdr:twoCellAnchor>
  <xdr:twoCellAnchor>
    <xdr:from>
      <xdr:col>9</xdr:col>
      <xdr:colOff>0</xdr:colOff>
      <xdr:row>524</xdr:row>
      <xdr:rowOff>0</xdr:rowOff>
    </xdr:from>
    <xdr:to>
      <xdr:col>9</xdr:col>
      <xdr:colOff>785297</xdr:colOff>
      <xdr:row>526</xdr:row>
      <xdr:rowOff>12700</xdr:rowOff>
    </xdr:to>
    <xdr:sp macro="" textlink="">
      <xdr:nvSpPr>
        <xdr:cNvPr id="62" name="TextBox 61">
          <a:extLst>
            <a:ext uri="{FF2B5EF4-FFF2-40B4-BE49-F238E27FC236}">
              <a16:creationId xmlns:a16="http://schemas.microsoft.com/office/drawing/2014/main" id="{00000000-0008-0000-0000-000028000000}"/>
            </a:ext>
          </a:extLst>
        </xdr:cNvPr>
        <xdr:cNvSpPr txBox="1"/>
      </xdr:nvSpPr>
      <xdr:spPr>
        <a:xfrm>
          <a:off x="7842250" y="122682000"/>
          <a:ext cx="785297" cy="406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0" cap="none" spc="0">
              <a:ln w="0"/>
              <a:solidFill>
                <a:srgbClr val="FFFF00"/>
              </a:solidFill>
              <a:effectLst>
                <a:outerShdw blurRad="38100" dist="25400" dir="5400000" algn="ctr" rotWithShape="0">
                  <a:srgbClr val="6E747A">
                    <a:alpha val="43000"/>
                  </a:srgbClr>
                </a:outerShdw>
              </a:effectLst>
            </a:rPr>
            <a:t>Tower 1</a:t>
          </a:r>
        </a:p>
      </xdr:txBody>
    </xdr:sp>
    <xdr:clientData/>
  </xdr:twoCellAnchor>
  <xdr:twoCellAnchor editAs="oneCell">
    <xdr:from>
      <xdr:col>8</xdr:col>
      <xdr:colOff>786092</xdr:colOff>
      <xdr:row>16</xdr:row>
      <xdr:rowOff>336736</xdr:rowOff>
    </xdr:from>
    <xdr:to>
      <xdr:col>15</xdr:col>
      <xdr:colOff>573427</xdr:colOff>
      <xdr:row>23</xdr:row>
      <xdr:rowOff>183479</xdr:rowOff>
    </xdr:to>
    <xdr:pic>
      <xdr:nvPicPr>
        <xdr:cNvPr id="19" name="Picture 18"/>
        <xdr:cNvPicPr>
          <a:picLocks noChangeAspect="1"/>
        </xdr:cNvPicPr>
      </xdr:nvPicPr>
      <xdr:blipFill>
        <a:blip xmlns:r="http://schemas.openxmlformats.org/officeDocument/2006/relationships" r:embed="rId7"/>
        <a:stretch>
          <a:fillRect/>
        </a:stretch>
      </xdr:blipFill>
      <xdr:spPr>
        <a:xfrm>
          <a:off x="7095004" y="4751854"/>
          <a:ext cx="5782482" cy="1863801"/>
        </a:xfrm>
        <a:prstGeom prst="rect">
          <a:avLst/>
        </a:prstGeom>
      </xdr:spPr>
    </xdr:pic>
    <xdr:clientData/>
  </xdr:twoCellAnchor>
  <xdr:twoCellAnchor editAs="oneCell">
    <xdr:from>
      <xdr:col>9</xdr:col>
      <xdr:colOff>0</xdr:colOff>
      <xdr:row>161</xdr:row>
      <xdr:rowOff>78442</xdr:rowOff>
    </xdr:from>
    <xdr:to>
      <xdr:col>20</xdr:col>
      <xdr:colOff>46545</xdr:colOff>
      <xdr:row>173</xdr:row>
      <xdr:rowOff>96714</xdr:rowOff>
    </xdr:to>
    <xdr:pic>
      <xdr:nvPicPr>
        <xdr:cNvPr id="47" name="Picture 46"/>
        <xdr:cNvPicPr>
          <a:picLocks noChangeAspect="1"/>
        </xdr:cNvPicPr>
      </xdr:nvPicPr>
      <xdr:blipFill>
        <a:blip xmlns:r="http://schemas.openxmlformats.org/officeDocument/2006/relationships" r:embed="rId8"/>
        <a:stretch>
          <a:fillRect/>
        </a:stretch>
      </xdr:blipFill>
      <xdr:spPr>
        <a:xfrm>
          <a:off x="7474324" y="41506589"/>
          <a:ext cx="8316486" cy="2438742"/>
        </a:xfrm>
        <a:prstGeom prst="rect">
          <a:avLst/>
        </a:prstGeom>
      </xdr:spPr>
    </xdr:pic>
    <xdr:clientData/>
  </xdr:twoCellAnchor>
  <xdr:twoCellAnchor editAs="oneCell">
    <xdr:from>
      <xdr:col>10</xdr:col>
      <xdr:colOff>263338</xdr:colOff>
      <xdr:row>120</xdr:row>
      <xdr:rowOff>106456</xdr:rowOff>
    </xdr:from>
    <xdr:to>
      <xdr:col>17</xdr:col>
      <xdr:colOff>479283</xdr:colOff>
      <xdr:row>134</xdr:row>
      <xdr:rowOff>140472</xdr:rowOff>
    </xdr:to>
    <xdr:pic>
      <xdr:nvPicPr>
        <xdr:cNvPr id="58" name="Picture 57"/>
        <xdr:cNvPicPr>
          <a:picLocks noChangeAspect="1"/>
        </xdr:cNvPicPr>
      </xdr:nvPicPr>
      <xdr:blipFill>
        <a:blip xmlns:r="http://schemas.openxmlformats.org/officeDocument/2006/relationships" r:embed="rId9"/>
        <a:stretch>
          <a:fillRect/>
        </a:stretch>
      </xdr:blipFill>
      <xdr:spPr>
        <a:xfrm>
          <a:off x="8502463" y="34758406"/>
          <a:ext cx="5673770" cy="2832686"/>
        </a:xfrm>
        <a:prstGeom prst="rect">
          <a:avLst/>
        </a:prstGeom>
      </xdr:spPr>
    </xdr:pic>
    <xdr:clientData/>
  </xdr:twoCellAnchor>
  <xdr:twoCellAnchor editAs="oneCell">
    <xdr:from>
      <xdr:col>9</xdr:col>
      <xdr:colOff>212910</xdr:colOff>
      <xdr:row>156</xdr:row>
      <xdr:rowOff>291353</xdr:rowOff>
    </xdr:from>
    <xdr:to>
      <xdr:col>16</xdr:col>
      <xdr:colOff>276455</xdr:colOff>
      <xdr:row>168</xdr:row>
      <xdr:rowOff>106293</xdr:rowOff>
    </xdr:to>
    <xdr:pic>
      <xdr:nvPicPr>
        <xdr:cNvPr id="59" name="Picture 58"/>
        <xdr:cNvPicPr>
          <a:picLocks noChangeAspect="1"/>
        </xdr:cNvPicPr>
      </xdr:nvPicPr>
      <xdr:blipFill>
        <a:blip xmlns:r="http://schemas.openxmlformats.org/officeDocument/2006/relationships" r:embed="rId9"/>
        <a:stretch>
          <a:fillRect/>
        </a:stretch>
      </xdr:blipFill>
      <xdr:spPr>
        <a:xfrm>
          <a:off x="7687234" y="40094647"/>
          <a:ext cx="5677692" cy="2851734"/>
        </a:xfrm>
        <a:prstGeom prst="rect">
          <a:avLst/>
        </a:prstGeom>
      </xdr:spPr>
    </xdr:pic>
    <xdr:clientData/>
  </xdr:twoCellAnchor>
  <xdr:twoCellAnchor>
    <xdr:from>
      <xdr:col>9</xdr:col>
      <xdr:colOff>545647</xdr:colOff>
      <xdr:row>558</xdr:row>
      <xdr:rowOff>56605</xdr:rowOff>
    </xdr:from>
    <xdr:to>
      <xdr:col>17</xdr:col>
      <xdr:colOff>396313</xdr:colOff>
      <xdr:row>597</xdr:row>
      <xdr:rowOff>4083</xdr:rowOff>
    </xdr:to>
    <xdr:grpSp>
      <xdr:nvGrpSpPr>
        <xdr:cNvPr id="8" name="Group 7"/>
        <xdr:cNvGrpSpPr/>
      </xdr:nvGrpSpPr>
      <xdr:grpSpPr>
        <a:xfrm>
          <a:off x="8022772" y="125872330"/>
          <a:ext cx="6070491" cy="7748453"/>
          <a:chOff x="191087" y="126549003"/>
          <a:chExt cx="5705186" cy="7429443"/>
        </a:xfrm>
      </xdr:grpSpPr>
      <xdr:grpSp>
        <xdr:nvGrpSpPr>
          <xdr:cNvPr id="60" name="Group 59"/>
          <xdr:cNvGrpSpPr/>
        </xdr:nvGrpSpPr>
        <xdr:grpSpPr>
          <a:xfrm>
            <a:off x="191087" y="126549003"/>
            <a:ext cx="5607713" cy="7429443"/>
            <a:chOff x="496517" y="1747315"/>
            <a:chExt cx="5326005" cy="6364315"/>
          </a:xfrm>
        </xdr:grpSpPr>
        <xdr:pic>
          <xdr:nvPicPr>
            <xdr:cNvPr id="61" name="Picture 60" descr="https://vsjcllp.vsjadon.com/upload/insp-240791-1525.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784046" y="6617341"/>
              <a:ext cx="1119550" cy="149428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3" name="Picture 62" descr="https://vsjcllp.vsjadon.com/upload/insp-240791-843.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496517" y="1747316"/>
              <a:ext cx="3349236" cy="251425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4" name="Picture 63" descr="https://vsjcllp.vsjadon.com/upload/insp-240791-849.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338527" y="6609518"/>
              <a:ext cx="1119550" cy="149428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5" name="Picture 64" descr="https://vsjcllp.vsjadon.com/upload/insp-240791-851.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4161326" y="4364163"/>
              <a:ext cx="1647089" cy="219840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3" name="Picture 72" descr="https://vsjcllp.vsjadon.com/upload/insp-240791-862.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938794" y="1747315"/>
              <a:ext cx="1883728" cy="251425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4" name="Picture 73" descr="https://vsjcllp.vsjadon.com/upload/insp-240791-877.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2428721" y="4356342"/>
              <a:ext cx="1647089" cy="219840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5" name="Picture 74" descr="https://vsjcllp.vsjadon.com/upload/insp-240791-1022.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682847" y="4366478"/>
              <a:ext cx="1647089" cy="219840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6" name="Picture 75" descr="https://vsjcllp.vsjadon.com/upload/insp-240791-1512.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554910" y="6617340"/>
              <a:ext cx="1119550" cy="149428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51" name="TextBox 50">
            <a:extLst>
              <a:ext uri="{FF2B5EF4-FFF2-40B4-BE49-F238E27FC236}">
                <a16:creationId xmlns:a16="http://schemas.microsoft.com/office/drawing/2014/main" id="{00000000-0008-0000-0000-000014000000}"/>
              </a:ext>
            </a:extLst>
          </xdr:cNvPr>
          <xdr:cNvSpPr txBox="1"/>
        </xdr:nvSpPr>
        <xdr:spPr>
          <a:xfrm>
            <a:off x="4628030" y="128665941"/>
            <a:ext cx="1268243" cy="364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solidFill>
                  <a:schemeClr val="bg1"/>
                </a:solidFill>
              </a:rPr>
              <a:t>Tower 1</a:t>
            </a:r>
          </a:p>
        </xdr:txBody>
      </xdr:sp>
      <xdr:sp macro="" textlink="">
        <xdr:nvSpPr>
          <xdr:cNvPr id="55" name="TextBox 54">
            <a:extLst>
              <a:ext uri="{FF2B5EF4-FFF2-40B4-BE49-F238E27FC236}">
                <a16:creationId xmlns:a16="http://schemas.microsoft.com/office/drawing/2014/main" id="{00000000-0008-0000-0000-000014000000}"/>
              </a:ext>
            </a:extLst>
          </xdr:cNvPr>
          <xdr:cNvSpPr txBox="1"/>
        </xdr:nvSpPr>
        <xdr:spPr>
          <a:xfrm>
            <a:off x="2859931" y="130876090"/>
            <a:ext cx="723525" cy="364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solidFill>
                  <a:srgbClr val="00B0F0"/>
                </a:solidFill>
              </a:rPr>
              <a:t>A</a:t>
            </a:r>
          </a:p>
        </xdr:txBody>
      </xdr:sp>
    </xdr:grpSp>
    <xdr:clientData/>
  </xdr:twoCellAnchor>
  <xdr:twoCellAnchor editAs="oneCell">
    <xdr:from>
      <xdr:col>8</xdr:col>
      <xdr:colOff>628650</xdr:colOff>
      <xdr:row>0</xdr:row>
      <xdr:rowOff>66675</xdr:rowOff>
    </xdr:from>
    <xdr:to>
      <xdr:col>12</xdr:col>
      <xdr:colOff>248093</xdr:colOff>
      <xdr:row>12</xdr:row>
      <xdr:rowOff>524300</xdr:rowOff>
    </xdr:to>
    <xdr:pic>
      <xdr:nvPicPr>
        <xdr:cNvPr id="29" name="Picture 28"/>
        <xdr:cNvPicPr>
          <a:picLocks noChangeAspect="1"/>
        </xdr:cNvPicPr>
      </xdr:nvPicPr>
      <xdr:blipFill>
        <a:blip xmlns:r="http://schemas.openxmlformats.org/officeDocument/2006/relationships" r:embed="rId18"/>
        <a:stretch>
          <a:fillRect/>
        </a:stretch>
      </xdr:blipFill>
      <xdr:spPr>
        <a:xfrm>
          <a:off x="6943725" y="66675"/>
          <a:ext cx="3172268" cy="3048425"/>
        </a:xfrm>
        <a:prstGeom prst="rect">
          <a:avLst/>
        </a:prstGeom>
      </xdr:spPr>
    </xdr:pic>
    <xdr:clientData/>
  </xdr:twoCellAnchor>
  <xdr:twoCellAnchor editAs="oneCell">
    <xdr:from>
      <xdr:col>11</xdr:col>
      <xdr:colOff>694765</xdr:colOff>
      <xdr:row>341</xdr:row>
      <xdr:rowOff>11206</xdr:rowOff>
    </xdr:from>
    <xdr:to>
      <xdr:col>16</xdr:col>
      <xdr:colOff>568699</xdr:colOff>
      <xdr:row>348</xdr:row>
      <xdr:rowOff>104424</xdr:rowOff>
    </xdr:to>
    <xdr:pic>
      <xdr:nvPicPr>
        <xdr:cNvPr id="28" name="Picture 27"/>
        <xdr:cNvPicPr>
          <a:picLocks noChangeAspect="1"/>
        </xdr:cNvPicPr>
      </xdr:nvPicPr>
      <xdr:blipFill>
        <a:blip xmlns:r="http://schemas.openxmlformats.org/officeDocument/2006/relationships" r:embed="rId19"/>
        <a:stretch>
          <a:fillRect/>
        </a:stretch>
      </xdr:blipFill>
      <xdr:spPr>
        <a:xfrm>
          <a:off x="9637059" y="83024382"/>
          <a:ext cx="4020111" cy="1505160"/>
        </a:xfrm>
        <a:prstGeom prst="rect">
          <a:avLst/>
        </a:prstGeom>
      </xdr:spPr>
    </xdr:pic>
    <xdr:clientData/>
  </xdr:twoCellAnchor>
  <xdr:twoCellAnchor editAs="oneCell">
    <xdr:from>
      <xdr:col>12</xdr:col>
      <xdr:colOff>291355</xdr:colOff>
      <xdr:row>331</xdr:row>
      <xdr:rowOff>145679</xdr:rowOff>
    </xdr:from>
    <xdr:to>
      <xdr:col>19</xdr:col>
      <xdr:colOff>545924</xdr:colOff>
      <xdr:row>351</xdr:row>
      <xdr:rowOff>179305</xdr:rowOff>
    </xdr:to>
    <xdr:pic>
      <xdr:nvPicPr>
        <xdr:cNvPr id="32" name="Picture 31"/>
        <xdr:cNvPicPr>
          <a:picLocks noChangeAspect="1"/>
        </xdr:cNvPicPr>
      </xdr:nvPicPr>
      <xdr:blipFill>
        <a:blip xmlns:r="http://schemas.openxmlformats.org/officeDocument/2006/relationships" r:embed="rId20"/>
        <a:stretch>
          <a:fillRect/>
        </a:stretch>
      </xdr:blipFill>
      <xdr:spPr>
        <a:xfrm>
          <a:off x="10152531" y="81141797"/>
          <a:ext cx="5420481" cy="4067743"/>
        </a:xfrm>
        <a:prstGeom prst="rect">
          <a:avLst/>
        </a:prstGeom>
      </xdr:spPr>
    </xdr:pic>
    <xdr:clientData/>
  </xdr:twoCellAnchor>
  <xdr:twoCellAnchor editAs="oneCell">
    <xdr:from>
      <xdr:col>11</xdr:col>
      <xdr:colOff>683559</xdr:colOff>
      <xdr:row>335</xdr:row>
      <xdr:rowOff>134470</xdr:rowOff>
    </xdr:from>
    <xdr:to>
      <xdr:col>17</xdr:col>
      <xdr:colOff>352482</xdr:colOff>
      <xdr:row>356</xdr:row>
      <xdr:rowOff>118810</xdr:rowOff>
    </xdr:to>
    <xdr:pic>
      <xdr:nvPicPr>
        <xdr:cNvPr id="35" name="Picture 34"/>
        <xdr:cNvPicPr>
          <a:picLocks noChangeAspect="1"/>
        </xdr:cNvPicPr>
      </xdr:nvPicPr>
      <xdr:blipFill>
        <a:blip xmlns:r="http://schemas.openxmlformats.org/officeDocument/2006/relationships" r:embed="rId21"/>
        <a:stretch>
          <a:fillRect/>
        </a:stretch>
      </xdr:blipFill>
      <xdr:spPr>
        <a:xfrm>
          <a:off x="9625853" y="81937411"/>
          <a:ext cx="4420217" cy="4220164"/>
        </a:xfrm>
        <a:prstGeom prst="rect">
          <a:avLst/>
        </a:prstGeom>
      </xdr:spPr>
    </xdr:pic>
    <xdr:clientData/>
  </xdr:twoCellAnchor>
  <xdr:twoCellAnchor editAs="oneCell">
    <xdr:from>
      <xdr:col>12</xdr:col>
      <xdr:colOff>112059</xdr:colOff>
      <xdr:row>313</xdr:row>
      <xdr:rowOff>156882</xdr:rowOff>
    </xdr:from>
    <xdr:to>
      <xdr:col>19</xdr:col>
      <xdr:colOff>242786</xdr:colOff>
      <xdr:row>333</xdr:row>
      <xdr:rowOff>28560</xdr:rowOff>
    </xdr:to>
    <xdr:pic>
      <xdr:nvPicPr>
        <xdr:cNvPr id="36" name="Picture 35"/>
        <xdr:cNvPicPr>
          <a:picLocks noChangeAspect="1"/>
        </xdr:cNvPicPr>
      </xdr:nvPicPr>
      <xdr:blipFill>
        <a:blip xmlns:r="http://schemas.openxmlformats.org/officeDocument/2006/relationships" r:embed="rId22"/>
        <a:stretch>
          <a:fillRect/>
        </a:stretch>
      </xdr:blipFill>
      <xdr:spPr>
        <a:xfrm>
          <a:off x="9973235" y="77522294"/>
          <a:ext cx="5296639" cy="3905795"/>
        </a:xfrm>
        <a:prstGeom prst="rect">
          <a:avLst/>
        </a:prstGeom>
      </xdr:spPr>
    </xdr:pic>
    <xdr:clientData/>
  </xdr:twoCellAnchor>
  <xdr:twoCellAnchor editAs="oneCell">
    <xdr:from>
      <xdr:col>9</xdr:col>
      <xdr:colOff>374506</xdr:colOff>
      <xdr:row>348</xdr:row>
      <xdr:rowOff>141856</xdr:rowOff>
    </xdr:from>
    <xdr:to>
      <xdr:col>15</xdr:col>
      <xdr:colOff>307632</xdr:colOff>
      <xdr:row>362</xdr:row>
      <xdr:rowOff>132701</xdr:rowOff>
    </xdr:to>
    <xdr:pic>
      <xdr:nvPicPr>
        <xdr:cNvPr id="37" name="Picture 36"/>
        <xdr:cNvPicPr>
          <a:picLocks noChangeAspect="1"/>
        </xdr:cNvPicPr>
      </xdr:nvPicPr>
      <xdr:blipFill>
        <a:blip xmlns:r="http://schemas.openxmlformats.org/officeDocument/2006/relationships" r:embed="rId23"/>
        <a:stretch>
          <a:fillRect/>
        </a:stretch>
      </xdr:blipFill>
      <xdr:spPr>
        <a:xfrm>
          <a:off x="7838642" y="87113765"/>
          <a:ext cx="4764899" cy="2900300"/>
        </a:xfrm>
        <a:prstGeom prst="rect">
          <a:avLst/>
        </a:prstGeom>
      </xdr:spPr>
    </xdr:pic>
    <xdr:clientData/>
  </xdr:twoCellAnchor>
  <xdr:twoCellAnchor>
    <xdr:from>
      <xdr:col>0</xdr:col>
      <xdr:colOff>168089</xdr:colOff>
      <xdr:row>559</xdr:row>
      <xdr:rowOff>134469</xdr:rowOff>
    </xdr:from>
    <xdr:to>
      <xdr:col>7</xdr:col>
      <xdr:colOff>560294</xdr:colOff>
      <xdr:row>594</xdr:row>
      <xdr:rowOff>22411</xdr:rowOff>
    </xdr:to>
    <xdr:grpSp>
      <xdr:nvGrpSpPr>
        <xdr:cNvPr id="77" name="Group 76"/>
        <xdr:cNvGrpSpPr/>
      </xdr:nvGrpSpPr>
      <xdr:grpSpPr>
        <a:xfrm>
          <a:off x="168089" y="126150219"/>
          <a:ext cx="5973855" cy="6888817"/>
          <a:chOff x="197228" y="1427580"/>
          <a:chExt cx="6492209" cy="7046860"/>
        </a:xfrm>
      </xdr:grpSpPr>
      <xdr:pic>
        <xdr:nvPicPr>
          <xdr:cNvPr id="78" name="Picture 77" descr="https://vsjcllp.vsjadon.com/upload/insp-241708-1525.jpg"/>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3963080" y="6919664"/>
            <a:ext cx="1164867" cy="15547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9" name="Picture 78" descr="https://vsjcllp.vsjadon.com/upload/insp-241708-843.jpg"/>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197228" y="1427580"/>
            <a:ext cx="2293628" cy="306135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0" name="Picture 79" descr="https://vsjcllp.vsjadon.com/upload/insp-241708-851.jpg"/>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897572" y="4624302"/>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1" name="Picture 80" descr="https://vsjcllp.vsjadon.com/upload/insp-241708-861.jpg"/>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2642449" y="4624302"/>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2" name="Picture 81" descr="https://vsjcllp.vsjadon.com/upload/insp-241708-862.jpg"/>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2611405" y="1427580"/>
            <a:ext cx="4078032" cy="306135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3" name="Picture 82" descr="https://vsjcllp.vsjadon.com/upload/insp-241708-877.jpg"/>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4387328" y="4624302"/>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4" name="Picture 83" descr="https://vsjcllp.vsjadon.com/upload/insp-241708-928.jpg"/>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2733384" y="6919665"/>
            <a:ext cx="1164867" cy="15547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5" name="Picture 84" descr="https://vsjcllp.vsjadon.com/upload/insp-241708-880.jpg"/>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1503370" y="6919239"/>
            <a:ext cx="1165185" cy="15552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336176</xdr:colOff>
      <xdr:row>645</xdr:row>
      <xdr:rowOff>57150</xdr:rowOff>
    </xdr:from>
    <xdr:to>
      <xdr:col>7</xdr:col>
      <xdr:colOff>235324</xdr:colOff>
      <xdr:row>685</xdr:row>
      <xdr:rowOff>20592</xdr:rowOff>
    </xdr:to>
    <xdr:grpSp>
      <xdr:nvGrpSpPr>
        <xdr:cNvPr id="39" name="Group 38"/>
        <xdr:cNvGrpSpPr/>
      </xdr:nvGrpSpPr>
      <xdr:grpSpPr>
        <a:xfrm>
          <a:off x="336176" y="143275050"/>
          <a:ext cx="5480798" cy="7964442"/>
          <a:chOff x="336176" y="145141950"/>
          <a:chExt cx="5480798" cy="7964442"/>
        </a:xfrm>
      </xdr:grpSpPr>
      <xdr:grpSp>
        <xdr:nvGrpSpPr>
          <xdr:cNvPr id="31" name="Group 30"/>
          <xdr:cNvGrpSpPr/>
        </xdr:nvGrpSpPr>
        <xdr:grpSpPr>
          <a:xfrm>
            <a:off x="336176" y="148563318"/>
            <a:ext cx="5480798" cy="4543074"/>
            <a:chOff x="358588" y="149195118"/>
            <a:chExt cx="5479677" cy="4581370"/>
          </a:xfrm>
        </xdr:grpSpPr>
        <xdr:pic>
          <xdr:nvPicPr>
            <xdr:cNvPr id="30" name="Picture 29"/>
            <xdr:cNvPicPr>
              <a:picLocks noChangeAspect="1"/>
            </xdr:cNvPicPr>
          </xdr:nvPicPr>
          <xdr:blipFill>
            <a:blip xmlns:r="http://schemas.openxmlformats.org/officeDocument/2006/relationships" r:embed="rId32"/>
            <a:stretch>
              <a:fillRect/>
            </a:stretch>
          </xdr:blipFill>
          <xdr:spPr>
            <a:xfrm>
              <a:off x="358588" y="149195118"/>
              <a:ext cx="5479677" cy="4581370"/>
            </a:xfrm>
            <a:prstGeom prst="rect">
              <a:avLst/>
            </a:prstGeom>
            <a:ln>
              <a:solidFill>
                <a:sysClr val="windowText" lastClr="000000"/>
              </a:solidFill>
            </a:ln>
          </xdr:spPr>
        </xdr:pic>
        <xdr:sp macro="" textlink="">
          <xdr:nvSpPr>
            <xdr:cNvPr id="45" name="Rectangle 44"/>
            <xdr:cNvSpPr/>
          </xdr:nvSpPr>
          <xdr:spPr>
            <a:xfrm>
              <a:off x="2420471" y="151122529"/>
              <a:ext cx="1086969" cy="1378323"/>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pic>
        <xdr:nvPicPr>
          <xdr:cNvPr id="38" name="Picture 37"/>
          <xdr:cNvPicPr>
            <a:picLocks noChangeAspect="1"/>
          </xdr:cNvPicPr>
        </xdr:nvPicPr>
        <xdr:blipFill>
          <a:blip xmlns:r="http://schemas.openxmlformats.org/officeDocument/2006/relationships" r:embed="rId33"/>
          <a:stretch>
            <a:fillRect/>
          </a:stretch>
        </xdr:blipFill>
        <xdr:spPr>
          <a:xfrm>
            <a:off x="800101" y="145141950"/>
            <a:ext cx="4545612" cy="3273744"/>
          </a:xfrm>
          <a:prstGeom prst="rect">
            <a:avLst/>
          </a:prstGeom>
          <a:ln>
            <a:solidFill>
              <a:sysClr val="windowText" lastClr="000000"/>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4</xdr:col>
      <xdr:colOff>424435</xdr:colOff>
      <xdr:row>29</xdr:row>
      <xdr:rowOff>22500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82706" y="2678206"/>
          <a:ext cx="5130905" cy="2880000"/>
        </a:xfrm>
        <a:prstGeom prst="rect">
          <a:avLst/>
        </a:prstGeom>
      </xdr:spPr>
    </xdr:pic>
    <xdr:clientData/>
  </xdr:twoCellAnchor>
  <xdr:twoCellAnchor editAs="oneCell">
    <xdr:from>
      <xdr:col>1</xdr:col>
      <xdr:colOff>952500</xdr:colOff>
      <xdr:row>30</xdr:row>
      <xdr:rowOff>145539</xdr:rowOff>
    </xdr:from>
    <xdr:to>
      <xdr:col>5</xdr:col>
      <xdr:colOff>614935</xdr:colOff>
      <xdr:row>45</xdr:row>
      <xdr:rowOff>168039</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1535206" y="5871745"/>
          <a:ext cx="5130905" cy="2880000"/>
        </a:xfrm>
        <a:prstGeom prst="rect">
          <a:avLst/>
        </a:prstGeom>
      </xdr:spPr>
    </xdr:pic>
    <xdr:clientData/>
  </xdr:twoCellAnchor>
  <xdr:twoCellAnchor editAs="oneCell">
    <xdr:from>
      <xdr:col>4</xdr:col>
      <xdr:colOff>719700</xdr:colOff>
      <xdr:row>14</xdr:row>
      <xdr:rowOff>2521</xdr:rowOff>
    </xdr:from>
    <xdr:to>
      <xdr:col>10</xdr:col>
      <xdr:colOff>494192</xdr:colOff>
      <xdr:row>29</xdr:row>
      <xdr:rowOff>25021</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6008876" y="2680727"/>
          <a:ext cx="5063669" cy="288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tribecalalbaug.com/" TargetMode="External"/><Relationship Id="rId1" Type="http://schemas.openxmlformats.org/officeDocument/2006/relationships/hyperlink" Target="https://maps.app.goo.gl/986GcfLgNrnBiB767"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645"/>
  <sheetViews>
    <sheetView tabSelected="1" view="pageBreakPreview" topLeftCell="A153" zoomScaleNormal="100" zoomScaleSheetLayoutView="100" zoomScalePageLayoutView="85" workbookViewId="0">
      <selection activeCell="I158" sqref="I158"/>
    </sheetView>
  </sheetViews>
  <sheetFormatPr defaultColWidth="9.140625" defaultRowHeight="15.75" x14ac:dyDescent="0.25"/>
  <cols>
    <col min="1" max="1" width="11.42578125" style="38" customWidth="1"/>
    <col min="2" max="2" width="12" style="38" customWidth="1"/>
    <col min="3" max="3" width="12.7109375" style="38" customWidth="1"/>
    <col min="4" max="4" width="13.7109375" style="38" customWidth="1"/>
    <col min="5" max="5" width="11.7109375" style="38" customWidth="1"/>
    <col min="6" max="6" width="11.140625" style="38" customWidth="1"/>
    <col min="7" max="8" width="11" style="38" customWidth="1"/>
    <col min="9" max="9" width="17.42578125" style="19" customWidth="1"/>
    <col min="10" max="10" width="11.42578125" style="19" customWidth="1"/>
    <col min="11" max="11" width="10.5703125" style="19" bestFit="1" customWidth="1"/>
    <col min="12" max="12" width="13.85546875" style="19" bestFit="1" customWidth="1"/>
    <col min="13" max="13" width="11.85546875" style="19" customWidth="1"/>
    <col min="14" max="14" width="12.5703125" style="19" customWidth="1"/>
    <col min="15" max="15" width="12.140625" style="19" customWidth="1"/>
    <col min="16" max="16" width="11.7109375" style="19" customWidth="1"/>
    <col min="17" max="18" width="9.140625" style="19"/>
    <col min="19" max="19" width="10.85546875" style="19" bestFit="1" customWidth="1"/>
    <col min="20" max="20" width="10.7109375" style="19" customWidth="1"/>
    <col min="21" max="247" width="9.140625" style="19"/>
    <col min="248" max="248" width="8.7109375" style="19" customWidth="1"/>
    <col min="249" max="249" width="9.85546875" style="19" customWidth="1"/>
    <col min="250" max="250" width="14.42578125" style="19" customWidth="1"/>
    <col min="251" max="251" width="7.28515625" style="19" customWidth="1"/>
    <col min="252" max="252" width="5.5703125" style="19" customWidth="1"/>
    <col min="253" max="253" width="9" style="19" customWidth="1"/>
    <col min="254" max="255" width="9.85546875" style="19" customWidth="1"/>
    <col min="256" max="256" width="11.140625" style="19" customWidth="1"/>
    <col min="257" max="257" width="2.85546875" style="19" customWidth="1"/>
    <col min="258" max="258" width="3.5703125" style="19" customWidth="1"/>
    <col min="259" max="503" width="9.140625" style="19"/>
    <col min="504" max="504" width="8.7109375" style="19" customWidth="1"/>
    <col min="505" max="505" width="9.85546875" style="19" customWidth="1"/>
    <col min="506" max="506" width="14.42578125" style="19" customWidth="1"/>
    <col min="507" max="507" width="7.28515625" style="19" customWidth="1"/>
    <col min="508" max="508" width="5.5703125" style="19" customWidth="1"/>
    <col min="509" max="509" width="9" style="19" customWidth="1"/>
    <col min="510" max="511" width="9.85546875" style="19" customWidth="1"/>
    <col min="512" max="512" width="11.140625" style="19" customWidth="1"/>
    <col min="513" max="513" width="2.85546875" style="19" customWidth="1"/>
    <col min="514" max="514" width="3.5703125" style="19" customWidth="1"/>
    <col min="515" max="759" width="9.140625" style="19"/>
    <col min="760" max="760" width="8.7109375" style="19" customWidth="1"/>
    <col min="761" max="761" width="9.85546875" style="19" customWidth="1"/>
    <col min="762" max="762" width="14.42578125" style="19" customWidth="1"/>
    <col min="763" max="763" width="7.28515625" style="19" customWidth="1"/>
    <col min="764" max="764" width="5.5703125" style="19" customWidth="1"/>
    <col min="765" max="765" width="9" style="19" customWidth="1"/>
    <col min="766" max="767" width="9.85546875" style="19" customWidth="1"/>
    <col min="768" max="768" width="11.140625" style="19" customWidth="1"/>
    <col min="769" max="769" width="2.85546875" style="19" customWidth="1"/>
    <col min="770" max="770" width="3.5703125" style="19" customWidth="1"/>
    <col min="771" max="1015" width="9.140625" style="19"/>
    <col min="1016" max="1016" width="8.7109375" style="19" customWidth="1"/>
    <col min="1017" max="1017" width="9.85546875" style="19" customWidth="1"/>
    <col min="1018" max="1018" width="14.42578125" style="19" customWidth="1"/>
    <col min="1019" max="1019" width="7.28515625" style="19" customWidth="1"/>
    <col min="1020" max="1020" width="5.5703125" style="19" customWidth="1"/>
    <col min="1021" max="1021" width="9" style="19" customWidth="1"/>
    <col min="1022" max="1023" width="9.85546875" style="19" customWidth="1"/>
    <col min="1024" max="1024" width="11.140625" style="19" customWidth="1"/>
    <col min="1025" max="1025" width="2.85546875" style="19" customWidth="1"/>
    <col min="1026" max="1026" width="3.5703125" style="19" customWidth="1"/>
    <col min="1027" max="1271" width="9.140625" style="19"/>
    <col min="1272" max="1272" width="8.7109375" style="19" customWidth="1"/>
    <col min="1273" max="1273" width="9.85546875" style="19" customWidth="1"/>
    <col min="1274" max="1274" width="14.42578125" style="19" customWidth="1"/>
    <col min="1275" max="1275" width="7.28515625" style="19" customWidth="1"/>
    <col min="1276" max="1276" width="5.5703125" style="19" customWidth="1"/>
    <col min="1277" max="1277" width="9" style="19" customWidth="1"/>
    <col min="1278" max="1279" width="9.85546875" style="19" customWidth="1"/>
    <col min="1280" max="1280" width="11.140625" style="19" customWidth="1"/>
    <col min="1281" max="1281" width="2.85546875" style="19" customWidth="1"/>
    <col min="1282" max="1282" width="3.5703125" style="19" customWidth="1"/>
    <col min="1283" max="1527" width="9.140625" style="19"/>
    <col min="1528" max="1528" width="8.7109375" style="19" customWidth="1"/>
    <col min="1529" max="1529" width="9.85546875" style="19" customWidth="1"/>
    <col min="1530" max="1530" width="14.42578125" style="19" customWidth="1"/>
    <col min="1531" max="1531" width="7.28515625" style="19" customWidth="1"/>
    <col min="1532" max="1532" width="5.5703125" style="19" customWidth="1"/>
    <col min="1533" max="1533" width="9" style="19" customWidth="1"/>
    <col min="1534" max="1535" width="9.85546875" style="19" customWidth="1"/>
    <col min="1536" max="1536" width="11.140625" style="19" customWidth="1"/>
    <col min="1537" max="1537" width="2.85546875" style="19" customWidth="1"/>
    <col min="1538" max="1538" width="3.5703125" style="19" customWidth="1"/>
    <col min="1539" max="1783" width="9.140625" style="19"/>
    <col min="1784" max="1784" width="8.7109375" style="19" customWidth="1"/>
    <col min="1785" max="1785" width="9.85546875" style="19" customWidth="1"/>
    <col min="1786" max="1786" width="14.42578125" style="19" customWidth="1"/>
    <col min="1787" max="1787" width="7.28515625" style="19" customWidth="1"/>
    <col min="1788" max="1788" width="5.5703125" style="19" customWidth="1"/>
    <col min="1789" max="1789" width="9" style="19" customWidth="1"/>
    <col min="1790" max="1791" width="9.85546875" style="19" customWidth="1"/>
    <col min="1792" max="1792" width="11.140625" style="19" customWidth="1"/>
    <col min="1793" max="1793" width="2.85546875" style="19" customWidth="1"/>
    <col min="1794" max="1794" width="3.5703125" style="19" customWidth="1"/>
    <col min="1795" max="2039" width="9.140625" style="19"/>
    <col min="2040" max="2040" width="8.7109375" style="19" customWidth="1"/>
    <col min="2041" max="2041" width="9.85546875" style="19" customWidth="1"/>
    <col min="2042" max="2042" width="14.42578125" style="19" customWidth="1"/>
    <col min="2043" max="2043" width="7.28515625" style="19" customWidth="1"/>
    <col min="2044" max="2044" width="5.5703125" style="19" customWidth="1"/>
    <col min="2045" max="2045" width="9" style="19" customWidth="1"/>
    <col min="2046" max="2047" width="9.85546875" style="19" customWidth="1"/>
    <col min="2048" max="2048" width="11.140625" style="19" customWidth="1"/>
    <col min="2049" max="2049" width="2.85546875" style="19" customWidth="1"/>
    <col min="2050" max="2050" width="3.5703125" style="19" customWidth="1"/>
    <col min="2051" max="2295" width="9.140625" style="19"/>
    <col min="2296" max="2296" width="8.7109375" style="19" customWidth="1"/>
    <col min="2297" max="2297" width="9.85546875" style="19" customWidth="1"/>
    <col min="2298" max="2298" width="14.42578125" style="19" customWidth="1"/>
    <col min="2299" max="2299" width="7.28515625" style="19" customWidth="1"/>
    <col min="2300" max="2300" width="5.5703125" style="19" customWidth="1"/>
    <col min="2301" max="2301" width="9" style="19" customWidth="1"/>
    <col min="2302" max="2303" width="9.85546875" style="19" customWidth="1"/>
    <col min="2304" max="2304" width="11.140625" style="19" customWidth="1"/>
    <col min="2305" max="2305" width="2.85546875" style="19" customWidth="1"/>
    <col min="2306" max="2306" width="3.5703125" style="19" customWidth="1"/>
    <col min="2307" max="2551" width="9.140625" style="19"/>
    <col min="2552" max="2552" width="8.7109375" style="19" customWidth="1"/>
    <col min="2553" max="2553" width="9.85546875" style="19" customWidth="1"/>
    <col min="2554" max="2554" width="14.42578125" style="19" customWidth="1"/>
    <col min="2555" max="2555" width="7.28515625" style="19" customWidth="1"/>
    <col min="2556" max="2556" width="5.5703125" style="19" customWidth="1"/>
    <col min="2557" max="2557" width="9" style="19" customWidth="1"/>
    <col min="2558" max="2559" width="9.85546875" style="19" customWidth="1"/>
    <col min="2560" max="2560" width="11.140625" style="19" customWidth="1"/>
    <col min="2561" max="2561" width="2.85546875" style="19" customWidth="1"/>
    <col min="2562" max="2562" width="3.5703125" style="19" customWidth="1"/>
    <col min="2563" max="2807" width="9.140625" style="19"/>
    <col min="2808" max="2808" width="8.7109375" style="19" customWidth="1"/>
    <col min="2809" max="2809" width="9.85546875" style="19" customWidth="1"/>
    <col min="2810" max="2810" width="14.42578125" style="19" customWidth="1"/>
    <col min="2811" max="2811" width="7.28515625" style="19" customWidth="1"/>
    <col min="2812" max="2812" width="5.5703125" style="19" customWidth="1"/>
    <col min="2813" max="2813" width="9" style="19" customWidth="1"/>
    <col min="2814" max="2815" width="9.85546875" style="19" customWidth="1"/>
    <col min="2816" max="2816" width="11.140625" style="19" customWidth="1"/>
    <col min="2817" max="2817" width="2.85546875" style="19" customWidth="1"/>
    <col min="2818" max="2818" width="3.5703125" style="19" customWidth="1"/>
    <col min="2819" max="3063" width="9.140625" style="19"/>
    <col min="3064" max="3064" width="8.7109375" style="19" customWidth="1"/>
    <col min="3065" max="3065" width="9.85546875" style="19" customWidth="1"/>
    <col min="3066" max="3066" width="14.42578125" style="19" customWidth="1"/>
    <col min="3067" max="3067" width="7.28515625" style="19" customWidth="1"/>
    <col min="3068" max="3068" width="5.5703125" style="19" customWidth="1"/>
    <col min="3069" max="3069" width="9" style="19" customWidth="1"/>
    <col min="3070" max="3071" width="9.85546875" style="19" customWidth="1"/>
    <col min="3072" max="3072" width="11.140625" style="19" customWidth="1"/>
    <col min="3073" max="3073" width="2.85546875" style="19" customWidth="1"/>
    <col min="3074" max="3074" width="3.5703125" style="19" customWidth="1"/>
    <col min="3075" max="3319" width="9.140625" style="19"/>
    <col min="3320" max="3320" width="8.7109375" style="19" customWidth="1"/>
    <col min="3321" max="3321" width="9.85546875" style="19" customWidth="1"/>
    <col min="3322" max="3322" width="14.42578125" style="19" customWidth="1"/>
    <col min="3323" max="3323" width="7.28515625" style="19" customWidth="1"/>
    <col min="3324" max="3324" width="5.5703125" style="19" customWidth="1"/>
    <col min="3325" max="3325" width="9" style="19" customWidth="1"/>
    <col min="3326" max="3327" width="9.85546875" style="19" customWidth="1"/>
    <col min="3328" max="3328" width="11.140625" style="19" customWidth="1"/>
    <col min="3329" max="3329" width="2.85546875" style="19" customWidth="1"/>
    <col min="3330" max="3330" width="3.5703125" style="19" customWidth="1"/>
    <col min="3331" max="3575" width="9.140625" style="19"/>
    <col min="3576" max="3576" width="8.7109375" style="19" customWidth="1"/>
    <col min="3577" max="3577" width="9.85546875" style="19" customWidth="1"/>
    <col min="3578" max="3578" width="14.42578125" style="19" customWidth="1"/>
    <col min="3579" max="3579" width="7.28515625" style="19" customWidth="1"/>
    <col min="3580" max="3580" width="5.5703125" style="19" customWidth="1"/>
    <col min="3581" max="3581" width="9" style="19" customWidth="1"/>
    <col min="3582" max="3583" width="9.85546875" style="19" customWidth="1"/>
    <col min="3584" max="3584" width="11.140625" style="19" customWidth="1"/>
    <col min="3585" max="3585" width="2.85546875" style="19" customWidth="1"/>
    <col min="3586" max="3586" width="3.5703125" style="19" customWidth="1"/>
    <col min="3587" max="3831" width="9.140625" style="19"/>
    <col min="3832" max="3832" width="8.7109375" style="19" customWidth="1"/>
    <col min="3833" max="3833" width="9.85546875" style="19" customWidth="1"/>
    <col min="3834" max="3834" width="14.42578125" style="19" customWidth="1"/>
    <col min="3835" max="3835" width="7.28515625" style="19" customWidth="1"/>
    <col min="3836" max="3836" width="5.5703125" style="19" customWidth="1"/>
    <col min="3837" max="3837" width="9" style="19" customWidth="1"/>
    <col min="3838" max="3839" width="9.85546875" style="19" customWidth="1"/>
    <col min="3840" max="3840" width="11.140625" style="19" customWidth="1"/>
    <col min="3841" max="3841" width="2.85546875" style="19" customWidth="1"/>
    <col min="3842" max="3842" width="3.5703125" style="19" customWidth="1"/>
    <col min="3843" max="4087" width="9.140625" style="19"/>
    <col min="4088" max="4088" width="8.7109375" style="19" customWidth="1"/>
    <col min="4089" max="4089" width="9.85546875" style="19" customWidth="1"/>
    <col min="4090" max="4090" width="14.42578125" style="19" customWidth="1"/>
    <col min="4091" max="4091" width="7.28515625" style="19" customWidth="1"/>
    <col min="4092" max="4092" width="5.5703125" style="19" customWidth="1"/>
    <col min="4093" max="4093" width="9" style="19" customWidth="1"/>
    <col min="4094" max="4095" width="9.85546875" style="19" customWidth="1"/>
    <col min="4096" max="4096" width="11.140625" style="19" customWidth="1"/>
    <col min="4097" max="4097" width="2.85546875" style="19" customWidth="1"/>
    <col min="4098" max="4098" width="3.5703125" style="19" customWidth="1"/>
    <col min="4099" max="4343" width="9.140625" style="19"/>
    <col min="4344" max="4344" width="8.7109375" style="19" customWidth="1"/>
    <col min="4345" max="4345" width="9.85546875" style="19" customWidth="1"/>
    <col min="4346" max="4346" width="14.42578125" style="19" customWidth="1"/>
    <col min="4347" max="4347" width="7.28515625" style="19" customWidth="1"/>
    <col min="4348" max="4348" width="5.5703125" style="19" customWidth="1"/>
    <col min="4349" max="4349" width="9" style="19" customWidth="1"/>
    <col min="4350" max="4351" width="9.85546875" style="19" customWidth="1"/>
    <col min="4352" max="4352" width="11.140625" style="19" customWidth="1"/>
    <col min="4353" max="4353" width="2.85546875" style="19" customWidth="1"/>
    <col min="4354" max="4354" width="3.5703125" style="19" customWidth="1"/>
    <col min="4355" max="4599" width="9.140625" style="19"/>
    <col min="4600" max="4600" width="8.7109375" style="19" customWidth="1"/>
    <col min="4601" max="4601" width="9.85546875" style="19" customWidth="1"/>
    <col min="4602" max="4602" width="14.42578125" style="19" customWidth="1"/>
    <col min="4603" max="4603" width="7.28515625" style="19" customWidth="1"/>
    <col min="4604" max="4604" width="5.5703125" style="19" customWidth="1"/>
    <col min="4605" max="4605" width="9" style="19" customWidth="1"/>
    <col min="4606" max="4607" width="9.85546875" style="19" customWidth="1"/>
    <col min="4608" max="4608" width="11.140625" style="19" customWidth="1"/>
    <col min="4609" max="4609" width="2.85546875" style="19" customWidth="1"/>
    <col min="4610" max="4610" width="3.5703125" style="19" customWidth="1"/>
    <col min="4611" max="4855" width="9.140625" style="19"/>
    <col min="4856" max="4856" width="8.7109375" style="19" customWidth="1"/>
    <col min="4857" max="4857" width="9.85546875" style="19" customWidth="1"/>
    <col min="4858" max="4858" width="14.42578125" style="19" customWidth="1"/>
    <col min="4859" max="4859" width="7.28515625" style="19" customWidth="1"/>
    <col min="4860" max="4860" width="5.5703125" style="19" customWidth="1"/>
    <col min="4861" max="4861" width="9" style="19" customWidth="1"/>
    <col min="4862" max="4863" width="9.85546875" style="19" customWidth="1"/>
    <col min="4864" max="4864" width="11.140625" style="19" customWidth="1"/>
    <col min="4865" max="4865" width="2.85546875" style="19" customWidth="1"/>
    <col min="4866" max="4866" width="3.5703125" style="19" customWidth="1"/>
    <col min="4867" max="5111" width="9.140625" style="19"/>
    <col min="5112" max="5112" width="8.7109375" style="19" customWidth="1"/>
    <col min="5113" max="5113" width="9.85546875" style="19" customWidth="1"/>
    <col min="5114" max="5114" width="14.42578125" style="19" customWidth="1"/>
    <col min="5115" max="5115" width="7.28515625" style="19" customWidth="1"/>
    <col min="5116" max="5116" width="5.5703125" style="19" customWidth="1"/>
    <col min="5117" max="5117" width="9" style="19" customWidth="1"/>
    <col min="5118" max="5119" width="9.85546875" style="19" customWidth="1"/>
    <col min="5120" max="5120" width="11.140625" style="19" customWidth="1"/>
    <col min="5121" max="5121" width="2.85546875" style="19" customWidth="1"/>
    <col min="5122" max="5122" width="3.5703125" style="19" customWidth="1"/>
    <col min="5123" max="5367" width="9.140625" style="19"/>
    <col min="5368" max="5368" width="8.7109375" style="19" customWidth="1"/>
    <col min="5369" max="5369" width="9.85546875" style="19" customWidth="1"/>
    <col min="5370" max="5370" width="14.42578125" style="19" customWidth="1"/>
    <col min="5371" max="5371" width="7.28515625" style="19" customWidth="1"/>
    <col min="5372" max="5372" width="5.5703125" style="19" customWidth="1"/>
    <col min="5373" max="5373" width="9" style="19" customWidth="1"/>
    <col min="5374" max="5375" width="9.85546875" style="19" customWidth="1"/>
    <col min="5376" max="5376" width="11.140625" style="19" customWidth="1"/>
    <col min="5377" max="5377" width="2.85546875" style="19" customWidth="1"/>
    <col min="5378" max="5378" width="3.5703125" style="19" customWidth="1"/>
    <col min="5379" max="5623" width="9.140625" style="19"/>
    <col min="5624" max="5624" width="8.7109375" style="19" customWidth="1"/>
    <col min="5625" max="5625" width="9.85546875" style="19" customWidth="1"/>
    <col min="5626" max="5626" width="14.42578125" style="19" customWidth="1"/>
    <col min="5627" max="5627" width="7.28515625" style="19" customWidth="1"/>
    <col min="5628" max="5628" width="5.5703125" style="19" customWidth="1"/>
    <col min="5629" max="5629" width="9" style="19" customWidth="1"/>
    <col min="5630" max="5631" width="9.85546875" style="19" customWidth="1"/>
    <col min="5632" max="5632" width="11.140625" style="19" customWidth="1"/>
    <col min="5633" max="5633" width="2.85546875" style="19" customWidth="1"/>
    <col min="5634" max="5634" width="3.5703125" style="19" customWidth="1"/>
    <col min="5635" max="5879" width="9.140625" style="19"/>
    <col min="5880" max="5880" width="8.7109375" style="19" customWidth="1"/>
    <col min="5881" max="5881" width="9.85546875" style="19" customWidth="1"/>
    <col min="5882" max="5882" width="14.42578125" style="19" customWidth="1"/>
    <col min="5883" max="5883" width="7.28515625" style="19" customWidth="1"/>
    <col min="5884" max="5884" width="5.5703125" style="19" customWidth="1"/>
    <col min="5885" max="5885" width="9" style="19" customWidth="1"/>
    <col min="5886" max="5887" width="9.85546875" style="19" customWidth="1"/>
    <col min="5888" max="5888" width="11.140625" style="19" customWidth="1"/>
    <col min="5889" max="5889" width="2.85546875" style="19" customWidth="1"/>
    <col min="5890" max="5890" width="3.5703125" style="19" customWidth="1"/>
    <col min="5891" max="6135" width="9.140625" style="19"/>
    <col min="6136" max="6136" width="8.7109375" style="19" customWidth="1"/>
    <col min="6137" max="6137" width="9.85546875" style="19" customWidth="1"/>
    <col min="6138" max="6138" width="14.42578125" style="19" customWidth="1"/>
    <col min="6139" max="6139" width="7.28515625" style="19" customWidth="1"/>
    <col min="6140" max="6140" width="5.5703125" style="19" customWidth="1"/>
    <col min="6141" max="6141" width="9" style="19" customWidth="1"/>
    <col min="6142" max="6143" width="9.85546875" style="19" customWidth="1"/>
    <col min="6144" max="6144" width="11.140625" style="19" customWidth="1"/>
    <col min="6145" max="6145" width="2.85546875" style="19" customWidth="1"/>
    <col min="6146" max="6146" width="3.5703125" style="19" customWidth="1"/>
    <col min="6147" max="6391" width="9.140625" style="19"/>
    <col min="6392" max="6392" width="8.7109375" style="19" customWidth="1"/>
    <col min="6393" max="6393" width="9.85546875" style="19" customWidth="1"/>
    <col min="6394" max="6394" width="14.42578125" style="19" customWidth="1"/>
    <col min="6395" max="6395" width="7.28515625" style="19" customWidth="1"/>
    <col min="6396" max="6396" width="5.5703125" style="19" customWidth="1"/>
    <col min="6397" max="6397" width="9" style="19" customWidth="1"/>
    <col min="6398" max="6399" width="9.85546875" style="19" customWidth="1"/>
    <col min="6400" max="6400" width="11.140625" style="19" customWidth="1"/>
    <col min="6401" max="6401" width="2.85546875" style="19" customWidth="1"/>
    <col min="6402" max="6402" width="3.5703125" style="19" customWidth="1"/>
    <col min="6403" max="6647" width="9.140625" style="19"/>
    <col min="6648" max="6648" width="8.7109375" style="19" customWidth="1"/>
    <col min="6649" max="6649" width="9.85546875" style="19" customWidth="1"/>
    <col min="6650" max="6650" width="14.42578125" style="19" customWidth="1"/>
    <col min="6651" max="6651" width="7.28515625" style="19" customWidth="1"/>
    <col min="6652" max="6652" width="5.5703125" style="19" customWidth="1"/>
    <col min="6653" max="6653" width="9" style="19" customWidth="1"/>
    <col min="6654" max="6655" width="9.85546875" style="19" customWidth="1"/>
    <col min="6656" max="6656" width="11.140625" style="19" customWidth="1"/>
    <col min="6657" max="6657" width="2.85546875" style="19" customWidth="1"/>
    <col min="6658" max="6658" width="3.5703125" style="19" customWidth="1"/>
    <col min="6659" max="6903" width="9.140625" style="19"/>
    <col min="6904" max="6904" width="8.7109375" style="19" customWidth="1"/>
    <col min="6905" max="6905" width="9.85546875" style="19" customWidth="1"/>
    <col min="6906" max="6906" width="14.42578125" style="19" customWidth="1"/>
    <col min="6907" max="6907" width="7.28515625" style="19" customWidth="1"/>
    <col min="6908" max="6908" width="5.5703125" style="19" customWidth="1"/>
    <col min="6909" max="6909" width="9" style="19" customWidth="1"/>
    <col min="6910" max="6911" width="9.85546875" style="19" customWidth="1"/>
    <col min="6912" max="6912" width="11.140625" style="19" customWidth="1"/>
    <col min="6913" max="6913" width="2.85546875" style="19" customWidth="1"/>
    <col min="6914" max="6914" width="3.5703125" style="19" customWidth="1"/>
    <col min="6915" max="7159" width="9.140625" style="19"/>
    <col min="7160" max="7160" width="8.7109375" style="19" customWidth="1"/>
    <col min="7161" max="7161" width="9.85546875" style="19" customWidth="1"/>
    <col min="7162" max="7162" width="14.42578125" style="19" customWidth="1"/>
    <col min="7163" max="7163" width="7.28515625" style="19" customWidth="1"/>
    <col min="7164" max="7164" width="5.5703125" style="19" customWidth="1"/>
    <col min="7165" max="7165" width="9" style="19" customWidth="1"/>
    <col min="7166" max="7167" width="9.85546875" style="19" customWidth="1"/>
    <col min="7168" max="7168" width="11.140625" style="19" customWidth="1"/>
    <col min="7169" max="7169" width="2.85546875" style="19" customWidth="1"/>
    <col min="7170" max="7170" width="3.5703125" style="19" customWidth="1"/>
    <col min="7171" max="7415" width="9.140625" style="19"/>
    <col min="7416" max="7416" width="8.7109375" style="19" customWidth="1"/>
    <col min="7417" max="7417" width="9.85546875" style="19" customWidth="1"/>
    <col min="7418" max="7418" width="14.42578125" style="19" customWidth="1"/>
    <col min="7419" max="7419" width="7.28515625" style="19" customWidth="1"/>
    <col min="7420" max="7420" width="5.5703125" style="19" customWidth="1"/>
    <col min="7421" max="7421" width="9" style="19" customWidth="1"/>
    <col min="7422" max="7423" width="9.85546875" style="19" customWidth="1"/>
    <col min="7424" max="7424" width="11.140625" style="19" customWidth="1"/>
    <col min="7425" max="7425" width="2.85546875" style="19" customWidth="1"/>
    <col min="7426" max="7426" width="3.5703125" style="19" customWidth="1"/>
    <col min="7427" max="7671" width="9.140625" style="19"/>
    <col min="7672" max="7672" width="8.7109375" style="19" customWidth="1"/>
    <col min="7673" max="7673" width="9.85546875" style="19" customWidth="1"/>
    <col min="7674" max="7674" width="14.42578125" style="19" customWidth="1"/>
    <col min="7675" max="7675" width="7.28515625" style="19" customWidth="1"/>
    <col min="7676" max="7676" width="5.5703125" style="19" customWidth="1"/>
    <col min="7677" max="7677" width="9" style="19" customWidth="1"/>
    <col min="7678" max="7679" width="9.85546875" style="19" customWidth="1"/>
    <col min="7680" max="7680" width="11.140625" style="19" customWidth="1"/>
    <col min="7681" max="7681" width="2.85546875" style="19" customWidth="1"/>
    <col min="7682" max="7682" width="3.5703125" style="19" customWidth="1"/>
    <col min="7683" max="7927" width="9.140625" style="19"/>
    <col min="7928" max="7928" width="8.7109375" style="19" customWidth="1"/>
    <col min="7929" max="7929" width="9.85546875" style="19" customWidth="1"/>
    <col min="7930" max="7930" width="14.42578125" style="19" customWidth="1"/>
    <col min="7931" max="7931" width="7.28515625" style="19" customWidth="1"/>
    <col min="7932" max="7932" width="5.5703125" style="19" customWidth="1"/>
    <col min="7933" max="7933" width="9" style="19" customWidth="1"/>
    <col min="7934" max="7935" width="9.85546875" style="19" customWidth="1"/>
    <col min="7936" max="7936" width="11.140625" style="19" customWidth="1"/>
    <col min="7937" max="7937" width="2.85546875" style="19" customWidth="1"/>
    <col min="7938" max="7938" width="3.5703125" style="19" customWidth="1"/>
    <col min="7939" max="8183" width="9.140625" style="19"/>
    <col min="8184" max="8184" width="8.7109375" style="19" customWidth="1"/>
    <col min="8185" max="8185" width="9.85546875" style="19" customWidth="1"/>
    <col min="8186" max="8186" width="14.42578125" style="19" customWidth="1"/>
    <col min="8187" max="8187" width="7.28515625" style="19" customWidth="1"/>
    <col min="8188" max="8188" width="5.5703125" style="19" customWidth="1"/>
    <col min="8189" max="8189" width="9" style="19" customWidth="1"/>
    <col min="8190" max="8191" width="9.85546875" style="19" customWidth="1"/>
    <col min="8192" max="8192" width="11.140625" style="19" customWidth="1"/>
    <col min="8193" max="8193" width="2.85546875" style="19" customWidth="1"/>
    <col min="8194" max="8194" width="3.5703125" style="19" customWidth="1"/>
    <col min="8195" max="8439" width="9.140625" style="19"/>
    <col min="8440" max="8440" width="8.7109375" style="19" customWidth="1"/>
    <col min="8441" max="8441" width="9.85546875" style="19" customWidth="1"/>
    <col min="8442" max="8442" width="14.42578125" style="19" customWidth="1"/>
    <col min="8443" max="8443" width="7.28515625" style="19" customWidth="1"/>
    <col min="8444" max="8444" width="5.5703125" style="19" customWidth="1"/>
    <col min="8445" max="8445" width="9" style="19" customWidth="1"/>
    <col min="8446" max="8447" width="9.85546875" style="19" customWidth="1"/>
    <col min="8448" max="8448" width="11.140625" style="19" customWidth="1"/>
    <col min="8449" max="8449" width="2.85546875" style="19" customWidth="1"/>
    <col min="8450" max="8450" width="3.5703125" style="19" customWidth="1"/>
    <col min="8451" max="8695" width="9.140625" style="19"/>
    <col min="8696" max="8696" width="8.7109375" style="19" customWidth="1"/>
    <col min="8697" max="8697" width="9.85546875" style="19" customWidth="1"/>
    <col min="8698" max="8698" width="14.42578125" style="19" customWidth="1"/>
    <col min="8699" max="8699" width="7.28515625" style="19" customWidth="1"/>
    <col min="8700" max="8700" width="5.5703125" style="19" customWidth="1"/>
    <col min="8701" max="8701" width="9" style="19" customWidth="1"/>
    <col min="8702" max="8703" width="9.85546875" style="19" customWidth="1"/>
    <col min="8704" max="8704" width="11.140625" style="19" customWidth="1"/>
    <col min="8705" max="8705" width="2.85546875" style="19" customWidth="1"/>
    <col min="8706" max="8706" width="3.5703125" style="19" customWidth="1"/>
    <col min="8707" max="8951" width="9.140625" style="19"/>
    <col min="8952" max="8952" width="8.7109375" style="19" customWidth="1"/>
    <col min="8953" max="8953" width="9.85546875" style="19" customWidth="1"/>
    <col min="8954" max="8954" width="14.42578125" style="19" customWidth="1"/>
    <col min="8955" max="8955" width="7.28515625" style="19" customWidth="1"/>
    <col min="8956" max="8956" width="5.5703125" style="19" customWidth="1"/>
    <col min="8957" max="8957" width="9" style="19" customWidth="1"/>
    <col min="8958" max="8959" width="9.85546875" style="19" customWidth="1"/>
    <col min="8960" max="8960" width="11.140625" style="19" customWidth="1"/>
    <col min="8961" max="8961" width="2.85546875" style="19" customWidth="1"/>
    <col min="8962" max="8962" width="3.5703125" style="19" customWidth="1"/>
    <col min="8963" max="9207" width="9.140625" style="19"/>
    <col min="9208" max="9208" width="8.7109375" style="19" customWidth="1"/>
    <col min="9209" max="9209" width="9.85546875" style="19" customWidth="1"/>
    <col min="9210" max="9210" width="14.42578125" style="19" customWidth="1"/>
    <col min="9211" max="9211" width="7.28515625" style="19" customWidth="1"/>
    <col min="9212" max="9212" width="5.5703125" style="19" customWidth="1"/>
    <col min="9213" max="9213" width="9" style="19" customWidth="1"/>
    <col min="9214" max="9215" width="9.85546875" style="19" customWidth="1"/>
    <col min="9216" max="9216" width="11.140625" style="19" customWidth="1"/>
    <col min="9217" max="9217" width="2.85546875" style="19" customWidth="1"/>
    <col min="9218" max="9218" width="3.5703125" style="19" customWidth="1"/>
    <col min="9219" max="9463" width="9.140625" style="19"/>
    <col min="9464" max="9464" width="8.7109375" style="19" customWidth="1"/>
    <col min="9465" max="9465" width="9.85546875" style="19" customWidth="1"/>
    <col min="9466" max="9466" width="14.42578125" style="19" customWidth="1"/>
    <col min="9467" max="9467" width="7.28515625" style="19" customWidth="1"/>
    <col min="9468" max="9468" width="5.5703125" style="19" customWidth="1"/>
    <col min="9469" max="9469" width="9" style="19" customWidth="1"/>
    <col min="9470" max="9471" width="9.85546875" style="19" customWidth="1"/>
    <col min="9472" max="9472" width="11.140625" style="19" customWidth="1"/>
    <col min="9473" max="9473" width="2.85546875" style="19" customWidth="1"/>
    <col min="9474" max="9474" width="3.5703125" style="19" customWidth="1"/>
    <col min="9475" max="9719" width="9.140625" style="19"/>
    <col min="9720" max="9720" width="8.7109375" style="19" customWidth="1"/>
    <col min="9721" max="9721" width="9.85546875" style="19" customWidth="1"/>
    <col min="9722" max="9722" width="14.42578125" style="19" customWidth="1"/>
    <col min="9723" max="9723" width="7.28515625" style="19" customWidth="1"/>
    <col min="9724" max="9724" width="5.5703125" style="19" customWidth="1"/>
    <col min="9725" max="9725" width="9" style="19" customWidth="1"/>
    <col min="9726" max="9727" width="9.85546875" style="19" customWidth="1"/>
    <col min="9728" max="9728" width="11.140625" style="19" customWidth="1"/>
    <col min="9729" max="9729" width="2.85546875" style="19" customWidth="1"/>
    <col min="9730" max="9730" width="3.5703125" style="19" customWidth="1"/>
    <col min="9731" max="9975" width="9.140625" style="19"/>
    <col min="9976" max="9976" width="8.7109375" style="19" customWidth="1"/>
    <col min="9977" max="9977" width="9.85546875" style="19" customWidth="1"/>
    <col min="9978" max="9978" width="14.42578125" style="19" customWidth="1"/>
    <col min="9979" max="9979" width="7.28515625" style="19" customWidth="1"/>
    <col min="9980" max="9980" width="5.5703125" style="19" customWidth="1"/>
    <col min="9981" max="9981" width="9" style="19" customWidth="1"/>
    <col min="9982" max="9983" width="9.85546875" style="19" customWidth="1"/>
    <col min="9984" max="9984" width="11.140625" style="19" customWidth="1"/>
    <col min="9985" max="9985" width="2.85546875" style="19" customWidth="1"/>
    <col min="9986" max="9986" width="3.5703125" style="19" customWidth="1"/>
    <col min="9987" max="10231" width="9.140625" style="19"/>
    <col min="10232" max="10232" width="8.7109375" style="19" customWidth="1"/>
    <col min="10233" max="10233" width="9.85546875" style="19" customWidth="1"/>
    <col min="10234" max="10234" width="14.42578125" style="19" customWidth="1"/>
    <col min="10235" max="10235" width="7.28515625" style="19" customWidth="1"/>
    <col min="10236" max="10236" width="5.5703125" style="19" customWidth="1"/>
    <col min="10237" max="10237" width="9" style="19" customWidth="1"/>
    <col min="10238" max="10239" width="9.85546875" style="19" customWidth="1"/>
    <col min="10240" max="10240" width="11.140625" style="19" customWidth="1"/>
    <col min="10241" max="10241" width="2.85546875" style="19" customWidth="1"/>
    <col min="10242" max="10242" width="3.5703125" style="19" customWidth="1"/>
    <col min="10243" max="10487" width="9.140625" style="19"/>
    <col min="10488" max="10488" width="8.7109375" style="19" customWidth="1"/>
    <col min="10489" max="10489" width="9.85546875" style="19" customWidth="1"/>
    <col min="10490" max="10490" width="14.42578125" style="19" customWidth="1"/>
    <col min="10491" max="10491" width="7.28515625" style="19" customWidth="1"/>
    <col min="10492" max="10492" width="5.5703125" style="19" customWidth="1"/>
    <col min="10493" max="10493" width="9" style="19" customWidth="1"/>
    <col min="10494" max="10495" width="9.85546875" style="19" customWidth="1"/>
    <col min="10496" max="10496" width="11.140625" style="19" customWidth="1"/>
    <col min="10497" max="10497" width="2.85546875" style="19" customWidth="1"/>
    <col min="10498" max="10498" width="3.5703125" style="19" customWidth="1"/>
    <col min="10499" max="10743" width="9.140625" style="19"/>
    <col min="10744" max="10744" width="8.7109375" style="19" customWidth="1"/>
    <col min="10745" max="10745" width="9.85546875" style="19" customWidth="1"/>
    <col min="10746" max="10746" width="14.42578125" style="19" customWidth="1"/>
    <col min="10747" max="10747" width="7.28515625" style="19" customWidth="1"/>
    <col min="10748" max="10748" width="5.5703125" style="19" customWidth="1"/>
    <col min="10749" max="10749" width="9" style="19" customWidth="1"/>
    <col min="10750" max="10751" width="9.85546875" style="19" customWidth="1"/>
    <col min="10752" max="10752" width="11.140625" style="19" customWidth="1"/>
    <col min="10753" max="10753" width="2.85546875" style="19" customWidth="1"/>
    <col min="10754" max="10754" width="3.5703125" style="19" customWidth="1"/>
    <col min="10755" max="10999" width="9.140625" style="19"/>
    <col min="11000" max="11000" width="8.7109375" style="19" customWidth="1"/>
    <col min="11001" max="11001" width="9.85546875" style="19" customWidth="1"/>
    <col min="11002" max="11002" width="14.42578125" style="19" customWidth="1"/>
    <col min="11003" max="11003" width="7.28515625" style="19" customWidth="1"/>
    <col min="11004" max="11004" width="5.5703125" style="19" customWidth="1"/>
    <col min="11005" max="11005" width="9" style="19" customWidth="1"/>
    <col min="11006" max="11007" width="9.85546875" style="19" customWidth="1"/>
    <col min="11008" max="11008" width="11.140625" style="19" customWidth="1"/>
    <col min="11009" max="11009" width="2.85546875" style="19" customWidth="1"/>
    <col min="11010" max="11010" width="3.5703125" style="19" customWidth="1"/>
    <col min="11011" max="11255" width="9.140625" style="19"/>
    <col min="11256" max="11256" width="8.7109375" style="19" customWidth="1"/>
    <col min="11257" max="11257" width="9.85546875" style="19" customWidth="1"/>
    <col min="11258" max="11258" width="14.42578125" style="19" customWidth="1"/>
    <col min="11259" max="11259" width="7.28515625" style="19" customWidth="1"/>
    <col min="11260" max="11260" width="5.5703125" style="19" customWidth="1"/>
    <col min="11261" max="11261" width="9" style="19" customWidth="1"/>
    <col min="11262" max="11263" width="9.85546875" style="19" customWidth="1"/>
    <col min="11264" max="11264" width="11.140625" style="19" customWidth="1"/>
    <col min="11265" max="11265" width="2.85546875" style="19" customWidth="1"/>
    <col min="11266" max="11266" width="3.5703125" style="19" customWidth="1"/>
    <col min="11267" max="11511" width="9.140625" style="19"/>
    <col min="11512" max="11512" width="8.7109375" style="19" customWidth="1"/>
    <col min="11513" max="11513" width="9.85546875" style="19" customWidth="1"/>
    <col min="11514" max="11514" width="14.42578125" style="19" customWidth="1"/>
    <col min="11515" max="11515" width="7.28515625" style="19" customWidth="1"/>
    <col min="11516" max="11516" width="5.5703125" style="19" customWidth="1"/>
    <col min="11517" max="11517" width="9" style="19" customWidth="1"/>
    <col min="11518" max="11519" width="9.85546875" style="19" customWidth="1"/>
    <col min="11520" max="11520" width="11.140625" style="19" customWidth="1"/>
    <col min="11521" max="11521" width="2.85546875" style="19" customWidth="1"/>
    <col min="11522" max="11522" width="3.5703125" style="19" customWidth="1"/>
    <col min="11523" max="11767" width="9.140625" style="19"/>
    <col min="11768" max="11768" width="8.7109375" style="19" customWidth="1"/>
    <col min="11769" max="11769" width="9.85546875" style="19" customWidth="1"/>
    <col min="11770" max="11770" width="14.42578125" style="19" customWidth="1"/>
    <col min="11771" max="11771" width="7.28515625" style="19" customWidth="1"/>
    <col min="11772" max="11772" width="5.5703125" style="19" customWidth="1"/>
    <col min="11773" max="11773" width="9" style="19" customWidth="1"/>
    <col min="11774" max="11775" width="9.85546875" style="19" customWidth="1"/>
    <col min="11776" max="11776" width="11.140625" style="19" customWidth="1"/>
    <col min="11777" max="11777" width="2.85546875" style="19" customWidth="1"/>
    <col min="11778" max="11778" width="3.5703125" style="19" customWidth="1"/>
    <col min="11779" max="12023" width="9.140625" style="19"/>
    <col min="12024" max="12024" width="8.7109375" style="19" customWidth="1"/>
    <col min="12025" max="12025" width="9.85546875" style="19" customWidth="1"/>
    <col min="12026" max="12026" width="14.42578125" style="19" customWidth="1"/>
    <col min="12027" max="12027" width="7.28515625" style="19" customWidth="1"/>
    <col min="12028" max="12028" width="5.5703125" style="19" customWidth="1"/>
    <col min="12029" max="12029" width="9" style="19" customWidth="1"/>
    <col min="12030" max="12031" width="9.85546875" style="19" customWidth="1"/>
    <col min="12032" max="12032" width="11.140625" style="19" customWidth="1"/>
    <col min="12033" max="12033" width="2.85546875" style="19" customWidth="1"/>
    <col min="12034" max="12034" width="3.5703125" style="19" customWidth="1"/>
    <col min="12035" max="12279" width="9.140625" style="19"/>
    <col min="12280" max="12280" width="8.7109375" style="19" customWidth="1"/>
    <col min="12281" max="12281" width="9.85546875" style="19" customWidth="1"/>
    <col min="12282" max="12282" width="14.42578125" style="19" customWidth="1"/>
    <col min="12283" max="12283" width="7.28515625" style="19" customWidth="1"/>
    <col min="12284" max="12284" width="5.5703125" style="19" customWidth="1"/>
    <col min="12285" max="12285" width="9" style="19" customWidth="1"/>
    <col min="12286" max="12287" width="9.85546875" style="19" customWidth="1"/>
    <col min="12288" max="12288" width="11.140625" style="19" customWidth="1"/>
    <col min="12289" max="12289" width="2.85546875" style="19" customWidth="1"/>
    <col min="12290" max="12290" width="3.5703125" style="19" customWidth="1"/>
    <col min="12291" max="12535" width="9.140625" style="19"/>
    <col min="12536" max="12536" width="8.7109375" style="19" customWidth="1"/>
    <col min="12537" max="12537" width="9.85546875" style="19" customWidth="1"/>
    <col min="12538" max="12538" width="14.42578125" style="19" customWidth="1"/>
    <col min="12539" max="12539" width="7.28515625" style="19" customWidth="1"/>
    <col min="12540" max="12540" width="5.5703125" style="19" customWidth="1"/>
    <col min="12541" max="12541" width="9" style="19" customWidth="1"/>
    <col min="12542" max="12543" width="9.85546875" style="19" customWidth="1"/>
    <col min="12544" max="12544" width="11.140625" style="19" customWidth="1"/>
    <col min="12545" max="12545" width="2.85546875" style="19" customWidth="1"/>
    <col min="12546" max="12546" width="3.5703125" style="19" customWidth="1"/>
    <col min="12547" max="12791" width="9.140625" style="19"/>
    <col min="12792" max="12792" width="8.7109375" style="19" customWidth="1"/>
    <col min="12793" max="12793" width="9.85546875" style="19" customWidth="1"/>
    <col min="12794" max="12794" width="14.42578125" style="19" customWidth="1"/>
    <col min="12795" max="12795" width="7.28515625" style="19" customWidth="1"/>
    <col min="12796" max="12796" width="5.5703125" style="19" customWidth="1"/>
    <col min="12797" max="12797" width="9" style="19" customWidth="1"/>
    <col min="12798" max="12799" width="9.85546875" style="19" customWidth="1"/>
    <col min="12800" max="12800" width="11.140625" style="19" customWidth="1"/>
    <col min="12801" max="12801" width="2.85546875" style="19" customWidth="1"/>
    <col min="12802" max="12802" width="3.5703125" style="19" customWidth="1"/>
    <col min="12803" max="13047" width="9.140625" style="19"/>
    <col min="13048" max="13048" width="8.7109375" style="19" customWidth="1"/>
    <col min="13049" max="13049" width="9.85546875" style="19" customWidth="1"/>
    <col min="13050" max="13050" width="14.42578125" style="19" customWidth="1"/>
    <col min="13051" max="13051" width="7.28515625" style="19" customWidth="1"/>
    <col min="13052" max="13052" width="5.5703125" style="19" customWidth="1"/>
    <col min="13053" max="13053" width="9" style="19" customWidth="1"/>
    <col min="13054" max="13055" width="9.85546875" style="19" customWidth="1"/>
    <col min="13056" max="13056" width="11.140625" style="19" customWidth="1"/>
    <col min="13057" max="13057" width="2.85546875" style="19" customWidth="1"/>
    <col min="13058" max="13058" width="3.5703125" style="19" customWidth="1"/>
    <col min="13059" max="13303" width="9.140625" style="19"/>
    <col min="13304" max="13304" width="8.7109375" style="19" customWidth="1"/>
    <col min="13305" max="13305" width="9.85546875" style="19" customWidth="1"/>
    <col min="13306" max="13306" width="14.42578125" style="19" customWidth="1"/>
    <col min="13307" max="13307" width="7.28515625" style="19" customWidth="1"/>
    <col min="13308" max="13308" width="5.5703125" style="19" customWidth="1"/>
    <col min="13309" max="13309" width="9" style="19" customWidth="1"/>
    <col min="13310" max="13311" width="9.85546875" style="19" customWidth="1"/>
    <col min="13312" max="13312" width="11.140625" style="19" customWidth="1"/>
    <col min="13313" max="13313" width="2.85546875" style="19" customWidth="1"/>
    <col min="13314" max="13314" width="3.5703125" style="19" customWidth="1"/>
    <col min="13315" max="13559" width="9.140625" style="19"/>
    <col min="13560" max="13560" width="8.7109375" style="19" customWidth="1"/>
    <col min="13561" max="13561" width="9.85546875" style="19" customWidth="1"/>
    <col min="13562" max="13562" width="14.42578125" style="19" customWidth="1"/>
    <col min="13563" max="13563" width="7.28515625" style="19" customWidth="1"/>
    <col min="13564" max="13564" width="5.5703125" style="19" customWidth="1"/>
    <col min="13565" max="13565" width="9" style="19" customWidth="1"/>
    <col min="13566" max="13567" width="9.85546875" style="19" customWidth="1"/>
    <col min="13568" max="13568" width="11.140625" style="19" customWidth="1"/>
    <col min="13569" max="13569" width="2.85546875" style="19" customWidth="1"/>
    <col min="13570" max="13570" width="3.5703125" style="19" customWidth="1"/>
    <col min="13571" max="13815" width="9.140625" style="19"/>
    <col min="13816" max="13816" width="8.7109375" style="19" customWidth="1"/>
    <col min="13817" max="13817" width="9.85546875" style="19" customWidth="1"/>
    <col min="13818" max="13818" width="14.42578125" style="19" customWidth="1"/>
    <col min="13819" max="13819" width="7.28515625" style="19" customWidth="1"/>
    <col min="13820" max="13820" width="5.5703125" style="19" customWidth="1"/>
    <col min="13821" max="13821" width="9" style="19" customWidth="1"/>
    <col min="13822" max="13823" width="9.85546875" style="19" customWidth="1"/>
    <col min="13824" max="13824" width="11.140625" style="19" customWidth="1"/>
    <col min="13825" max="13825" width="2.85546875" style="19" customWidth="1"/>
    <col min="13826" max="13826" width="3.5703125" style="19" customWidth="1"/>
    <col min="13827" max="14071" width="9.140625" style="19"/>
    <col min="14072" max="14072" width="8.7109375" style="19" customWidth="1"/>
    <col min="14073" max="14073" width="9.85546875" style="19" customWidth="1"/>
    <col min="14074" max="14074" width="14.42578125" style="19" customWidth="1"/>
    <col min="14075" max="14075" width="7.28515625" style="19" customWidth="1"/>
    <col min="14076" max="14076" width="5.5703125" style="19" customWidth="1"/>
    <col min="14077" max="14077" width="9" style="19" customWidth="1"/>
    <col min="14078" max="14079" width="9.85546875" style="19" customWidth="1"/>
    <col min="14080" max="14080" width="11.140625" style="19" customWidth="1"/>
    <col min="14081" max="14081" width="2.85546875" style="19" customWidth="1"/>
    <col min="14082" max="14082" width="3.5703125" style="19" customWidth="1"/>
    <col min="14083" max="14327" width="9.140625" style="19"/>
    <col min="14328" max="14328" width="8.7109375" style="19" customWidth="1"/>
    <col min="14329" max="14329" width="9.85546875" style="19" customWidth="1"/>
    <col min="14330" max="14330" width="14.42578125" style="19" customWidth="1"/>
    <col min="14331" max="14331" width="7.28515625" style="19" customWidth="1"/>
    <col min="14332" max="14332" width="5.5703125" style="19" customWidth="1"/>
    <col min="14333" max="14333" width="9" style="19" customWidth="1"/>
    <col min="14334" max="14335" width="9.85546875" style="19" customWidth="1"/>
    <col min="14336" max="14336" width="11.140625" style="19" customWidth="1"/>
    <col min="14337" max="14337" width="2.85546875" style="19" customWidth="1"/>
    <col min="14338" max="14338" width="3.5703125" style="19" customWidth="1"/>
    <col min="14339" max="14583" width="9.140625" style="19"/>
    <col min="14584" max="14584" width="8.7109375" style="19" customWidth="1"/>
    <col min="14585" max="14585" width="9.85546875" style="19" customWidth="1"/>
    <col min="14586" max="14586" width="14.42578125" style="19" customWidth="1"/>
    <col min="14587" max="14587" width="7.28515625" style="19" customWidth="1"/>
    <col min="14588" max="14588" width="5.5703125" style="19" customWidth="1"/>
    <col min="14589" max="14589" width="9" style="19" customWidth="1"/>
    <col min="14590" max="14591" width="9.85546875" style="19" customWidth="1"/>
    <col min="14592" max="14592" width="11.140625" style="19" customWidth="1"/>
    <col min="14593" max="14593" width="2.85546875" style="19" customWidth="1"/>
    <col min="14594" max="14594" width="3.5703125" style="19" customWidth="1"/>
    <col min="14595" max="14839" width="9.140625" style="19"/>
    <col min="14840" max="14840" width="8.7109375" style="19" customWidth="1"/>
    <col min="14841" max="14841" width="9.85546875" style="19" customWidth="1"/>
    <col min="14842" max="14842" width="14.42578125" style="19" customWidth="1"/>
    <col min="14843" max="14843" width="7.28515625" style="19" customWidth="1"/>
    <col min="14844" max="14844" width="5.5703125" style="19" customWidth="1"/>
    <col min="14845" max="14845" width="9" style="19" customWidth="1"/>
    <col min="14846" max="14847" width="9.85546875" style="19" customWidth="1"/>
    <col min="14848" max="14848" width="11.140625" style="19" customWidth="1"/>
    <col min="14849" max="14849" width="2.85546875" style="19" customWidth="1"/>
    <col min="14850" max="14850" width="3.5703125" style="19" customWidth="1"/>
    <col min="14851" max="15095" width="9.140625" style="19"/>
    <col min="15096" max="15096" width="8.7109375" style="19" customWidth="1"/>
    <col min="15097" max="15097" width="9.85546875" style="19" customWidth="1"/>
    <col min="15098" max="15098" width="14.42578125" style="19" customWidth="1"/>
    <col min="15099" max="15099" width="7.28515625" style="19" customWidth="1"/>
    <col min="15100" max="15100" width="5.5703125" style="19" customWidth="1"/>
    <col min="15101" max="15101" width="9" style="19" customWidth="1"/>
    <col min="15102" max="15103" width="9.85546875" style="19" customWidth="1"/>
    <col min="15104" max="15104" width="11.140625" style="19" customWidth="1"/>
    <col min="15105" max="15105" width="2.85546875" style="19" customWidth="1"/>
    <col min="15106" max="15106" width="3.5703125" style="19" customWidth="1"/>
    <col min="15107" max="15351" width="9.140625" style="19"/>
    <col min="15352" max="15352" width="8.7109375" style="19" customWidth="1"/>
    <col min="15353" max="15353" width="9.85546875" style="19" customWidth="1"/>
    <col min="15354" max="15354" width="14.42578125" style="19" customWidth="1"/>
    <col min="15355" max="15355" width="7.28515625" style="19" customWidth="1"/>
    <col min="15356" max="15356" width="5.5703125" style="19" customWidth="1"/>
    <col min="15357" max="15357" width="9" style="19" customWidth="1"/>
    <col min="15358" max="15359" width="9.85546875" style="19" customWidth="1"/>
    <col min="15360" max="15360" width="11.140625" style="19" customWidth="1"/>
    <col min="15361" max="15361" width="2.85546875" style="19" customWidth="1"/>
    <col min="15362" max="15362" width="3.5703125" style="19" customWidth="1"/>
    <col min="15363" max="15607" width="9.140625" style="19"/>
    <col min="15608" max="15608" width="8.7109375" style="19" customWidth="1"/>
    <col min="15609" max="15609" width="9.85546875" style="19" customWidth="1"/>
    <col min="15610" max="15610" width="14.42578125" style="19" customWidth="1"/>
    <col min="15611" max="15611" width="7.28515625" style="19" customWidth="1"/>
    <col min="15612" max="15612" width="5.5703125" style="19" customWidth="1"/>
    <col min="15613" max="15613" width="9" style="19" customWidth="1"/>
    <col min="15614" max="15615" width="9.85546875" style="19" customWidth="1"/>
    <col min="15616" max="15616" width="11.140625" style="19" customWidth="1"/>
    <col min="15617" max="15617" width="2.85546875" style="19" customWidth="1"/>
    <col min="15618" max="15618" width="3.5703125" style="19" customWidth="1"/>
    <col min="15619" max="15863" width="9.140625" style="19"/>
    <col min="15864" max="15864" width="8.7109375" style="19" customWidth="1"/>
    <col min="15865" max="15865" width="9.85546875" style="19" customWidth="1"/>
    <col min="15866" max="15866" width="14.42578125" style="19" customWidth="1"/>
    <col min="15867" max="15867" width="7.28515625" style="19" customWidth="1"/>
    <col min="15868" max="15868" width="5.5703125" style="19" customWidth="1"/>
    <col min="15869" max="15869" width="9" style="19" customWidth="1"/>
    <col min="15870" max="15871" width="9.85546875" style="19" customWidth="1"/>
    <col min="15872" max="15872" width="11.140625" style="19" customWidth="1"/>
    <col min="15873" max="15873" width="2.85546875" style="19" customWidth="1"/>
    <col min="15874" max="15874" width="3.5703125" style="19" customWidth="1"/>
    <col min="15875" max="16119" width="9.140625" style="19"/>
    <col min="16120" max="16120" width="8.7109375" style="19" customWidth="1"/>
    <col min="16121" max="16121" width="9.85546875" style="19" customWidth="1"/>
    <col min="16122" max="16122" width="14.42578125" style="19" customWidth="1"/>
    <col min="16123" max="16123" width="7.28515625" style="19" customWidth="1"/>
    <col min="16124" max="16124" width="5.5703125" style="19" customWidth="1"/>
    <col min="16125" max="16125" width="9" style="19" customWidth="1"/>
    <col min="16126" max="16127" width="9.85546875" style="19" customWidth="1"/>
    <col min="16128" max="16128" width="11.140625" style="19" customWidth="1"/>
    <col min="16129" max="16129" width="2.85546875" style="19" customWidth="1"/>
    <col min="16130" max="16130" width="3.5703125" style="19" customWidth="1"/>
    <col min="16131" max="16384" width="9.140625" style="19"/>
  </cols>
  <sheetData>
    <row r="1" spans="1:26" ht="46.5" customHeight="1" x14ac:dyDescent="0.25">
      <c r="A1" s="201" t="s">
        <v>155</v>
      </c>
      <c r="B1" s="201"/>
      <c r="C1" s="201"/>
      <c r="D1" s="201"/>
      <c r="E1" s="201"/>
      <c r="F1" s="201"/>
      <c r="G1" s="201"/>
      <c r="H1" s="201"/>
    </row>
    <row r="2" spans="1:26" ht="16.5" customHeight="1" x14ac:dyDescent="0.25">
      <c r="A2" s="202" t="s">
        <v>0</v>
      </c>
      <c r="B2" s="202"/>
      <c r="C2" s="202"/>
      <c r="D2" s="202"/>
      <c r="E2" s="202"/>
      <c r="F2" s="202"/>
      <c r="G2" s="202"/>
      <c r="H2" s="202"/>
    </row>
    <row r="3" spans="1:26" x14ac:dyDescent="0.25">
      <c r="A3" s="163" t="s">
        <v>1</v>
      </c>
      <c r="B3" s="163"/>
      <c r="C3" s="163"/>
      <c r="D3" s="163"/>
      <c r="E3" s="163" t="str">
        <f ca="1">TEXT(TODAY(),"DD/MM/YYYY")</f>
        <v>25/07/2025</v>
      </c>
      <c r="F3" s="163"/>
      <c r="G3" s="163"/>
      <c r="H3" s="163"/>
      <c r="K3" s="50" t="s">
        <v>228</v>
      </c>
      <c r="L3" s="49" t="s">
        <v>226</v>
      </c>
      <c r="M3" s="49" t="s">
        <v>231</v>
      </c>
      <c r="N3" s="49" t="s">
        <v>229</v>
      </c>
      <c r="O3" s="49" t="s">
        <v>334</v>
      </c>
      <c r="P3" s="49" t="s">
        <v>232</v>
      </c>
    </row>
    <row r="4" spans="1:26" ht="15" customHeight="1" x14ac:dyDescent="0.25">
      <c r="A4" s="163" t="s">
        <v>225</v>
      </c>
      <c r="B4" s="163"/>
      <c r="C4" s="163"/>
      <c r="D4" s="163"/>
      <c r="E4" s="163" t="s">
        <v>448</v>
      </c>
      <c r="F4" s="163"/>
      <c r="G4" s="163"/>
      <c r="H4" s="163"/>
      <c r="I4" s="19" t="s">
        <v>448</v>
      </c>
      <c r="K4" s="48" t="s">
        <v>227</v>
      </c>
      <c r="L4" s="49" t="s">
        <v>161</v>
      </c>
      <c r="M4" s="49" t="s">
        <v>236</v>
      </c>
      <c r="N4" s="49" t="s">
        <v>238</v>
      </c>
      <c r="O4" s="49" t="s">
        <v>335</v>
      </c>
      <c r="P4" s="49"/>
    </row>
    <row r="5" spans="1:26" ht="15" hidden="1" customHeight="1" x14ac:dyDescent="0.25">
      <c r="A5" s="203" t="s">
        <v>2</v>
      </c>
      <c r="B5" s="203"/>
      <c r="C5" s="203"/>
      <c r="D5" s="203"/>
      <c r="E5" s="203"/>
      <c r="F5" s="203"/>
      <c r="G5" s="203"/>
      <c r="H5" s="203"/>
      <c r="K5" s="48"/>
      <c r="L5" s="49" t="s">
        <v>233</v>
      </c>
      <c r="M5" s="49" t="s">
        <v>237</v>
      </c>
      <c r="N5" s="49" t="s">
        <v>239</v>
      </c>
      <c r="O5" s="49" t="s">
        <v>336</v>
      </c>
      <c r="P5" s="49"/>
    </row>
    <row r="6" spans="1:26" x14ac:dyDescent="0.25">
      <c r="A6" s="163" t="s">
        <v>3</v>
      </c>
      <c r="B6" s="163"/>
      <c r="C6" s="163"/>
      <c r="D6" s="163"/>
      <c r="E6" s="204">
        <v>45862</v>
      </c>
      <c r="F6" s="163"/>
      <c r="G6" s="163"/>
      <c r="H6" s="163"/>
      <c r="K6" s="48"/>
      <c r="L6" s="49" t="s">
        <v>234</v>
      </c>
      <c r="M6" s="49"/>
      <c r="N6" s="49"/>
      <c r="O6" s="49" t="s">
        <v>337</v>
      </c>
      <c r="P6" s="49"/>
    </row>
    <row r="7" spans="1:26" ht="16.5" customHeight="1" x14ac:dyDescent="0.25">
      <c r="A7" s="163" t="s">
        <v>4</v>
      </c>
      <c r="B7" s="163"/>
      <c r="C7" s="163"/>
      <c r="D7" s="163"/>
      <c r="E7" s="165" t="s">
        <v>461</v>
      </c>
      <c r="F7" s="163"/>
      <c r="G7" s="163"/>
      <c r="H7" s="163"/>
      <c r="K7" s="48"/>
      <c r="L7" s="49" t="s">
        <v>235</v>
      </c>
      <c r="M7" s="49"/>
      <c r="N7" s="49"/>
      <c r="O7" s="49" t="s">
        <v>337</v>
      </c>
      <c r="P7" s="49"/>
    </row>
    <row r="8" spans="1:26" ht="15" customHeight="1" x14ac:dyDescent="0.25">
      <c r="A8" s="163" t="s">
        <v>5</v>
      </c>
      <c r="B8" s="163"/>
      <c r="C8" s="163"/>
      <c r="D8" s="163"/>
      <c r="E8" s="163" t="str">
        <f>E7</f>
        <v>Tejukaya Corp Private Limited</v>
      </c>
      <c r="F8" s="163"/>
      <c r="G8" s="163"/>
      <c r="H8" s="163"/>
      <c r="K8" s="48"/>
      <c r="L8" s="49"/>
      <c r="M8" s="49"/>
      <c r="N8" s="49"/>
      <c r="O8" s="49" t="s">
        <v>338</v>
      </c>
      <c r="P8" s="49"/>
    </row>
    <row r="9" spans="1:26" x14ac:dyDescent="0.25">
      <c r="A9" s="163" t="s">
        <v>6</v>
      </c>
      <c r="B9" s="163"/>
      <c r="C9" s="163"/>
      <c r="D9" s="163"/>
      <c r="E9" s="133" t="s">
        <v>342</v>
      </c>
      <c r="F9" s="133"/>
      <c r="G9" s="133"/>
      <c r="H9" s="133"/>
      <c r="K9" s="48"/>
      <c r="L9" s="49"/>
      <c r="M9" s="49"/>
      <c r="N9" s="49"/>
      <c r="O9" s="49" t="s">
        <v>339</v>
      </c>
      <c r="P9" s="49"/>
    </row>
    <row r="10" spans="1:26" x14ac:dyDescent="0.25">
      <c r="A10" s="163" t="s">
        <v>158</v>
      </c>
      <c r="B10" s="163"/>
      <c r="C10" s="163"/>
      <c r="D10" s="163"/>
      <c r="E10" s="163" t="s">
        <v>28</v>
      </c>
      <c r="F10" s="163"/>
      <c r="G10" s="163"/>
      <c r="H10" s="163"/>
      <c r="K10" s="48"/>
      <c r="L10" s="49"/>
      <c r="M10" s="49"/>
      <c r="N10" s="49"/>
      <c r="O10" s="49" t="s">
        <v>340</v>
      </c>
      <c r="P10" s="49"/>
    </row>
    <row r="11" spans="1:26" x14ac:dyDescent="0.25">
      <c r="A11" s="163" t="s">
        <v>159</v>
      </c>
      <c r="B11" s="163"/>
      <c r="C11" s="163"/>
      <c r="D11" s="163"/>
      <c r="E11" s="163" t="s">
        <v>470</v>
      </c>
      <c r="F11" s="163"/>
      <c r="G11" s="163"/>
      <c r="H11" s="163"/>
      <c r="O11" s="49" t="s">
        <v>341</v>
      </c>
    </row>
    <row r="12" spans="1:26" x14ac:dyDescent="0.25">
      <c r="A12" s="163" t="s">
        <v>7</v>
      </c>
      <c r="B12" s="163"/>
      <c r="C12" s="163"/>
      <c r="D12" s="163"/>
      <c r="E12" s="163" t="s">
        <v>449</v>
      </c>
      <c r="F12" s="163"/>
      <c r="G12" s="163"/>
      <c r="H12" s="163"/>
    </row>
    <row r="13" spans="1:26" ht="47.25" customHeight="1" x14ac:dyDescent="0.25">
      <c r="A13" s="163" t="s">
        <v>162</v>
      </c>
      <c r="B13" s="163"/>
      <c r="C13" s="163"/>
      <c r="D13" s="163"/>
      <c r="E13" s="165" t="s">
        <v>406</v>
      </c>
      <c r="F13" s="163"/>
      <c r="G13" s="163"/>
      <c r="H13" s="163"/>
      <c r="S13" s="49" t="s">
        <v>171</v>
      </c>
      <c r="T13" s="49" t="s">
        <v>180</v>
      </c>
      <c r="U13" s="49" t="s">
        <v>163</v>
      </c>
      <c r="V13" s="49" t="s">
        <v>185</v>
      </c>
      <c r="W13" s="49" t="s">
        <v>203</v>
      </c>
      <c r="X13"/>
      <c r="Y13" t="s">
        <v>185</v>
      </c>
      <c r="Z13" t="e">
        <f ca="1">OFFSET($S$13,1,MATCH($G20,$S$13:$W$13,0)-1,15,1)</f>
        <v>#VALUE!</v>
      </c>
    </row>
    <row r="14" spans="1:26" x14ac:dyDescent="0.25">
      <c r="A14" s="159" t="s">
        <v>271</v>
      </c>
      <c r="B14" s="159"/>
      <c r="C14" s="159"/>
      <c r="D14" s="159"/>
      <c r="E14" s="165" t="s">
        <v>453</v>
      </c>
      <c r="F14" s="165"/>
      <c r="G14" s="165"/>
      <c r="H14" s="165"/>
      <c r="S14" s="49" t="s">
        <v>171</v>
      </c>
      <c r="T14" s="49" t="s">
        <v>178</v>
      </c>
      <c r="U14" s="49" t="s">
        <v>200</v>
      </c>
      <c r="V14" s="49" t="s">
        <v>186</v>
      </c>
      <c r="W14" s="49" t="s">
        <v>204</v>
      </c>
      <c r="X14"/>
      <c r="Y14"/>
      <c r="Z14"/>
    </row>
    <row r="15" spans="1:26" x14ac:dyDescent="0.25">
      <c r="A15" s="159" t="s">
        <v>8</v>
      </c>
      <c r="B15" s="159"/>
      <c r="C15" s="159"/>
      <c r="D15" s="159"/>
      <c r="E15" s="165" t="s">
        <v>344</v>
      </c>
      <c r="F15" s="163"/>
      <c r="G15" s="163"/>
      <c r="H15" s="163"/>
      <c r="I15" s="155" t="e">
        <f ca="1">OFFSET($D$5,1,MATCH($J13,$D$5:$H$5,0)-1,15,1)</f>
        <v>#N/A</v>
      </c>
      <c r="J15" s="156"/>
      <c r="K15" s="156"/>
      <c r="L15" s="156"/>
      <c r="M15" s="156"/>
      <c r="N15" s="156"/>
      <c r="O15" s="156"/>
      <c r="P15" s="156"/>
      <c r="S15" s="49" t="s">
        <v>172</v>
      </c>
      <c r="T15" s="49" t="s">
        <v>179</v>
      </c>
      <c r="U15" s="49" t="s">
        <v>201</v>
      </c>
      <c r="V15" s="49" t="s">
        <v>187</v>
      </c>
      <c r="W15" s="49" t="s">
        <v>217</v>
      </c>
      <c r="X15"/>
      <c r="Y15"/>
      <c r="Z15"/>
    </row>
    <row r="16" spans="1:26" ht="63" customHeight="1" x14ac:dyDescent="0.25">
      <c r="A16" s="164" t="s">
        <v>9</v>
      </c>
      <c r="B16" s="164"/>
      <c r="C16" s="164" t="str">
        <f>CONCATENATE((IF(OR(E9="",E9="NA"),"",E9)),", ",(IF(OR(A17="",A17="NA"),"",A17)),".",(IF(OR(C17="",C17="NA"),"",C17)),", near ",(IF(OR(C22="",C22="NA"),"",C22)),", ",(IF(OR(C19="",C19="NA"),"",C19)),", ",(IF(OR(C18="",C18="NA"),"",C18)),", ",(IF(OR(G19="",G19="NA"),"",G19)),", ",(IF(OR(C20="",C20="NA"),"",C20)),", ",(IF(OR(C21="",C21="NA"),"",C21)),", ",(IF(OR(G20="",G20="NA"),"",G20))," - ",(IF(OR(G21="",G21="NA"),"",G21)),".")</f>
        <v>The Edge, CTS No.3/52, 3A/52, 3A-1/52 &amp; 3B/52, Redevelopement of " Tejukaya Mansion &amp; Ranveer Sadan ", near Avighna IX, Dr. Babasaheb Ambedkar Road, Parel Sewri, Lalbaug, Currey Road East, Mumbai, Mumbai - 400012.</v>
      </c>
      <c r="D16" s="164"/>
      <c r="E16" s="164"/>
      <c r="F16" s="164"/>
      <c r="G16" s="164"/>
      <c r="H16" s="164"/>
      <c r="S16" s="49" t="s">
        <v>173</v>
      </c>
      <c r="T16" s="49" t="s">
        <v>181</v>
      </c>
      <c r="U16" s="49" t="s">
        <v>202</v>
      </c>
      <c r="V16" s="49" t="s">
        <v>188</v>
      </c>
      <c r="W16" s="49" t="s">
        <v>205</v>
      </c>
      <c r="X16"/>
      <c r="Y16"/>
      <c r="Z16"/>
    </row>
    <row r="17" spans="1:26" ht="31.5" customHeight="1" x14ac:dyDescent="0.25">
      <c r="A17" s="165" t="s">
        <v>167</v>
      </c>
      <c r="B17" s="165"/>
      <c r="C17" s="165" t="s">
        <v>345</v>
      </c>
      <c r="D17" s="165"/>
      <c r="E17" s="165"/>
      <c r="F17" s="165"/>
      <c r="G17" s="165"/>
      <c r="H17" s="165"/>
      <c r="S17" s="49" t="s">
        <v>174</v>
      </c>
      <c r="T17" s="49" t="s">
        <v>182</v>
      </c>
      <c r="U17" s="49" t="s">
        <v>163</v>
      </c>
      <c r="V17" s="49" t="s">
        <v>189</v>
      </c>
      <c r="W17" s="49" t="s">
        <v>206</v>
      </c>
      <c r="X17"/>
      <c r="Y17"/>
      <c r="Z17"/>
    </row>
    <row r="18" spans="1:26" ht="15.75" customHeight="1" x14ac:dyDescent="0.25">
      <c r="A18" s="165" t="s">
        <v>153</v>
      </c>
      <c r="B18" s="165"/>
      <c r="C18" s="165" t="s">
        <v>410</v>
      </c>
      <c r="D18" s="165"/>
      <c r="E18" s="165"/>
      <c r="F18" s="165"/>
      <c r="G18" s="165"/>
      <c r="H18" s="165"/>
      <c r="S18" s="49" t="s">
        <v>175</v>
      </c>
      <c r="T18" s="49" t="s">
        <v>180</v>
      </c>
      <c r="U18" s="49"/>
      <c r="V18" s="49" t="s">
        <v>190</v>
      </c>
      <c r="W18" s="49" t="s">
        <v>207</v>
      </c>
      <c r="X18"/>
      <c r="Y18"/>
      <c r="Z18"/>
    </row>
    <row r="19" spans="1:26" ht="31.5" customHeight="1" x14ac:dyDescent="0.25">
      <c r="A19" s="164" t="s">
        <v>10</v>
      </c>
      <c r="B19" s="164"/>
      <c r="C19" s="165" t="s">
        <v>346</v>
      </c>
      <c r="D19" s="165"/>
      <c r="E19" s="164" t="s">
        <v>67</v>
      </c>
      <c r="F19" s="164"/>
      <c r="G19" s="165" t="s">
        <v>347</v>
      </c>
      <c r="H19" s="165"/>
      <c r="S19" s="49" t="s">
        <v>176</v>
      </c>
      <c r="T19" s="49" t="s">
        <v>183</v>
      </c>
      <c r="U19" s="49"/>
      <c r="V19" s="49" t="s">
        <v>191</v>
      </c>
      <c r="W19" s="49" t="s">
        <v>208</v>
      </c>
      <c r="X19"/>
      <c r="Y19"/>
      <c r="Z19"/>
    </row>
    <row r="20" spans="1:26" x14ac:dyDescent="0.25">
      <c r="A20" s="159" t="s">
        <v>12</v>
      </c>
      <c r="B20" s="159"/>
      <c r="C20" s="165" t="s">
        <v>483</v>
      </c>
      <c r="D20" s="165"/>
      <c r="E20" s="165" t="s">
        <v>11</v>
      </c>
      <c r="F20" s="165"/>
      <c r="G20" s="205" t="s">
        <v>163</v>
      </c>
      <c r="H20" s="205"/>
      <c r="S20" s="49" t="s">
        <v>177</v>
      </c>
      <c r="T20" s="49" t="s">
        <v>184</v>
      </c>
      <c r="U20" s="49"/>
      <c r="V20" s="49" t="s">
        <v>192</v>
      </c>
      <c r="W20" s="49" t="s">
        <v>209</v>
      </c>
      <c r="X20"/>
      <c r="Y20"/>
      <c r="Z20"/>
    </row>
    <row r="21" spans="1:26" x14ac:dyDescent="0.25">
      <c r="A21" s="159" t="s">
        <v>68</v>
      </c>
      <c r="B21" s="159"/>
      <c r="C21" s="165" t="s">
        <v>163</v>
      </c>
      <c r="D21" s="165"/>
      <c r="E21" s="165" t="s">
        <v>13</v>
      </c>
      <c r="F21" s="165"/>
      <c r="G21" s="165">
        <v>400012</v>
      </c>
      <c r="H21" s="165"/>
      <c r="S21" s="49"/>
      <c r="T21" s="49"/>
      <c r="U21" s="49"/>
      <c r="V21" s="49" t="s">
        <v>193</v>
      </c>
      <c r="W21" s="49" t="s">
        <v>210</v>
      </c>
      <c r="X21"/>
      <c r="Y21"/>
      <c r="Z21"/>
    </row>
    <row r="22" spans="1:26" ht="32.25" customHeight="1" x14ac:dyDescent="0.25">
      <c r="A22" s="159" t="s">
        <v>113</v>
      </c>
      <c r="B22" s="159"/>
      <c r="C22" s="165" t="s">
        <v>454</v>
      </c>
      <c r="D22" s="165"/>
      <c r="E22" s="164" t="s">
        <v>14</v>
      </c>
      <c r="F22" s="164"/>
      <c r="G22" s="165" t="s">
        <v>486</v>
      </c>
      <c r="H22" s="165"/>
      <c r="S22" s="49"/>
      <c r="T22" s="49"/>
      <c r="U22" s="49"/>
      <c r="V22" s="49" t="s">
        <v>194</v>
      </c>
      <c r="W22" s="49" t="s">
        <v>211</v>
      </c>
      <c r="X22"/>
      <c r="Y22"/>
      <c r="Z22"/>
    </row>
    <row r="23" spans="1:26" ht="15" customHeight="1" x14ac:dyDescent="0.25">
      <c r="A23" s="164" t="s">
        <v>69</v>
      </c>
      <c r="B23" s="164"/>
      <c r="C23" s="164"/>
      <c r="D23" s="164"/>
      <c r="E23" s="163" t="s">
        <v>15</v>
      </c>
      <c r="F23" s="163"/>
      <c r="G23" s="163"/>
      <c r="H23" s="163"/>
      <c r="S23" s="49"/>
      <c r="T23" s="49"/>
      <c r="U23" s="49"/>
      <c r="V23" s="49" t="s">
        <v>195</v>
      </c>
      <c r="W23" s="49" t="s">
        <v>212</v>
      </c>
      <c r="X23"/>
      <c r="Y23"/>
      <c r="Z23"/>
    </row>
    <row r="24" spans="1:26" ht="18.75" customHeight="1" x14ac:dyDescent="0.25">
      <c r="A24" s="164"/>
      <c r="B24" s="164"/>
      <c r="C24" s="164"/>
      <c r="D24" s="164"/>
      <c r="E24" s="163"/>
      <c r="F24" s="163"/>
      <c r="G24" s="163"/>
      <c r="H24" s="163"/>
      <c r="S24" s="49"/>
      <c r="T24" s="49"/>
      <c r="U24" s="49"/>
      <c r="V24" s="49" t="s">
        <v>196</v>
      </c>
      <c r="W24" s="49" t="s">
        <v>213</v>
      </c>
      <c r="X24"/>
      <c r="Y24"/>
      <c r="Z24"/>
    </row>
    <row r="25" spans="1:26" ht="15" customHeight="1" x14ac:dyDescent="0.25">
      <c r="A25" s="164" t="s">
        <v>16</v>
      </c>
      <c r="B25" s="164"/>
      <c r="C25" s="164"/>
      <c r="D25" s="164"/>
      <c r="E25" s="165" t="s">
        <v>17</v>
      </c>
      <c r="F25" s="165"/>
      <c r="G25" s="165"/>
      <c r="H25" s="165"/>
      <c r="S25" s="49"/>
      <c r="T25" s="49"/>
      <c r="U25" s="49"/>
      <c r="V25" s="49" t="s">
        <v>197</v>
      </c>
      <c r="W25" s="49" t="s">
        <v>214</v>
      </c>
      <c r="X25"/>
      <c r="Y25"/>
      <c r="Z25"/>
    </row>
    <row r="26" spans="1:26" ht="15" customHeight="1" x14ac:dyDescent="0.25">
      <c r="A26" s="159" t="s">
        <v>18</v>
      </c>
      <c r="B26" s="159"/>
      <c r="C26" s="159"/>
      <c r="D26" s="159"/>
      <c r="E26" s="165" t="str">
        <f>IF(AND(G20="Mumbai"),"Upper Class","Middle Class")</f>
        <v>Upper Class</v>
      </c>
      <c r="F26" s="165"/>
      <c r="G26" s="165"/>
      <c r="H26" s="165"/>
      <c r="S26" s="49"/>
      <c r="T26" s="49"/>
      <c r="U26" s="49"/>
      <c r="V26" s="49" t="s">
        <v>198</v>
      </c>
      <c r="W26" s="49" t="s">
        <v>215</v>
      </c>
      <c r="X26"/>
      <c r="Y26"/>
      <c r="Z26"/>
    </row>
    <row r="27" spans="1:26" x14ac:dyDescent="0.25">
      <c r="A27" s="159" t="s">
        <v>19</v>
      </c>
      <c r="B27" s="159"/>
      <c r="C27" s="159"/>
      <c r="D27" s="159"/>
      <c r="E27" s="165" t="s">
        <v>20</v>
      </c>
      <c r="F27" s="165"/>
      <c r="G27" s="165"/>
      <c r="H27" s="165"/>
      <c r="S27" s="49"/>
      <c r="T27" s="49"/>
      <c r="U27" s="49"/>
      <c r="V27" s="49" t="s">
        <v>199</v>
      </c>
      <c r="W27" s="49" t="s">
        <v>216</v>
      </c>
      <c r="X27"/>
      <c r="Y27"/>
      <c r="Z27"/>
    </row>
    <row r="28" spans="1:26" ht="15.75" customHeight="1" x14ac:dyDescent="0.25">
      <c r="A28" s="159" t="s">
        <v>21</v>
      </c>
      <c r="B28" s="159"/>
      <c r="C28" s="159"/>
      <c r="D28" s="159"/>
      <c r="E28" s="165" t="str">
        <f>IF(AND(G20="Mumbai"),"Developed","Developing")</f>
        <v>Developed</v>
      </c>
      <c r="F28" s="165"/>
      <c r="G28" s="165"/>
      <c r="H28" s="165"/>
    </row>
    <row r="29" spans="1:26" x14ac:dyDescent="0.25">
      <c r="A29" s="159" t="s">
        <v>22</v>
      </c>
      <c r="B29" s="159"/>
      <c r="C29" s="159"/>
      <c r="D29" s="159"/>
      <c r="E29" s="165" t="s">
        <v>23</v>
      </c>
      <c r="F29" s="165"/>
      <c r="G29" s="165"/>
      <c r="H29" s="165"/>
    </row>
    <row r="30" spans="1:26" ht="15.75" customHeight="1" x14ac:dyDescent="0.25">
      <c r="A30" s="159" t="s">
        <v>74</v>
      </c>
      <c r="B30" s="159"/>
      <c r="C30" s="159"/>
      <c r="D30" s="159"/>
      <c r="E30" s="165" t="s">
        <v>75</v>
      </c>
      <c r="F30" s="165"/>
      <c r="G30" s="165"/>
      <c r="H30" s="165"/>
    </row>
    <row r="31" spans="1:26" ht="15" customHeight="1" x14ac:dyDescent="0.25">
      <c r="A31" s="159" t="s">
        <v>30</v>
      </c>
      <c r="B31" s="159"/>
      <c r="C31" s="159"/>
      <c r="D31" s="159"/>
      <c r="E31" s="165" t="str">
        <f>IF(AND(ISNUMBER(SEARCH("Flat",D73)),ISNUMBER(SEARCH("Shop",D73)),ISNUMBER(SEARCH("Office",D73))),"Residential + Commercial",IF(AND(ISNUMBER(SEARCH("Flat",D73)),ISNUMBER(SEARCH("Shop",D73))),"Residential + Commercial",IF(AND(ISNUMBER(SEARCH("Flat",D73)),ISNUMBER(SEARCH("Office",D73))),"Residential + Commercial",IF(AND(ISNUMBER(SEARCH("Shop",D73)),ISNUMBER(SEARCH("Office",D73))),"Commercial",IF(ISNUMBER(SEARCH("Shop",D73)),"Commercial",IF(ISNUMBER(SEARCH("Office",D73)),"Commercial",IF(ISNUMBER(SEARCH("Flat",D73)),"Residential")))))))</f>
        <v>Residential + Commercial</v>
      </c>
      <c r="F31" s="165"/>
      <c r="G31" s="165"/>
      <c r="H31" s="165"/>
    </row>
    <row r="32" spans="1:26" ht="15.75" customHeight="1" x14ac:dyDescent="0.25">
      <c r="A32" s="159" t="s">
        <v>84</v>
      </c>
      <c r="B32" s="159"/>
      <c r="C32" s="159"/>
      <c r="D32" s="159"/>
      <c r="E32" s="165" t="s">
        <v>31</v>
      </c>
      <c r="F32" s="165"/>
      <c r="G32" s="165"/>
      <c r="H32" s="165"/>
    </row>
    <row r="33" spans="1:22" s="20" customFormat="1" x14ac:dyDescent="0.25">
      <c r="A33" s="222" t="s">
        <v>85</v>
      </c>
      <c r="B33" s="222"/>
      <c r="C33" s="158" t="s">
        <v>164</v>
      </c>
      <c r="D33" s="158"/>
      <c r="E33" s="158"/>
      <c r="F33" s="158" t="s">
        <v>29</v>
      </c>
      <c r="G33" s="158"/>
      <c r="H33" s="158"/>
      <c r="S33" s="20" t="e">
        <f ca="1">OFFSET($S$13,1,MATCH($G20,$S$13:$W$13,0)-1,15,1)</f>
        <v>#VALUE!</v>
      </c>
    </row>
    <row r="34" spans="1:22" s="20" customFormat="1" x14ac:dyDescent="0.25">
      <c r="A34" s="220" t="s">
        <v>24</v>
      </c>
      <c r="B34" s="220" t="s">
        <v>28</v>
      </c>
      <c r="C34" s="206" t="s">
        <v>350</v>
      </c>
      <c r="D34" s="206"/>
      <c r="E34" s="206"/>
      <c r="F34" s="206" t="s">
        <v>346</v>
      </c>
      <c r="G34" s="206"/>
      <c r="H34" s="206"/>
    </row>
    <row r="35" spans="1:22" x14ac:dyDescent="0.25">
      <c r="A35" s="220" t="s">
        <v>25</v>
      </c>
      <c r="B35" s="220" t="s">
        <v>28</v>
      </c>
      <c r="C35" s="206" t="s">
        <v>351</v>
      </c>
      <c r="D35" s="206"/>
      <c r="E35" s="206"/>
      <c r="F35" s="206" t="s">
        <v>352</v>
      </c>
      <c r="G35" s="206"/>
      <c r="H35" s="206"/>
    </row>
    <row r="36" spans="1:22" s="20" customFormat="1" x14ac:dyDescent="0.25">
      <c r="A36" s="220" t="s">
        <v>27</v>
      </c>
      <c r="B36" s="220" t="s">
        <v>28</v>
      </c>
      <c r="C36" s="206" t="s">
        <v>351</v>
      </c>
      <c r="D36" s="206"/>
      <c r="E36" s="206"/>
      <c r="F36" s="206" t="s">
        <v>454</v>
      </c>
      <c r="G36" s="206"/>
      <c r="H36" s="206"/>
    </row>
    <row r="37" spans="1:22" x14ac:dyDescent="0.25">
      <c r="A37" s="220" t="s">
        <v>26</v>
      </c>
      <c r="B37" s="220" t="s">
        <v>28</v>
      </c>
      <c r="C37" s="206" t="s">
        <v>351</v>
      </c>
      <c r="D37" s="206"/>
      <c r="E37" s="206"/>
      <c r="F37" s="206" t="s">
        <v>352</v>
      </c>
      <c r="G37" s="206"/>
      <c r="H37" s="206"/>
    </row>
    <row r="38" spans="1:22" x14ac:dyDescent="0.25">
      <c r="A38" s="159" t="s">
        <v>272</v>
      </c>
      <c r="B38" s="159"/>
      <c r="C38" s="159"/>
      <c r="D38" s="159"/>
      <c r="E38" s="159"/>
      <c r="F38" s="159"/>
      <c r="G38" s="159"/>
      <c r="H38" s="159"/>
    </row>
    <row r="39" spans="1:22" ht="15.75" customHeight="1" x14ac:dyDescent="0.25">
      <c r="A39" s="159" t="s">
        <v>156</v>
      </c>
      <c r="B39" s="159"/>
      <c r="C39" s="199" t="s">
        <v>349</v>
      </c>
      <c r="D39" s="199"/>
      <c r="E39" s="199"/>
      <c r="F39" s="199"/>
      <c r="G39" s="199"/>
      <c r="H39" s="199"/>
    </row>
    <row r="40" spans="1:22" x14ac:dyDescent="0.25">
      <c r="A40" s="159" t="s">
        <v>152</v>
      </c>
      <c r="B40" s="159"/>
      <c r="C40" s="213" t="s">
        <v>348</v>
      </c>
      <c r="D40" s="165"/>
      <c r="E40" s="165"/>
      <c r="F40" s="165"/>
      <c r="G40" s="165"/>
      <c r="H40" s="165"/>
    </row>
    <row r="41" spans="1:22" x14ac:dyDescent="0.25">
      <c r="A41" s="133" t="s">
        <v>32</v>
      </c>
      <c r="B41" s="133"/>
      <c r="C41" s="133"/>
      <c r="D41" s="133"/>
      <c r="E41" s="133"/>
      <c r="F41" s="133"/>
      <c r="G41" s="133"/>
      <c r="H41" s="133"/>
    </row>
    <row r="42" spans="1:22" x14ac:dyDescent="0.25">
      <c r="A42" s="163" t="s">
        <v>33</v>
      </c>
      <c r="B42" s="163"/>
      <c r="C42" s="163"/>
      <c r="D42" s="163"/>
      <c r="E42" s="221">
        <v>7788.74</v>
      </c>
      <c r="F42" s="221"/>
      <c r="G42" s="221"/>
      <c r="H42" s="221"/>
    </row>
    <row r="43" spans="1:22" x14ac:dyDescent="0.25">
      <c r="A43" s="163" t="s">
        <v>34</v>
      </c>
      <c r="B43" s="163"/>
      <c r="C43" s="163"/>
      <c r="D43" s="163"/>
      <c r="E43" s="207">
        <v>4</v>
      </c>
      <c r="F43" s="207"/>
      <c r="G43" s="207"/>
      <c r="H43" s="207"/>
    </row>
    <row r="44" spans="1:22" x14ac:dyDescent="0.25">
      <c r="A44" s="163" t="s">
        <v>35</v>
      </c>
      <c r="B44" s="163"/>
      <c r="C44" s="163"/>
      <c r="D44" s="163"/>
      <c r="E44" s="207">
        <f>E46/E42-E43</f>
        <v>8.5280237881865375</v>
      </c>
      <c r="F44" s="207"/>
      <c r="G44" s="207"/>
      <c r="H44" s="207"/>
    </row>
    <row r="45" spans="1:22" x14ac:dyDescent="0.25">
      <c r="A45" s="163" t="s">
        <v>36</v>
      </c>
      <c r="B45" s="163"/>
      <c r="C45" s="163"/>
      <c r="D45" s="163"/>
      <c r="E45" s="207">
        <f>E43+E44</f>
        <v>12.528023788186538</v>
      </c>
      <c r="F45" s="207"/>
      <c r="G45" s="207"/>
      <c r="H45" s="207"/>
    </row>
    <row r="46" spans="1:22" x14ac:dyDescent="0.25">
      <c r="A46" s="163" t="s">
        <v>456</v>
      </c>
      <c r="B46" s="163"/>
      <c r="C46" s="163"/>
      <c r="D46" s="163"/>
      <c r="E46" s="208">
        <v>97577.52</v>
      </c>
      <c r="F46" s="208"/>
      <c r="G46" s="208"/>
      <c r="H46" s="208"/>
    </row>
    <row r="47" spans="1:22" x14ac:dyDescent="0.25">
      <c r="A47" s="163" t="s">
        <v>37</v>
      </c>
      <c r="B47" s="163"/>
      <c r="C47" s="163"/>
      <c r="D47" s="163"/>
      <c r="E47" s="163" t="s">
        <v>343</v>
      </c>
      <c r="F47" s="163"/>
      <c r="G47" s="163"/>
      <c r="H47" s="163"/>
    </row>
    <row r="48" spans="1:22" x14ac:dyDescent="0.25">
      <c r="A48" s="133" t="s">
        <v>38</v>
      </c>
      <c r="B48" s="133"/>
      <c r="C48" s="133"/>
      <c r="D48" s="133"/>
      <c r="E48" s="133"/>
      <c r="F48" s="133"/>
      <c r="G48" s="133"/>
      <c r="H48" s="133"/>
      <c r="R48"/>
      <c r="S48" s="51" t="s">
        <v>247</v>
      </c>
      <c r="T48" s="51" t="s">
        <v>252</v>
      </c>
      <c r="U48" s="51" t="s">
        <v>260</v>
      </c>
      <c r="V48" s="51" t="s">
        <v>268</v>
      </c>
    </row>
    <row r="49" spans="1:24" s="21" customFormat="1" ht="34.5" customHeight="1" x14ac:dyDescent="0.25">
      <c r="A49" s="172" t="s">
        <v>142</v>
      </c>
      <c r="B49" s="174"/>
      <c r="C49" s="230" t="s">
        <v>247</v>
      </c>
      <c r="D49" s="231"/>
      <c r="E49" s="231"/>
      <c r="F49" s="231"/>
      <c r="G49" s="231"/>
      <c r="H49" s="232"/>
      <c r="R49"/>
      <c r="S49" s="51" t="s">
        <v>248</v>
      </c>
      <c r="T49" s="51" t="s">
        <v>253</v>
      </c>
      <c r="U49" s="51" t="s">
        <v>250</v>
      </c>
      <c r="V49" s="51" t="s">
        <v>269</v>
      </c>
    </row>
    <row r="50" spans="1:24" s="21" customFormat="1" x14ac:dyDescent="0.25">
      <c r="A50" s="214" t="s">
        <v>407</v>
      </c>
      <c r="B50" s="215"/>
      <c r="C50" s="215"/>
      <c r="D50" s="215"/>
      <c r="E50" s="215"/>
      <c r="F50" s="215"/>
      <c r="G50" s="215"/>
      <c r="H50" s="216"/>
      <c r="R50"/>
      <c r="S50" s="51" t="s">
        <v>249</v>
      </c>
      <c r="T50" s="51" t="s">
        <v>256</v>
      </c>
      <c r="U50" s="51" t="s">
        <v>263</v>
      </c>
      <c r="V50" s="66"/>
    </row>
    <row r="51" spans="1:24" s="21" customFormat="1" x14ac:dyDescent="0.25">
      <c r="A51" s="172" t="s">
        <v>39</v>
      </c>
      <c r="B51" s="174"/>
      <c r="C51" s="172" t="s">
        <v>417</v>
      </c>
      <c r="D51" s="173"/>
      <c r="E51" s="174"/>
      <c r="F51" s="17" t="s">
        <v>40</v>
      </c>
      <c r="G51" s="175">
        <v>45798</v>
      </c>
      <c r="H51" s="174"/>
      <c r="L51"/>
      <c r="R51"/>
      <c r="S51" s="51" t="s">
        <v>248</v>
      </c>
      <c r="T51" s="51" t="s">
        <v>253</v>
      </c>
      <c r="U51" s="51" t="s">
        <v>250</v>
      </c>
      <c r="V51" s="51" t="s">
        <v>269</v>
      </c>
    </row>
    <row r="52" spans="1:24" s="21" customFormat="1" x14ac:dyDescent="0.25">
      <c r="A52" s="172" t="s">
        <v>440</v>
      </c>
      <c r="B52" s="174"/>
      <c r="C52" s="172" t="str">
        <f>C51</f>
        <v>P-2513/2019/(3/52 And Other)/ F/South/PARELSEWERI/337/4/Amend</v>
      </c>
      <c r="D52" s="173"/>
      <c r="E52" s="174"/>
      <c r="F52" s="17" t="s">
        <v>40</v>
      </c>
      <c r="G52" s="175">
        <f>G51</f>
        <v>45798</v>
      </c>
      <c r="H52" s="174"/>
      <c r="R52"/>
      <c r="S52" s="51" t="s">
        <v>250</v>
      </c>
      <c r="T52" s="51" t="s">
        <v>254</v>
      </c>
      <c r="U52" s="51" t="s">
        <v>264</v>
      </c>
      <c r="V52" s="67"/>
      <c r="W52" s="19"/>
      <c r="X52" s="19"/>
    </row>
    <row r="53" spans="1:24" s="21" customFormat="1" ht="33.75" customHeight="1" x14ac:dyDescent="0.25">
      <c r="A53" s="209" t="s">
        <v>441</v>
      </c>
      <c r="B53" s="210"/>
      <c r="C53" s="172" t="s">
        <v>418</v>
      </c>
      <c r="D53" s="173"/>
      <c r="E53" s="174"/>
      <c r="F53" s="17" t="s">
        <v>40</v>
      </c>
      <c r="G53" s="175">
        <v>45820</v>
      </c>
      <c r="H53" s="174"/>
      <c r="L53" t="s">
        <v>404</v>
      </c>
      <c r="R53"/>
      <c r="S53" s="51" t="s">
        <v>248</v>
      </c>
      <c r="T53" s="51" t="s">
        <v>253</v>
      </c>
      <c r="U53" s="51" t="s">
        <v>250</v>
      </c>
      <c r="V53" s="51" t="s">
        <v>269</v>
      </c>
    </row>
    <row r="54" spans="1:24" s="21" customFormat="1" ht="53.25" customHeight="1" x14ac:dyDescent="0.25">
      <c r="A54" s="211"/>
      <c r="B54" s="212"/>
      <c r="C54" s="172" t="s">
        <v>415</v>
      </c>
      <c r="D54" s="173"/>
      <c r="E54" s="174"/>
      <c r="F54" s="17" t="s">
        <v>112</v>
      </c>
      <c r="G54" s="175">
        <v>46184</v>
      </c>
      <c r="H54" s="174"/>
      <c r="R54"/>
      <c r="S54" s="51" t="s">
        <v>250</v>
      </c>
      <c r="T54" s="51" t="s">
        <v>254</v>
      </c>
      <c r="U54" s="51" t="s">
        <v>264</v>
      </c>
      <c r="V54" s="67"/>
      <c r="W54" s="19"/>
      <c r="X54" s="19"/>
    </row>
    <row r="55" spans="1:24" s="21" customFormat="1" ht="35.25" customHeight="1" x14ac:dyDescent="0.25">
      <c r="A55" s="165" t="s">
        <v>273</v>
      </c>
      <c r="B55" s="165"/>
      <c r="C55" s="164" t="s">
        <v>459</v>
      </c>
      <c r="D55" s="164"/>
      <c r="E55" s="164"/>
      <c r="F55" s="99" t="s">
        <v>40</v>
      </c>
      <c r="G55" s="224">
        <v>45445</v>
      </c>
      <c r="H55" s="164"/>
      <c r="R55"/>
      <c r="S55" s="67"/>
      <c r="T55" s="51" t="s">
        <v>255</v>
      </c>
      <c r="U55" s="51" t="s">
        <v>265</v>
      </c>
      <c r="V55" s="67"/>
      <c r="W55" s="19"/>
      <c r="X55" s="19"/>
    </row>
    <row r="56" spans="1:24" s="21" customFormat="1" ht="33.75" customHeight="1" x14ac:dyDescent="0.25">
      <c r="A56" s="165"/>
      <c r="B56" s="165"/>
      <c r="C56" s="233" t="s">
        <v>460</v>
      </c>
      <c r="D56" s="233"/>
      <c r="E56" s="233"/>
      <c r="F56" s="233"/>
      <c r="G56" s="233"/>
      <c r="H56" s="233"/>
      <c r="R56"/>
      <c r="S56" s="67"/>
      <c r="T56" s="51" t="s">
        <v>257</v>
      </c>
      <c r="U56" s="51" t="s">
        <v>266</v>
      </c>
      <c r="V56" s="67"/>
      <c r="W56" s="19"/>
      <c r="X56" s="19"/>
    </row>
    <row r="57" spans="1:24" s="21" customFormat="1" ht="15.75" customHeight="1" x14ac:dyDescent="0.25">
      <c r="A57" s="217" t="s">
        <v>472</v>
      </c>
      <c r="B57" s="218"/>
      <c r="C57" s="218"/>
      <c r="D57" s="218"/>
      <c r="E57" s="218"/>
      <c r="F57" s="218"/>
      <c r="G57" s="218"/>
      <c r="H57" s="219"/>
      <c r="R57"/>
      <c r="S57" s="67"/>
      <c r="T57" s="51" t="s">
        <v>258</v>
      </c>
      <c r="U57" s="67" t="s">
        <v>289</v>
      </c>
      <c r="V57" s="67"/>
      <c r="W57" s="19"/>
      <c r="X57" s="19"/>
    </row>
    <row r="58" spans="1:24" s="21" customFormat="1" ht="35.25" customHeight="1" x14ac:dyDescent="0.25">
      <c r="A58" s="172" t="s">
        <v>39</v>
      </c>
      <c r="B58" s="174"/>
      <c r="C58" s="172" t="s">
        <v>450</v>
      </c>
      <c r="D58" s="173"/>
      <c r="E58" s="174"/>
      <c r="F58" s="17" t="s">
        <v>40</v>
      </c>
      <c r="G58" s="175">
        <v>45449</v>
      </c>
      <c r="H58" s="174"/>
      <c r="R58"/>
      <c r="S58" s="67"/>
      <c r="T58" s="51" t="s">
        <v>259</v>
      </c>
      <c r="U58" s="67"/>
      <c r="V58" s="67"/>
      <c r="W58" s="19"/>
      <c r="X58" s="19"/>
    </row>
    <row r="59" spans="1:24" x14ac:dyDescent="0.25">
      <c r="A59" s="164" t="s">
        <v>451</v>
      </c>
      <c r="B59" s="164"/>
      <c r="C59" s="172" t="s">
        <v>450</v>
      </c>
      <c r="D59" s="173"/>
      <c r="E59" s="174"/>
      <c r="F59" s="17" t="s">
        <v>40</v>
      </c>
      <c r="G59" s="224">
        <v>45449</v>
      </c>
      <c r="H59" s="164"/>
      <c r="R59"/>
      <c r="S59" s="67"/>
      <c r="T59" s="51" t="s">
        <v>261</v>
      </c>
      <c r="U59" s="67"/>
      <c r="V59" s="67"/>
    </row>
    <row r="60" spans="1:24" x14ac:dyDescent="0.25">
      <c r="A60" s="164" t="s">
        <v>441</v>
      </c>
      <c r="B60" s="164"/>
      <c r="C60" s="164" t="s">
        <v>443</v>
      </c>
      <c r="D60" s="164"/>
      <c r="E60" s="164"/>
      <c r="F60" s="102" t="s">
        <v>40</v>
      </c>
      <c r="G60" s="224">
        <v>45748</v>
      </c>
      <c r="H60" s="164"/>
      <c r="S60" s="67"/>
      <c r="T60" s="51" t="s">
        <v>270</v>
      </c>
      <c r="U60" s="67"/>
      <c r="V60" s="67"/>
    </row>
    <row r="61" spans="1:24" ht="96" customHeight="1" x14ac:dyDescent="0.25">
      <c r="A61" s="164"/>
      <c r="B61" s="164"/>
      <c r="C61" s="164" t="s">
        <v>444</v>
      </c>
      <c r="D61" s="164"/>
      <c r="E61" s="164"/>
      <c r="F61" s="102" t="s">
        <v>112</v>
      </c>
      <c r="G61" s="224">
        <v>45980</v>
      </c>
      <c r="H61" s="164"/>
      <c r="R61"/>
    </row>
    <row r="62" spans="1:24" ht="30.75" customHeight="1" x14ac:dyDescent="0.25">
      <c r="A62" s="164" t="s">
        <v>442</v>
      </c>
      <c r="B62" s="164"/>
      <c r="C62" s="164" t="s">
        <v>445</v>
      </c>
      <c r="D62" s="164"/>
      <c r="E62" s="164"/>
      <c r="F62" s="99" t="s">
        <v>40</v>
      </c>
      <c r="G62" s="224">
        <v>45642</v>
      </c>
      <c r="H62" s="164"/>
      <c r="I62" s="22"/>
      <c r="R62"/>
    </row>
    <row r="63" spans="1:24" ht="99" customHeight="1" x14ac:dyDescent="0.25">
      <c r="A63" s="164"/>
      <c r="B63" s="164"/>
      <c r="C63" s="164" t="s">
        <v>452</v>
      </c>
      <c r="D63" s="164"/>
      <c r="E63" s="164"/>
      <c r="F63" s="99" t="s">
        <v>112</v>
      </c>
      <c r="G63" s="224">
        <v>46006</v>
      </c>
      <c r="H63" s="164"/>
      <c r="R63"/>
    </row>
    <row r="64" spans="1:24" x14ac:dyDescent="0.25">
      <c r="A64" s="168" t="s">
        <v>273</v>
      </c>
      <c r="B64" s="169"/>
      <c r="C64" s="172" t="s">
        <v>457</v>
      </c>
      <c r="D64" s="173"/>
      <c r="E64" s="174"/>
      <c r="F64" s="17" t="s">
        <v>40</v>
      </c>
      <c r="G64" s="175">
        <v>45445</v>
      </c>
      <c r="H64" s="174"/>
      <c r="R64"/>
    </row>
    <row r="65" spans="1:19" x14ac:dyDescent="0.25">
      <c r="A65" s="170"/>
      <c r="B65" s="171"/>
      <c r="C65" s="259" t="s">
        <v>458</v>
      </c>
      <c r="D65" s="260"/>
      <c r="E65" s="260"/>
      <c r="F65" s="260"/>
      <c r="G65" s="260"/>
      <c r="H65" s="261"/>
      <c r="R65"/>
    </row>
    <row r="66" spans="1:19" x14ac:dyDescent="0.25">
      <c r="A66" s="168" t="s">
        <v>274</v>
      </c>
      <c r="B66" s="169"/>
      <c r="C66" s="176" t="s">
        <v>480</v>
      </c>
      <c r="D66" s="177"/>
      <c r="E66" s="178"/>
      <c r="F66" s="116" t="s">
        <v>40</v>
      </c>
      <c r="G66" s="234">
        <v>45636</v>
      </c>
      <c r="H66" s="178"/>
      <c r="S66"/>
    </row>
    <row r="67" spans="1:19" ht="115.5" customHeight="1" x14ac:dyDescent="0.25">
      <c r="A67" s="170"/>
      <c r="B67" s="171"/>
      <c r="C67" s="176" t="s">
        <v>481</v>
      </c>
      <c r="D67" s="177"/>
      <c r="E67" s="177"/>
      <c r="F67" s="177"/>
      <c r="G67" s="177"/>
      <c r="H67" s="178"/>
      <c r="S67"/>
    </row>
    <row r="68" spans="1:19" ht="30.75" hidden="1" customHeight="1" x14ac:dyDescent="0.25">
      <c r="A68" s="235" t="s">
        <v>275</v>
      </c>
      <c r="B68" s="236"/>
      <c r="C68" s="172" t="str">
        <f>C67</f>
        <v>C.S. NO.3/52, 3A/52, 3A-1/52 &amp; 3B/52
Proposed BUA = 181233.16 Sq.M
Sale Tower 1= 1B + G + P1 to P10 + 11th to 30th + Service + 31st to 50th + Service Floor
Sale Tower 2= 1B + G + P1 to P10 + 11th to 30th + Service + 31st to 50th + Service Floor (Pt)
Rehab Wing A &amp; B = 1B + G + 1st &amp; 2nd + 3rd to 37th Floor</v>
      </c>
      <c r="D68" s="173"/>
      <c r="E68" s="174"/>
      <c r="F68" s="17" t="s">
        <v>40</v>
      </c>
      <c r="G68" s="172">
        <f>G67</f>
        <v>0</v>
      </c>
      <c r="H68" s="174"/>
      <c r="J68" s="23"/>
      <c r="K68" s="22"/>
      <c r="N68" s="22"/>
      <c r="S68"/>
    </row>
    <row r="69" spans="1:19" ht="15.75" hidden="1" customHeight="1" x14ac:dyDescent="0.25">
      <c r="A69" s="237"/>
      <c r="B69" s="238"/>
      <c r="C69" s="172"/>
      <c r="D69" s="173"/>
      <c r="E69" s="173"/>
      <c r="F69" s="173"/>
      <c r="G69" s="173"/>
      <c r="H69" s="174"/>
      <c r="N69" s="22"/>
      <c r="S69"/>
    </row>
    <row r="70" spans="1:19" ht="15.75" customHeight="1" x14ac:dyDescent="0.25">
      <c r="A70" s="160" t="s">
        <v>41</v>
      </c>
      <c r="B70" s="161"/>
      <c r="C70" s="160" t="s">
        <v>97</v>
      </c>
      <c r="D70" s="162"/>
      <c r="E70" s="161"/>
      <c r="F70" s="41" t="s">
        <v>40</v>
      </c>
      <c r="G70" s="166" t="s">
        <v>28</v>
      </c>
      <c r="H70" s="167"/>
      <c r="J70" s="24"/>
      <c r="K70" s="24"/>
      <c r="S70"/>
    </row>
    <row r="71" spans="1:19" ht="16.5" customHeight="1" x14ac:dyDescent="0.25">
      <c r="A71" s="223" t="s">
        <v>43</v>
      </c>
      <c r="B71" s="223"/>
      <c r="C71" s="223"/>
      <c r="D71" s="223"/>
      <c r="E71" s="223"/>
      <c r="F71" s="223"/>
      <c r="G71" s="223"/>
      <c r="H71" s="223"/>
      <c r="K71" s="293" t="s">
        <v>405</v>
      </c>
      <c r="L71" s="293"/>
      <c r="M71" s="293"/>
      <c r="S71"/>
    </row>
    <row r="72" spans="1:19" x14ac:dyDescent="0.25">
      <c r="A72" s="164" t="s">
        <v>455</v>
      </c>
      <c r="B72" s="164"/>
      <c r="C72" s="164"/>
      <c r="D72" s="163">
        <f>E46</f>
        <v>97577.52</v>
      </c>
      <c r="E72" s="163"/>
      <c r="F72" s="163"/>
      <c r="G72" s="163"/>
      <c r="H72" s="163"/>
      <c r="I72" s="25"/>
      <c r="J72" s="25"/>
      <c r="K72" s="25"/>
      <c r="L72" s="25"/>
      <c r="M72" s="25"/>
      <c r="N72" s="25"/>
    </row>
    <row r="73" spans="1:19" ht="33.75" customHeight="1" x14ac:dyDescent="0.25">
      <c r="A73" s="165" t="s">
        <v>44</v>
      </c>
      <c r="B73" s="163"/>
      <c r="C73" s="163"/>
      <c r="D73" s="165" t="s">
        <v>484</v>
      </c>
      <c r="E73" s="165"/>
      <c r="F73" s="165"/>
      <c r="G73" s="165"/>
      <c r="H73" s="165"/>
      <c r="J73" s="24"/>
      <c r="S73"/>
    </row>
    <row r="74" spans="1:19" ht="84" customHeight="1" x14ac:dyDescent="0.25">
      <c r="A74" s="168" t="s">
        <v>45</v>
      </c>
      <c r="B74" s="229"/>
      <c r="C74" s="169"/>
      <c r="D74" s="227" t="s">
        <v>469</v>
      </c>
      <c r="E74" s="228"/>
      <c r="F74" s="228"/>
      <c r="G74" s="228"/>
      <c r="H74" s="228"/>
      <c r="S74"/>
    </row>
    <row r="75" spans="1:19" ht="33.75" customHeight="1" x14ac:dyDescent="0.25">
      <c r="A75" s="168" t="s">
        <v>82</v>
      </c>
      <c r="B75" s="229"/>
      <c r="C75" s="229"/>
      <c r="D75" s="168" t="s">
        <v>419</v>
      </c>
      <c r="E75" s="229"/>
      <c r="F75" s="229"/>
      <c r="G75" s="229"/>
      <c r="H75" s="169"/>
      <c r="S75"/>
    </row>
    <row r="76" spans="1:19" ht="31.5" customHeight="1" x14ac:dyDescent="0.25">
      <c r="A76" s="268"/>
      <c r="B76" s="269"/>
      <c r="C76" s="269"/>
      <c r="D76" s="268" t="s">
        <v>420</v>
      </c>
      <c r="E76" s="269"/>
      <c r="F76" s="269"/>
      <c r="G76" s="269"/>
      <c r="H76" s="271"/>
      <c r="S76"/>
    </row>
    <row r="77" spans="1:19" x14ac:dyDescent="0.25">
      <c r="A77" s="268"/>
      <c r="B77" s="269"/>
      <c r="C77" s="269"/>
      <c r="D77" s="225" t="s">
        <v>466</v>
      </c>
      <c r="E77" s="226"/>
      <c r="F77" s="226"/>
      <c r="G77" s="226"/>
      <c r="H77" s="226"/>
      <c r="S77"/>
    </row>
    <row r="78" spans="1:19" ht="15.75" customHeight="1" x14ac:dyDescent="0.25">
      <c r="A78" s="170"/>
      <c r="B78" s="270"/>
      <c r="C78" s="270"/>
      <c r="D78" s="225" t="s">
        <v>467</v>
      </c>
      <c r="E78" s="226"/>
      <c r="F78" s="226"/>
      <c r="G78" s="226"/>
      <c r="H78" s="226"/>
      <c r="S78"/>
    </row>
    <row r="79" spans="1:19" x14ac:dyDescent="0.25">
      <c r="A79" s="159" t="s">
        <v>42</v>
      </c>
      <c r="B79" s="159"/>
      <c r="C79" s="159"/>
      <c r="D79" s="164" t="s">
        <v>353</v>
      </c>
      <c r="E79" s="164"/>
      <c r="F79" s="164"/>
      <c r="G79" s="164"/>
      <c r="H79" s="164"/>
    </row>
    <row r="80" spans="1:19" x14ac:dyDescent="0.25">
      <c r="A80" s="159" t="s">
        <v>80</v>
      </c>
      <c r="B80" s="159"/>
      <c r="C80" s="159"/>
      <c r="D80" s="267" t="str">
        <f>(IF(G70="NA","60 Years After Completion",IF(G70&lt;&gt;"NA",""&amp;60-ROUNDDOWN((E3-G70)/360,0)&amp;" Years"," ")))</f>
        <v>60 Years After Completion</v>
      </c>
      <c r="E80" s="267"/>
      <c r="F80" s="267"/>
      <c r="G80" s="267"/>
      <c r="H80" s="267"/>
      <c r="S80"/>
    </row>
    <row r="81" spans="1:19" ht="15.75" customHeight="1" x14ac:dyDescent="0.25">
      <c r="A81" s="159" t="s">
        <v>81</v>
      </c>
      <c r="B81" s="159"/>
      <c r="C81" s="159"/>
      <c r="D81" s="164" t="s">
        <v>23</v>
      </c>
      <c r="E81" s="164"/>
      <c r="F81" s="164"/>
      <c r="G81" s="164"/>
      <c r="H81" s="164"/>
      <c r="S81"/>
    </row>
    <row r="82" spans="1:19" ht="51" customHeight="1" x14ac:dyDescent="0.25">
      <c r="A82" s="163" t="s">
        <v>408</v>
      </c>
      <c r="B82" s="163"/>
      <c r="C82" s="163"/>
      <c r="D82" s="165" t="s">
        <v>463</v>
      </c>
      <c r="E82" s="164"/>
      <c r="F82" s="164"/>
      <c r="G82" s="164"/>
      <c r="H82" s="164"/>
      <c r="I82" s="109" t="s">
        <v>462</v>
      </c>
    </row>
    <row r="83" spans="1:19" ht="15.75" customHeight="1" x14ac:dyDescent="0.25">
      <c r="A83" s="164" t="s">
        <v>139</v>
      </c>
      <c r="B83" s="164"/>
      <c r="C83" s="164"/>
      <c r="D83" s="164" t="s">
        <v>28</v>
      </c>
      <c r="E83" s="164"/>
      <c r="F83" s="164"/>
      <c r="G83" s="164"/>
      <c r="H83" s="164"/>
    </row>
    <row r="84" spans="1:19" ht="15" customHeight="1" x14ac:dyDescent="0.25">
      <c r="A84" s="159" t="s">
        <v>79</v>
      </c>
      <c r="B84" s="159"/>
      <c r="C84" s="159"/>
      <c r="D84" s="165" t="str">
        <f ca="1">(IF(G90&gt;95%,"Nothing",IF(G118&gt;0%,"Cement, Aggregate, Steel, etc",IF(G90=0%,"Work not yet Started"))))</f>
        <v>Cement, Aggregate, Steel, etc</v>
      </c>
      <c r="E84" s="165"/>
      <c r="F84" s="165"/>
      <c r="G84" s="165"/>
      <c r="H84" s="165"/>
    </row>
    <row r="85" spans="1:19" ht="15.75" customHeight="1" thickBot="1" x14ac:dyDescent="0.3">
      <c r="A85" s="164" t="s">
        <v>110</v>
      </c>
      <c r="B85" s="164"/>
      <c r="C85" s="164"/>
      <c r="D85" s="165" t="str">
        <f ca="1">(IF(D84="Nothing","Yes",IF(D84="Cement, Aggregate, Steel, etc","Under Construction",IF(D84="Work not yet Started","Work not yet Started"))))</f>
        <v>Under Construction</v>
      </c>
      <c r="E85" s="165"/>
      <c r="F85" s="165" t="str">
        <f ca="1">(IF(D84="Nothing","Yes",IF(D84="Cement, Aggregate, Steel, etc","Under Construction",IF(D84="Work not yet Started","Work not yet Started"))))</f>
        <v>Under Construction</v>
      </c>
      <c r="G85" s="165"/>
      <c r="H85" s="165"/>
    </row>
    <row r="86" spans="1:19" ht="31.5" customHeight="1" x14ac:dyDescent="0.25">
      <c r="A86" s="134" t="s">
        <v>131</v>
      </c>
      <c r="B86" s="134"/>
      <c r="C86" s="134" t="str">
        <f>D75</f>
        <v xml:space="preserve">Tower 1 = 1B + G + P1 to P10 + 11th to 30th + Service + 31st to 50th + Service Floor </v>
      </c>
      <c r="D86" s="134"/>
      <c r="E86" s="134"/>
      <c r="F86" s="134"/>
      <c r="G86" s="134"/>
      <c r="H86" s="134"/>
      <c r="I86" s="95" t="str">
        <f ca="1">IF(D99=100%,"All work Completed. Possession granted to the Building.",IF(D98=100%,"All work Completed, Waiting for OC",I87&amp;""&amp;I88&amp;""&amp;J87&amp;""&amp;J86&amp;" "&amp;J88))</f>
        <v xml:space="preserve">Excavation Completed, Footing work is process </v>
      </c>
      <c r="J86" s="44" t="str">
        <f ca="1">(IF(C92=(D87+F87+H87),"",IF(C92&gt;0,", RCC upto "&amp;C92&amp;" Slab","")))&amp;(IF(C93=H87,"",IF(C93&gt;0,", Brickwork upto "&amp;C93&amp;" Floor","")))&amp;(IF(C94=H87,"",IF(C94&gt;0,", Internal Plaster upto "&amp;C94&amp;" Floor","")))&amp;(IF(C95=H87,"",IF(C95&gt;0,", External Plaster upto "&amp;C95&amp;" Floor","")))&amp;(IF(C96=H87,"",IF(C96&gt;0,", Flooring upto "&amp;C96&amp;" Floor","")))&amp;(IF(C97=H87,"",IF(C97&gt;0,", Painting upto "&amp;C97&amp;" Floor","")))&amp;(IF(C98=H87,"",IF(C98&gt;0,", Finishing upto "&amp;C98&amp;" Floor","")))&amp;(IF(C99=H87,"",IF(C99&gt;0,", Possession upto "&amp;C99&amp;" Floor","")))</f>
        <v/>
      </c>
    </row>
    <row r="87" spans="1:19" ht="15.75" customHeight="1" x14ac:dyDescent="0.25">
      <c r="A87" s="112" t="s">
        <v>133</v>
      </c>
      <c r="B87" s="112">
        <f>IF(AND(ISNUMBER(SEARCH("1B",C86))),1,IF(AND(ISNUMBER(SEARCH("2B",C86))),2,IF(AND(ISNUMBER(SEARCH("3B",C86))),3,IF(AND(ISNUMBER(SEARCH("4B",C86))),4,IF(ISNUMBER(SEARCH("5B",C86)),5,0)))))</f>
        <v>1</v>
      </c>
      <c r="C87" s="112" t="s">
        <v>66</v>
      </c>
      <c r="D87" s="112">
        <v>1</v>
      </c>
      <c r="E87" s="112" t="s">
        <v>65</v>
      </c>
      <c r="F87" s="112">
        <v>0</v>
      </c>
      <c r="G87" s="112" t="s">
        <v>73</v>
      </c>
      <c r="H87" s="112">
        <f ca="1">--TRIM(RIGHT(SUBSTITUTE(LEFT(C86,_xlfn.AGGREGATE(16,6,FIND({0,1,2,3,4,5,6,7,8,9},C86,ROW(INDIRECT("1:"&amp;LEN(C86)))),1))," ",REPT(" ",LEN(C86))),LEN(C86)))</f>
        <v>50</v>
      </c>
      <c r="I87" s="97" t="str">
        <f ca="1">IF(D90=100%,"Excavation","")&amp;IF(D91=100%,", Plinth","")&amp;IF(D92=100%,", RCC Slab","")&amp;IF(D93=100%,", Brickwork","")&amp;IF(D94=100%,", Internal Plaster","")&amp;IF(D95=100%,", External Plaster","")&amp;IF(D96=100%,", Flooring","")&amp;IF(D97=100%,", Painting","")&amp;IF(D98=100%,", Building common Amenities","")</f>
        <v>Excavation</v>
      </c>
      <c r="J87" s="46" t="str">
        <f ca="1">(IF(C90=0,"Work not yet Started.",IF(D90=25%,"Piling work in process",IF(D90=50%,"Excavation work in process",IF(D90=100%,"","0")))))&amp;(IF(C91=0%,"",IF(C91=J92,", Footing work is process",IF(C91=J93,", Footing work Completed",IF(C91=J94,", 1st Basement Completed",IF(C91=J95,", 1st &amp; 2nd Basement Completed",IF(C91=J96,", 1st to 3rd Basement Completed",IF(C91=J97,", 1st to 4th Basement Completed",IF(C91=J98,", Plinth work is process",IF(C91=J99,"","0"))))))))))</f>
        <v>, Footing work is process</v>
      </c>
    </row>
    <row r="88" spans="1:19" x14ac:dyDescent="0.25">
      <c r="A88" s="133" t="s">
        <v>83</v>
      </c>
      <c r="B88" s="133"/>
      <c r="C88" s="134" t="str">
        <f ca="1">I86</f>
        <v xml:space="preserve">Excavation Completed, Footing work is process </v>
      </c>
      <c r="D88" s="134"/>
      <c r="E88" s="134"/>
      <c r="F88" s="134"/>
      <c r="G88" s="134"/>
      <c r="H88" s="134"/>
      <c r="I88" s="97" t="str">
        <f ca="1">IF(I87&lt;&gt;""," Completed","")</f>
        <v xml:space="preserve"> Completed</v>
      </c>
      <c r="J88" s="46" t="str">
        <f ca="1">IF(J86&lt;&gt;"","Completed","")</f>
        <v/>
      </c>
    </row>
    <row r="89" spans="1:19" x14ac:dyDescent="0.25">
      <c r="A89" s="125" t="s">
        <v>46</v>
      </c>
      <c r="B89" s="125"/>
      <c r="C89" s="110" t="s">
        <v>130</v>
      </c>
      <c r="D89" s="110" t="s">
        <v>76</v>
      </c>
      <c r="E89" s="125" t="s">
        <v>78</v>
      </c>
      <c r="F89" s="125"/>
      <c r="G89" s="125" t="s">
        <v>77</v>
      </c>
      <c r="H89" s="125"/>
      <c r="I89" s="13" t="s">
        <v>132</v>
      </c>
      <c r="J89" s="26">
        <f ca="1">H87*25%</f>
        <v>12.5</v>
      </c>
      <c r="S89"/>
    </row>
    <row r="90" spans="1:19" x14ac:dyDescent="0.25">
      <c r="A90" s="125" t="s">
        <v>119</v>
      </c>
      <c r="B90" s="125"/>
      <c r="C90" s="110">
        <f ca="1">J91</f>
        <v>50</v>
      </c>
      <c r="D90" s="72">
        <f ca="1">((100/H87)*C90)/100</f>
        <v>1</v>
      </c>
      <c r="E90" s="126">
        <f ca="1">(((C91/H87*10)+(40/(D87+F87+H87)*C92)+(7.5/(H87)*C93)+(7.5/(H87)*C94)+(10/H87*C95)+(10/H87*C96)+(5/H87*C97)+(5/H87*C98)+(5/H87*C99))/100)</f>
        <v>2.5000000000000001E-2</v>
      </c>
      <c r="F90" s="126"/>
      <c r="G90" s="126">
        <f ca="1">((((C90/H87)*20)+((C91/H87)*25)+(30/(H87+F87+D87)*C92)+(5/H87*C93)+(5/H87*C94)+(5/H87*C95)+(5/H87*C96)+(0/H87*C97)+(0/H87*C98)+(5/H87*C99))/100)</f>
        <v>0.26250000000000001</v>
      </c>
      <c r="H90" s="126"/>
      <c r="I90" s="13" t="s">
        <v>92</v>
      </c>
      <c r="J90" s="27">
        <f ca="1">H87*50%</f>
        <v>25</v>
      </c>
      <c r="S90"/>
    </row>
    <row r="91" spans="1:19" x14ac:dyDescent="0.25">
      <c r="A91" s="125" t="s">
        <v>47</v>
      </c>
      <c r="B91" s="125"/>
      <c r="C91" s="85">
        <f ca="1">J92</f>
        <v>12.5</v>
      </c>
      <c r="D91" s="72">
        <f ca="1">((100/H87)*C91)/100</f>
        <v>0.25</v>
      </c>
      <c r="E91" s="126"/>
      <c r="F91" s="126"/>
      <c r="G91" s="126"/>
      <c r="H91" s="126"/>
      <c r="I91" s="13" t="s">
        <v>93</v>
      </c>
      <c r="J91" s="27">
        <f ca="1">H87</f>
        <v>50</v>
      </c>
      <c r="S91"/>
    </row>
    <row r="92" spans="1:19" ht="15.75" customHeight="1" x14ac:dyDescent="0.25">
      <c r="A92" s="125" t="s">
        <v>120</v>
      </c>
      <c r="B92" s="125"/>
      <c r="C92" s="110">
        <v>0</v>
      </c>
      <c r="D92" s="72">
        <f ca="1">((100/(D87+F87+H87))*C92)/100</f>
        <v>0</v>
      </c>
      <c r="E92" s="126"/>
      <c r="F92" s="126"/>
      <c r="G92" s="126"/>
      <c r="H92" s="126"/>
      <c r="I92" s="13" t="s">
        <v>94</v>
      </c>
      <c r="J92" s="28">
        <f ca="1">(IF(B87&gt;1,(H87/(B87+2)),H87/4))</f>
        <v>12.5</v>
      </c>
      <c r="S92"/>
    </row>
    <row r="93" spans="1:19" x14ac:dyDescent="0.25">
      <c r="A93" s="125" t="s">
        <v>127</v>
      </c>
      <c r="B93" s="125" t="s">
        <v>121</v>
      </c>
      <c r="C93" s="110">
        <v>0</v>
      </c>
      <c r="D93" s="72">
        <f ca="1">((100/H87)*C93)/100</f>
        <v>0</v>
      </c>
      <c r="E93" s="126"/>
      <c r="F93" s="126"/>
      <c r="G93" s="126"/>
      <c r="H93" s="126"/>
      <c r="I93" s="13" t="s">
        <v>95</v>
      </c>
      <c r="J93" s="28">
        <f ca="1">(IF(B87&gt;1,(H87/(B87+2)+J92),H87/4+J92))</f>
        <v>25</v>
      </c>
    </row>
    <row r="94" spans="1:19" x14ac:dyDescent="0.25">
      <c r="A94" s="125" t="s">
        <v>128</v>
      </c>
      <c r="B94" s="125" t="s">
        <v>121</v>
      </c>
      <c r="C94" s="110">
        <v>0</v>
      </c>
      <c r="D94" s="72">
        <f ca="1">((100/H87)*C94)/100</f>
        <v>0</v>
      </c>
      <c r="E94" s="126"/>
      <c r="F94" s="126"/>
      <c r="G94" s="126"/>
      <c r="H94" s="126"/>
      <c r="I94" s="13" t="s">
        <v>137</v>
      </c>
      <c r="J94" s="28">
        <f>(IF(B87&gt;1,(H87/(B87+2)+J93),0))</f>
        <v>0</v>
      </c>
      <c r="S94"/>
    </row>
    <row r="95" spans="1:19" ht="15.75" customHeight="1" x14ac:dyDescent="0.25">
      <c r="A95" s="125" t="s">
        <v>126</v>
      </c>
      <c r="B95" s="125" t="s">
        <v>123</v>
      </c>
      <c r="C95" s="110">
        <v>0</v>
      </c>
      <c r="D95" s="72">
        <f ca="1">((100/(H87))*C95)/100</f>
        <v>0</v>
      </c>
      <c r="E95" s="126"/>
      <c r="F95" s="126"/>
      <c r="G95" s="126"/>
      <c r="H95" s="126"/>
      <c r="I95" s="13" t="s">
        <v>134</v>
      </c>
      <c r="J95" s="28">
        <f>(IF(B87&gt;2,(H87/(B87+2)+J94),0))</f>
        <v>0</v>
      </c>
      <c r="S95"/>
    </row>
    <row r="96" spans="1:19" ht="15.75" customHeight="1" x14ac:dyDescent="0.25">
      <c r="A96" s="125" t="s">
        <v>122</v>
      </c>
      <c r="B96" s="125" t="s">
        <v>122</v>
      </c>
      <c r="C96" s="110">
        <v>0</v>
      </c>
      <c r="D96" s="72">
        <f ca="1">((100/H87)*C96)/100</f>
        <v>0</v>
      </c>
      <c r="E96" s="126"/>
      <c r="F96" s="126"/>
      <c r="G96" s="126"/>
      <c r="H96" s="126"/>
      <c r="I96" s="13" t="s">
        <v>135</v>
      </c>
      <c r="J96" s="29">
        <f>(IF(B87&gt;3,(H87/(B87+2)+J95),0))</f>
        <v>0</v>
      </c>
    </row>
    <row r="97" spans="1:19" ht="15.75" customHeight="1" x14ac:dyDescent="0.25">
      <c r="A97" s="125" t="s">
        <v>129</v>
      </c>
      <c r="B97" s="125"/>
      <c r="C97" s="110">
        <v>0</v>
      </c>
      <c r="D97" s="72">
        <f ca="1">((100/H87)*C97)/100</f>
        <v>0</v>
      </c>
      <c r="E97" s="126"/>
      <c r="F97" s="126"/>
      <c r="G97" s="126"/>
      <c r="H97" s="126"/>
      <c r="I97" s="13" t="s">
        <v>136</v>
      </c>
      <c r="J97" s="28">
        <f>(IF(B87&gt;4,(H87/(B87+2)+J96),0))</f>
        <v>0</v>
      </c>
    </row>
    <row r="98" spans="1:19" ht="15" customHeight="1" x14ac:dyDescent="0.25">
      <c r="A98" s="125" t="s">
        <v>124</v>
      </c>
      <c r="B98" s="125" t="s">
        <v>124</v>
      </c>
      <c r="C98" s="110">
        <v>0</v>
      </c>
      <c r="D98" s="72">
        <f ca="1">((100/(H87))*C98)/100</f>
        <v>0</v>
      </c>
      <c r="E98" s="126"/>
      <c r="F98" s="126"/>
      <c r="G98" s="126"/>
      <c r="H98" s="126"/>
      <c r="I98" s="13" t="s">
        <v>138</v>
      </c>
      <c r="J98" s="28">
        <f ca="1">(IF(B87=1,(H87/(B87+3)+J93),IF(B87=0,(H87/4+J93),IF(B87&gt;1,0))))</f>
        <v>37.5</v>
      </c>
    </row>
    <row r="99" spans="1:19" ht="15.75" customHeight="1" thickBot="1" x14ac:dyDescent="0.3">
      <c r="A99" s="125" t="s">
        <v>125</v>
      </c>
      <c r="B99" s="125"/>
      <c r="C99" s="110">
        <v>0</v>
      </c>
      <c r="D99" s="72">
        <f ca="1">((100/(H87))*C99)/100</f>
        <v>0</v>
      </c>
      <c r="E99" s="126"/>
      <c r="F99" s="126"/>
      <c r="G99" s="126"/>
      <c r="H99" s="126"/>
      <c r="I99" s="14" t="s">
        <v>96</v>
      </c>
      <c r="J99" s="30">
        <f ca="1">(IF(B87&gt;1.5,(H87/(B87+2)+J93+MAX(0,J94-J93)+MAX(0,J95-J94)+MAX(0,J96-J95)+MAX(0,J97-J96)+MAX(0,J98-J97)),IF(B87=1,(H87/(B87+3)+J98),IF(B87=0,H87/4+J98))))</f>
        <v>50</v>
      </c>
    </row>
    <row r="100" spans="1:19" ht="34.5" customHeight="1" x14ac:dyDescent="0.25">
      <c r="A100" s="262" t="s">
        <v>131</v>
      </c>
      <c r="B100" s="263"/>
      <c r="C100" s="264" t="str">
        <f>D76</f>
        <v xml:space="preserve">Tower 2 = 1B + G + P1 to P10 + 11th to 30th + Service + 31st to 50th + Service Floor </v>
      </c>
      <c r="D100" s="265"/>
      <c r="E100" s="265"/>
      <c r="F100" s="265"/>
      <c r="G100" s="265"/>
      <c r="H100" s="266"/>
      <c r="I100" s="43" t="str">
        <f ca="1">IF(D113=100%,"All work Completed. Possession granted to the Building.",IF(D112=100%,"All work Completed, Waiting for OC",I101&amp;""&amp;I102&amp;""&amp;J101&amp;""&amp;J100&amp;" "&amp;J102))</f>
        <v xml:space="preserve">Work not yet Started. </v>
      </c>
      <c r="J100" s="44" t="str">
        <f ca="1">(IF(C106=(D101+F101+H101),"",IF(C106&gt;0,", RCC upto "&amp;C106&amp;" Slab","")))&amp;(IF(C107=H101,"",IF(C107&gt;0,", Brickwork upto "&amp;C107&amp;" Floor","")))&amp;(IF(C108=H101,"",IF(C108&gt;0,", Internal Plaster upto "&amp;C108&amp;" Floor","")))&amp;(IF(C109=H101,"",IF(C109&gt;0,", External Plaster upto "&amp;C109&amp;" Floor","")))&amp;(IF(C110=H101,"",IF(C110&gt;0,", Flooring upto "&amp;C110&amp;" Floor","")))&amp;(IF(C111=H101,"",IF(C111&gt;0,", Painting upto "&amp;C111&amp;" Floor","")))&amp;(IF(C112=H101,"",IF(C112&gt;0,", Finishing upto "&amp;C112&amp;" Floor","")))&amp;(IF(C113=H101,"",IF(C113&gt;0,", Possession upto "&amp;C113&amp;" Floor","")))</f>
        <v/>
      </c>
    </row>
    <row r="101" spans="1:19" ht="15.75" customHeight="1" x14ac:dyDescent="0.25">
      <c r="A101" s="15" t="s">
        <v>133</v>
      </c>
      <c r="B101" s="112">
        <f>IF(AND(ISNUMBER(SEARCH("1B",C100))),1,IF(AND(ISNUMBER(SEARCH("2B",C100))),2,IF(AND(ISNUMBER(SEARCH("3B",C100))),3,IF(AND(ISNUMBER(SEARCH("4B",C100))),4,IF(ISNUMBER(SEARCH("5B",C100)),5,0)))))</f>
        <v>1</v>
      </c>
      <c r="C101" s="112" t="s">
        <v>66</v>
      </c>
      <c r="D101" s="112">
        <v>1</v>
      </c>
      <c r="E101" s="112" t="s">
        <v>65</v>
      </c>
      <c r="F101" s="112">
        <v>0</v>
      </c>
      <c r="G101" s="112" t="s">
        <v>73</v>
      </c>
      <c r="H101" s="16">
        <f ca="1">--TRIM(RIGHT(SUBSTITUTE(LEFT(C100,_xlfn.AGGREGATE(16,6,FIND({0,1,2,3,4,5,6,7,8,9},C100,ROW(INDIRECT("1:"&amp;LEN(C100)))),1))," ",REPT(" ",LEN(C100))),LEN(C100)))</f>
        <v>50</v>
      </c>
      <c r="I101" s="45" t="str">
        <f ca="1">IF(D104=100%,"Excavation","")&amp;IF(D105=100%,", Plinth","")&amp;IF(D106=100%,", RCC Slab","")&amp;IF(D107=100%,", Brickwork","")&amp;IF(D108=100%,", Internal Plaster","")&amp;IF(D109=100%,", External Plaster","")&amp;IF(D110=100%,", Flooring","")&amp;IF(D111=100%,", Painting","")&amp;IF(D112=100%,", Building common Amenities","")</f>
        <v/>
      </c>
      <c r="J101" s="46" t="str">
        <f>(IF(C104=0,"Work not yet Started.",IF(D104=25%,"Piling work in process",IF(D104=50%,"Excavation work in process",IF(D104=100%,"","0")))))&amp;(IF(C105=0%,"",IF(C105=J106,", Footing work is process",IF(C105=J107,", Footing work Completed",IF(C105=J108,", 1st Basement Completed",IF(C105=J109,", 1st &amp; 2nd Basement Completed",IF(C105=J110,", 1st to 3rd Basement Completed",IF(C105=J111,", 1st to 4th Basement Completed",IF(C105=J112,", Plinth work is process",IF(C105=J113,"","0"))))))))))</f>
        <v>Work not yet Started.</v>
      </c>
    </row>
    <row r="102" spans="1:19" x14ac:dyDescent="0.25">
      <c r="A102" s="132" t="s">
        <v>83</v>
      </c>
      <c r="B102" s="133"/>
      <c r="C102" s="134" t="str">
        <f ca="1">I100</f>
        <v xml:space="preserve">Work not yet Started. </v>
      </c>
      <c r="D102" s="134"/>
      <c r="E102" s="134"/>
      <c r="F102" s="134"/>
      <c r="G102" s="134"/>
      <c r="H102" s="135"/>
      <c r="I102" s="45" t="str">
        <f ca="1">IF(I101&lt;&gt;""," Completed","")</f>
        <v/>
      </c>
      <c r="J102" s="46" t="str">
        <f ca="1">IF(J100&lt;&gt;"","Completed","")</f>
        <v/>
      </c>
    </row>
    <row r="103" spans="1:19" s="21" customFormat="1" x14ac:dyDescent="0.25">
      <c r="A103" s="136" t="s">
        <v>46</v>
      </c>
      <c r="B103" s="125"/>
      <c r="C103" s="110" t="s">
        <v>130</v>
      </c>
      <c r="D103" s="110" t="s">
        <v>76</v>
      </c>
      <c r="E103" s="125" t="s">
        <v>78</v>
      </c>
      <c r="F103" s="125"/>
      <c r="G103" s="125" t="s">
        <v>77</v>
      </c>
      <c r="H103" s="137"/>
      <c r="I103" s="13" t="s">
        <v>132</v>
      </c>
      <c r="J103" s="26">
        <f ca="1">H101*25%</f>
        <v>12.5</v>
      </c>
      <c r="K103" s="19"/>
      <c r="S103" s="75"/>
    </row>
    <row r="104" spans="1:19" s="21" customFormat="1" x14ac:dyDescent="0.25">
      <c r="A104" s="136" t="s">
        <v>119</v>
      </c>
      <c r="B104" s="125"/>
      <c r="C104" s="110">
        <v>0</v>
      </c>
      <c r="D104" s="72">
        <f ca="1">((100/H101)*C104)/100</f>
        <v>0</v>
      </c>
      <c r="E104" s="272">
        <f ca="1">(((C105/H101*10)+(40/(D101+F101+H101)*C106)+(7.5/(H101)*C107)+(7.5/(H101)*C108)+(10/H101*C109)+(10/H101*C110)+(5/H101*C111)+(5/H101*C112)+(5/H101*C113))/100)</f>
        <v>0</v>
      </c>
      <c r="F104" s="278"/>
      <c r="G104" s="272">
        <f ca="1">((((C104/H101)*20)+((C105/H101)*25)+(30/(H101+F101+D101)*C106)+(5/H101*C107)+(5/H101*C108)+(5/H101*C109)+(5/H101*C110)+(0/H101*C111)+(0/H101*C112)+(5/H101*C113))/100)</f>
        <v>0</v>
      </c>
      <c r="H104" s="273"/>
      <c r="I104" s="13" t="s">
        <v>92</v>
      </c>
      <c r="J104" s="27">
        <f ca="1">H101*50%</f>
        <v>25</v>
      </c>
      <c r="K104" s="19"/>
      <c r="S104" s="75"/>
    </row>
    <row r="105" spans="1:19" s="21" customFormat="1" x14ac:dyDescent="0.25">
      <c r="A105" s="136" t="s">
        <v>47</v>
      </c>
      <c r="B105" s="125"/>
      <c r="C105" s="110">
        <v>0</v>
      </c>
      <c r="D105" s="72">
        <f ca="1">((100/H101)*C105)/100</f>
        <v>0</v>
      </c>
      <c r="E105" s="274"/>
      <c r="F105" s="279"/>
      <c r="G105" s="274"/>
      <c r="H105" s="275"/>
      <c r="I105" s="13" t="s">
        <v>93</v>
      </c>
      <c r="J105" s="27">
        <f ca="1">H101</f>
        <v>50</v>
      </c>
      <c r="K105" s="19"/>
      <c r="S105" s="75"/>
    </row>
    <row r="106" spans="1:19" s="21" customFormat="1" x14ac:dyDescent="0.25">
      <c r="A106" s="136" t="s">
        <v>120</v>
      </c>
      <c r="B106" s="125"/>
      <c r="C106" s="110">
        <v>0</v>
      </c>
      <c r="D106" s="72">
        <f ca="1">((100/(D101+F101+H101))*C106)/100</f>
        <v>0</v>
      </c>
      <c r="E106" s="274"/>
      <c r="F106" s="279"/>
      <c r="G106" s="274"/>
      <c r="H106" s="275"/>
      <c r="I106" s="13" t="s">
        <v>94</v>
      </c>
      <c r="J106" s="28">
        <f ca="1">(IF(B101&gt;1,(H101/(B101+2)),H101/4))</f>
        <v>12.5</v>
      </c>
      <c r="K106" s="19"/>
      <c r="S106" s="75"/>
    </row>
    <row r="107" spans="1:19" s="21" customFormat="1" x14ac:dyDescent="0.25">
      <c r="A107" s="136" t="s">
        <v>127</v>
      </c>
      <c r="B107" s="125" t="s">
        <v>121</v>
      </c>
      <c r="C107" s="110">
        <v>0</v>
      </c>
      <c r="D107" s="72">
        <f ca="1">((100/H101)*C107)/100</f>
        <v>0</v>
      </c>
      <c r="E107" s="274"/>
      <c r="F107" s="279"/>
      <c r="G107" s="274"/>
      <c r="H107" s="275"/>
      <c r="I107" s="13" t="s">
        <v>95</v>
      </c>
      <c r="J107" s="28">
        <f ca="1">(IF(B101&gt;1,(H101/(B101+2)+J106),H101/4+J106))</f>
        <v>25</v>
      </c>
      <c r="K107" s="19"/>
    </row>
    <row r="108" spans="1:19" s="21" customFormat="1" x14ac:dyDescent="0.25">
      <c r="A108" s="136" t="s">
        <v>128</v>
      </c>
      <c r="B108" s="125" t="s">
        <v>121</v>
      </c>
      <c r="C108" s="110">
        <v>0</v>
      </c>
      <c r="D108" s="72">
        <f ca="1">((100/H101)*C108)/100</f>
        <v>0</v>
      </c>
      <c r="E108" s="274"/>
      <c r="F108" s="279"/>
      <c r="G108" s="274"/>
      <c r="H108" s="275"/>
      <c r="I108" s="13" t="s">
        <v>137</v>
      </c>
      <c r="J108" s="28">
        <f>(IF(B101&gt;1,(H101/(B101+2)+J107),0))</f>
        <v>0</v>
      </c>
      <c r="K108" s="19"/>
      <c r="S108" s="75"/>
    </row>
    <row r="109" spans="1:19" s="21" customFormat="1" x14ac:dyDescent="0.25">
      <c r="A109" s="136" t="s">
        <v>126</v>
      </c>
      <c r="B109" s="125" t="s">
        <v>123</v>
      </c>
      <c r="C109" s="110">
        <v>0</v>
      </c>
      <c r="D109" s="72">
        <f ca="1">((100/(H101))*C109)/100</f>
        <v>0</v>
      </c>
      <c r="E109" s="274"/>
      <c r="F109" s="279"/>
      <c r="G109" s="274"/>
      <c r="H109" s="275"/>
      <c r="I109" s="13" t="s">
        <v>134</v>
      </c>
      <c r="J109" s="28">
        <f>(IF(B101&gt;2,(H101/(B101+2)+J108),0))</f>
        <v>0</v>
      </c>
      <c r="K109" s="19"/>
      <c r="S109" s="75"/>
    </row>
    <row r="110" spans="1:19" s="21" customFormat="1" x14ac:dyDescent="0.25">
      <c r="A110" s="136" t="s">
        <v>122</v>
      </c>
      <c r="B110" s="125" t="s">
        <v>122</v>
      </c>
      <c r="C110" s="110">
        <v>0</v>
      </c>
      <c r="D110" s="72">
        <f ca="1">((100/H101)*C110)/100</f>
        <v>0</v>
      </c>
      <c r="E110" s="274"/>
      <c r="F110" s="279"/>
      <c r="G110" s="274"/>
      <c r="H110" s="275"/>
      <c r="I110" s="13" t="s">
        <v>135</v>
      </c>
      <c r="J110" s="29">
        <f>(IF(B101&gt;3,(H101/(B101+2)+J109),0))</f>
        <v>0</v>
      </c>
      <c r="K110" s="19"/>
    </row>
    <row r="111" spans="1:19" s="21" customFormat="1" x14ac:dyDescent="0.25">
      <c r="A111" s="136" t="s">
        <v>129</v>
      </c>
      <c r="B111" s="125"/>
      <c r="C111" s="110">
        <v>0</v>
      </c>
      <c r="D111" s="72">
        <f ca="1">((100/H101)*C111)/100</f>
        <v>0</v>
      </c>
      <c r="E111" s="274"/>
      <c r="F111" s="279"/>
      <c r="G111" s="274"/>
      <c r="H111" s="275"/>
      <c r="I111" s="13" t="s">
        <v>136</v>
      </c>
      <c r="J111" s="28">
        <f>(IF(B101&gt;4,(H101/(B101+2)+J110),0))</f>
        <v>0</v>
      </c>
      <c r="K111" s="19"/>
    </row>
    <row r="112" spans="1:19" s="21" customFormat="1" x14ac:dyDescent="0.25">
      <c r="A112" s="136" t="s">
        <v>124</v>
      </c>
      <c r="B112" s="125" t="s">
        <v>124</v>
      </c>
      <c r="C112" s="110">
        <v>0</v>
      </c>
      <c r="D112" s="72">
        <f ca="1">((100/(H101))*C112)/100</f>
        <v>0</v>
      </c>
      <c r="E112" s="274"/>
      <c r="F112" s="279"/>
      <c r="G112" s="274"/>
      <c r="H112" s="275"/>
      <c r="I112" s="13" t="s">
        <v>138</v>
      </c>
      <c r="J112" s="28">
        <f ca="1">(IF(B101=1,(H101/(B101+3)+J107),IF(B101=0,(H101/4+J107),IF(B101&gt;1,0))))</f>
        <v>37.5</v>
      </c>
      <c r="K112" s="19"/>
    </row>
    <row r="113" spans="1:19" s="21" customFormat="1" ht="16.5" thickBot="1" x14ac:dyDescent="0.3">
      <c r="A113" s="138" t="s">
        <v>125</v>
      </c>
      <c r="B113" s="139"/>
      <c r="C113" s="111">
        <v>0</v>
      </c>
      <c r="D113" s="73">
        <f ca="1">((100/(H101))*C113)/100</f>
        <v>0</v>
      </c>
      <c r="E113" s="276"/>
      <c r="F113" s="280"/>
      <c r="G113" s="276"/>
      <c r="H113" s="277"/>
      <c r="I113" s="14" t="s">
        <v>96</v>
      </c>
      <c r="J113" s="30">
        <f ca="1">(IF(B101&gt;1.5,(H101/(B101+2)+J107+MAX(0,J108-J107)+MAX(0,J109-J108)+MAX(0,J110-J109)+MAX(0,J111-J110)+MAX(0,J112-J111)),IF(B101=1,(H101/(B101+3)+J112),IF(B101=0,H101/4+J112))))</f>
        <v>50</v>
      </c>
      <c r="K113" s="19"/>
    </row>
    <row r="114" spans="1:19" s="21" customFormat="1" x14ac:dyDescent="0.25">
      <c r="A114" s="127" t="s">
        <v>131</v>
      </c>
      <c r="B114" s="128"/>
      <c r="C114" s="129" t="str">
        <f>D77</f>
        <v>Wing A = 1B + G + 1st &amp; 2nd + Service + 3rd to 37th Floor</v>
      </c>
      <c r="D114" s="130"/>
      <c r="E114" s="130"/>
      <c r="F114" s="130"/>
      <c r="G114" s="130"/>
      <c r="H114" s="131"/>
      <c r="I114" s="43" t="str">
        <f ca="1">IF(D127=100%,"All work Completed. Possession granted to the Building.",IF(D126=100%,"All work Completed, Waiting for OC",I115&amp;""&amp;I116&amp;""&amp;J115&amp;""&amp;J114&amp;" "&amp;J116))</f>
        <v>Excavation, Plinth Completed, RCC upto 3 Slab Completed</v>
      </c>
      <c r="J114" s="74" t="str">
        <f ca="1">(IF(C120=(D115+F115+H115),"",IF(C120&gt;0,", RCC upto "&amp;C120&amp;" Slab","")))&amp;(IF(C121=H115,"",IF(C121&gt;0,", Brickwork upto "&amp;C121&amp;" Floor","")))&amp;(IF(C122=H115,"",IF(C122&gt;0,", Internal Plaster upto "&amp;C122&amp;" Floor","")))&amp;(IF(C123=H115,"",IF(C123&gt;0,", External Plaster upto "&amp;C123&amp;" Floor","")))&amp;(IF(C124=H115,"",IF(C124&gt;0,", Flooring upto "&amp;C124&amp;" Floor","")))&amp;(IF(C125=H115,"",IF(C125&gt;0,", Painting upto "&amp;C125&amp;" Floor","")))&amp;(IF(C126=H115,"",IF(C126&gt;0,", Finishing upto "&amp;C126&amp;" Floor","")))&amp;(IF(C127=H115,"",IF(C127&gt;0,", Possession upto "&amp;C127&amp;" Floor","")))</f>
        <v>, RCC upto 3 Slab</v>
      </c>
    </row>
    <row r="115" spans="1:19" s="21" customFormat="1" x14ac:dyDescent="0.25">
      <c r="A115" s="15" t="s">
        <v>133</v>
      </c>
      <c r="B115" s="47">
        <f>IF(AND(ISNUMBER(SEARCH("1B",C114))),1,IF(AND(ISNUMBER(SEARCH("2B",C114))),2,IF(AND(ISNUMBER(SEARCH("3B",C114))),3,IF(AND(ISNUMBER(SEARCH("4B",C114))),4,IF(ISNUMBER(SEARCH("5B",C114)),5,0)))))</f>
        <v>1</v>
      </c>
      <c r="C115" s="47" t="s">
        <v>66</v>
      </c>
      <c r="D115" s="47">
        <v>1</v>
      </c>
      <c r="E115" s="47" t="s">
        <v>65</v>
      </c>
      <c r="F115" s="47">
        <v>0</v>
      </c>
      <c r="G115" s="47" t="s">
        <v>73</v>
      </c>
      <c r="H115" s="16">
        <f ca="1">--TRIM(RIGHT(SUBSTITUTE(LEFT(C114,_xlfn.AGGREGATE(16,6,FIND({0,1,2,3,4,5,6,7,8,9},C114,ROW(INDIRECT("1:"&amp;LEN(C114)))),1))," ",REPT(" ",LEN(C114))),LEN(C114)))</f>
        <v>37</v>
      </c>
      <c r="I115" s="76" t="str">
        <f ca="1">IF(D118=100%,"Excavation","")&amp;IF(D119=100%,", Plinth","")&amp;IF(D120=100%,", RCC Slab","")&amp;IF(D121=100%,", Brickwork","")&amp;IF(D122=100%,", Internal Plaster","")&amp;IF(D123=100%,", External Plaster","")&amp;IF(D124=100%,", Flooring","")&amp;IF(D125=100%,", Painting","")&amp;IF(D126=100%,", Building common Amenities","")</f>
        <v>Excavation, Plinth</v>
      </c>
      <c r="J115" s="77" t="str">
        <f ca="1">(IF(C118=0,"Work not yet Started.",IF(D118=25%,"Piling work in process",IF(D118=50%,"Excavation work in process",IF(D118=100%,"","0")))))&amp;(IF(C119=0%,"",IF(C119=J120,", Footing work is process",IF(C119=J121,", Footing work Completed",IF(C119=J122,", 1st Basement Completed",IF(C119=J123,", 1st &amp; 2nd Basement Completed",IF(C119=J124,", 1st to 3rd Basement Completed",IF(C119=J125,", 1st to 4th Basement Completed",IF(C119=J126,", Plinth work is process",IF(C119=J127,"","0"))))))))))</f>
        <v/>
      </c>
    </row>
    <row r="116" spans="1:19" s="21" customFormat="1" x14ac:dyDescent="0.25">
      <c r="A116" s="132" t="s">
        <v>83</v>
      </c>
      <c r="B116" s="133"/>
      <c r="C116" s="134" t="str">
        <f ca="1">I114</f>
        <v>Excavation, Plinth Completed, RCC upto 3 Slab Completed</v>
      </c>
      <c r="D116" s="134"/>
      <c r="E116" s="134"/>
      <c r="F116" s="134"/>
      <c r="G116" s="134"/>
      <c r="H116" s="135"/>
      <c r="I116" s="76" t="str">
        <f ca="1">IF(I115&lt;&gt;""," Completed","")</f>
        <v xml:space="preserve"> Completed</v>
      </c>
      <c r="J116" s="77" t="str">
        <f ca="1">IF(J114&lt;&gt;"","Completed","")</f>
        <v>Completed</v>
      </c>
    </row>
    <row r="117" spans="1:19" s="21" customFormat="1" x14ac:dyDescent="0.25">
      <c r="A117" s="136" t="s">
        <v>46</v>
      </c>
      <c r="B117" s="125"/>
      <c r="C117" s="71" t="s">
        <v>130</v>
      </c>
      <c r="D117" s="71" t="s">
        <v>76</v>
      </c>
      <c r="E117" s="125" t="s">
        <v>78</v>
      </c>
      <c r="F117" s="125"/>
      <c r="G117" s="125" t="s">
        <v>77</v>
      </c>
      <c r="H117" s="137"/>
      <c r="I117" s="78" t="s">
        <v>132</v>
      </c>
      <c r="J117" s="79">
        <f ca="1">H115*25%</f>
        <v>9.25</v>
      </c>
      <c r="S117" s="75"/>
    </row>
    <row r="118" spans="1:19" s="21" customFormat="1" x14ac:dyDescent="0.25">
      <c r="A118" s="125" t="s">
        <v>119</v>
      </c>
      <c r="B118" s="125"/>
      <c r="C118" s="88">
        <f ca="1">J119</f>
        <v>37</v>
      </c>
      <c r="D118" s="72">
        <f ca="1">((100/H115)*C118)/100</f>
        <v>1</v>
      </c>
      <c r="E118" s="126">
        <f ca="1">(((C119/H115*10)+(40/(D115+F115+H115)*C120)+(7.5/(H115)*C121)+(7.5/(H115)*C122)+(10/H115*C123)+(10/H115*C124)+(5/H115*C125)+(5/H115*C126)+(5/H115*C127))/100)</f>
        <v>0.13157894736842107</v>
      </c>
      <c r="F118" s="126"/>
      <c r="G118" s="126">
        <f ca="1">((((C118/H115)*20)+((C119/H115)*25)+(30/(H115+F115+D115)*C120)+(5/H115*C121)+(5/H115*C122)+(5/H115*C123)+(5/H115*C124)+(0/H115*C125)+(0/H115*C126)+(5/H115*C127))/100)</f>
        <v>0.47368421052631576</v>
      </c>
      <c r="H118" s="126"/>
      <c r="I118" s="78" t="s">
        <v>92</v>
      </c>
      <c r="J118" s="80">
        <f ca="1">H115*50%</f>
        <v>18.5</v>
      </c>
      <c r="S118" s="75"/>
    </row>
    <row r="119" spans="1:19" s="21" customFormat="1" x14ac:dyDescent="0.25">
      <c r="A119" s="125" t="s">
        <v>47</v>
      </c>
      <c r="B119" s="125"/>
      <c r="C119" s="85">
        <f ca="1">J127</f>
        <v>37</v>
      </c>
      <c r="D119" s="72">
        <f ca="1">((100/H115)*C119)/100</f>
        <v>1</v>
      </c>
      <c r="E119" s="126"/>
      <c r="F119" s="126"/>
      <c r="G119" s="126"/>
      <c r="H119" s="126"/>
      <c r="I119" s="78" t="s">
        <v>93</v>
      </c>
      <c r="J119" s="80">
        <f ca="1">H115</f>
        <v>37</v>
      </c>
      <c r="S119" s="75"/>
    </row>
    <row r="120" spans="1:19" s="21" customFormat="1" x14ac:dyDescent="0.25">
      <c r="A120" s="125" t="s">
        <v>120</v>
      </c>
      <c r="B120" s="125"/>
      <c r="C120" s="88">
        <v>3</v>
      </c>
      <c r="D120" s="72">
        <f ca="1">((100/(D115+F115+H115))*C120)/100</f>
        <v>7.8947368421052641E-2</v>
      </c>
      <c r="E120" s="126"/>
      <c r="F120" s="126"/>
      <c r="G120" s="126"/>
      <c r="H120" s="126"/>
      <c r="I120" s="78" t="s">
        <v>94</v>
      </c>
      <c r="J120" s="81">
        <f ca="1">(IF(B115&gt;1,(H115/(B115+2)),H115/4))</f>
        <v>9.25</v>
      </c>
      <c r="S120" s="75"/>
    </row>
    <row r="121" spans="1:19" s="21" customFormat="1" x14ac:dyDescent="0.25">
      <c r="A121" s="125" t="s">
        <v>127</v>
      </c>
      <c r="B121" s="125" t="s">
        <v>121</v>
      </c>
      <c r="C121" s="88">
        <v>0</v>
      </c>
      <c r="D121" s="72">
        <f ca="1">((100/H115)*C121)/100</f>
        <v>0</v>
      </c>
      <c r="E121" s="126"/>
      <c r="F121" s="126"/>
      <c r="G121" s="126"/>
      <c r="H121" s="126"/>
      <c r="I121" s="78" t="s">
        <v>95</v>
      </c>
      <c r="J121" s="81">
        <f ca="1">(IF(B115&gt;1,(H115/(B115+2)+J120),H115/4+J120))</f>
        <v>18.5</v>
      </c>
    </row>
    <row r="122" spans="1:19" s="21" customFormat="1" x14ac:dyDescent="0.25">
      <c r="A122" s="125" t="s">
        <v>128</v>
      </c>
      <c r="B122" s="125" t="s">
        <v>121</v>
      </c>
      <c r="C122" s="88">
        <v>0</v>
      </c>
      <c r="D122" s="72">
        <f ca="1">((100/H115)*C122)/100</f>
        <v>0</v>
      </c>
      <c r="E122" s="126"/>
      <c r="F122" s="126"/>
      <c r="G122" s="126"/>
      <c r="H122" s="126"/>
      <c r="I122" s="78" t="s">
        <v>137</v>
      </c>
      <c r="J122" s="81">
        <f>(IF(B115&gt;1,(H115/(B115+2)+J121),0))</f>
        <v>0</v>
      </c>
      <c r="S122" s="75"/>
    </row>
    <row r="123" spans="1:19" s="21" customFormat="1" x14ac:dyDescent="0.25">
      <c r="A123" s="125" t="s">
        <v>126</v>
      </c>
      <c r="B123" s="125" t="s">
        <v>123</v>
      </c>
      <c r="C123" s="88">
        <v>0</v>
      </c>
      <c r="D123" s="72">
        <f ca="1">((100/(H115))*C123)/100</f>
        <v>0</v>
      </c>
      <c r="E123" s="126"/>
      <c r="F123" s="126"/>
      <c r="G123" s="126"/>
      <c r="H123" s="126"/>
      <c r="I123" s="78" t="s">
        <v>134</v>
      </c>
      <c r="J123" s="81">
        <f>(IF(B115&gt;2,(H115/(B115+2)+J122),0))</f>
        <v>0</v>
      </c>
      <c r="S123" s="75"/>
    </row>
    <row r="124" spans="1:19" s="21" customFormat="1" x14ac:dyDescent="0.25">
      <c r="A124" s="125" t="s">
        <v>122</v>
      </c>
      <c r="B124" s="125" t="s">
        <v>122</v>
      </c>
      <c r="C124" s="88">
        <v>0</v>
      </c>
      <c r="D124" s="72">
        <f ca="1">((100/H115)*C124)/100</f>
        <v>0</v>
      </c>
      <c r="E124" s="126"/>
      <c r="F124" s="126"/>
      <c r="G124" s="126"/>
      <c r="H124" s="126"/>
      <c r="I124" s="78" t="s">
        <v>135</v>
      </c>
      <c r="J124" s="82">
        <f>(IF(B115&gt;3,(H115/(B115+2)+J123),0))</f>
        <v>0</v>
      </c>
    </row>
    <row r="125" spans="1:19" s="21" customFormat="1" x14ac:dyDescent="0.25">
      <c r="A125" s="125" t="s">
        <v>129</v>
      </c>
      <c r="B125" s="125"/>
      <c r="C125" s="88">
        <v>0</v>
      </c>
      <c r="D125" s="72">
        <f ca="1">((100/H115)*C125)/100</f>
        <v>0</v>
      </c>
      <c r="E125" s="126"/>
      <c r="F125" s="126"/>
      <c r="G125" s="126"/>
      <c r="H125" s="126"/>
      <c r="I125" s="78" t="s">
        <v>136</v>
      </c>
      <c r="J125" s="81">
        <f>(IF(B115&gt;4,(H115/(B115+2)+J124),0))</f>
        <v>0</v>
      </c>
    </row>
    <row r="126" spans="1:19" s="21" customFormat="1" x14ac:dyDescent="0.25">
      <c r="A126" s="125" t="s">
        <v>124</v>
      </c>
      <c r="B126" s="125" t="s">
        <v>124</v>
      </c>
      <c r="C126" s="88">
        <v>0</v>
      </c>
      <c r="D126" s="72">
        <f ca="1">((100/(H115))*C126)/100</f>
        <v>0</v>
      </c>
      <c r="E126" s="126"/>
      <c r="F126" s="126"/>
      <c r="G126" s="126"/>
      <c r="H126" s="126"/>
      <c r="I126" s="78" t="s">
        <v>138</v>
      </c>
      <c r="J126" s="81">
        <f ca="1">(IF(B115=1,(H115/(B115+3)+J121),IF(B115=0,(H115/4+J121),IF(B115&gt;1,0))))</f>
        <v>27.75</v>
      </c>
    </row>
    <row r="127" spans="1:19" ht="15.75" customHeight="1" thickBot="1" x14ac:dyDescent="0.3">
      <c r="A127" s="125" t="s">
        <v>125</v>
      </c>
      <c r="B127" s="125"/>
      <c r="C127" s="88">
        <v>0</v>
      </c>
      <c r="D127" s="72">
        <f ca="1">((100/(H115))*C127)/100</f>
        <v>0</v>
      </c>
      <c r="E127" s="126"/>
      <c r="F127" s="126"/>
      <c r="G127" s="126"/>
      <c r="H127" s="126"/>
      <c r="I127" s="83" t="s">
        <v>96</v>
      </c>
      <c r="J127" s="84">
        <f ca="1">(IF(B115&gt;1.5,(H115/(B115+2)+J121+MAX(0,J122-J121)+MAX(0,J123-J122)+MAX(0,J124-J123)+MAX(0,J125-J124)+MAX(0,J126-J125)),IF(B115=1,(H115/(B115+3)+J126),IF(B115=0,H115/4+J126))))</f>
        <v>37</v>
      </c>
      <c r="K127" s="21"/>
    </row>
    <row r="128" spans="1:19" ht="15.75" customHeight="1" x14ac:dyDescent="0.25">
      <c r="A128" s="134" t="s">
        <v>131</v>
      </c>
      <c r="B128" s="134"/>
      <c r="C128" s="134" t="str">
        <f>D78</f>
        <v>Wing B = 1B + G + 1st &amp; 2nd + Service + 3rd to 37th Floor</v>
      </c>
      <c r="D128" s="134"/>
      <c r="E128" s="134"/>
      <c r="F128" s="134"/>
      <c r="G128" s="134"/>
      <c r="H128" s="134"/>
      <c r="I128" s="95" t="str">
        <f ca="1">IF(D141=100%,"All work Completed. Possession granted to the Building.",IF(D140=100%,"All work Completed, Waiting for OC",I129&amp;""&amp;I130&amp;""&amp;J129&amp;""&amp;J128&amp;" "&amp;J130))</f>
        <v>Excavation, Plinth Completed, RCC upto 7 Slab Completed</v>
      </c>
      <c r="J128" s="74" t="str">
        <f ca="1">(IF(C134=(D129+F129+H129),"",IF(C134&gt;0,", RCC upto "&amp;C134&amp;" Slab","")))&amp;(IF(C135=H129,"",IF(C135&gt;0,", Brickwork upto "&amp;C135&amp;" Floor","")))&amp;(IF(C136=H129,"",IF(C136&gt;0,", Internal Plaster upto "&amp;C136&amp;" Floor","")))&amp;(IF(C137=H129,"",IF(C137&gt;0,", External Plaster upto "&amp;C137&amp;" Floor","")))&amp;(IF(C138=H129,"",IF(C138&gt;0,", Flooring upto "&amp;C138&amp;" Floor","")))&amp;(IF(C139=H129,"",IF(C139&gt;0,", Painting upto "&amp;C139&amp;" Floor","")))&amp;(IF(C140=H129,"",IF(C140&gt;0,", Finishing upto "&amp;C140&amp;" Floor","")))&amp;(IF(C141=H129,"",IF(C141&gt;0,", Possession upto "&amp;C141&amp;" Floor","")))</f>
        <v>, RCC upto 7 Slab</v>
      </c>
      <c r="K128" s="21"/>
    </row>
    <row r="129" spans="1:22" ht="15.75" customHeight="1" x14ac:dyDescent="0.25">
      <c r="A129" s="47" t="s">
        <v>133</v>
      </c>
      <c r="B129" s="47">
        <f>IF(AND(ISNUMBER(SEARCH("1B",C128))),1,IF(AND(ISNUMBER(SEARCH("2B",C128))),2,IF(AND(ISNUMBER(SEARCH("3B",C128))),3,IF(AND(ISNUMBER(SEARCH("4B",C128))),4,IF(ISNUMBER(SEARCH("5B",C128)),5,0)))))</f>
        <v>1</v>
      </c>
      <c r="C129" s="47" t="s">
        <v>66</v>
      </c>
      <c r="D129" s="47">
        <v>1</v>
      </c>
      <c r="E129" s="47" t="s">
        <v>65</v>
      </c>
      <c r="F129" s="47">
        <v>0</v>
      </c>
      <c r="G129" s="47" t="s">
        <v>73</v>
      </c>
      <c r="H129" s="47">
        <f ca="1">--TRIM(RIGHT(SUBSTITUTE(LEFT(C128,_xlfn.AGGREGATE(16,6,FIND({0,1,2,3,4,5,6,7,8,9},C128,ROW(INDIRECT("1:"&amp;LEN(C128)))),1))," ",REPT(" ",LEN(C128))),LEN(C128)))</f>
        <v>37</v>
      </c>
      <c r="I129" s="96" t="str">
        <f ca="1">IF(D132=100%,"Excavation","")&amp;IF(D133=100%,", Plinth","")&amp;IF(D134=100%,", RCC Slab","")&amp;IF(D135=100%,", Brickwork","")&amp;IF(D136=100%,", Internal Plaster","")&amp;IF(D137=100%,", External Plaster","")&amp;IF(D138=100%,", Flooring","")&amp;IF(D139=100%,", Painting","")&amp;IF(D140=100%,", Building common Amenities","")</f>
        <v>Excavation, Plinth</v>
      </c>
      <c r="J129" s="77" t="str">
        <f ca="1">(IF(C132=0,"Work not yet Started.",IF(D132=25%,"Piling work in process",IF(D132=50%,"Excavation work in process",IF(D132=100%,"","0")))))&amp;(IF(C133=0%,"",IF(C133=J134,", Footing work is process",IF(C133=J135,", Footing work Completed",IF(C133=J136,", 1st Basement Completed",IF(C133=J137,", 1st &amp; 2nd Basement Completed",IF(C133=J138,", 1st to 3rd Basement Completed",IF(C133=J139,", 1st to 4th Basement Completed",IF(C133=J140,", Plinth work is process",IF(C133=J141,"","0"))))))))))</f>
        <v/>
      </c>
      <c r="K129" s="21"/>
    </row>
    <row r="130" spans="1:22" x14ac:dyDescent="0.25">
      <c r="A130" s="133" t="s">
        <v>83</v>
      </c>
      <c r="B130" s="133"/>
      <c r="C130" s="134" t="str">
        <f ca="1">I128</f>
        <v>Excavation, Plinth Completed, RCC upto 7 Slab Completed</v>
      </c>
      <c r="D130" s="134"/>
      <c r="E130" s="134"/>
      <c r="F130" s="134"/>
      <c r="G130" s="134"/>
      <c r="H130" s="134"/>
      <c r="I130" s="96" t="str">
        <f ca="1">IF(I129&lt;&gt;""," Completed","")</f>
        <v xml:space="preserve"> Completed</v>
      </c>
      <c r="J130" s="77" t="str">
        <f ca="1">IF(J128&lt;&gt;"","Completed","")</f>
        <v>Completed</v>
      </c>
      <c r="K130" s="21"/>
    </row>
    <row r="131" spans="1:22" x14ac:dyDescent="0.25">
      <c r="A131" s="125" t="s">
        <v>46</v>
      </c>
      <c r="B131" s="125"/>
      <c r="C131" s="88" t="s">
        <v>130</v>
      </c>
      <c r="D131" s="88" t="s">
        <v>76</v>
      </c>
      <c r="E131" s="125" t="s">
        <v>78</v>
      </c>
      <c r="F131" s="125"/>
      <c r="G131" s="125" t="s">
        <v>77</v>
      </c>
      <c r="H131" s="125"/>
      <c r="I131" s="78" t="s">
        <v>132</v>
      </c>
      <c r="J131" s="79">
        <f ca="1">H129*25%</f>
        <v>9.25</v>
      </c>
      <c r="K131" s="21"/>
      <c r="R131" t="s">
        <v>245</v>
      </c>
      <c r="S131" t="s">
        <v>163</v>
      </c>
      <c r="T131" t="s">
        <v>171</v>
      </c>
      <c r="U131" t="s">
        <v>185</v>
      </c>
      <c r="V131" t="s">
        <v>180</v>
      </c>
    </row>
    <row r="132" spans="1:22" x14ac:dyDescent="0.25">
      <c r="A132" s="125" t="s">
        <v>119</v>
      </c>
      <c r="B132" s="125"/>
      <c r="C132" s="88">
        <f ca="1">J133</f>
        <v>37</v>
      </c>
      <c r="D132" s="72">
        <f ca="1">((100/H129)*C132)/100</f>
        <v>1</v>
      </c>
      <c r="E132" s="283">
        <f ca="1">(((C133/H129*10)+(40/(D129+F129+H129)*C134)+(7.5/(H129)*C135)+(7.5/(H129)*C136)+(10/H129*C137)+(10/H129*C138)+(5/H129*C139)+(5/H129*C140)+(5/H129*C141))/100)</f>
        <v>0.17368421052631577</v>
      </c>
      <c r="F132" s="283"/>
      <c r="G132" s="283">
        <f ca="1">((((C132/H129)*20)+((C133/H129)*25)+(30/(H129+F129+D129)*C134)+(5/H129*C135)+(5/H129*C136)+(5/H129*C137)+(5/H129*C138)+(0/H129*C139)+(0/H129*C140)+(5/H129*C141))/100)</f>
        <v>0.50526315789473686</v>
      </c>
      <c r="H132" s="283"/>
      <c r="I132" s="78" t="s">
        <v>92</v>
      </c>
      <c r="J132" s="80">
        <f ca="1">H129*50%</f>
        <v>18.5</v>
      </c>
      <c r="K132" s="21"/>
      <c r="R132"/>
      <c r="S132">
        <v>800000</v>
      </c>
      <c r="T132">
        <v>150000</v>
      </c>
      <c r="U132">
        <v>100000</v>
      </c>
      <c r="V132">
        <v>100000</v>
      </c>
    </row>
    <row r="133" spans="1:22" x14ac:dyDescent="0.25">
      <c r="A133" s="125" t="s">
        <v>47</v>
      </c>
      <c r="B133" s="125"/>
      <c r="C133" s="85">
        <f ca="1">J141</f>
        <v>37</v>
      </c>
      <c r="D133" s="72">
        <f ca="1">((100/H129)*C133)/100</f>
        <v>1</v>
      </c>
      <c r="E133" s="283"/>
      <c r="F133" s="283"/>
      <c r="G133" s="283"/>
      <c r="H133" s="283"/>
      <c r="I133" s="78" t="s">
        <v>93</v>
      </c>
      <c r="J133" s="80">
        <f ca="1">H129</f>
        <v>37</v>
      </c>
      <c r="K133" s="21"/>
      <c r="R133"/>
      <c r="S133">
        <v>900000</v>
      </c>
      <c r="T133">
        <v>200000</v>
      </c>
      <c r="U133">
        <v>150000</v>
      </c>
      <c r="V133">
        <v>150000</v>
      </c>
    </row>
    <row r="134" spans="1:22" x14ac:dyDescent="0.25">
      <c r="A134" s="125" t="s">
        <v>120</v>
      </c>
      <c r="B134" s="125"/>
      <c r="C134" s="88">
        <v>7</v>
      </c>
      <c r="D134" s="72">
        <f ca="1">((100/(D129+F129+H129))*C134)/100</f>
        <v>0.18421052631578949</v>
      </c>
      <c r="E134" s="283"/>
      <c r="F134" s="283"/>
      <c r="G134" s="283"/>
      <c r="H134" s="283"/>
      <c r="I134" s="78" t="s">
        <v>94</v>
      </c>
      <c r="J134" s="81">
        <f ca="1">(IF(B129&gt;1,(H129/(B129+2)),H129/4))</f>
        <v>9.25</v>
      </c>
      <c r="K134" s="21"/>
      <c r="R134"/>
      <c r="S134">
        <v>1000000</v>
      </c>
      <c r="T134">
        <v>250000</v>
      </c>
      <c r="U134">
        <v>200000</v>
      </c>
      <c r="V134">
        <v>200000</v>
      </c>
    </row>
    <row r="135" spans="1:22" s="31" customFormat="1" x14ac:dyDescent="0.25">
      <c r="A135" s="125" t="s">
        <v>127</v>
      </c>
      <c r="B135" s="125" t="s">
        <v>121</v>
      </c>
      <c r="C135" s="88">
        <v>0</v>
      </c>
      <c r="D135" s="72">
        <f ca="1">((100/H129)*C135)/100</f>
        <v>0</v>
      </c>
      <c r="E135" s="283"/>
      <c r="F135" s="283"/>
      <c r="G135" s="283"/>
      <c r="H135" s="283"/>
      <c r="I135" s="78" t="s">
        <v>95</v>
      </c>
      <c r="J135" s="81">
        <f ca="1">(IF(B129&gt;1,(H129/(B129+2)+J134),H129/4+J134))</f>
        <v>18.5</v>
      </c>
      <c r="K135" s="21"/>
      <c r="R135"/>
      <c r="S135">
        <v>1100000</v>
      </c>
      <c r="T135">
        <v>300000</v>
      </c>
      <c r="U135">
        <v>250000</v>
      </c>
      <c r="V135" s="21">
        <v>250000</v>
      </c>
    </row>
    <row r="136" spans="1:22" s="31" customFormat="1" x14ac:dyDescent="0.25">
      <c r="A136" s="125" t="s">
        <v>128</v>
      </c>
      <c r="B136" s="125" t="s">
        <v>121</v>
      </c>
      <c r="C136" s="88">
        <v>0</v>
      </c>
      <c r="D136" s="72">
        <f ca="1">((100/H129)*C136)/100</f>
        <v>0</v>
      </c>
      <c r="E136" s="283"/>
      <c r="F136" s="283"/>
      <c r="G136" s="283"/>
      <c r="H136" s="283"/>
      <c r="I136" s="78" t="s">
        <v>137</v>
      </c>
      <c r="J136" s="81">
        <f>(IF(B129&gt;1,(H129/(B129+2)+J135),0))</f>
        <v>0</v>
      </c>
      <c r="K136" s="21"/>
      <c r="R136"/>
      <c r="S136">
        <v>1200000</v>
      </c>
      <c r="T136">
        <v>350000</v>
      </c>
      <c r="U136">
        <v>300000</v>
      </c>
      <c r="V136">
        <v>300000</v>
      </c>
    </row>
    <row r="137" spans="1:22" s="31" customFormat="1" x14ac:dyDescent="0.25">
      <c r="A137" s="125" t="s">
        <v>126</v>
      </c>
      <c r="B137" s="125" t="s">
        <v>123</v>
      </c>
      <c r="C137" s="88">
        <v>0</v>
      </c>
      <c r="D137" s="72">
        <f ca="1">((100/(H129))*C137)/100</f>
        <v>0</v>
      </c>
      <c r="E137" s="283"/>
      <c r="F137" s="283"/>
      <c r="G137" s="283"/>
      <c r="H137" s="283"/>
      <c r="I137" s="78" t="s">
        <v>134</v>
      </c>
      <c r="J137" s="81">
        <f>(IF(B129&gt;2,(H129/(B129+2)+J136),0))</f>
        <v>0</v>
      </c>
      <c r="K137" s="21"/>
      <c r="R137"/>
      <c r="S137">
        <v>1300000</v>
      </c>
      <c r="T137">
        <v>400000</v>
      </c>
      <c r="U137">
        <v>350000</v>
      </c>
      <c r="V137" s="21">
        <v>400000</v>
      </c>
    </row>
    <row r="138" spans="1:22" s="31" customFormat="1" x14ac:dyDescent="0.25">
      <c r="A138" s="284" t="s">
        <v>122</v>
      </c>
      <c r="B138" s="284" t="s">
        <v>122</v>
      </c>
      <c r="C138" s="91">
        <v>0</v>
      </c>
      <c r="D138" s="18">
        <f ca="1">((100/H129)*C138)/100</f>
        <v>0</v>
      </c>
      <c r="E138" s="283"/>
      <c r="F138" s="283"/>
      <c r="G138" s="283"/>
      <c r="H138" s="283"/>
      <c r="I138" s="13" t="s">
        <v>135</v>
      </c>
      <c r="J138" s="29">
        <f>(IF(B129&gt;3,(H129/(B129+2)+J137),0))</f>
        <v>0</v>
      </c>
      <c r="K138" s="19"/>
      <c r="R138"/>
      <c r="S138">
        <v>1400000</v>
      </c>
      <c r="T138">
        <v>500000</v>
      </c>
      <c r="U138">
        <v>400000</v>
      </c>
      <c r="V138"/>
    </row>
    <row r="139" spans="1:22" s="31" customFormat="1" x14ac:dyDescent="0.25">
      <c r="A139" s="284" t="s">
        <v>129</v>
      </c>
      <c r="B139" s="284"/>
      <c r="C139" s="91">
        <v>0</v>
      </c>
      <c r="D139" s="18">
        <f ca="1">((100/H129)*C139)/100</f>
        <v>0</v>
      </c>
      <c r="E139" s="283"/>
      <c r="F139" s="283"/>
      <c r="G139" s="283"/>
      <c r="H139" s="283"/>
      <c r="I139" s="13" t="s">
        <v>136</v>
      </c>
      <c r="J139" s="28">
        <f>(IF(B129&gt;4,(H129/(B129+2)+J138),0))</f>
        <v>0</v>
      </c>
      <c r="K139" s="19"/>
      <c r="R139"/>
      <c r="S139">
        <v>1500000</v>
      </c>
      <c r="T139">
        <v>600000</v>
      </c>
      <c r="U139">
        <v>500000</v>
      </c>
      <c r="V139" s="21"/>
    </row>
    <row r="140" spans="1:22" s="31" customFormat="1" x14ac:dyDescent="0.25">
      <c r="A140" s="284" t="s">
        <v>124</v>
      </c>
      <c r="B140" s="284" t="s">
        <v>124</v>
      </c>
      <c r="C140" s="91">
        <v>0</v>
      </c>
      <c r="D140" s="18">
        <f ca="1">((100/(H129))*C140)/100</f>
        <v>0</v>
      </c>
      <c r="E140" s="283"/>
      <c r="F140" s="283"/>
      <c r="G140" s="283"/>
      <c r="H140" s="283"/>
      <c r="I140" s="13" t="s">
        <v>138</v>
      </c>
      <c r="J140" s="28">
        <f ca="1">(IF(B129=1,(H129/(B129+3)+J135),IF(B129=0,(H129/4+J135),IF(B129&gt;1,0))))</f>
        <v>27.75</v>
      </c>
      <c r="K140" s="19"/>
      <c r="R140"/>
      <c r="S140">
        <v>1600000</v>
      </c>
      <c r="T140">
        <v>700000</v>
      </c>
      <c r="U140">
        <v>600000</v>
      </c>
      <c r="V140"/>
    </row>
    <row r="141" spans="1:22" s="31" customFormat="1" ht="16.5" thickBot="1" x14ac:dyDescent="0.3">
      <c r="A141" s="284" t="s">
        <v>125</v>
      </c>
      <c r="B141" s="284"/>
      <c r="C141" s="91">
        <v>0</v>
      </c>
      <c r="D141" s="18">
        <f ca="1">((100/(H129))*C141)/100</f>
        <v>0</v>
      </c>
      <c r="E141" s="283"/>
      <c r="F141" s="283"/>
      <c r="G141" s="283"/>
      <c r="H141" s="283"/>
      <c r="I141" s="14" t="s">
        <v>96</v>
      </c>
      <c r="J141" s="30">
        <f ca="1">(IF(B129&gt;1.5,(H129/(B129+2)+J135+MAX(0,J136-J135)+MAX(0,J137-J136)+MAX(0,J138-J137)+MAX(0,J139-J138)+MAX(0,J140-J139)),IF(B129=1,(H129/(B129+3)+J140),IF(B129=0,H129/4+J140))))</f>
        <v>37</v>
      </c>
      <c r="K141" s="19"/>
      <c r="R141"/>
      <c r="S141">
        <v>1700000</v>
      </c>
      <c r="T141">
        <v>800000</v>
      </c>
      <c r="U141"/>
      <c r="V141" s="21"/>
    </row>
    <row r="142" spans="1:22" x14ac:dyDescent="0.25">
      <c r="A142" s="286" t="s">
        <v>147</v>
      </c>
      <c r="B142" s="286"/>
      <c r="C142" s="286"/>
      <c r="D142" s="286"/>
      <c r="E142" s="286"/>
      <c r="F142" s="191" t="s">
        <v>151</v>
      </c>
      <c r="G142" s="191"/>
      <c r="H142" s="191"/>
      <c r="R142"/>
      <c r="S142">
        <v>1800000</v>
      </c>
      <c r="T142">
        <v>900000</v>
      </c>
      <c r="U142"/>
    </row>
    <row r="143" spans="1:22" s="32" customFormat="1" x14ac:dyDescent="0.25">
      <c r="A143" s="159" t="s">
        <v>149</v>
      </c>
      <c r="B143" s="159"/>
      <c r="C143" s="159"/>
      <c r="D143" s="159"/>
      <c r="E143" s="159"/>
      <c r="F143" s="157">
        <v>34000</v>
      </c>
      <c r="G143" s="157"/>
      <c r="H143" s="157"/>
      <c r="R143" s="19"/>
      <c r="S143" s="19"/>
      <c r="T143">
        <v>1000000</v>
      </c>
      <c r="U143"/>
      <c r="V143" s="19"/>
    </row>
    <row r="144" spans="1:22" s="33" customFormat="1" ht="15.75" hidden="1" customHeight="1" x14ac:dyDescent="0.25">
      <c r="A144" s="159" t="s">
        <v>148</v>
      </c>
      <c r="B144" s="159"/>
      <c r="C144" s="159"/>
      <c r="D144" s="159"/>
      <c r="E144" s="159"/>
      <c r="F144" s="285">
        <v>50000</v>
      </c>
      <c r="G144" s="285"/>
      <c r="H144" s="285"/>
      <c r="R144"/>
      <c r="S144" s="19"/>
      <c r="T144"/>
      <c r="U144"/>
      <c r="V144" s="19"/>
    </row>
    <row r="145" spans="1:22" s="33" customFormat="1" ht="15.75" hidden="1" customHeight="1" x14ac:dyDescent="0.25">
      <c r="A145" s="159" t="s">
        <v>150</v>
      </c>
      <c r="B145" s="159"/>
      <c r="C145" s="159"/>
      <c r="D145" s="159"/>
      <c r="E145" s="159"/>
      <c r="F145" s="285">
        <v>40000</v>
      </c>
      <c r="G145" s="285"/>
      <c r="H145" s="285"/>
      <c r="R145"/>
      <c r="S145" s="19"/>
      <c r="T145"/>
      <c r="U145" s="19"/>
      <c r="V145" s="19"/>
    </row>
    <row r="146" spans="1:22" s="33" customFormat="1" hidden="1" x14ac:dyDescent="0.25">
      <c r="A146" s="159" t="s">
        <v>166</v>
      </c>
      <c r="B146" s="159"/>
      <c r="C146" s="159"/>
      <c r="D146" s="159"/>
      <c r="E146" s="159"/>
      <c r="F146" s="157"/>
      <c r="G146" s="157"/>
      <c r="H146" s="157"/>
      <c r="R146"/>
      <c r="S146" s="19"/>
      <c r="T146"/>
      <c r="U146" s="19"/>
      <c r="V146" s="19"/>
    </row>
    <row r="147" spans="1:22" s="33" customFormat="1" hidden="1" x14ac:dyDescent="0.25">
      <c r="A147" s="159" t="s">
        <v>86</v>
      </c>
      <c r="B147" s="159"/>
      <c r="C147" s="159"/>
      <c r="D147" s="159"/>
      <c r="E147" s="159"/>
      <c r="F147" s="157"/>
      <c r="G147" s="157"/>
      <c r="H147" s="157"/>
      <c r="R147"/>
      <c r="S147" s="19"/>
      <c r="T147"/>
      <c r="U147" s="19"/>
      <c r="V147" s="19"/>
    </row>
    <row r="148" spans="1:22" s="33" customFormat="1" hidden="1" x14ac:dyDescent="0.25">
      <c r="A148" s="159" t="s">
        <v>87</v>
      </c>
      <c r="B148" s="159"/>
      <c r="C148" s="159"/>
      <c r="D148" s="159"/>
      <c r="E148" s="159"/>
      <c r="F148" s="157"/>
      <c r="G148" s="157"/>
      <c r="H148" s="157"/>
      <c r="R148"/>
      <c r="S148" s="19"/>
      <c r="T148"/>
      <c r="U148" s="19"/>
      <c r="V148" s="19"/>
    </row>
    <row r="149" spans="1:22" s="33" customFormat="1" hidden="1" x14ac:dyDescent="0.25">
      <c r="A149" s="159" t="s">
        <v>88</v>
      </c>
      <c r="B149" s="159"/>
      <c r="C149" s="159"/>
      <c r="D149" s="159"/>
      <c r="E149" s="159"/>
      <c r="F149" s="157"/>
      <c r="G149" s="157"/>
      <c r="H149" s="157"/>
      <c r="L149" s="33" t="s">
        <v>400</v>
      </c>
      <c r="R149"/>
      <c r="S149" s="19"/>
      <c r="T149"/>
      <c r="U149" s="19"/>
      <c r="V149" s="19"/>
    </row>
    <row r="150" spans="1:22" s="33" customFormat="1" ht="15.75" hidden="1" customHeight="1" x14ac:dyDescent="0.25">
      <c r="A150" s="159" t="s">
        <v>89</v>
      </c>
      <c r="B150" s="159"/>
      <c r="C150" s="159"/>
      <c r="D150" s="159"/>
      <c r="E150" s="159"/>
      <c r="F150" s="157"/>
      <c r="G150" s="157"/>
      <c r="H150" s="157"/>
      <c r="R150"/>
      <c r="S150" s="19"/>
      <c r="T150"/>
      <c r="U150"/>
      <c r="V150" s="19"/>
    </row>
    <row r="151" spans="1:22" s="33" customFormat="1" ht="15.75" hidden="1" customHeight="1" x14ac:dyDescent="0.25">
      <c r="A151" s="159" t="s">
        <v>90</v>
      </c>
      <c r="B151" s="159"/>
      <c r="C151" s="159"/>
      <c r="D151" s="159"/>
      <c r="E151" s="159"/>
      <c r="F151" s="157"/>
      <c r="G151" s="157"/>
      <c r="H151" s="157"/>
      <c r="R151"/>
      <c r="S151" s="19"/>
      <c r="T151"/>
      <c r="U151" s="19"/>
      <c r="V151" s="19"/>
    </row>
    <row r="152" spans="1:22" s="33" customFormat="1" hidden="1" x14ac:dyDescent="0.25">
      <c r="A152" s="159" t="s">
        <v>91</v>
      </c>
      <c r="B152" s="159"/>
      <c r="C152" s="159"/>
      <c r="D152" s="159"/>
      <c r="E152" s="159"/>
      <c r="F152" s="157"/>
      <c r="G152" s="157"/>
      <c r="H152" s="157"/>
      <c r="I152" s="19" t="s">
        <v>414</v>
      </c>
      <c r="J152" s="19"/>
      <c r="K152" s="19"/>
      <c r="R152"/>
      <c r="S152" s="19"/>
      <c r="T152"/>
      <c r="U152" s="19"/>
      <c r="V152" s="19"/>
    </row>
    <row r="153" spans="1:22" s="33" customFormat="1" x14ac:dyDescent="0.25">
      <c r="A153" s="159" t="s">
        <v>48</v>
      </c>
      <c r="B153" s="159"/>
      <c r="C153" s="159"/>
      <c r="D153" s="159"/>
      <c r="E153" s="159"/>
      <c r="F153" s="157">
        <v>1200000</v>
      </c>
      <c r="G153" s="157"/>
      <c r="H153" s="157"/>
      <c r="R153"/>
      <c r="S153" s="19"/>
      <c r="T153"/>
      <c r="U153" s="19"/>
      <c r="V153" s="19"/>
    </row>
    <row r="154" spans="1:22" s="33" customFormat="1" x14ac:dyDescent="0.25">
      <c r="A154" s="199" t="s">
        <v>49</v>
      </c>
      <c r="B154" s="199"/>
      <c r="C154" s="199"/>
      <c r="D154" s="199"/>
      <c r="E154" s="199"/>
      <c r="F154" s="157">
        <f>F143*0.8</f>
        <v>27200</v>
      </c>
      <c r="G154" s="157"/>
      <c r="H154" s="157"/>
      <c r="R154"/>
      <c r="S154" s="19"/>
      <c r="T154"/>
      <c r="U154" s="19"/>
      <c r="V154" s="19"/>
    </row>
    <row r="155" spans="1:22" s="33" customFormat="1" x14ac:dyDescent="0.25">
      <c r="A155" s="190" t="s">
        <v>482</v>
      </c>
      <c r="B155" s="190"/>
      <c r="C155" s="190"/>
      <c r="D155" s="190"/>
      <c r="E155" s="190"/>
      <c r="F155" s="190"/>
      <c r="G155" s="190"/>
      <c r="H155" s="190"/>
      <c r="R155"/>
      <c r="S155" s="19"/>
      <c r="T155"/>
      <c r="U155" s="19"/>
      <c r="V155" s="19"/>
    </row>
    <row r="156" spans="1:22" s="33" customFormat="1" x14ac:dyDescent="0.25">
      <c r="A156" s="117" t="s">
        <v>50</v>
      </c>
      <c r="B156" s="117"/>
      <c r="C156" s="118" t="s">
        <v>71</v>
      </c>
      <c r="D156" s="118"/>
      <c r="E156" s="119" t="s">
        <v>51</v>
      </c>
      <c r="F156" s="119"/>
      <c r="G156" s="117" t="s">
        <v>52</v>
      </c>
      <c r="H156" s="117"/>
      <c r="T156"/>
    </row>
    <row r="157" spans="1:22" s="33" customFormat="1" ht="33" customHeight="1" x14ac:dyDescent="0.25">
      <c r="A157" s="153" t="s">
        <v>468</v>
      </c>
      <c r="B157" s="42" t="s">
        <v>401</v>
      </c>
      <c r="C157" s="123">
        <f>COUNT(F236,F240,F246)+COUNT(F259)+COUNT(F262)</f>
        <v>5</v>
      </c>
      <c r="D157" s="124"/>
      <c r="E157" s="123">
        <f>SUM(F236,F240,F246)+SUM(F259)+SUM(F262)</f>
        <v>796.32071999999994</v>
      </c>
      <c r="F157" s="124"/>
      <c r="G157" s="123">
        <f>SUM(H236,H240,H246)+SUM(H259)+SUM(H262)</f>
        <v>1234.2971160000002</v>
      </c>
      <c r="H157" s="124"/>
      <c r="T157"/>
    </row>
    <row r="158" spans="1:22" s="33" customFormat="1" ht="31.5" x14ac:dyDescent="0.25">
      <c r="A158" s="287"/>
      <c r="B158" s="42" t="s">
        <v>402</v>
      </c>
      <c r="C158" s="123">
        <f>COUNT(D274,D277,D281:D282,D287)+COUNT(D291:D295,D299)</f>
        <v>11</v>
      </c>
      <c r="D158" s="124"/>
      <c r="E158" s="123">
        <f>SUM(F274,F277,F281:F282,F287)+SUM(F291:F295,F299)</f>
        <v>2566.4605200000001</v>
      </c>
      <c r="F158" s="124"/>
      <c r="G158" s="123">
        <f>SUM(H274,H277,H281:H282,H287)+SUM(H291:H295,H299)</f>
        <v>3978.0138059999999</v>
      </c>
      <c r="H158" s="124"/>
      <c r="I158" s="107">
        <f>C163+C164</f>
        <v>363</v>
      </c>
      <c r="T158"/>
    </row>
    <row r="159" spans="1:22" s="33" customFormat="1" ht="31.5" x14ac:dyDescent="0.25">
      <c r="A159" s="154"/>
      <c r="B159" s="42" t="s">
        <v>403</v>
      </c>
      <c r="C159" s="123">
        <f>COUNT(D302)</f>
        <v>1</v>
      </c>
      <c r="D159" s="124"/>
      <c r="E159" s="123">
        <f>SUM(F302)</f>
        <v>106.02539999999999</v>
      </c>
      <c r="F159" s="124"/>
      <c r="G159" s="123">
        <f>SUM(H302)</f>
        <v>164.33937</v>
      </c>
      <c r="H159" s="124"/>
      <c r="T159"/>
    </row>
    <row r="160" spans="1:22" s="33" customFormat="1" x14ac:dyDescent="0.25">
      <c r="A160" s="190" t="s">
        <v>141</v>
      </c>
      <c r="B160" s="190"/>
      <c r="C160" s="122">
        <f>SUM(C157:D159)</f>
        <v>17</v>
      </c>
      <c r="D160" s="118"/>
      <c r="E160" s="122">
        <f t="shared" ref="E160" si="0">SUM(E157:F159)</f>
        <v>3468.8066400000002</v>
      </c>
      <c r="F160" s="118"/>
      <c r="G160" s="122">
        <f>SUM(G157:H159)</f>
        <v>5376.6502920000003</v>
      </c>
      <c r="H160" s="118"/>
      <c r="O160" s="33" t="s">
        <v>356</v>
      </c>
      <c r="T160"/>
    </row>
    <row r="161" spans="1:20" s="33" customFormat="1" x14ac:dyDescent="0.25">
      <c r="A161" s="190" t="s">
        <v>473</v>
      </c>
      <c r="B161" s="190"/>
      <c r="C161" s="190"/>
      <c r="D161" s="190"/>
      <c r="E161" s="190"/>
      <c r="F161" s="190"/>
      <c r="G161" s="190"/>
      <c r="H161" s="190"/>
      <c r="T161"/>
    </row>
    <row r="162" spans="1:20" s="33" customFormat="1" x14ac:dyDescent="0.25">
      <c r="A162" s="117" t="s">
        <v>50</v>
      </c>
      <c r="B162" s="117"/>
      <c r="C162" s="118" t="s">
        <v>71</v>
      </c>
      <c r="D162" s="118"/>
      <c r="E162" s="119" t="s">
        <v>51</v>
      </c>
      <c r="F162" s="119"/>
      <c r="G162" s="117" t="s">
        <v>52</v>
      </c>
      <c r="H162" s="117"/>
      <c r="T162"/>
    </row>
    <row r="163" spans="1:20" s="33" customFormat="1" x14ac:dyDescent="0.25">
      <c r="A163" s="120" t="s">
        <v>356</v>
      </c>
      <c r="B163" s="120"/>
      <c r="C163" s="121">
        <f>COUNT(F319:F324)*21+COUNT(F327:F330)*4+COUNT(F334:F339)*12+COUNT(F341:F346)+COUNT(F348:F351)+COUNT(F355:F358)</f>
        <v>228</v>
      </c>
      <c r="D163" s="121"/>
      <c r="E163" s="121">
        <f>SUM(F319:F324)*21+SUM(F327:F330)*4+SUM(F334:F339)*12+SUM(F341:F346)+SUM(F348:F351)+SUM(F355:F358)</f>
        <v>222019.44373439997</v>
      </c>
      <c r="F163" s="121"/>
      <c r="G163" s="121">
        <f>SUM(H319:H324)*21+SUM(H327:H330)*4+SUM(H334:H339)*12+SUM(H341:H346)+SUM(H348:H351)+SUM(H355:H358)</f>
        <v>333112.74806159997</v>
      </c>
      <c r="H163" s="121"/>
      <c r="O163" s="33" t="s">
        <v>357</v>
      </c>
      <c r="T163"/>
    </row>
    <row r="164" spans="1:20" s="33" customFormat="1" ht="15.75" customHeight="1" x14ac:dyDescent="0.25">
      <c r="A164" s="120" t="s">
        <v>357</v>
      </c>
      <c r="B164" s="120"/>
      <c r="C164" s="121">
        <f>COUNT(F365:F368)*18+COUNT(F372:F374)*2+COUNT(F377:F378)+COUNT(F380:F382)*9+COUNT(F385:F386)+COUNT(F388:F390)*8+COUNT(F393:F394)</f>
        <v>135</v>
      </c>
      <c r="D164" s="121"/>
      <c r="E164" s="121">
        <f>SUM(F365:F368)*18+SUM(F372:F374)*2+SUM(F377:F378)+SUM(F380:F382)*9+SUM(F385:F386)+SUM(F388:F390)*8+SUM(F393:F394)</f>
        <v>250766.32463999998</v>
      </c>
      <c r="F164" s="121"/>
      <c r="G164" s="121">
        <f>SUM(H365:H368)*18+SUM(H372:H374)*2+SUM(H377:H378)+SUM(H380:H382)*9+SUM(H385:H386)+SUM(H388:H390)*8+SUM(H393:H394)</f>
        <v>376149.48695999995</v>
      </c>
      <c r="H164" s="121"/>
      <c r="T164"/>
    </row>
    <row r="165" spans="1:20" s="33" customFormat="1" ht="15.75" customHeight="1" x14ac:dyDescent="0.25">
      <c r="A165" s="120" t="s">
        <v>468</v>
      </c>
      <c r="B165" s="89" t="s">
        <v>378</v>
      </c>
      <c r="C165" s="123">
        <f>COUNT(D400:D409)*27+COUNT(D411:D413,D416,D418:D420)*4+COUNT(D422:D424,D427:D431)+COUNT(D433:D436,D438,D442)+COUNT(D444:D447,D449:D450,D452:D453)</f>
        <v>320</v>
      </c>
      <c r="D165" s="123"/>
      <c r="E165" s="123">
        <f t="shared" ref="E165" si="1">SUM(F400:F409)*27+SUM(F411:F413,F416,F418:F420)*4+SUM(F422:F424,F427:F431)+SUM(F433:F436,F438,F442)+SUM(F444:F447,F449:F450,F452:F453)</f>
        <v>169120.63115999996</v>
      </c>
      <c r="F165" s="123"/>
      <c r="G165" s="123">
        <f t="shared" ref="G165" si="2">SUM(H400:H409)*27+SUM(H411:H413,H416,H418:H420)*4+SUM(H422:H424,H427:H431)+SUM(H433:H436,H438,H442)+SUM(H444:H447,H449:H450,H452:H453)</f>
        <v>253680.94673999996</v>
      </c>
      <c r="H165" s="123"/>
      <c r="T165"/>
    </row>
    <row r="166" spans="1:20" s="33" customFormat="1" x14ac:dyDescent="0.25">
      <c r="A166" s="120"/>
      <c r="B166" s="89" t="s">
        <v>377</v>
      </c>
      <c r="C166" s="123">
        <f>COUNT(D469:D478)*27+COUNT(D480:D482,D485,D487:D489)*4+COUNT(D491:D493,D496:D500)+COUNT(D502:D505,D507,D511)+COUNT(D513:D516,D518,D521:D522)</f>
        <v>319</v>
      </c>
      <c r="D166" s="123"/>
      <c r="E166" s="123">
        <f t="shared" ref="E166" si="3">SUM(F469:F478)*27+SUM(F480:F482,F485,F487:F489)*4+SUM(F491:F493,F496:F500)+SUM(F502:F505,F507,F511)+SUM(F513:F516,F518,F521:F522)</f>
        <v>168889.74335999999</v>
      </c>
      <c r="F166" s="123"/>
      <c r="G166" s="123">
        <f t="shared" ref="G166" si="4">SUM(H469:H478)*27+SUM(H480:H482,H485,H487:H489)*4+SUM(H491:H493,H496:H500)+SUM(H502:H505,H507,H511)+SUM(H513:H516,H518,H521:H522)</f>
        <v>253334.61504</v>
      </c>
      <c r="H166" s="123"/>
      <c r="T166"/>
    </row>
    <row r="167" spans="1:20" s="33" customFormat="1" x14ac:dyDescent="0.25">
      <c r="A167" s="190" t="s">
        <v>141</v>
      </c>
      <c r="B167" s="190"/>
      <c r="C167" s="122">
        <f>SUM(C163:D166)</f>
        <v>1002</v>
      </c>
      <c r="D167" s="118"/>
      <c r="E167" s="122">
        <f t="shared" ref="E167" si="5">SUM(E163:F166)</f>
        <v>810796.14289439993</v>
      </c>
      <c r="F167" s="118"/>
      <c r="G167" s="122">
        <f t="shared" ref="G167" si="6">SUM(G163:H166)</f>
        <v>1216277.7968015999</v>
      </c>
      <c r="H167" s="118"/>
      <c r="T167"/>
    </row>
    <row r="168" spans="1:20" s="33" customFormat="1" x14ac:dyDescent="0.25">
      <c r="A168" s="190" t="s">
        <v>474</v>
      </c>
      <c r="B168" s="190"/>
      <c r="C168" s="190"/>
      <c r="D168" s="190"/>
      <c r="E168" s="190"/>
      <c r="F168" s="190"/>
      <c r="G168" s="190"/>
      <c r="H168" s="190"/>
      <c r="T168"/>
    </row>
    <row r="169" spans="1:20" s="33" customFormat="1" ht="15.75" customHeight="1" x14ac:dyDescent="0.25">
      <c r="A169" s="117" t="s">
        <v>50</v>
      </c>
      <c r="B169" s="117"/>
      <c r="C169" s="118" t="s">
        <v>71</v>
      </c>
      <c r="D169" s="118"/>
      <c r="E169" s="119" t="s">
        <v>51</v>
      </c>
      <c r="F169" s="119"/>
      <c r="G169" s="117" t="s">
        <v>52</v>
      </c>
      <c r="H169" s="117"/>
      <c r="T169"/>
    </row>
    <row r="170" spans="1:20" s="33" customFormat="1" x14ac:dyDescent="0.25">
      <c r="A170" s="153" t="s">
        <v>468</v>
      </c>
      <c r="B170" s="42" t="s">
        <v>378</v>
      </c>
      <c r="C170" s="123">
        <f>COUNT(D437,D440)+COUNT(D448,D451)+COUNT(D455:D464)</f>
        <v>14</v>
      </c>
      <c r="D170" s="124"/>
      <c r="E170" s="123">
        <f t="shared" ref="E170" si="7">SUM(F437,F440)+SUM(F448,F451)+SUM(F455:F464)</f>
        <v>6990.0339599999988</v>
      </c>
      <c r="F170" s="124"/>
      <c r="G170" s="123">
        <f t="shared" ref="G170" si="8">SUM(H437,H440)+SUM(H448,H451)+SUM(H455:H464)</f>
        <v>10485.050939999999</v>
      </c>
      <c r="H170" s="124"/>
      <c r="T170"/>
    </row>
    <row r="171" spans="1:20" s="33" customFormat="1" x14ac:dyDescent="0.25">
      <c r="A171" s="154"/>
      <c r="B171" s="42" t="s">
        <v>377</v>
      </c>
      <c r="C171" s="123">
        <f>COUNT(D495)+COUNT(D506,D509)+COUNT(D517,D520)+COUNT(D527:D533)</f>
        <v>12</v>
      </c>
      <c r="D171" s="124"/>
      <c r="E171" s="123">
        <f t="shared" ref="E171" si="9">SUM(F495)+SUM(F506,F509)+SUM(F517,F520)+SUM(F527:F533)</f>
        <v>5630.9713200000006</v>
      </c>
      <c r="F171" s="124"/>
      <c r="G171" s="123">
        <f t="shared" ref="G171" si="10">SUM(H495)+SUM(H506,H509)+SUM(H517,H520)+SUM(H527:H533)</f>
        <v>8446.456979999999</v>
      </c>
      <c r="H171" s="124"/>
      <c r="T171"/>
    </row>
    <row r="172" spans="1:20" s="33" customFormat="1" x14ac:dyDescent="0.25">
      <c r="A172" s="250" t="s">
        <v>141</v>
      </c>
      <c r="B172" s="250"/>
      <c r="C172" s="251">
        <f>SUM(C170:D171)</f>
        <v>26</v>
      </c>
      <c r="D172" s="252"/>
      <c r="E172" s="251">
        <f t="shared" ref="E172" si="11">SUM(E170:F171)</f>
        <v>12621.005279999999</v>
      </c>
      <c r="F172" s="252"/>
      <c r="G172" s="251">
        <f t="shared" ref="G172" si="12">SUM(G170:H171)</f>
        <v>18931.507919999996</v>
      </c>
      <c r="H172" s="252"/>
      <c r="T172"/>
    </row>
    <row r="173" spans="1:20" s="33" customFormat="1" x14ac:dyDescent="0.25">
      <c r="A173" s="190" t="s">
        <v>475</v>
      </c>
      <c r="B173" s="190"/>
      <c r="C173" s="190"/>
      <c r="D173" s="190"/>
      <c r="E173" s="190"/>
      <c r="F173" s="190"/>
      <c r="G173" s="190"/>
      <c r="H173" s="190"/>
      <c r="T173"/>
    </row>
    <row r="174" spans="1:20" s="32" customFormat="1" x14ac:dyDescent="0.25">
      <c r="A174" s="117" t="s">
        <v>50</v>
      </c>
      <c r="B174" s="117"/>
      <c r="C174" s="118" t="s">
        <v>71</v>
      </c>
      <c r="D174" s="118"/>
      <c r="E174" s="119" t="s">
        <v>51</v>
      </c>
      <c r="F174" s="119"/>
      <c r="G174" s="117" t="s">
        <v>52</v>
      </c>
      <c r="H174" s="117"/>
      <c r="T174" s="33"/>
    </row>
    <row r="175" spans="1:20" x14ac:dyDescent="0.25">
      <c r="A175" s="153" t="s">
        <v>468</v>
      </c>
      <c r="B175" s="42" t="s">
        <v>378</v>
      </c>
      <c r="C175" s="123">
        <f>COUNT(D439,D441)</f>
        <v>2</v>
      </c>
      <c r="D175" s="124"/>
      <c r="E175" s="123">
        <f>SUM(F439,F441)</f>
        <v>1253.79072</v>
      </c>
      <c r="F175" s="124"/>
      <c r="G175" s="123">
        <f>SUM(H439,H441)</f>
        <v>1880.6860799999999</v>
      </c>
      <c r="H175" s="124"/>
      <c r="T175" s="33"/>
    </row>
    <row r="176" spans="1:20" x14ac:dyDescent="0.25">
      <c r="A176" s="154"/>
      <c r="B176" s="42" t="s">
        <v>377</v>
      </c>
      <c r="C176" s="123">
        <f>COUNT(D508,D510)+COUNT(D519)+COUNT(D524:D526)</f>
        <v>6</v>
      </c>
      <c r="D176" s="124"/>
      <c r="E176" s="123">
        <f t="shared" ref="E176" si="13">SUM(F508,F510)+SUM(F519)+SUM(F524:F526)</f>
        <v>3464.1781199999996</v>
      </c>
      <c r="F176" s="124"/>
      <c r="G176" s="123">
        <f t="shared" ref="G176" si="14">SUM(H508,H510)+SUM(H519)+SUM(H524:H526)</f>
        <v>5196.2671799999998</v>
      </c>
      <c r="H176" s="124"/>
      <c r="T176" s="33"/>
    </row>
    <row r="177" spans="1:20" s="35" customFormat="1" x14ac:dyDescent="0.25">
      <c r="A177" s="250" t="s">
        <v>141</v>
      </c>
      <c r="B177" s="250"/>
      <c r="C177" s="251">
        <f>SUM(C175:D176)</f>
        <v>8</v>
      </c>
      <c r="D177" s="252"/>
      <c r="E177" s="251">
        <f>SUM(E175:F176)</f>
        <v>4717.9688399999995</v>
      </c>
      <c r="F177" s="252"/>
      <c r="G177" s="251">
        <f>SUM(G175:H176)</f>
        <v>7076.9532600000002</v>
      </c>
      <c r="H177" s="252"/>
      <c r="T177" s="33"/>
    </row>
    <row r="178" spans="1:20" s="35" customFormat="1" x14ac:dyDescent="0.25">
      <c r="A178" s="190" t="s">
        <v>476</v>
      </c>
      <c r="B178" s="190"/>
      <c r="C178" s="190"/>
      <c r="D178" s="190"/>
      <c r="E178" s="190"/>
      <c r="F178" s="190"/>
      <c r="G178" s="190"/>
      <c r="H178" s="190"/>
      <c r="J178" s="34"/>
      <c r="T178" s="33"/>
    </row>
    <row r="179" spans="1:20" s="35" customFormat="1" ht="15.75" customHeight="1" x14ac:dyDescent="0.25">
      <c r="A179" s="117" t="s">
        <v>50</v>
      </c>
      <c r="B179" s="117"/>
      <c r="C179" s="118" t="s">
        <v>71</v>
      </c>
      <c r="D179" s="118"/>
      <c r="E179" s="119" t="s">
        <v>51</v>
      </c>
      <c r="F179" s="119"/>
      <c r="G179" s="117" t="s">
        <v>52</v>
      </c>
      <c r="H179" s="117"/>
      <c r="J179" s="34"/>
      <c r="T179" s="33"/>
    </row>
    <row r="180" spans="1:20" s="35" customFormat="1" x14ac:dyDescent="0.25">
      <c r="A180" s="120" t="s">
        <v>357</v>
      </c>
      <c r="B180" s="120"/>
      <c r="C180" s="123">
        <f>COUNT(D192:D215)</f>
        <v>24</v>
      </c>
      <c r="D180" s="124"/>
      <c r="E180" s="123">
        <f>SUM(F192:F215)</f>
        <v>6045.482195999999</v>
      </c>
      <c r="F180" s="124"/>
      <c r="G180" s="123">
        <f>SUM(H192:H215)</f>
        <v>9370.4974038</v>
      </c>
      <c r="H180" s="124"/>
      <c r="I180" s="34">
        <f>4.29*1.47+1.05*0.45+1*0.6+2.32*2.83+1.72*2.25+2.37*1.26</f>
        <v>20.800599999999999</v>
      </c>
      <c r="L180" s="140"/>
      <c r="M180" s="140"/>
      <c r="N180" s="34"/>
      <c r="T180" s="33"/>
    </row>
    <row r="181" spans="1:20" s="35" customFormat="1" x14ac:dyDescent="0.25">
      <c r="A181" s="153" t="s">
        <v>468</v>
      </c>
      <c r="B181" s="42" t="s">
        <v>378</v>
      </c>
      <c r="C181" s="123">
        <f>COUNT(F223:F235,F237:F239,F241:F245)+COUNT(F251,F253,F261,F263:F264)</f>
        <v>26</v>
      </c>
      <c r="D181" s="124"/>
      <c r="E181" s="123">
        <f>SUM(F223:F235,F237:F239,F241:F245)+SUM(F251,F253,F261,F263:F264)</f>
        <v>14348.30436</v>
      </c>
      <c r="F181" s="124"/>
      <c r="G181" s="123">
        <f>SUM(H223:H235,H237:H239,H241:H245)+SUM(H251,H253,H261,H263:H264)</f>
        <v>22239.871757999997</v>
      </c>
      <c r="H181" s="124"/>
      <c r="I181" s="34">
        <f>1.76*1+2.38*3.78+1.32*0.6+2.09*1.2+2.25*1.73</f>
        <v>17.948899999999998</v>
      </c>
      <c r="L181" s="140"/>
      <c r="M181" s="140"/>
      <c r="N181" s="34"/>
      <c r="T181" s="32"/>
    </row>
    <row r="182" spans="1:20" s="35" customFormat="1" x14ac:dyDescent="0.25">
      <c r="A182" s="154"/>
      <c r="B182" s="42" t="s">
        <v>377</v>
      </c>
      <c r="C182" s="123">
        <f>COUNT(D268:D273,D275:D276,D278:D280,D283:D286,D288:D289)+COUNT(D296:D298,D300:D301,D303:D307)</f>
        <v>27</v>
      </c>
      <c r="D182" s="124"/>
      <c r="E182" s="123">
        <f>SUM(F268:F273,F275:F276,F278:F280,F283:F286,F288:F289)+SUM(F296:F298,F300:F301,F303:F307)</f>
        <v>7475.598</v>
      </c>
      <c r="F182" s="124"/>
      <c r="G182" s="123">
        <f>SUM(H268:H273,H275:H276,H278:H280,H283:H286,H288:H289)+SUM(H296:H298,H300:H301,H303:H307)</f>
        <v>11587.176899999999</v>
      </c>
      <c r="H182" s="124"/>
      <c r="I182" s="34">
        <f>3.87*3.58+3.1*1.2+2.58*0.6+3.68*3.08+2*1.11+2*1.2</f>
        <v>35.076999999999998</v>
      </c>
      <c r="L182" s="140"/>
      <c r="M182" s="140"/>
      <c r="N182" s="34"/>
      <c r="T182" s="19"/>
    </row>
    <row r="183" spans="1:20" s="35" customFormat="1" ht="15.75" customHeight="1" thickBot="1" x14ac:dyDescent="0.3">
      <c r="A183" s="190" t="s">
        <v>141</v>
      </c>
      <c r="B183" s="190"/>
      <c r="C183" s="122">
        <f>SUM(C180:D182)</f>
        <v>77</v>
      </c>
      <c r="D183" s="118"/>
      <c r="E183" s="122">
        <f>SUM(E180:F182)</f>
        <v>27869.384555999997</v>
      </c>
      <c r="F183" s="118"/>
      <c r="G183" s="122">
        <f>SUM(G180:H182)</f>
        <v>43197.546061799992</v>
      </c>
      <c r="H183" s="118"/>
      <c r="I183" s="34">
        <f>2.61*9.86+2.34*1.2+3.41*1.98+1.2*1.8</f>
        <v>37.454399999999993</v>
      </c>
      <c r="L183" s="140"/>
      <c r="M183" s="140"/>
      <c r="N183" s="34"/>
      <c r="T183" s="19"/>
    </row>
    <row r="184" spans="1:20" s="35" customFormat="1" ht="15.75" customHeight="1" thickBot="1" x14ac:dyDescent="0.3">
      <c r="A184" s="281" t="s">
        <v>157</v>
      </c>
      <c r="B184" s="282"/>
      <c r="C184" s="188">
        <f>C160+C183+C167+C172+C177</f>
        <v>1130</v>
      </c>
      <c r="D184" s="189"/>
      <c r="E184" s="188">
        <f>E160+E183+E167+E172+E177</f>
        <v>859473.30821039993</v>
      </c>
      <c r="F184" s="189"/>
      <c r="G184" s="188">
        <f>G160+G183+G167+G172+G177</f>
        <v>1290860.4543353999</v>
      </c>
      <c r="H184" s="189"/>
      <c r="I184" s="34"/>
      <c r="L184" s="140"/>
      <c r="M184" s="140"/>
      <c r="N184" s="34"/>
      <c r="T184" s="33"/>
    </row>
    <row r="185" spans="1:20" s="35" customFormat="1" ht="15.75" customHeight="1" x14ac:dyDescent="0.25">
      <c r="A185" s="191" t="s">
        <v>477</v>
      </c>
      <c r="B185" s="191"/>
      <c r="C185" s="191"/>
      <c r="D185" s="191"/>
      <c r="E185" s="191"/>
      <c r="F185" s="191"/>
      <c r="G185" s="191"/>
      <c r="H185" s="191"/>
      <c r="I185" s="34">
        <f>1.45*1.85+2.3*4.85+0.95*1.65+1.2*1.5</f>
        <v>17.204999999999998</v>
      </c>
      <c r="L185" s="140"/>
      <c r="M185" s="140"/>
      <c r="N185" s="34"/>
      <c r="T185" s="32"/>
    </row>
    <row r="186" spans="1:20" s="35" customFormat="1" ht="15.75" customHeight="1" x14ac:dyDescent="0.25">
      <c r="A186" s="158" t="s">
        <v>165</v>
      </c>
      <c r="B186" s="158"/>
      <c r="C186" s="158"/>
      <c r="D186" s="158"/>
      <c r="E186" s="158"/>
      <c r="F186" s="158"/>
      <c r="G186" s="158"/>
      <c r="H186" s="158"/>
      <c r="I186" s="34"/>
      <c r="L186" s="140"/>
      <c r="M186" s="140"/>
      <c r="N186" s="34"/>
      <c r="T186" s="19"/>
    </row>
    <row r="187" spans="1:20" s="35" customFormat="1" ht="51.75" customHeight="1" x14ac:dyDescent="0.25">
      <c r="A187" s="182" t="s">
        <v>409</v>
      </c>
      <c r="B187" s="182" t="s">
        <v>168</v>
      </c>
      <c r="C187" s="182" t="s">
        <v>53</v>
      </c>
      <c r="D187" s="182" t="s">
        <v>224</v>
      </c>
      <c r="E187" s="182" t="s">
        <v>146</v>
      </c>
      <c r="F187" s="182" t="s">
        <v>54</v>
      </c>
      <c r="G187" s="186" t="s">
        <v>55</v>
      </c>
      <c r="H187" s="86" t="s">
        <v>140</v>
      </c>
      <c r="I187" s="34"/>
      <c r="L187" s="140"/>
      <c r="M187" s="140"/>
      <c r="N187" s="34"/>
      <c r="T187" s="19"/>
    </row>
    <row r="188" spans="1:20" s="35" customFormat="1" ht="15.75" customHeight="1" x14ac:dyDescent="0.25">
      <c r="A188" s="183"/>
      <c r="B188" s="183"/>
      <c r="C188" s="183"/>
      <c r="D188" s="183"/>
      <c r="E188" s="183"/>
      <c r="F188" s="183"/>
      <c r="G188" s="187"/>
      <c r="H188" s="87">
        <v>0.55000000000000004</v>
      </c>
      <c r="I188" s="34"/>
      <c r="L188" s="140"/>
      <c r="M188" s="140"/>
      <c r="N188" s="34"/>
      <c r="T188" s="32"/>
    </row>
    <row r="189" spans="1:20" s="35" customFormat="1" ht="15.75" customHeight="1" x14ac:dyDescent="0.25">
      <c r="A189" s="253" t="s">
        <v>357</v>
      </c>
      <c r="B189" s="254"/>
      <c r="C189" s="254"/>
      <c r="D189" s="254"/>
      <c r="E189" s="254"/>
      <c r="F189" s="254"/>
      <c r="G189" s="254"/>
      <c r="H189" s="255"/>
      <c r="I189" s="34"/>
      <c r="L189" s="140"/>
      <c r="M189" s="140"/>
      <c r="N189" s="34"/>
      <c r="T189" s="19"/>
    </row>
    <row r="190" spans="1:20" s="35" customFormat="1" ht="15.75" customHeight="1" x14ac:dyDescent="0.25">
      <c r="A190" s="145" t="s">
        <v>421</v>
      </c>
      <c r="B190" s="146"/>
      <c r="C190" s="146"/>
      <c r="D190" s="146"/>
      <c r="E190" s="146"/>
      <c r="F190" s="146"/>
      <c r="G190" s="146"/>
      <c r="H190" s="147"/>
      <c r="I190" s="34"/>
      <c r="L190" s="140"/>
      <c r="M190" s="140"/>
      <c r="N190" s="34"/>
      <c r="T190" s="19"/>
    </row>
    <row r="191" spans="1:20" s="35" customFormat="1" ht="15.75" customHeight="1" x14ac:dyDescent="0.25">
      <c r="A191" s="145" t="s">
        <v>359</v>
      </c>
      <c r="B191" s="146"/>
      <c r="C191" s="146"/>
      <c r="D191" s="146"/>
      <c r="E191" s="146"/>
      <c r="F191" s="146"/>
      <c r="G191" s="146"/>
      <c r="H191" s="147"/>
      <c r="I191" s="34">
        <f>3.29*6.09+2.46*1.7</f>
        <v>24.2181</v>
      </c>
      <c r="L191" s="140"/>
      <c r="M191" s="140"/>
      <c r="N191" s="34"/>
      <c r="T191" s="33"/>
    </row>
    <row r="192" spans="1:20" s="35" customFormat="1" ht="15.75" customHeight="1" x14ac:dyDescent="0.25">
      <c r="A192" s="40">
        <v>1</v>
      </c>
      <c r="B192" s="40" t="s">
        <v>372</v>
      </c>
      <c r="C192" s="40" t="s">
        <v>360</v>
      </c>
      <c r="D192" s="70">
        <f>(18.05)*(10.764)</f>
        <v>194.2902</v>
      </c>
      <c r="E192" s="40">
        <v>0</v>
      </c>
      <c r="F192" s="40">
        <f>D192+(IF(E192&lt;201,E192,IF(E192&lt;301,E192/2,E192/3)))</f>
        <v>194.2902</v>
      </c>
      <c r="G192" s="40">
        <v>0</v>
      </c>
      <c r="H192" s="40">
        <f>(F192+(IF(G192&lt;101,G192,IF(G192&lt;201,G192/2,IF(G192&lt;=301,G192/3,G192/4)))))*(($H$188)+1)</f>
        <v>301.14981</v>
      </c>
      <c r="I192" s="34"/>
      <c r="L192" s="140"/>
      <c r="M192" s="140"/>
      <c r="N192" s="34"/>
      <c r="T192" s="32"/>
    </row>
    <row r="193" spans="1:20" s="35" customFormat="1" ht="15.75" customHeight="1" x14ac:dyDescent="0.25">
      <c r="A193" s="40">
        <v>2</v>
      </c>
      <c r="B193" s="40" t="s">
        <v>372</v>
      </c>
      <c r="C193" s="40" t="s">
        <v>422</v>
      </c>
      <c r="D193" s="70">
        <f>(32.3)*(10.764)</f>
        <v>347.67719999999997</v>
      </c>
      <c r="E193" s="40">
        <v>0</v>
      </c>
      <c r="F193" s="40">
        <f t="shared" ref="F193:F195" si="15">D193+(IF(E193&lt;201,E193,IF(E193&lt;301,E193/2,E193/3)))</f>
        <v>347.67719999999997</v>
      </c>
      <c r="G193" s="40">
        <v>0</v>
      </c>
      <c r="H193" s="40">
        <f t="shared" ref="H193:H195" si="16">(F193+(IF(G193&lt;101,G193,IF(G193&lt;201,G193/2,IF(G193&lt;=301,G193/3,G193/4)))))*(($H$188)+1)</f>
        <v>538.89965999999993</v>
      </c>
      <c r="I193" s="34"/>
      <c r="L193" s="140"/>
      <c r="M193" s="140"/>
      <c r="N193" s="34"/>
      <c r="T193" s="19"/>
    </row>
    <row r="194" spans="1:20" s="35" customFormat="1" ht="15.75" customHeight="1" x14ac:dyDescent="0.25">
      <c r="A194" s="40">
        <v>3</v>
      </c>
      <c r="B194" s="40" t="s">
        <v>372</v>
      </c>
      <c r="C194" s="101" t="s">
        <v>422</v>
      </c>
      <c r="D194" s="70">
        <f>(33.29)*(10.764)</f>
        <v>358.33355999999998</v>
      </c>
      <c r="E194" s="40">
        <v>0</v>
      </c>
      <c r="F194" s="40">
        <f t="shared" si="15"/>
        <v>358.33355999999998</v>
      </c>
      <c r="G194" s="40">
        <v>0</v>
      </c>
      <c r="H194" s="40">
        <f t="shared" si="16"/>
        <v>555.41701799999998</v>
      </c>
      <c r="I194" s="34"/>
      <c r="L194" s="140"/>
      <c r="M194" s="140"/>
      <c r="N194" s="34"/>
      <c r="T194" s="19"/>
    </row>
    <row r="195" spans="1:20" s="35" customFormat="1" ht="15.75" customHeight="1" x14ac:dyDescent="0.25">
      <c r="A195" s="40">
        <v>4</v>
      </c>
      <c r="B195" s="40" t="s">
        <v>372</v>
      </c>
      <c r="C195" s="101" t="s">
        <v>422</v>
      </c>
      <c r="D195" s="70">
        <f>(37.12)*(10.764)</f>
        <v>399.55967999999996</v>
      </c>
      <c r="E195" s="40">
        <v>0</v>
      </c>
      <c r="F195" s="40">
        <f t="shared" si="15"/>
        <v>399.55967999999996</v>
      </c>
      <c r="G195" s="40">
        <v>0</v>
      </c>
      <c r="H195" s="40">
        <f t="shared" si="16"/>
        <v>619.31750399999999</v>
      </c>
      <c r="I195" s="34"/>
      <c r="L195" s="140"/>
      <c r="M195" s="140"/>
      <c r="N195" s="34"/>
      <c r="T195" s="32"/>
    </row>
    <row r="196" spans="1:20" s="35" customFormat="1" x14ac:dyDescent="0.25">
      <c r="A196" s="40">
        <v>5</v>
      </c>
      <c r="B196" s="40" t="s">
        <v>372</v>
      </c>
      <c r="C196" s="40" t="s">
        <v>360</v>
      </c>
      <c r="D196" s="70">
        <f>(17.31)*(10.764)</f>
        <v>186.32483999999997</v>
      </c>
      <c r="E196" s="40">
        <v>0</v>
      </c>
      <c r="F196" s="40">
        <f>D196+(IF(E196&lt;201,E196,IF(E196&lt;301,E196/2,E196/3)))</f>
        <v>186.32483999999997</v>
      </c>
      <c r="G196" s="40">
        <v>0</v>
      </c>
      <c r="H196" s="40">
        <f>(F196+(IF(G196&lt;101,G196,IF(G196&lt;201,G196/2,IF(G196&lt;=301,G196/3,G196/4)))))*(($H$188)+1)</f>
        <v>288.80350199999998</v>
      </c>
      <c r="I196" s="34"/>
      <c r="L196" s="140"/>
      <c r="M196" s="140"/>
      <c r="N196" s="34"/>
      <c r="T196" s="19"/>
    </row>
    <row r="197" spans="1:20" s="35" customFormat="1" x14ac:dyDescent="0.25">
      <c r="A197" s="40">
        <v>6</v>
      </c>
      <c r="B197" s="40" t="s">
        <v>372</v>
      </c>
      <c r="C197" s="40" t="s">
        <v>360</v>
      </c>
      <c r="D197" s="70">
        <f>(19.31)*(10.764)</f>
        <v>207.85283999999999</v>
      </c>
      <c r="E197" s="40">
        <v>0</v>
      </c>
      <c r="F197" s="40">
        <f t="shared" ref="F197:F202" si="17">D197+(IF(E197&lt;201,E197,IF(E197&lt;301,E197/2,E197/3)))</f>
        <v>207.85283999999999</v>
      </c>
      <c r="G197" s="40">
        <v>0</v>
      </c>
      <c r="H197" s="40">
        <f t="shared" ref="H197:H202" si="18">(F197+(IF(G197&lt;101,G197,IF(G197&lt;201,G197/2,IF(G197&lt;=301,G197/3,G197/4)))))*(($H$188)+1)</f>
        <v>322.17190199999999</v>
      </c>
      <c r="I197" s="34">
        <f>1.58*4.48+0.86*3.63+4.78*3.43+3.58*1.05+5.35*0.7+7.21*1.3+4.71*0.94+7.21*0.94+3.86*0.55</f>
        <v>56.800399999999996</v>
      </c>
      <c r="L197" s="140"/>
      <c r="M197" s="140"/>
      <c r="N197" s="34"/>
      <c r="T197" s="19"/>
    </row>
    <row r="198" spans="1:20" s="35" customFormat="1" ht="15.75" customHeight="1" x14ac:dyDescent="0.25">
      <c r="A198" s="40">
        <v>7</v>
      </c>
      <c r="B198" s="40" t="s">
        <v>372</v>
      </c>
      <c r="C198" s="40" t="s">
        <v>360</v>
      </c>
      <c r="D198" s="70">
        <f>(19.29)*(10.764)</f>
        <v>207.63755999999998</v>
      </c>
      <c r="E198" s="40">
        <v>0</v>
      </c>
      <c r="F198" s="40">
        <f t="shared" si="17"/>
        <v>207.63755999999998</v>
      </c>
      <c r="G198" s="40">
        <v>0</v>
      </c>
      <c r="H198" s="40">
        <f t="shared" si="18"/>
        <v>321.83821799999998</v>
      </c>
      <c r="I198" s="34"/>
      <c r="L198" s="140"/>
      <c r="M198" s="140"/>
      <c r="N198" s="34"/>
      <c r="T198" s="32"/>
    </row>
    <row r="199" spans="1:20" s="35" customFormat="1" x14ac:dyDescent="0.25">
      <c r="A199" s="40">
        <v>8</v>
      </c>
      <c r="B199" s="40" t="s">
        <v>372</v>
      </c>
      <c r="C199" s="40" t="s">
        <v>360</v>
      </c>
      <c r="D199" s="70">
        <f>(22.73)*(10.764)</f>
        <v>244.66571999999999</v>
      </c>
      <c r="E199" s="40">
        <v>0</v>
      </c>
      <c r="F199" s="40">
        <f t="shared" si="17"/>
        <v>244.66571999999999</v>
      </c>
      <c r="G199" s="40">
        <v>0</v>
      </c>
      <c r="H199" s="40">
        <f t="shared" si="18"/>
        <v>379.23186600000002</v>
      </c>
      <c r="I199" s="34"/>
      <c r="L199" s="140"/>
      <c r="M199" s="140"/>
      <c r="N199" s="34"/>
      <c r="T199" s="19"/>
    </row>
    <row r="200" spans="1:20" s="35" customFormat="1" ht="15.75" customHeight="1" x14ac:dyDescent="0.25">
      <c r="A200" s="40">
        <v>9</v>
      </c>
      <c r="B200" s="40" t="s">
        <v>372</v>
      </c>
      <c r="C200" s="40" t="s">
        <v>360</v>
      </c>
      <c r="D200" s="70">
        <f>(21.24)*(10.764)</f>
        <v>228.62735999999998</v>
      </c>
      <c r="E200" s="40">
        <v>0</v>
      </c>
      <c r="F200" s="40">
        <f t="shared" si="17"/>
        <v>228.62735999999998</v>
      </c>
      <c r="G200" s="40">
        <v>0</v>
      </c>
      <c r="H200" s="40">
        <f t="shared" si="18"/>
        <v>354.37240800000001</v>
      </c>
      <c r="I200" s="34"/>
      <c r="L200" s="140"/>
      <c r="M200" s="140"/>
      <c r="N200" s="34"/>
      <c r="T200" s="19"/>
    </row>
    <row r="201" spans="1:20" s="35" customFormat="1" ht="15.75" customHeight="1" x14ac:dyDescent="0.25">
      <c r="A201" s="40">
        <v>10</v>
      </c>
      <c r="B201" s="40" t="s">
        <v>372</v>
      </c>
      <c r="C201" s="40" t="s">
        <v>360</v>
      </c>
      <c r="D201" s="70">
        <f>(22.23)*(10.764)</f>
        <v>239.28371999999999</v>
      </c>
      <c r="E201" s="40">
        <v>0</v>
      </c>
      <c r="F201" s="40">
        <f t="shared" si="17"/>
        <v>239.28371999999999</v>
      </c>
      <c r="G201" s="40">
        <v>0</v>
      </c>
      <c r="H201" s="40">
        <f t="shared" si="18"/>
        <v>370.88976600000001</v>
      </c>
      <c r="I201" s="34"/>
      <c r="L201" s="140"/>
      <c r="M201" s="140"/>
      <c r="N201" s="34"/>
      <c r="T201" s="33"/>
    </row>
    <row r="202" spans="1:20" s="35" customFormat="1" ht="15.75" customHeight="1" x14ac:dyDescent="0.25">
      <c r="A202" s="98">
        <v>11</v>
      </c>
      <c r="B202" s="98" t="s">
        <v>372</v>
      </c>
      <c r="C202" s="98" t="s">
        <v>360</v>
      </c>
      <c r="D202" s="70">
        <f>(22.72)*(10.764)</f>
        <v>244.55807999999996</v>
      </c>
      <c r="E202" s="98">
        <v>0</v>
      </c>
      <c r="F202" s="98">
        <f t="shared" si="17"/>
        <v>244.55807999999996</v>
      </c>
      <c r="G202" s="98">
        <v>0</v>
      </c>
      <c r="H202" s="98">
        <f t="shared" si="18"/>
        <v>379.06502399999994</v>
      </c>
      <c r="I202" s="34"/>
      <c r="L202" s="140"/>
      <c r="M202" s="140"/>
      <c r="N202" s="34"/>
      <c r="T202" s="32"/>
    </row>
    <row r="203" spans="1:20" s="35" customFormat="1" ht="15.75" customHeight="1" x14ac:dyDescent="0.25">
      <c r="A203" s="98">
        <v>12</v>
      </c>
      <c r="B203" s="98" t="s">
        <v>372</v>
      </c>
      <c r="C203" s="98" t="s">
        <v>360</v>
      </c>
      <c r="D203" s="70">
        <f>(24.31)*(10.764)</f>
        <v>261.67283999999995</v>
      </c>
      <c r="E203" s="98">
        <v>0</v>
      </c>
      <c r="F203" s="98">
        <f>D203+(IF(E203&lt;201,E203,IF(E203&lt;301,E203/2,E203/3)))</f>
        <v>261.67283999999995</v>
      </c>
      <c r="G203" s="98">
        <v>0</v>
      </c>
      <c r="H203" s="98">
        <f>(F203+(IF(G203&lt;101,G203,IF(G203&lt;201,G203/2,IF(G203&lt;=301,G203/3,G203/4)))))*(($H$188)+1)</f>
        <v>405.59290199999992</v>
      </c>
      <c r="I203" s="103">
        <f>2.69*1.4</f>
        <v>3.7659999999999996</v>
      </c>
      <c r="L203" s="140"/>
      <c r="M203" s="140"/>
      <c r="N203" s="34"/>
      <c r="T203" s="19"/>
    </row>
    <row r="204" spans="1:20" s="35" customFormat="1" x14ac:dyDescent="0.25">
      <c r="A204" s="98">
        <v>13</v>
      </c>
      <c r="B204" s="98" t="s">
        <v>372</v>
      </c>
      <c r="C204" s="98" t="s">
        <v>360</v>
      </c>
      <c r="D204" s="70">
        <f>(21.275)*(10.764)</f>
        <v>229.00409999999997</v>
      </c>
      <c r="E204" s="98">
        <v>0</v>
      </c>
      <c r="F204" s="98">
        <f t="shared" ref="F204:F212" si="19">D204+(IF(E204&lt;201,E204,IF(E204&lt;301,E204/2,E204/3)))</f>
        <v>229.00409999999997</v>
      </c>
      <c r="G204" s="98">
        <v>0</v>
      </c>
      <c r="H204" s="98">
        <f t="shared" ref="H204:H212" si="20">(F204+(IF(G204&lt;101,G204,IF(G204&lt;201,G204/2,IF(G204&lt;=301,G204/3,G204/4)))))*(($H$188)+1)</f>
        <v>354.95635499999997</v>
      </c>
      <c r="J204" s="34"/>
      <c r="T204" s="33"/>
    </row>
    <row r="205" spans="1:20" s="35" customFormat="1" x14ac:dyDescent="0.25">
      <c r="A205" s="98">
        <v>14</v>
      </c>
      <c r="B205" s="98" t="s">
        <v>372</v>
      </c>
      <c r="C205" s="98" t="s">
        <v>360</v>
      </c>
      <c r="D205" s="70">
        <f>(42.247)*(10.764)</f>
        <v>454.74670799999996</v>
      </c>
      <c r="E205" s="98">
        <v>0</v>
      </c>
      <c r="F205" s="98">
        <f t="shared" si="19"/>
        <v>454.74670799999996</v>
      </c>
      <c r="G205" s="98">
        <v>0</v>
      </c>
      <c r="H205" s="98">
        <f t="shared" si="20"/>
        <v>704.85739739999997</v>
      </c>
      <c r="J205" s="34"/>
      <c r="T205" s="33"/>
    </row>
    <row r="206" spans="1:20" s="35" customFormat="1" x14ac:dyDescent="0.25">
      <c r="A206" s="98">
        <v>15</v>
      </c>
      <c r="B206" s="98" t="s">
        <v>372</v>
      </c>
      <c r="C206" s="98" t="s">
        <v>360</v>
      </c>
      <c r="D206" s="70">
        <f>(35.615)*(10.764)</f>
        <v>383.35986000000003</v>
      </c>
      <c r="E206" s="98">
        <v>0</v>
      </c>
      <c r="F206" s="98">
        <f t="shared" si="19"/>
        <v>383.35986000000003</v>
      </c>
      <c r="G206" s="98">
        <v>0</v>
      </c>
      <c r="H206" s="98">
        <f t="shared" si="20"/>
        <v>594.20778300000006</v>
      </c>
      <c r="J206" s="34"/>
      <c r="T206" s="33"/>
    </row>
    <row r="207" spans="1:20" s="35" customFormat="1" x14ac:dyDescent="0.25">
      <c r="A207" s="98">
        <v>16</v>
      </c>
      <c r="B207" s="98" t="s">
        <v>372</v>
      </c>
      <c r="C207" s="98" t="s">
        <v>360</v>
      </c>
      <c r="D207" s="70">
        <f>(20.184)*(10.764)</f>
        <v>217.26057599999999</v>
      </c>
      <c r="E207" s="98">
        <v>0</v>
      </c>
      <c r="F207" s="98">
        <f t="shared" si="19"/>
        <v>217.26057599999999</v>
      </c>
      <c r="G207" s="98">
        <v>0</v>
      </c>
      <c r="H207" s="98">
        <f t="shared" si="20"/>
        <v>336.75389279999996</v>
      </c>
      <c r="J207" s="34"/>
      <c r="T207" s="33"/>
    </row>
    <row r="208" spans="1:20" s="35" customFormat="1" ht="49.5" customHeight="1" x14ac:dyDescent="0.25">
      <c r="A208" s="98">
        <v>17</v>
      </c>
      <c r="B208" s="98" t="s">
        <v>372</v>
      </c>
      <c r="C208" s="98" t="s">
        <v>423</v>
      </c>
      <c r="D208" s="70">
        <f>(52.406+56.65)*(10.764)</f>
        <v>1173.878784</v>
      </c>
      <c r="E208" s="98">
        <v>0</v>
      </c>
      <c r="F208" s="98">
        <f t="shared" si="19"/>
        <v>1173.878784</v>
      </c>
      <c r="G208" s="98">
        <v>0</v>
      </c>
      <c r="H208" s="98">
        <f t="shared" si="20"/>
        <v>1819.5121152000002</v>
      </c>
      <c r="I208" s="34"/>
      <c r="L208" s="140"/>
      <c r="M208" s="140"/>
      <c r="N208" s="34"/>
      <c r="T208" s="33"/>
    </row>
    <row r="209" spans="1:20" s="35" customFormat="1" x14ac:dyDescent="0.25">
      <c r="A209" s="98">
        <v>18</v>
      </c>
      <c r="B209" s="98" t="s">
        <v>372</v>
      </c>
      <c r="C209" s="98" t="s">
        <v>360</v>
      </c>
      <c r="D209" s="70">
        <f>(2.153)*(10.764)</f>
        <v>23.174892</v>
      </c>
      <c r="E209" s="98">
        <v>0</v>
      </c>
      <c r="F209" s="98">
        <f t="shared" si="19"/>
        <v>23.174892</v>
      </c>
      <c r="G209" s="98">
        <v>0</v>
      </c>
      <c r="H209" s="98">
        <f t="shared" si="20"/>
        <v>35.921082599999998</v>
      </c>
      <c r="I209" s="34"/>
      <c r="L209" s="140"/>
      <c r="M209" s="140"/>
      <c r="N209" s="34"/>
      <c r="T209" s="32"/>
    </row>
    <row r="210" spans="1:20" s="35" customFormat="1" x14ac:dyDescent="0.25">
      <c r="A210" s="98">
        <v>19</v>
      </c>
      <c r="B210" s="98" t="s">
        <v>372</v>
      </c>
      <c r="C210" s="98" t="s">
        <v>360</v>
      </c>
      <c r="D210" s="70">
        <f>(8.064)*(10.764)</f>
        <v>86.800895999999995</v>
      </c>
      <c r="E210" s="98">
        <v>0</v>
      </c>
      <c r="F210" s="98">
        <f t="shared" si="19"/>
        <v>86.800895999999995</v>
      </c>
      <c r="G210" s="98">
        <v>0</v>
      </c>
      <c r="H210" s="98">
        <f t="shared" si="20"/>
        <v>134.54138879999999</v>
      </c>
      <c r="I210" s="34"/>
      <c r="L210" s="140"/>
      <c r="M210" s="140"/>
      <c r="N210" s="34"/>
      <c r="T210" s="19"/>
    </row>
    <row r="211" spans="1:20" s="35" customFormat="1" ht="15.75" customHeight="1" x14ac:dyDescent="0.25">
      <c r="A211" s="104">
        <v>20</v>
      </c>
      <c r="B211" s="104" t="s">
        <v>372</v>
      </c>
      <c r="C211" s="104" t="s">
        <v>360</v>
      </c>
      <c r="D211" s="105">
        <f>(7.83)*(10.764)</f>
        <v>84.282119999999992</v>
      </c>
      <c r="E211" s="104">
        <v>0</v>
      </c>
      <c r="F211" s="104">
        <f t="shared" si="19"/>
        <v>84.282119999999992</v>
      </c>
      <c r="G211" s="104">
        <v>0</v>
      </c>
      <c r="H211" s="104">
        <f t="shared" si="20"/>
        <v>130.63728599999999</v>
      </c>
      <c r="I211" s="34"/>
      <c r="L211" s="140"/>
      <c r="M211" s="140"/>
      <c r="N211" s="34"/>
      <c r="T211" s="19"/>
    </row>
    <row r="212" spans="1:20" s="35" customFormat="1" x14ac:dyDescent="0.25">
      <c r="A212" s="104">
        <v>21</v>
      </c>
      <c r="B212" s="104" t="s">
        <v>372</v>
      </c>
      <c r="C212" s="104" t="s">
        <v>360</v>
      </c>
      <c r="D212" s="105">
        <f>(9.632)*(10.764)</f>
        <v>103.67884799999999</v>
      </c>
      <c r="E212" s="104">
        <v>0</v>
      </c>
      <c r="F212" s="104">
        <f t="shared" si="19"/>
        <v>103.67884799999999</v>
      </c>
      <c r="G212" s="104">
        <v>0</v>
      </c>
      <c r="H212" s="104">
        <f t="shared" si="20"/>
        <v>160.70221439999997</v>
      </c>
      <c r="I212" s="34"/>
      <c r="L212" s="140"/>
      <c r="M212" s="140"/>
      <c r="N212" s="34"/>
      <c r="T212" s="33"/>
    </row>
    <row r="213" spans="1:20" s="35" customFormat="1" x14ac:dyDescent="0.25">
      <c r="A213" s="104">
        <v>22</v>
      </c>
      <c r="B213" s="104" t="s">
        <v>372</v>
      </c>
      <c r="C213" s="104" t="s">
        <v>360</v>
      </c>
      <c r="D213" s="105">
        <f>(8.883)*(10.764)</f>
        <v>95.616611999999989</v>
      </c>
      <c r="E213" s="104">
        <v>0</v>
      </c>
      <c r="F213" s="104">
        <f>D213+(IF(E213&lt;201,E213,IF(E213&lt;301,E213/2,E213/3)))</f>
        <v>95.616611999999989</v>
      </c>
      <c r="G213" s="104">
        <v>0</v>
      </c>
      <c r="H213" s="104">
        <f>(F213+(IF(G213&lt;101,G213,IF(G213&lt;201,G213/2,IF(G213&lt;=301,G213/3,G213/4)))))*(($H$188)+1)</f>
        <v>148.20574859999999</v>
      </c>
      <c r="I213" s="34"/>
      <c r="L213" s="140"/>
      <c r="M213" s="140"/>
      <c r="N213" s="34"/>
      <c r="T213" s="32"/>
    </row>
    <row r="214" spans="1:20" s="35" customFormat="1" x14ac:dyDescent="0.25">
      <c r="A214" s="104">
        <v>23</v>
      </c>
      <c r="B214" s="104" t="s">
        <v>372</v>
      </c>
      <c r="C214" s="104" t="s">
        <v>360</v>
      </c>
      <c r="D214" s="105">
        <f>(3.76)*(10.764)</f>
        <v>40.472639999999998</v>
      </c>
      <c r="E214" s="104">
        <v>0</v>
      </c>
      <c r="F214" s="104">
        <f t="shared" ref="F214:F215" si="21">D214+(IF(E214&lt;201,E214,IF(E214&lt;301,E214/2,E214/3)))</f>
        <v>40.472639999999998</v>
      </c>
      <c r="G214" s="104">
        <v>0</v>
      </c>
      <c r="H214" s="104">
        <f t="shared" ref="H214:H215" si="22">(F214+(IF(G214&lt;101,G214,IF(G214&lt;201,G214/2,IF(G214&lt;=301,G214/3,G214/4)))))*(($H$188)+1)</f>
        <v>62.732591999999997</v>
      </c>
      <c r="I214" s="34"/>
      <c r="L214" s="140"/>
      <c r="M214" s="140"/>
      <c r="N214" s="34"/>
      <c r="T214" s="19"/>
    </row>
    <row r="215" spans="1:20" s="35" customFormat="1" x14ac:dyDescent="0.25">
      <c r="A215" s="104">
        <v>24</v>
      </c>
      <c r="B215" s="104" t="s">
        <v>372</v>
      </c>
      <c r="C215" s="104" t="s">
        <v>360</v>
      </c>
      <c r="D215" s="105">
        <f>(3.04)*(10.764)</f>
        <v>32.722560000000001</v>
      </c>
      <c r="E215" s="104">
        <v>0</v>
      </c>
      <c r="F215" s="104">
        <f t="shared" si="21"/>
        <v>32.722560000000001</v>
      </c>
      <c r="G215" s="104">
        <v>0</v>
      </c>
      <c r="H215" s="104">
        <f t="shared" si="22"/>
        <v>50.719968000000001</v>
      </c>
      <c r="I215" s="34"/>
      <c r="L215" s="140"/>
      <c r="M215" s="140"/>
      <c r="N215" s="34"/>
      <c r="T215" s="19"/>
    </row>
    <row r="216" spans="1:20" s="35" customFormat="1" x14ac:dyDescent="0.25">
      <c r="A216" s="142" t="s">
        <v>424</v>
      </c>
      <c r="B216" s="143"/>
      <c r="C216" s="143"/>
      <c r="D216" s="143"/>
      <c r="E216" s="143"/>
      <c r="F216" s="143"/>
      <c r="G216" s="143"/>
      <c r="H216" s="144"/>
      <c r="I216" s="34"/>
      <c r="L216" s="140"/>
      <c r="M216" s="140"/>
      <c r="N216" s="34"/>
      <c r="T216" s="32"/>
    </row>
    <row r="217" spans="1:20" s="35" customFormat="1" x14ac:dyDescent="0.25">
      <c r="A217" s="106" t="s">
        <v>366</v>
      </c>
      <c r="B217" s="148" t="s">
        <v>427</v>
      </c>
      <c r="C217" s="152"/>
      <c r="D217" s="152"/>
      <c r="E217" s="152"/>
      <c r="F217" s="152"/>
      <c r="G217" s="152"/>
      <c r="H217" s="149"/>
      <c r="I217" s="34"/>
      <c r="L217" s="140"/>
      <c r="M217" s="140"/>
      <c r="N217" s="34"/>
      <c r="T217" s="19"/>
    </row>
    <row r="218" spans="1:20" s="35" customFormat="1" x14ac:dyDescent="0.25">
      <c r="A218" s="106" t="s">
        <v>425</v>
      </c>
      <c r="B218" s="101" t="s">
        <v>372</v>
      </c>
      <c r="C218" s="148" t="s">
        <v>426</v>
      </c>
      <c r="D218" s="152"/>
      <c r="E218" s="152"/>
      <c r="F218" s="152"/>
      <c r="G218" s="152"/>
      <c r="H218" s="149"/>
      <c r="I218" s="34"/>
      <c r="L218" s="140"/>
      <c r="M218" s="140"/>
      <c r="N218" s="34"/>
      <c r="T218" s="19"/>
    </row>
    <row r="219" spans="1:20" s="35" customFormat="1" x14ac:dyDescent="0.25">
      <c r="A219" s="106" t="s">
        <v>366</v>
      </c>
      <c r="B219" s="148" t="s">
        <v>427</v>
      </c>
      <c r="C219" s="152"/>
      <c r="D219" s="152"/>
      <c r="E219" s="152"/>
      <c r="F219" s="152"/>
      <c r="G219" s="152"/>
      <c r="H219" s="149"/>
      <c r="I219" s="34"/>
      <c r="L219" s="140"/>
      <c r="M219" s="140"/>
      <c r="N219" s="34"/>
      <c r="T219" s="33"/>
    </row>
    <row r="220" spans="1:20" s="35" customFormat="1" x14ac:dyDescent="0.25">
      <c r="A220" s="256" t="s">
        <v>464</v>
      </c>
      <c r="B220" s="257"/>
      <c r="C220" s="257"/>
      <c r="D220" s="257"/>
      <c r="E220" s="257"/>
      <c r="F220" s="257"/>
      <c r="G220" s="257"/>
      <c r="H220" s="258"/>
      <c r="I220" s="34"/>
      <c r="L220" s="140"/>
      <c r="M220" s="140"/>
      <c r="N220" s="34"/>
      <c r="T220" s="19"/>
    </row>
    <row r="221" spans="1:20" s="35" customFormat="1" x14ac:dyDescent="0.25">
      <c r="A221" s="141" t="s">
        <v>373</v>
      </c>
      <c r="B221" s="141"/>
      <c r="C221" s="141"/>
      <c r="D221" s="141"/>
      <c r="E221" s="141"/>
      <c r="F221" s="141"/>
      <c r="G221" s="141"/>
      <c r="H221" s="141"/>
      <c r="I221" s="34"/>
      <c r="L221" s="140"/>
      <c r="M221" s="140"/>
      <c r="N221" s="34"/>
      <c r="T221" s="19"/>
    </row>
    <row r="222" spans="1:20" s="35" customFormat="1" x14ac:dyDescent="0.25">
      <c r="A222" s="145" t="s">
        <v>358</v>
      </c>
      <c r="B222" s="146"/>
      <c r="C222" s="146"/>
      <c r="D222" s="146"/>
      <c r="E222" s="146"/>
      <c r="F222" s="146"/>
      <c r="G222" s="146"/>
      <c r="H222" s="147"/>
      <c r="I222" s="34"/>
      <c r="L222" s="140"/>
      <c r="M222" s="140"/>
      <c r="N222" s="34"/>
      <c r="T222" s="19"/>
    </row>
    <row r="223" spans="1:20" s="35" customFormat="1" ht="48" customHeight="1" x14ac:dyDescent="0.25">
      <c r="A223" s="40">
        <v>1</v>
      </c>
      <c r="B223" s="40" t="s">
        <v>372</v>
      </c>
      <c r="C223" s="40" t="s">
        <v>361</v>
      </c>
      <c r="D223" s="70">
        <f>(175.58+101.81)*(10.764)</f>
        <v>2985.8259599999997</v>
      </c>
      <c r="E223" s="40">
        <v>0</v>
      </c>
      <c r="F223" s="40">
        <f>D223+(IF(E223&lt;201,E223,IF(E223&lt;301,E223/2,E223/3)))</f>
        <v>2985.8259599999997</v>
      </c>
      <c r="G223" s="40">
        <v>0</v>
      </c>
      <c r="H223" s="40">
        <f>(F223+(IF(G223&lt;101,G223,IF(G223&lt;201,G223/2,IF(G223&lt;=301,G223/3,G223/4)))))*(($H$188)+1)</f>
        <v>4628.0302379999994</v>
      </c>
      <c r="I223" s="34"/>
      <c r="L223" s="140"/>
      <c r="M223" s="140"/>
      <c r="N223" s="34"/>
      <c r="T223" s="19"/>
    </row>
    <row r="224" spans="1:20" s="35" customFormat="1" ht="59.25" customHeight="1" x14ac:dyDescent="0.25">
      <c r="A224" s="40">
        <f>A223+1</f>
        <v>2</v>
      </c>
      <c r="B224" s="40" t="s">
        <v>372</v>
      </c>
      <c r="C224" s="40" t="s">
        <v>361</v>
      </c>
      <c r="D224" s="70">
        <f>(45.4+17.48)*(10.764)</f>
        <v>676.84031999999991</v>
      </c>
      <c r="E224" s="40">
        <v>0</v>
      </c>
      <c r="F224" s="40">
        <f t="shared" ref="F224:F226" si="23">D224+(IF(E224&lt;201,E224,IF(E224&lt;301,E224/2,E224/3)))</f>
        <v>676.84031999999991</v>
      </c>
      <c r="G224" s="40">
        <v>0</v>
      </c>
      <c r="H224" s="40">
        <f t="shared" ref="H224:H226" si="24">(F224+(IF(G224&lt;101,G224,IF(G224&lt;201,G224/2,IF(G224&lt;=301,G224/3,G224/4)))))*(($H$188)+1)</f>
        <v>1049.102496</v>
      </c>
      <c r="I224" s="34"/>
      <c r="L224" s="140"/>
      <c r="M224" s="140"/>
      <c r="N224" s="34"/>
      <c r="T224" s="32"/>
    </row>
    <row r="225" spans="1:20" s="35" customFormat="1" ht="47.25" x14ac:dyDescent="0.25">
      <c r="A225" s="40">
        <f t="shared" ref="A225:A244" si="25">A224+1</f>
        <v>3</v>
      </c>
      <c r="B225" s="40" t="s">
        <v>372</v>
      </c>
      <c r="C225" s="40" t="s">
        <v>361</v>
      </c>
      <c r="D225" s="70">
        <f>(51.69+20.59)*(10.764)</f>
        <v>778.02191999999991</v>
      </c>
      <c r="E225" s="40">
        <v>0</v>
      </c>
      <c r="F225" s="40">
        <f t="shared" si="23"/>
        <v>778.02191999999991</v>
      </c>
      <c r="G225" s="40">
        <v>0</v>
      </c>
      <c r="H225" s="40">
        <f t="shared" si="24"/>
        <v>1205.9339759999998</v>
      </c>
      <c r="I225" s="34"/>
      <c r="L225" s="140"/>
      <c r="M225" s="140"/>
      <c r="N225" s="34"/>
      <c r="T225" s="19"/>
    </row>
    <row r="226" spans="1:20" s="35" customFormat="1" x14ac:dyDescent="0.25">
      <c r="A226" s="40">
        <f t="shared" si="25"/>
        <v>4</v>
      </c>
      <c r="B226" s="40" t="s">
        <v>372</v>
      </c>
      <c r="C226" s="40" t="s">
        <v>360</v>
      </c>
      <c r="D226" s="70">
        <f>(26.8)*(10.764)</f>
        <v>288.47519999999997</v>
      </c>
      <c r="E226" s="40">
        <v>0</v>
      </c>
      <c r="F226" s="40">
        <f t="shared" si="23"/>
        <v>288.47519999999997</v>
      </c>
      <c r="G226" s="40">
        <v>0</v>
      </c>
      <c r="H226" s="40">
        <f t="shared" si="24"/>
        <v>447.13655999999997</v>
      </c>
      <c r="I226" s="34"/>
      <c r="L226" s="140"/>
      <c r="M226" s="140"/>
      <c r="N226" s="34"/>
      <c r="T226" s="19"/>
    </row>
    <row r="227" spans="1:20" s="35" customFormat="1" ht="47.25" x14ac:dyDescent="0.25">
      <c r="A227" s="40">
        <f t="shared" si="25"/>
        <v>5</v>
      </c>
      <c r="B227" s="40" t="s">
        <v>372</v>
      </c>
      <c r="C227" s="40" t="s">
        <v>361</v>
      </c>
      <c r="D227" s="70">
        <f>(45.81+18.41)*(10.764)</f>
        <v>691.26407999999992</v>
      </c>
      <c r="E227" s="40">
        <v>0</v>
      </c>
      <c r="F227" s="40">
        <f>D227+(IF(E227&lt;201,E227,IF(E227&lt;301,E227/2,E227/3)))</f>
        <v>691.26407999999992</v>
      </c>
      <c r="G227" s="40">
        <v>0</v>
      </c>
      <c r="H227" s="40">
        <f>(F227+(IF(G227&lt;101,G227,IF(G227&lt;201,G227/2,IF(G227&lt;=301,G227/3,G227/4)))))*(($H$188)+1)</f>
        <v>1071.4593239999999</v>
      </c>
      <c r="I227" s="34"/>
      <c r="L227" s="140"/>
      <c r="M227" s="140"/>
      <c r="N227" s="34"/>
      <c r="T227" s="33"/>
    </row>
    <row r="228" spans="1:20" s="35" customFormat="1" x14ac:dyDescent="0.25">
      <c r="A228" s="40">
        <f t="shared" si="25"/>
        <v>6</v>
      </c>
      <c r="B228" s="40" t="s">
        <v>372</v>
      </c>
      <c r="C228" s="40" t="s">
        <v>360</v>
      </c>
      <c r="D228" s="70">
        <f>(25.94)*(10.764)</f>
        <v>279.21816000000001</v>
      </c>
      <c r="E228" s="40">
        <v>0</v>
      </c>
      <c r="F228" s="40">
        <f t="shared" ref="F228:F233" si="26">D228+(IF(E228&lt;201,E228,IF(E228&lt;301,E228/2,E228/3)))</f>
        <v>279.21816000000001</v>
      </c>
      <c r="G228" s="40">
        <v>0</v>
      </c>
      <c r="H228" s="40">
        <f t="shared" ref="H228:H233" si="27">(F228+(IF(G228&lt;101,G228,IF(G228&lt;201,G228/2,IF(G228&lt;=301,G228/3,G228/4)))))*(($H$188)+1)</f>
        <v>432.78814800000004</v>
      </c>
      <c r="I228" s="34"/>
      <c r="L228" s="140"/>
      <c r="M228" s="140"/>
      <c r="N228" s="34"/>
      <c r="T228" s="32"/>
    </row>
    <row r="229" spans="1:20" s="35" customFormat="1" ht="54.75" customHeight="1" x14ac:dyDescent="0.25">
      <c r="A229" s="40">
        <f t="shared" si="25"/>
        <v>7</v>
      </c>
      <c r="B229" s="40" t="s">
        <v>372</v>
      </c>
      <c r="C229" s="40" t="s">
        <v>361</v>
      </c>
      <c r="D229" s="70">
        <f>(46.35+18.54)*(10.764)</f>
        <v>698.47595999999999</v>
      </c>
      <c r="E229" s="40">
        <v>0</v>
      </c>
      <c r="F229" s="40">
        <f t="shared" si="26"/>
        <v>698.47595999999999</v>
      </c>
      <c r="G229" s="40">
        <v>0</v>
      </c>
      <c r="H229" s="40">
        <f t="shared" si="27"/>
        <v>1082.6377379999999</v>
      </c>
      <c r="I229" s="34"/>
      <c r="L229" s="140"/>
      <c r="M229" s="140"/>
      <c r="N229" s="34"/>
      <c r="T229" s="33"/>
    </row>
    <row r="230" spans="1:20" s="35" customFormat="1" ht="54" customHeight="1" x14ac:dyDescent="0.25">
      <c r="A230" s="98">
        <f t="shared" si="25"/>
        <v>8</v>
      </c>
      <c r="B230" s="98" t="s">
        <v>372</v>
      </c>
      <c r="C230" s="98" t="s">
        <v>361</v>
      </c>
      <c r="D230" s="70">
        <f>(51.19+20.77)*(10.764)</f>
        <v>774.57743999999991</v>
      </c>
      <c r="E230" s="98">
        <v>0</v>
      </c>
      <c r="F230" s="98">
        <f t="shared" si="26"/>
        <v>774.57743999999991</v>
      </c>
      <c r="G230" s="98">
        <v>0</v>
      </c>
      <c r="H230" s="98">
        <f t="shared" si="27"/>
        <v>1200.5950319999999</v>
      </c>
      <c r="I230" s="34"/>
      <c r="L230" s="140"/>
      <c r="M230" s="140"/>
      <c r="N230" s="34"/>
      <c r="T230" s="32"/>
    </row>
    <row r="231" spans="1:20" s="35" customFormat="1" ht="47.25" x14ac:dyDescent="0.25">
      <c r="A231" s="98">
        <f t="shared" si="25"/>
        <v>9</v>
      </c>
      <c r="B231" s="98" t="s">
        <v>372</v>
      </c>
      <c r="C231" s="98" t="s">
        <v>361</v>
      </c>
      <c r="D231" s="70">
        <f>(45.15+17.3)*(10.764)</f>
        <v>672.21180000000004</v>
      </c>
      <c r="E231" s="98">
        <v>0</v>
      </c>
      <c r="F231" s="98">
        <f t="shared" si="26"/>
        <v>672.21180000000004</v>
      </c>
      <c r="G231" s="98">
        <v>0</v>
      </c>
      <c r="H231" s="98">
        <f t="shared" si="27"/>
        <v>1041.9282900000001</v>
      </c>
      <c r="J231" s="34"/>
      <c r="T231" s="33"/>
    </row>
    <row r="232" spans="1:20" s="35" customFormat="1" ht="59.25" customHeight="1" x14ac:dyDescent="0.25">
      <c r="A232" s="40">
        <f t="shared" si="25"/>
        <v>10</v>
      </c>
      <c r="B232" s="40" t="s">
        <v>372</v>
      </c>
      <c r="C232" s="40" t="s">
        <v>361</v>
      </c>
      <c r="D232" s="70">
        <f>(51.22+19.94)*(10.764)</f>
        <v>765.96623999999997</v>
      </c>
      <c r="E232" s="40">
        <v>0</v>
      </c>
      <c r="F232" s="40">
        <f t="shared" si="26"/>
        <v>765.96623999999997</v>
      </c>
      <c r="G232" s="40">
        <v>0</v>
      </c>
      <c r="H232" s="40">
        <f t="shared" si="27"/>
        <v>1187.247672</v>
      </c>
      <c r="I232" s="34"/>
      <c r="L232" s="140"/>
      <c r="M232" s="140"/>
      <c r="N232" s="34"/>
      <c r="T232" s="33"/>
    </row>
    <row r="233" spans="1:20" s="35" customFormat="1" ht="48.75" customHeight="1" x14ac:dyDescent="0.25">
      <c r="A233" s="40">
        <f t="shared" si="25"/>
        <v>11</v>
      </c>
      <c r="B233" s="40" t="s">
        <v>372</v>
      </c>
      <c r="C233" s="40" t="s">
        <v>361</v>
      </c>
      <c r="D233" s="70">
        <f>(47.8+21.35)*(10.764)</f>
        <v>744.3306</v>
      </c>
      <c r="E233" s="40">
        <v>0</v>
      </c>
      <c r="F233" s="40">
        <f t="shared" si="26"/>
        <v>744.3306</v>
      </c>
      <c r="G233" s="40">
        <v>0</v>
      </c>
      <c r="H233" s="40">
        <f t="shared" si="27"/>
        <v>1153.71243</v>
      </c>
      <c r="I233" s="34"/>
      <c r="L233" s="140"/>
      <c r="M233" s="140"/>
      <c r="N233" s="34"/>
      <c r="T233" s="32"/>
    </row>
    <row r="234" spans="1:20" s="35" customFormat="1" x14ac:dyDescent="0.25">
      <c r="A234" s="40">
        <f t="shared" si="25"/>
        <v>12</v>
      </c>
      <c r="B234" s="40" t="s">
        <v>372</v>
      </c>
      <c r="C234" s="40" t="s">
        <v>360</v>
      </c>
      <c r="D234" s="70">
        <f>(15.65)*(10.764)</f>
        <v>168.45659999999998</v>
      </c>
      <c r="E234" s="40">
        <v>0</v>
      </c>
      <c r="F234" s="40">
        <f>D234+(IF(E234&lt;201,E234,IF(E234&lt;301,E234/2,E234/3)))</f>
        <v>168.45659999999998</v>
      </c>
      <c r="G234" s="40">
        <v>0</v>
      </c>
      <c r="H234" s="40">
        <f>(F234+(IF(G234&lt;101,G234,IF(G234&lt;201,G234/2,IF(G234&lt;=301,G234/3,G234/4)))))*(($H$188)+1)</f>
        <v>261.10773</v>
      </c>
      <c r="I234" s="34"/>
      <c r="L234" s="140"/>
      <c r="M234" s="140"/>
      <c r="N234" s="34"/>
      <c r="T234" s="19"/>
    </row>
    <row r="235" spans="1:20" s="35" customFormat="1" ht="44.25" customHeight="1" x14ac:dyDescent="0.25">
      <c r="A235" s="40">
        <f t="shared" si="25"/>
        <v>13</v>
      </c>
      <c r="B235" s="40" t="s">
        <v>372</v>
      </c>
      <c r="C235" s="40" t="s">
        <v>361</v>
      </c>
      <c r="D235" s="70">
        <f>(90.51+55.38)*(10.764)</f>
        <v>1570.35996</v>
      </c>
      <c r="E235" s="40">
        <v>0</v>
      </c>
      <c r="F235" s="40">
        <f t="shared" ref="F235:F242" si="28">D235+(IF(E235&lt;201,E235,IF(E235&lt;301,E235/2,E235/3)))</f>
        <v>1570.35996</v>
      </c>
      <c r="G235" s="40">
        <v>0</v>
      </c>
      <c r="H235" s="40">
        <f t="shared" ref="H235:H242" si="29">(F235+(IF(G235&lt;101,G235,IF(G235&lt;201,G235/2,IF(G235&lt;=301,G235/3,G235/4)))))*(($H$188)+1)</f>
        <v>2434.0579379999999</v>
      </c>
      <c r="I235" s="34"/>
      <c r="L235" s="140"/>
      <c r="M235" s="140"/>
      <c r="N235" s="34"/>
      <c r="T235" s="19"/>
    </row>
    <row r="236" spans="1:20" s="35" customFormat="1" ht="15.75" customHeight="1" x14ac:dyDescent="0.25">
      <c r="A236" s="40">
        <f t="shared" si="25"/>
        <v>14</v>
      </c>
      <c r="B236" s="40" t="s">
        <v>397</v>
      </c>
      <c r="C236" s="40" t="s">
        <v>376</v>
      </c>
      <c r="D236" s="70">
        <f>(18.44)*(10.764)</f>
        <v>198.48815999999999</v>
      </c>
      <c r="E236" s="40">
        <v>0</v>
      </c>
      <c r="F236" s="40">
        <f t="shared" si="28"/>
        <v>198.48815999999999</v>
      </c>
      <c r="G236" s="40">
        <v>0</v>
      </c>
      <c r="H236" s="40">
        <f t="shared" si="29"/>
        <v>307.65664800000002</v>
      </c>
      <c r="I236" s="34"/>
      <c r="L236" s="140"/>
      <c r="M236" s="140"/>
      <c r="N236" s="34"/>
      <c r="T236" s="33"/>
    </row>
    <row r="237" spans="1:20" s="35" customFormat="1" ht="15.75" customHeight="1" x14ac:dyDescent="0.25">
      <c r="A237" s="40">
        <f t="shared" si="25"/>
        <v>15</v>
      </c>
      <c r="B237" s="40" t="s">
        <v>372</v>
      </c>
      <c r="C237" s="40" t="s">
        <v>360</v>
      </c>
      <c r="D237" s="70">
        <f>(34.03)*(10.764)</f>
        <v>366.29892000000001</v>
      </c>
      <c r="E237" s="40">
        <v>0</v>
      </c>
      <c r="F237" s="40">
        <f t="shared" si="28"/>
        <v>366.29892000000001</v>
      </c>
      <c r="G237" s="40">
        <v>0</v>
      </c>
      <c r="H237" s="40">
        <f t="shared" si="29"/>
        <v>567.76332600000001</v>
      </c>
      <c r="I237" s="34"/>
      <c r="L237" s="140"/>
      <c r="M237" s="140"/>
      <c r="N237" s="34"/>
      <c r="T237" s="32"/>
    </row>
    <row r="238" spans="1:20" s="35" customFormat="1" ht="15.75" customHeight="1" x14ac:dyDescent="0.25">
      <c r="A238" s="40">
        <f t="shared" si="25"/>
        <v>16</v>
      </c>
      <c r="B238" s="40" t="s">
        <v>372</v>
      </c>
      <c r="C238" s="40" t="s">
        <v>360</v>
      </c>
      <c r="D238" s="70">
        <f>(6.82)*(10.764)</f>
        <v>73.410479999999993</v>
      </c>
      <c r="E238" s="40">
        <v>0</v>
      </c>
      <c r="F238" s="40">
        <f t="shared" si="28"/>
        <v>73.410479999999993</v>
      </c>
      <c r="G238" s="40">
        <v>0</v>
      </c>
      <c r="H238" s="40">
        <f t="shared" si="29"/>
        <v>113.786244</v>
      </c>
      <c r="I238" s="34"/>
      <c r="L238" s="140"/>
      <c r="M238" s="140"/>
      <c r="N238" s="34"/>
      <c r="T238" s="19"/>
    </row>
    <row r="239" spans="1:20" s="35" customFormat="1" ht="15.75" customHeight="1" x14ac:dyDescent="0.25">
      <c r="A239" s="40">
        <f t="shared" si="25"/>
        <v>17</v>
      </c>
      <c r="B239" s="40" t="s">
        <v>372</v>
      </c>
      <c r="C239" s="40" t="s">
        <v>360</v>
      </c>
      <c r="D239" s="70">
        <f>(6.82)*(10.764)</f>
        <v>73.410479999999993</v>
      </c>
      <c r="E239" s="40">
        <v>0</v>
      </c>
      <c r="F239" s="40">
        <f t="shared" si="28"/>
        <v>73.410479999999993</v>
      </c>
      <c r="G239" s="40">
        <v>0</v>
      </c>
      <c r="H239" s="40">
        <f t="shared" si="29"/>
        <v>113.786244</v>
      </c>
      <c r="I239" s="34"/>
      <c r="L239" s="140"/>
      <c r="M239" s="140"/>
      <c r="N239" s="34"/>
      <c r="T239" s="19"/>
    </row>
    <row r="240" spans="1:20" s="35" customFormat="1" ht="15.75" customHeight="1" x14ac:dyDescent="0.25">
      <c r="A240" s="40">
        <f t="shared" si="25"/>
        <v>18</v>
      </c>
      <c r="B240" s="40" t="s">
        <v>397</v>
      </c>
      <c r="C240" s="40" t="s">
        <v>376</v>
      </c>
      <c r="D240" s="70">
        <f>(10.16)*(10.764)</f>
        <v>109.36224</v>
      </c>
      <c r="E240" s="40">
        <v>0</v>
      </c>
      <c r="F240" s="40">
        <f t="shared" si="28"/>
        <v>109.36224</v>
      </c>
      <c r="G240" s="40">
        <v>0</v>
      </c>
      <c r="H240" s="40">
        <f t="shared" si="29"/>
        <v>169.511472</v>
      </c>
      <c r="I240" s="34"/>
      <c r="L240" s="140"/>
      <c r="M240" s="140"/>
      <c r="N240" s="34"/>
      <c r="T240" s="32"/>
    </row>
    <row r="241" spans="1:20" s="35" customFormat="1" ht="15.75" customHeight="1" x14ac:dyDescent="0.25">
      <c r="A241" s="40">
        <f t="shared" si="25"/>
        <v>19</v>
      </c>
      <c r="B241" s="40" t="s">
        <v>372</v>
      </c>
      <c r="C241" s="40" t="s">
        <v>360</v>
      </c>
      <c r="D241" s="70">
        <f>(6.82)*(10.764)</f>
        <v>73.410479999999993</v>
      </c>
      <c r="E241" s="40">
        <v>0</v>
      </c>
      <c r="F241" s="40">
        <f t="shared" si="28"/>
        <v>73.410479999999993</v>
      </c>
      <c r="G241" s="40">
        <v>0</v>
      </c>
      <c r="H241" s="40">
        <f t="shared" si="29"/>
        <v>113.786244</v>
      </c>
      <c r="I241" s="34"/>
      <c r="L241" s="140"/>
      <c r="M241" s="140"/>
      <c r="N241" s="34"/>
      <c r="T241" s="19"/>
    </row>
    <row r="242" spans="1:20" s="35" customFormat="1" ht="15.75" customHeight="1" x14ac:dyDescent="0.25">
      <c r="A242" s="40">
        <f t="shared" si="25"/>
        <v>20</v>
      </c>
      <c r="B242" s="40" t="s">
        <v>372</v>
      </c>
      <c r="C242" s="40" t="s">
        <v>360</v>
      </c>
      <c r="D242" s="70">
        <f>(38.58)*(10.764)</f>
        <v>415.27511999999996</v>
      </c>
      <c r="E242" s="40">
        <v>0</v>
      </c>
      <c r="F242" s="40">
        <f t="shared" si="28"/>
        <v>415.27511999999996</v>
      </c>
      <c r="G242" s="40">
        <v>0</v>
      </c>
      <c r="H242" s="40">
        <f t="shared" si="29"/>
        <v>643.67643599999997</v>
      </c>
      <c r="I242" s="34"/>
      <c r="L242" s="140"/>
      <c r="M242" s="140"/>
      <c r="N242" s="34"/>
      <c r="T242" s="19"/>
    </row>
    <row r="243" spans="1:20" s="35" customFormat="1" ht="15.75" customHeight="1" x14ac:dyDescent="0.25">
      <c r="A243" s="40">
        <f t="shared" si="25"/>
        <v>21</v>
      </c>
      <c r="B243" s="40" t="s">
        <v>372</v>
      </c>
      <c r="C243" s="40" t="s">
        <v>360</v>
      </c>
      <c r="D243" s="70">
        <f>(7)*(10.764)</f>
        <v>75.347999999999999</v>
      </c>
      <c r="E243" s="40">
        <v>0</v>
      </c>
      <c r="F243" s="40">
        <f>D243+(IF(E243&lt;201,E243,IF(E243&lt;301,E243/2,E243/3)))</f>
        <v>75.347999999999999</v>
      </c>
      <c r="G243" s="40">
        <v>0</v>
      </c>
      <c r="H243" s="40">
        <f>(F243+(IF(G243&lt;101,G243,IF(G243&lt;201,G243/2,IF(G243&lt;=301,G243/3,G243/4)))))*(($H$188)+1)</f>
        <v>116.7894</v>
      </c>
      <c r="I243" s="34"/>
      <c r="L243" s="140"/>
      <c r="M243" s="140"/>
      <c r="N243" s="34"/>
      <c r="T243" s="33"/>
    </row>
    <row r="244" spans="1:20" s="35" customFormat="1" ht="15.75" customHeight="1" x14ac:dyDescent="0.25">
      <c r="A244" s="40">
        <f t="shared" si="25"/>
        <v>22</v>
      </c>
      <c r="B244" s="40" t="s">
        <v>372</v>
      </c>
      <c r="C244" s="40" t="s">
        <v>360</v>
      </c>
      <c r="D244" s="70">
        <f>(7.12)*(10.764)</f>
        <v>76.639679999999998</v>
      </c>
      <c r="E244" s="40">
        <v>0</v>
      </c>
      <c r="F244" s="40">
        <f t="shared" ref="F244" si="30">D244+(IF(E244&lt;201,E244,IF(E244&lt;301,E244/2,E244/3)))</f>
        <v>76.639679999999998</v>
      </c>
      <c r="G244" s="40">
        <v>0</v>
      </c>
      <c r="H244" s="40">
        <f t="shared" ref="H244" si="31">(F244+(IF(G244&lt;101,G244,IF(G244&lt;201,G244/2,IF(G244&lt;=301,G244/3,G244/4)))))*(($H$188)+1)</f>
        <v>118.791504</v>
      </c>
      <c r="I244" s="34"/>
      <c r="L244" s="140"/>
      <c r="M244" s="140"/>
      <c r="N244" s="34"/>
      <c r="T244" s="32"/>
    </row>
    <row r="245" spans="1:20" s="35" customFormat="1" ht="15.75" customHeight="1" x14ac:dyDescent="0.25">
      <c r="A245" s="40">
        <f t="shared" ref="A245:A246" si="32">A244+1</f>
        <v>23</v>
      </c>
      <c r="B245" s="40" t="s">
        <v>372</v>
      </c>
      <c r="C245" s="40" t="s">
        <v>360</v>
      </c>
      <c r="D245" s="70">
        <f>(6.79)*(10.764)</f>
        <v>73.087559999999996</v>
      </c>
      <c r="E245" s="40">
        <v>0</v>
      </c>
      <c r="F245" s="40">
        <f>D245+(IF(E245&lt;201,E245,IF(E245&lt;301,E245/2,E245/3)))</f>
        <v>73.087559999999996</v>
      </c>
      <c r="G245" s="40">
        <v>0</v>
      </c>
      <c r="H245" s="40">
        <f>(F245+(IF(G245&lt;101,G245,IF(G245&lt;201,G245/2,IF(G245&lt;=301,G245/3,G245/4)))))*(($H$188)+1)</f>
        <v>113.285718</v>
      </c>
      <c r="I245" s="34"/>
      <c r="L245" s="140"/>
      <c r="M245" s="140"/>
      <c r="N245" s="34"/>
      <c r="T245" s="19"/>
    </row>
    <row r="246" spans="1:20" s="35" customFormat="1" ht="15.75" customHeight="1" x14ac:dyDescent="0.25">
      <c r="A246" s="40">
        <f t="shared" si="32"/>
        <v>24</v>
      </c>
      <c r="B246" s="40" t="s">
        <v>397</v>
      </c>
      <c r="C246" s="40" t="s">
        <v>376</v>
      </c>
      <c r="D246" s="70">
        <f>(14.08)*(10.764)</f>
        <v>151.55712</v>
      </c>
      <c r="E246" s="40">
        <v>0</v>
      </c>
      <c r="F246" s="40">
        <f t="shared" ref="F246" si="33">D246+(IF(E246&lt;201,E246,IF(E246&lt;301,E246/2,E246/3)))</f>
        <v>151.55712</v>
      </c>
      <c r="G246" s="40">
        <v>0</v>
      </c>
      <c r="H246" s="40">
        <f t="shared" ref="H246" si="34">(F246+(IF(G246&lt;101,G246,IF(G246&lt;201,G246/2,IF(G246&lt;=301,G246/3,G246/4)))))*(($H$188)+1)</f>
        <v>234.91353599999999</v>
      </c>
      <c r="I246" s="34"/>
      <c r="L246" s="140"/>
      <c r="M246" s="140"/>
      <c r="N246" s="34"/>
      <c r="T246" s="19"/>
    </row>
    <row r="247" spans="1:20" s="35" customFormat="1" ht="15.75" customHeight="1" x14ac:dyDescent="0.25">
      <c r="A247" s="145" t="s">
        <v>379</v>
      </c>
      <c r="B247" s="146"/>
      <c r="C247" s="146"/>
      <c r="D247" s="146"/>
      <c r="E247" s="146"/>
      <c r="F247" s="146"/>
      <c r="G247" s="146"/>
      <c r="H247" s="147"/>
      <c r="I247" s="34"/>
      <c r="L247" s="140"/>
      <c r="M247" s="140"/>
      <c r="N247" s="34"/>
      <c r="T247" s="19"/>
    </row>
    <row r="248" spans="1:20" s="35" customFormat="1" ht="15.75" customHeight="1" x14ac:dyDescent="0.25">
      <c r="A248" s="40">
        <v>1</v>
      </c>
      <c r="B248" s="40" t="s">
        <v>366</v>
      </c>
      <c r="C248" s="239" t="s">
        <v>426</v>
      </c>
      <c r="D248" s="240"/>
      <c r="E248" s="240"/>
      <c r="F248" s="240"/>
      <c r="G248" s="240"/>
      <c r="H248" s="241"/>
      <c r="I248" s="34"/>
      <c r="L248" s="140"/>
      <c r="M248" s="140"/>
      <c r="N248" s="34"/>
      <c r="T248" s="19"/>
    </row>
    <row r="249" spans="1:20" s="35" customFormat="1" x14ac:dyDescent="0.25">
      <c r="A249" s="40">
        <f>A248+1</f>
        <v>2</v>
      </c>
      <c r="B249" s="40" t="s">
        <v>366</v>
      </c>
      <c r="C249" s="242"/>
      <c r="D249" s="243"/>
      <c r="E249" s="243"/>
      <c r="F249" s="243"/>
      <c r="G249" s="243"/>
      <c r="H249" s="244"/>
      <c r="J249" s="34"/>
      <c r="T249" s="33"/>
    </row>
    <row r="250" spans="1:20" s="35" customFormat="1" x14ac:dyDescent="0.25">
      <c r="A250" s="40">
        <f t="shared" ref="A250:A264" si="35">A249+1</f>
        <v>3</v>
      </c>
      <c r="B250" s="40" t="s">
        <v>366</v>
      </c>
      <c r="C250" s="245"/>
      <c r="D250" s="246"/>
      <c r="E250" s="246"/>
      <c r="F250" s="246"/>
      <c r="G250" s="246"/>
      <c r="H250" s="247"/>
      <c r="J250" s="34"/>
      <c r="T250" s="33"/>
    </row>
    <row r="251" spans="1:20" s="35" customFormat="1" ht="15.75" customHeight="1" x14ac:dyDescent="0.25">
      <c r="A251" s="40">
        <f t="shared" si="35"/>
        <v>4</v>
      </c>
      <c r="B251" s="40" t="s">
        <v>372</v>
      </c>
      <c r="C251" s="40" t="s">
        <v>360</v>
      </c>
      <c r="D251" s="70">
        <f>(20.38)*(10.764)</f>
        <v>219.37031999999996</v>
      </c>
      <c r="E251" s="40">
        <v>0</v>
      </c>
      <c r="F251" s="40">
        <f t="shared" ref="F251" si="36">D251+(IF(E251&lt;201,E251,IF(E251&lt;301,E251/2,E251/3)))</f>
        <v>219.37031999999996</v>
      </c>
      <c r="G251" s="40">
        <v>0</v>
      </c>
      <c r="H251" s="40">
        <f t="shared" ref="H251" si="37">(F251+(IF(G251&lt;101,G251,IF(G251&lt;201,G251/2,IF(G251&lt;=301,G251/3,G251/4)))))*(($H$188)+1)</f>
        <v>340.02399599999995</v>
      </c>
      <c r="I251" s="34"/>
      <c r="L251" s="140"/>
      <c r="M251" s="140"/>
      <c r="N251" s="34"/>
      <c r="T251" s="33"/>
    </row>
    <row r="252" spans="1:20" s="35" customFormat="1" ht="15.75" customHeight="1" x14ac:dyDescent="0.25">
      <c r="A252" s="98">
        <f t="shared" si="35"/>
        <v>5</v>
      </c>
      <c r="B252" s="98" t="s">
        <v>366</v>
      </c>
      <c r="C252" s="248" t="s">
        <v>380</v>
      </c>
      <c r="D252" s="248"/>
      <c r="E252" s="248"/>
      <c r="F252" s="248"/>
      <c r="G252" s="248"/>
      <c r="H252" s="248"/>
      <c r="I252" s="34"/>
      <c r="L252" s="140"/>
      <c r="M252" s="140"/>
      <c r="N252" s="34"/>
      <c r="T252" s="32"/>
    </row>
    <row r="253" spans="1:20" s="35" customFormat="1" ht="15.75" customHeight="1" x14ac:dyDescent="0.25">
      <c r="A253" s="98">
        <f t="shared" si="35"/>
        <v>6</v>
      </c>
      <c r="B253" s="98" t="s">
        <v>372</v>
      </c>
      <c r="C253" s="98" t="s">
        <v>360</v>
      </c>
      <c r="D253" s="70">
        <f>(20.29)*(10.764)</f>
        <v>218.40155999999999</v>
      </c>
      <c r="E253" s="98">
        <v>0</v>
      </c>
      <c r="F253" s="98">
        <f t="shared" ref="F253" si="38">D253+(IF(E253&lt;201,E253,IF(E253&lt;301,E253/2,E253/3)))</f>
        <v>218.40155999999999</v>
      </c>
      <c r="G253" s="98">
        <v>0</v>
      </c>
      <c r="H253" s="98">
        <f t="shared" ref="H253" si="39">(F253+(IF(G253&lt;101,G253,IF(G253&lt;201,G253/2,IF(G253&lt;=301,G253/3,G253/4)))))*(($H$188)+1)</f>
        <v>338.52241800000002</v>
      </c>
      <c r="I253" s="34"/>
      <c r="L253" s="140"/>
      <c r="M253" s="140"/>
      <c r="N253" s="34"/>
      <c r="T253" s="19"/>
    </row>
    <row r="254" spans="1:20" s="35" customFormat="1" ht="15.75" customHeight="1" x14ac:dyDescent="0.25">
      <c r="A254" s="98">
        <f t="shared" si="35"/>
        <v>7</v>
      </c>
      <c r="B254" s="113" t="s">
        <v>366</v>
      </c>
      <c r="C254" s="249" t="s">
        <v>426</v>
      </c>
      <c r="D254" s="249"/>
      <c r="E254" s="249"/>
      <c r="F254" s="249"/>
      <c r="G254" s="249"/>
      <c r="H254" s="249"/>
      <c r="I254" s="34"/>
      <c r="L254" s="140"/>
      <c r="M254" s="140"/>
      <c r="N254" s="34"/>
      <c r="T254" s="19"/>
    </row>
    <row r="255" spans="1:20" s="35" customFormat="1" ht="15.75" customHeight="1" x14ac:dyDescent="0.25">
      <c r="A255" s="98">
        <f t="shared" si="35"/>
        <v>8</v>
      </c>
      <c r="B255" s="113" t="s">
        <v>366</v>
      </c>
      <c r="C255" s="249"/>
      <c r="D255" s="249"/>
      <c r="E255" s="249"/>
      <c r="F255" s="249"/>
      <c r="G255" s="249"/>
      <c r="H255" s="249"/>
      <c r="I255" s="34"/>
      <c r="L255" s="140"/>
      <c r="M255" s="140"/>
      <c r="N255" s="34"/>
      <c r="T255" s="33"/>
    </row>
    <row r="256" spans="1:20" s="35" customFormat="1" ht="15.75" customHeight="1" x14ac:dyDescent="0.25">
      <c r="A256" s="98">
        <f t="shared" si="35"/>
        <v>9</v>
      </c>
      <c r="B256" s="113" t="s">
        <v>366</v>
      </c>
      <c r="C256" s="249"/>
      <c r="D256" s="249"/>
      <c r="E256" s="249"/>
      <c r="F256" s="249"/>
      <c r="G256" s="249"/>
      <c r="H256" s="249"/>
      <c r="I256" s="34"/>
      <c r="L256" s="140"/>
      <c r="M256" s="140"/>
      <c r="N256" s="34"/>
      <c r="T256" s="32"/>
    </row>
    <row r="257" spans="1:20" s="35" customFormat="1" ht="15.75" customHeight="1" x14ac:dyDescent="0.25">
      <c r="A257" s="98">
        <f t="shared" si="35"/>
        <v>10</v>
      </c>
      <c r="B257" s="113" t="s">
        <v>366</v>
      </c>
      <c r="C257" s="249"/>
      <c r="D257" s="249"/>
      <c r="E257" s="249"/>
      <c r="F257" s="249"/>
      <c r="G257" s="249"/>
      <c r="H257" s="249"/>
      <c r="I257" s="34"/>
      <c r="L257" s="140"/>
      <c r="M257" s="140"/>
      <c r="N257" s="34"/>
      <c r="T257" s="19"/>
    </row>
    <row r="258" spans="1:20" s="35" customFormat="1" ht="15.75" customHeight="1" x14ac:dyDescent="0.25">
      <c r="A258" s="98">
        <f t="shared" si="35"/>
        <v>11</v>
      </c>
      <c r="B258" s="113" t="s">
        <v>366</v>
      </c>
      <c r="C258" s="249"/>
      <c r="D258" s="249"/>
      <c r="E258" s="249"/>
      <c r="F258" s="249"/>
      <c r="G258" s="249"/>
      <c r="H258" s="249"/>
      <c r="I258" s="34"/>
      <c r="L258" s="140"/>
      <c r="M258" s="140"/>
      <c r="N258" s="34"/>
      <c r="T258" s="19"/>
    </row>
    <row r="259" spans="1:20" s="35" customFormat="1" ht="15.75" customHeight="1" x14ac:dyDescent="0.25">
      <c r="A259" s="98">
        <f t="shared" si="35"/>
        <v>12</v>
      </c>
      <c r="B259" s="113" t="s">
        <v>397</v>
      </c>
      <c r="C259" s="113" t="s">
        <v>376</v>
      </c>
      <c r="D259" s="105">
        <f>(16.85)*(10.764)</f>
        <v>181.3734</v>
      </c>
      <c r="E259" s="113">
        <v>0</v>
      </c>
      <c r="F259" s="113">
        <f>D259+(IF(E259&lt;201,E259,IF(E259&lt;301,E259/2,E259/3)))</f>
        <v>181.3734</v>
      </c>
      <c r="G259" s="113">
        <v>0</v>
      </c>
      <c r="H259" s="113">
        <f>(F259+(IF(G259&lt;101,G259,IF(G259&lt;201,G259/2,IF(G259&lt;=301,G259/3,G259/4)))))*(($H$188)+1)</f>
        <v>281.12877000000003</v>
      </c>
      <c r="I259" s="34"/>
      <c r="L259" s="140"/>
      <c r="M259" s="140"/>
      <c r="N259" s="34"/>
      <c r="T259" s="32"/>
    </row>
    <row r="260" spans="1:20" s="35" customFormat="1" ht="15.75" customHeight="1" x14ac:dyDescent="0.25">
      <c r="A260" s="98">
        <f t="shared" si="35"/>
        <v>13</v>
      </c>
      <c r="B260" s="113" t="s">
        <v>366</v>
      </c>
      <c r="C260" s="249" t="s">
        <v>426</v>
      </c>
      <c r="D260" s="249"/>
      <c r="E260" s="249"/>
      <c r="F260" s="249"/>
      <c r="G260" s="249"/>
      <c r="H260" s="249"/>
      <c r="I260" s="34"/>
      <c r="L260" s="140"/>
      <c r="M260" s="140"/>
      <c r="N260" s="34"/>
      <c r="T260" s="19"/>
    </row>
    <row r="261" spans="1:20" s="35" customFormat="1" ht="15.75" customHeight="1" x14ac:dyDescent="0.25">
      <c r="A261" s="98">
        <f t="shared" si="35"/>
        <v>14</v>
      </c>
      <c r="B261" s="98" t="s">
        <v>372</v>
      </c>
      <c r="C261" s="98" t="s">
        <v>360</v>
      </c>
      <c r="D261" s="70">
        <f>(32.29)*(10.764)</f>
        <v>347.56955999999997</v>
      </c>
      <c r="E261" s="98">
        <v>0</v>
      </c>
      <c r="F261" s="98">
        <f t="shared" ref="F261:F264" si="40">D261+(IF(E261&lt;201,E261,IF(E261&lt;301,E261/2,E261/3)))</f>
        <v>347.56955999999997</v>
      </c>
      <c r="G261" s="98">
        <v>0</v>
      </c>
      <c r="H261" s="98">
        <f t="shared" ref="H261:H264" si="41">(F261+(IF(G261&lt;101,G261,IF(G261&lt;201,G261/2,IF(G261&lt;=301,G261/3,G261/4)))))*(($H$188)+1)</f>
        <v>538.73281799999995</v>
      </c>
      <c r="I261" s="34"/>
      <c r="L261" s="140"/>
      <c r="M261" s="140"/>
      <c r="N261" s="34"/>
      <c r="T261" s="19"/>
    </row>
    <row r="262" spans="1:20" s="35" customFormat="1" ht="15.75" customHeight="1" x14ac:dyDescent="0.25">
      <c r="A262" s="98">
        <f t="shared" si="35"/>
        <v>15</v>
      </c>
      <c r="B262" s="98" t="s">
        <v>397</v>
      </c>
      <c r="C262" s="98" t="s">
        <v>376</v>
      </c>
      <c r="D262" s="70">
        <f>(14.45)*(10.764)</f>
        <v>155.53979999999999</v>
      </c>
      <c r="E262" s="98">
        <v>0</v>
      </c>
      <c r="F262" s="98">
        <f t="shared" si="40"/>
        <v>155.53979999999999</v>
      </c>
      <c r="G262" s="98">
        <v>0</v>
      </c>
      <c r="H262" s="98">
        <f t="shared" si="41"/>
        <v>241.08668999999998</v>
      </c>
      <c r="I262" s="34"/>
      <c r="L262" s="140"/>
      <c r="M262" s="140"/>
      <c r="N262" s="34"/>
      <c r="T262" s="33"/>
    </row>
    <row r="263" spans="1:20" s="35" customFormat="1" ht="15.75" customHeight="1" x14ac:dyDescent="0.25">
      <c r="A263" s="98">
        <f t="shared" si="35"/>
        <v>16</v>
      </c>
      <c r="B263" s="98" t="s">
        <v>372</v>
      </c>
      <c r="C263" s="98" t="s">
        <v>360</v>
      </c>
      <c r="D263" s="70">
        <f>(74.74)*(10.764)</f>
        <v>804.50135999999986</v>
      </c>
      <c r="E263" s="98">
        <v>0</v>
      </c>
      <c r="F263" s="98">
        <f t="shared" si="40"/>
        <v>804.50135999999986</v>
      </c>
      <c r="G263" s="98">
        <v>0</v>
      </c>
      <c r="H263" s="98">
        <f t="shared" si="41"/>
        <v>1246.9771079999998</v>
      </c>
      <c r="I263" s="34"/>
      <c r="L263" s="140"/>
      <c r="M263" s="140"/>
      <c r="N263" s="34"/>
      <c r="T263" s="32"/>
    </row>
    <row r="264" spans="1:20" s="35" customFormat="1" ht="15.75" customHeight="1" x14ac:dyDescent="0.25">
      <c r="A264" s="98">
        <f t="shared" si="35"/>
        <v>17</v>
      </c>
      <c r="B264" s="98" t="s">
        <v>372</v>
      </c>
      <c r="C264" s="98" t="s">
        <v>360</v>
      </c>
      <c r="D264" s="70">
        <f>(40.65)*(10.764)</f>
        <v>437.55659999999995</v>
      </c>
      <c r="E264" s="98">
        <v>0</v>
      </c>
      <c r="F264" s="98">
        <f t="shared" si="40"/>
        <v>437.55659999999995</v>
      </c>
      <c r="G264" s="98">
        <v>0</v>
      </c>
      <c r="H264" s="98">
        <f t="shared" si="41"/>
        <v>678.21272999999997</v>
      </c>
      <c r="I264" s="34"/>
      <c r="L264" s="140"/>
      <c r="M264" s="140"/>
      <c r="N264" s="34"/>
      <c r="T264" s="19"/>
    </row>
    <row r="265" spans="1:20" s="35" customFormat="1" ht="15.75" customHeight="1" x14ac:dyDescent="0.25">
      <c r="A265" s="288" t="s">
        <v>465</v>
      </c>
      <c r="B265" s="288"/>
      <c r="C265" s="288"/>
      <c r="D265" s="288"/>
      <c r="E265" s="288"/>
      <c r="F265" s="288"/>
      <c r="G265" s="288"/>
      <c r="H265" s="288"/>
      <c r="I265" s="34"/>
      <c r="L265" s="140"/>
      <c r="M265" s="140"/>
      <c r="N265" s="34"/>
      <c r="T265" s="19"/>
    </row>
    <row r="266" spans="1:20" s="35" customFormat="1" ht="15.75" customHeight="1" x14ac:dyDescent="0.25">
      <c r="A266" s="141" t="s">
        <v>373</v>
      </c>
      <c r="B266" s="141"/>
      <c r="C266" s="141"/>
      <c r="D266" s="141"/>
      <c r="E266" s="141"/>
      <c r="F266" s="141"/>
      <c r="G266" s="141"/>
      <c r="H266" s="141"/>
      <c r="I266" s="34"/>
      <c r="L266" s="140"/>
      <c r="M266" s="140"/>
      <c r="N266" s="34"/>
      <c r="T266" s="19"/>
    </row>
    <row r="267" spans="1:20" s="35" customFormat="1" ht="15.75" customHeight="1" x14ac:dyDescent="0.25">
      <c r="A267" s="289" t="s">
        <v>358</v>
      </c>
      <c r="B267" s="289"/>
      <c r="C267" s="289"/>
      <c r="D267" s="289"/>
      <c r="E267" s="289"/>
      <c r="F267" s="289"/>
      <c r="G267" s="289"/>
      <c r="H267" s="289"/>
      <c r="I267" s="34"/>
      <c r="L267" s="140"/>
      <c r="M267" s="140"/>
      <c r="N267" s="34"/>
      <c r="T267" s="19"/>
    </row>
    <row r="268" spans="1:20" s="35" customFormat="1" ht="15.75" customHeight="1" x14ac:dyDescent="0.25">
      <c r="A268" s="98">
        <v>1</v>
      </c>
      <c r="B268" s="98" t="s">
        <v>372</v>
      </c>
      <c r="C268" s="98" t="s">
        <v>360</v>
      </c>
      <c r="D268" s="70">
        <f>(28.98)*(10.764)</f>
        <v>311.94072</v>
      </c>
      <c r="E268" s="98">
        <v>0</v>
      </c>
      <c r="F268" s="98">
        <f>D268+(IF(E268&lt;201,E268,IF(E268&lt;301,E268/2,E268/3)))</f>
        <v>311.94072</v>
      </c>
      <c r="G268" s="98">
        <v>0</v>
      </c>
      <c r="H268" s="98">
        <f>(F268+(IF(G268&lt;101,G268,IF(G268&lt;201,G268/2,IF(G268&lt;=301,G268/3,G268/4)))))*(($H$188)+1)</f>
        <v>483.50811600000003</v>
      </c>
      <c r="I268" s="34"/>
      <c r="L268" s="140"/>
      <c r="M268" s="140"/>
      <c r="N268" s="34"/>
      <c r="T268" s="32"/>
    </row>
    <row r="269" spans="1:20" s="35" customFormat="1" ht="15.75" customHeight="1" x14ac:dyDescent="0.25">
      <c r="A269" s="98">
        <v>2</v>
      </c>
      <c r="B269" s="98" t="s">
        <v>372</v>
      </c>
      <c r="C269" s="98" t="s">
        <v>360</v>
      </c>
      <c r="D269" s="70">
        <f>(4.94)*(10.764)</f>
        <v>53.174160000000001</v>
      </c>
      <c r="E269" s="98">
        <v>0</v>
      </c>
      <c r="F269" s="98">
        <f t="shared" ref="F269:F271" si="42">D269+(IF(E269&lt;201,E269,IF(E269&lt;301,E269/2,E269/3)))</f>
        <v>53.174160000000001</v>
      </c>
      <c r="G269" s="98">
        <v>0</v>
      </c>
      <c r="H269" s="98">
        <f t="shared" ref="H269:H271" si="43">(F269+(IF(G269&lt;101,G269,IF(G269&lt;201,G269/2,IF(G269&lt;=301,G269/3,G269/4)))))*(($H$188)+1)</f>
        <v>82.419948000000005</v>
      </c>
      <c r="I269" s="34"/>
      <c r="L269" s="140"/>
      <c r="M269" s="140"/>
      <c r="N269" s="34"/>
      <c r="T269" s="19"/>
    </row>
    <row r="270" spans="1:20" s="35" customFormat="1" ht="15.75" customHeight="1" x14ac:dyDescent="0.25">
      <c r="A270" s="40" t="s">
        <v>374</v>
      </c>
      <c r="B270" s="40" t="s">
        <v>372</v>
      </c>
      <c r="C270" s="40" t="s">
        <v>360</v>
      </c>
      <c r="D270" s="70">
        <f>(3.36)*(10.764)</f>
        <v>36.167039999999993</v>
      </c>
      <c r="E270" s="40">
        <v>0</v>
      </c>
      <c r="F270" s="40">
        <f t="shared" si="42"/>
        <v>36.167039999999993</v>
      </c>
      <c r="G270" s="40">
        <v>0</v>
      </c>
      <c r="H270" s="40">
        <f t="shared" si="43"/>
        <v>56.058911999999992</v>
      </c>
      <c r="I270" s="34"/>
      <c r="L270" s="140"/>
      <c r="M270" s="140"/>
      <c r="N270" s="34"/>
      <c r="T270" s="19"/>
    </row>
    <row r="271" spans="1:20" s="35" customFormat="1" ht="15.75" customHeight="1" x14ac:dyDescent="0.25">
      <c r="A271" s="40">
        <v>3</v>
      </c>
      <c r="B271" s="40" t="s">
        <v>372</v>
      </c>
      <c r="C271" s="40" t="s">
        <v>360</v>
      </c>
      <c r="D271" s="70">
        <f>(31.1)*(10.764)</f>
        <v>334.7604</v>
      </c>
      <c r="E271" s="40">
        <v>0</v>
      </c>
      <c r="F271" s="40">
        <f t="shared" si="42"/>
        <v>334.7604</v>
      </c>
      <c r="G271" s="40">
        <v>0</v>
      </c>
      <c r="H271" s="40">
        <f t="shared" si="43"/>
        <v>518.87862000000007</v>
      </c>
      <c r="I271" s="34"/>
      <c r="L271" s="140"/>
      <c r="M271" s="140"/>
      <c r="N271" s="34"/>
      <c r="T271" s="33"/>
    </row>
    <row r="272" spans="1:20" s="35" customFormat="1" ht="15.75" customHeight="1" x14ac:dyDescent="0.25">
      <c r="A272" s="40" t="s">
        <v>375</v>
      </c>
      <c r="B272" s="40" t="s">
        <v>372</v>
      </c>
      <c r="C272" s="40" t="s">
        <v>360</v>
      </c>
      <c r="D272" s="70">
        <f>(9.01)*(10.764)</f>
        <v>96.983639999999994</v>
      </c>
      <c r="E272" s="40">
        <v>0</v>
      </c>
      <c r="F272" s="40">
        <f>D272+(IF(E272&lt;201,E272,IF(E272&lt;301,E272/2,E272/3)))</f>
        <v>96.983639999999994</v>
      </c>
      <c r="G272" s="40">
        <v>0</v>
      </c>
      <c r="H272" s="40">
        <f>(F272+(IF(G272&lt;101,G272,IF(G272&lt;201,G272/2,IF(G272&lt;=301,G272/3,G272/4)))))*(($H$188)+1)</f>
        <v>150.32464199999998</v>
      </c>
      <c r="I272" s="34"/>
      <c r="L272" s="140"/>
      <c r="M272" s="140"/>
      <c r="N272" s="34"/>
      <c r="T272" s="32"/>
    </row>
    <row r="273" spans="1:20" s="35" customFormat="1" x14ac:dyDescent="0.25">
      <c r="A273" s="40">
        <v>4</v>
      </c>
      <c r="B273" s="40" t="s">
        <v>372</v>
      </c>
      <c r="C273" s="40" t="s">
        <v>360</v>
      </c>
      <c r="D273" s="70">
        <f>(51.02)*(10.764)</f>
        <v>549.17927999999995</v>
      </c>
      <c r="E273" s="40">
        <v>0</v>
      </c>
      <c r="F273" s="40">
        <f t="shared" ref="F273:F278" si="44">D273+(IF(E273&lt;201,E273,IF(E273&lt;301,E273/2,E273/3)))</f>
        <v>549.17927999999995</v>
      </c>
      <c r="G273" s="40">
        <v>0</v>
      </c>
      <c r="H273" s="40">
        <f t="shared" ref="H273:H278" si="45">(F273+(IF(G273&lt;101,G273,IF(G273&lt;201,G273/2,IF(G273&lt;=301,G273/3,G273/4)))))*(($H$188)+1)</f>
        <v>851.2278839999999</v>
      </c>
      <c r="J273" s="34"/>
      <c r="T273" s="33"/>
    </row>
    <row r="274" spans="1:20" s="35" customFormat="1" ht="15.75" customHeight="1" x14ac:dyDescent="0.25">
      <c r="A274" s="40">
        <f>A273+1</f>
        <v>5</v>
      </c>
      <c r="B274" s="40" t="s">
        <v>397</v>
      </c>
      <c r="C274" s="40" t="s">
        <v>376</v>
      </c>
      <c r="D274" s="70">
        <f>(8.24)*(10.764)</f>
        <v>88.695359999999994</v>
      </c>
      <c r="E274" s="40">
        <v>0</v>
      </c>
      <c r="F274" s="40">
        <f t="shared" si="44"/>
        <v>88.695359999999994</v>
      </c>
      <c r="G274" s="40">
        <v>0</v>
      </c>
      <c r="H274" s="40">
        <f t="shared" si="45"/>
        <v>137.47780799999998</v>
      </c>
      <c r="I274" s="34"/>
      <c r="L274" s="140"/>
      <c r="M274" s="140"/>
      <c r="N274" s="34"/>
      <c r="T274" s="33"/>
    </row>
    <row r="275" spans="1:20" s="35" customFormat="1" ht="15.75" customHeight="1" x14ac:dyDescent="0.25">
      <c r="A275" s="40">
        <f t="shared" ref="A275:A289" si="46">A274+1</f>
        <v>6</v>
      </c>
      <c r="B275" s="40" t="s">
        <v>372</v>
      </c>
      <c r="C275" s="40" t="s">
        <v>360</v>
      </c>
      <c r="D275" s="70">
        <f>(35.2)*(10.764)</f>
        <v>378.89280000000002</v>
      </c>
      <c r="E275" s="40">
        <v>0</v>
      </c>
      <c r="F275" s="40">
        <f t="shared" si="44"/>
        <v>378.89280000000002</v>
      </c>
      <c r="G275" s="40">
        <v>0</v>
      </c>
      <c r="H275" s="40">
        <f t="shared" si="45"/>
        <v>587.28384000000005</v>
      </c>
      <c r="I275" s="34"/>
      <c r="L275" s="140"/>
      <c r="M275" s="140"/>
      <c r="N275" s="34"/>
      <c r="T275" s="32"/>
    </row>
    <row r="276" spans="1:20" s="35" customFormat="1" ht="15.75" customHeight="1" x14ac:dyDescent="0.25">
      <c r="A276" s="40">
        <f t="shared" si="46"/>
        <v>7</v>
      </c>
      <c r="B276" s="40" t="s">
        <v>372</v>
      </c>
      <c r="C276" s="40" t="s">
        <v>360</v>
      </c>
      <c r="D276" s="70">
        <f>(8.6)*(10.764)</f>
        <v>92.570399999999992</v>
      </c>
      <c r="E276" s="40">
        <v>0</v>
      </c>
      <c r="F276" s="40">
        <f t="shared" si="44"/>
        <v>92.570399999999992</v>
      </c>
      <c r="G276" s="40">
        <v>0</v>
      </c>
      <c r="H276" s="40">
        <f t="shared" si="45"/>
        <v>143.48411999999999</v>
      </c>
      <c r="I276" s="34"/>
      <c r="L276" s="140"/>
      <c r="M276" s="140"/>
      <c r="N276" s="34"/>
      <c r="T276" s="19"/>
    </row>
    <row r="277" spans="1:20" s="35" customFormat="1" ht="15.75" customHeight="1" x14ac:dyDescent="0.25">
      <c r="A277" s="40">
        <f t="shared" si="46"/>
        <v>8</v>
      </c>
      <c r="B277" s="40" t="s">
        <v>397</v>
      </c>
      <c r="C277" s="40" t="s">
        <v>376</v>
      </c>
      <c r="D277" s="70">
        <f>(5.07)*(10.764)</f>
        <v>54.573479999999996</v>
      </c>
      <c r="E277" s="40">
        <v>0</v>
      </c>
      <c r="F277" s="40">
        <f t="shared" si="44"/>
        <v>54.573479999999996</v>
      </c>
      <c r="G277" s="40">
        <v>0</v>
      </c>
      <c r="H277" s="40">
        <f t="shared" si="45"/>
        <v>84.588893999999996</v>
      </c>
      <c r="I277" s="34"/>
      <c r="L277" s="140"/>
      <c r="M277" s="140"/>
      <c r="N277" s="34"/>
      <c r="T277" s="19"/>
    </row>
    <row r="278" spans="1:20" s="35" customFormat="1" ht="15.75" customHeight="1" x14ac:dyDescent="0.25">
      <c r="A278" s="40">
        <f t="shared" si="46"/>
        <v>9</v>
      </c>
      <c r="B278" s="40" t="s">
        <v>372</v>
      </c>
      <c r="C278" s="40" t="s">
        <v>360</v>
      </c>
      <c r="D278" s="70">
        <f>(37.22)*(10.764)</f>
        <v>400.63607999999994</v>
      </c>
      <c r="E278" s="40">
        <v>0</v>
      </c>
      <c r="F278" s="40">
        <f t="shared" si="44"/>
        <v>400.63607999999994</v>
      </c>
      <c r="G278" s="40">
        <v>0</v>
      </c>
      <c r="H278" s="40">
        <f t="shared" si="45"/>
        <v>620.98592399999995</v>
      </c>
      <c r="I278" s="34"/>
      <c r="L278" s="140"/>
      <c r="M278" s="140"/>
      <c r="N278" s="34"/>
      <c r="T278" s="33"/>
    </row>
    <row r="279" spans="1:20" s="35" customFormat="1" ht="15.75" customHeight="1" x14ac:dyDescent="0.25">
      <c r="A279" s="40">
        <f t="shared" si="46"/>
        <v>10</v>
      </c>
      <c r="B279" s="40" t="s">
        <v>372</v>
      </c>
      <c r="C279" s="40" t="s">
        <v>360</v>
      </c>
      <c r="D279" s="70">
        <f>(34.39)*(10.764)</f>
        <v>370.17395999999997</v>
      </c>
      <c r="E279" s="40">
        <v>0</v>
      </c>
      <c r="F279" s="40">
        <f>D279+(IF(E279&lt;201,E279,IF(E279&lt;301,E279/2,E279/3)))</f>
        <v>370.17395999999997</v>
      </c>
      <c r="G279" s="40">
        <v>0</v>
      </c>
      <c r="H279" s="40">
        <f>(F279+(IF(G279&lt;101,G279,IF(G279&lt;201,G279/2,IF(G279&lt;=301,G279/3,G279/4)))))*(($H$188)+1)</f>
        <v>573.76963799999999</v>
      </c>
      <c r="I279" s="34"/>
      <c r="L279" s="140"/>
      <c r="M279" s="140"/>
      <c r="N279" s="34"/>
      <c r="T279" s="32"/>
    </row>
    <row r="280" spans="1:20" s="35" customFormat="1" ht="15.75" customHeight="1" x14ac:dyDescent="0.25">
      <c r="A280" s="40">
        <f t="shared" si="46"/>
        <v>11</v>
      </c>
      <c r="B280" s="40" t="s">
        <v>372</v>
      </c>
      <c r="C280" s="40" t="s">
        <v>360</v>
      </c>
      <c r="D280" s="70">
        <f>(34.38)*(10.764)</f>
        <v>370.06632000000002</v>
      </c>
      <c r="E280" s="40">
        <v>0</v>
      </c>
      <c r="F280" s="40">
        <f t="shared" ref="F280:F287" si="47">D280+(IF(E280&lt;201,E280,IF(E280&lt;301,E280/2,E280/3)))</f>
        <v>370.06632000000002</v>
      </c>
      <c r="G280" s="40">
        <v>0</v>
      </c>
      <c r="H280" s="40">
        <f t="shared" ref="H280:H287" si="48">(F280+(IF(G280&lt;101,G280,IF(G280&lt;201,G280/2,IF(G280&lt;=301,G280/3,G280/4)))))*(($H$188)+1)</f>
        <v>573.60279600000001</v>
      </c>
      <c r="I280" s="34"/>
      <c r="L280" s="140"/>
      <c r="M280" s="140"/>
      <c r="N280" s="34"/>
      <c r="T280" s="19"/>
    </row>
    <row r="281" spans="1:20" s="35" customFormat="1" ht="15.75" customHeight="1" x14ac:dyDescent="0.25">
      <c r="A281" s="40">
        <f t="shared" si="46"/>
        <v>12</v>
      </c>
      <c r="B281" s="40" t="s">
        <v>397</v>
      </c>
      <c r="C281" s="40" t="s">
        <v>376</v>
      </c>
      <c r="D281" s="70">
        <f>(27.68)*(10.764)</f>
        <v>297.94752</v>
      </c>
      <c r="E281" s="40">
        <v>0</v>
      </c>
      <c r="F281" s="40">
        <f t="shared" si="47"/>
        <v>297.94752</v>
      </c>
      <c r="G281" s="40">
        <v>0</v>
      </c>
      <c r="H281" s="40">
        <f t="shared" si="48"/>
        <v>461.81865600000003</v>
      </c>
      <c r="I281" s="34"/>
      <c r="L281" s="140"/>
      <c r="M281" s="140"/>
      <c r="N281" s="34"/>
      <c r="T281" s="19"/>
    </row>
    <row r="282" spans="1:20" s="35" customFormat="1" ht="15.75" customHeight="1" x14ac:dyDescent="0.25">
      <c r="A282" s="40">
        <f t="shared" si="46"/>
        <v>13</v>
      </c>
      <c r="B282" s="40" t="s">
        <v>397</v>
      </c>
      <c r="C282" s="40" t="s">
        <v>376</v>
      </c>
      <c r="D282" s="70">
        <f>(8.86)*(10.764)</f>
        <v>95.369039999999984</v>
      </c>
      <c r="E282" s="40">
        <v>0</v>
      </c>
      <c r="F282" s="40">
        <f t="shared" si="47"/>
        <v>95.369039999999984</v>
      </c>
      <c r="G282" s="40">
        <v>0</v>
      </c>
      <c r="H282" s="40">
        <f t="shared" si="48"/>
        <v>147.82201199999997</v>
      </c>
      <c r="I282" s="34"/>
      <c r="L282" s="140"/>
      <c r="M282" s="140"/>
      <c r="N282" s="34"/>
      <c r="T282" s="32"/>
    </row>
    <row r="283" spans="1:20" s="35" customFormat="1" ht="15.75" customHeight="1" x14ac:dyDescent="0.25">
      <c r="A283" s="40">
        <f t="shared" si="46"/>
        <v>14</v>
      </c>
      <c r="B283" s="40" t="s">
        <v>372</v>
      </c>
      <c r="C283" s="40" t="s">
        <v>360</v>
      </c>
      <c r="D283" s="70">
        <f>(34.17)*(10.764)</f>
        <v>367.80588</v>
      </c>
      <c r="E283" s="40">
        <v>0</v>
      </c>
      <c r="F283" s="40">
        <f t="shared" si="47"/>
        <v>367.80588</v>
      </c>
      <c r="G283" s="40">
        <v>0</v>
      </c>
      <c r="H283" s="40">
        <f t="shared" si="48"/>
        <v>570.09911399999999</v>
      </c>
      <c r="I283" s="34"/>
      <c r="L283" s="140"/>
      <c r="M283" s="140"/>
      <c r="N283" s="34"/>
      <c r="T283" s="19"/>
    </row>
    <row r="284" spans="1:20" s="35" customFormat="1" ht="15.75" customHeight="1" x14ac:dyDescent="0.25">
      <c r="A284" s="40">
        <f t="shared" si="46"/>
        <v>15</v>
      </c>
      <c r="B284" s="40" t="s">
        <v>372</v>
      </c>
      <c r="C284" s="40" t="s">
        <v>360</v>
      </c>
      <c r="D284" s="70">
        <f>(16.43)*(10.764)</f>
        <v>176.85252</v>
      </c>
      <c r="E284" s="40">
        <v>0</v>
      </c>
      <c r="F284" s="40">
        <f t="shared" si="47"/>
        <v>176.85252</v>
      </c>
      <c r="G284" s="40">
        <v>0</v>
      </c>
      <c r="H284" s="40">
        <f t="shared" si="48"/>
        <v>274.12140599999998</v>
      </c>
      <c r="I284" s="34"/>
      <c r="L284" s="140"/>
      <c r="M284" s="140"/>
      <c r="N284" s="34"/>
      <c r="T284" s="19"/>
    </row>
    <row r="285" spans="1:20" s="35" customFormat="1" ht="15.75" customHeight="1" x14ac:dyDescent="0.25">
      <c r="A285" s="40">
        <f t="shared" si="46"/>
        <v>16</v>
      </c>
      <c r="B285" s="40" t="s">
        <v>372</v>
      </c>
      <c r="C285" s="40" t="s">
        <v>360</v>
      </c>
      <c r="D285" s="70">
        <f>(9.85)*(10.764)</f>
        <v>106.02539999999999</v>
      </c>
      <c r="E285" s="40">
        <v>0</v>
      </c>
      <c r="F285" s="40">
        <f t="shared" si="47"/>
        <v>106.02539999999999</v>
      </c>
      <c r="G285" s="40">
        <v>0</v>
      </c>
      <c r="H285" s="40">
        <f t="shared" si="48"/>
        <v>164.33937</v>
      </c>
      <c r="I285" s="34"/>
      <c r="L285" s="140"/>
      <c r="M285" s="140"/>
      <c r="N285" s="34"/>
      <c r="T285" s="33"/>
    </row>
    <row r="286" spans="1:20" s="35" customFormat="1" ht="15.75" customHeight="1" x14ac:dyDescent="0.25">
      <c r="A286" s="40">
        <f t="shared" si="46"/>
        <v>17</v>
      </c>
      <c r="B286" s="40" t="s">
        <v>372</v>
      </c>
      <c r="C286" s="40" t="s">
        <v>360</v>
      </c>
      <c r="D286" s="70">
        <f>(41.28)*(10.764)</f>
        <v>444.33792</v>
      </c>
      <c r="E286" s="40">
        <v>0</v>
      </c>
      <c r="F286" s="40">
        <f t="shared" si="47"/>
        <v>444.33792</v>
      </c>
      <c r="G286" s="40">
        <v>0</v>
      </c>
      <c r="H286" s="40">
        <f t="shared" si="48"/>
        <v>688.72377600000004</v>
      </c>
      <c r="I286" s="34"/>
      <c r="L286" s="140"/>
      <c r="M286" s="140"/>
      <c r="N286" s="34"/>
      <c r="T286" s="32"/>
    </row>
    <row r="287" spans="1:20" s="35" customFormat="1" ht="15.75" customHeight="1" x14ac:dyDescent="0.25">
      <c r="A287" s="40">
        <f t="shared" si="46"/>
        <v>18</v>
      </c>
      <c r="B287" s="40" t="s">
        <v>397</v>
      </c>
      <c r="C287" s="40" t="s">
        <v>376</v>
      </c>
      <c r="D287" s="70">
        <f>(10.08)*(10.764)</f>
        <v>108.50112</v>
      </c>
      <c r="E287" s="40">
        <v>0</v>
      </c>
      <c r="F287" s="40">
        <f t="shared" si="47"/>
        <v>108.50112</v>
      </c>
      <c r="G287" s="40">
        <v>0</v>
      </c>
      <c r="H287" s="40">
        <f t="shared" si="48"/>
        <v>168.17673600000001</v>
      </c>
      <c r="I287" s="34"/>
      <c r="L287" s="140"/>
      <c r="M287" s="140"/>
      <c r="N287" s="34"/>
      <c r="T287" s="19"/>
    </row>
    <row r="288" spans="1:20" s="35" customFormat="1" ht="15.75" customHeight="1" x14ac:dyDescent="0.25">
      <c r="A288" s="40">
        <f t="shared" si="46"/>
        <v>19</v>
      </c>
      <c r="B288" s="40" t="s">
        <v>372</v>
      </c>
      <c r="C288" s="40" t="s">
        <v>360</v>
      </c>
      <c r="D288" s="70">
        <f>(31.75)*(10.764)</f>
        <v>341.75700000000001</v>
      </c>
      <c r="E288" s="40">
        <v>0</v>
      </c>
      <c r="F288" s="40">
        <f>D288+(IF(E288&lt;201,E288,IF(E288&lt;301,E288/2,E288/3)))</f>
        <v>341.75700000000001</v>
      </c>
      <c r="G288" s="40">
        <v>0</v>
      </c>
      <c r="H288" s="40">
        <f>(F288+(IF(G288&lt;101,G288,IF(G288&lt;201,G288/2,IF(G288&lt;=301,G288/3,G288/4)))))*(($H$188)+1)</f>
        <v>529.72334999999998</v>
      </c>
      <c r="I288" s="34"/>
      <c r="L288" s="140"/>
      <c r="M288" s="140"/>
      <c r="N288" s="34"/>
      <c r="T288" s="33"/>
    </row>
    <row r="289" spans="1:20" s="35" customFormat="1" ht="15.75" customHeight="1" x14ac:dyDescent="0.25">
      <c r="A289" s="40">
        <f t="shared" si="46"/>
        <v>20</v>
      </c>
      <c r="B289" s="40" t="s">
        <v>372</v>
      </c>
      <c r="C289" s="40" t="s">
        <v>360</v>
      </c>
      <c r="D289" s="70">
        <f>(9.86)*(10.764)</f>
        <v>106.13303999999999</v>
      </c>
      <c r="E289" s="40">
        <v>0</v>
      </c>
      <c r="F289" s="40">
        <f t="shared" ref="F289" si="49">D289+(IF(E289&lt;201,E289,IF(E289&lt;301,E289/2,E289/3)))</f>
        <v>106.13303999999999</v>
      </c>
      <c r="G289" s="40">
        <v>0</v>
      </c>
      <c r="H289" s="40">
        <f t="shared" ref="H289" si="50">(F289+(IF(G289&lt;101,G289,IF(G289&lt;201,G289/2,IF(G289&lt;=301,G289/3,G289/4)))))*(($H$188)+1)</f>
        <v>164.506212</v>
      </c>
      <c r="I289" s="34"/>
      <c r="L289" s="140"/>
      <c r="M289" s="140"/>
      <c r="N289" s="34"/>
      <c r="T289" s="32"/>
    </row>
    <row r="290" spans="1:20" s="35" customFormat="1" ht="15.75" customHeight="1" x14ac:dyDescent="0.25">
      <c r="A290" s="141" t="s">
        <v>384</v>
      </c>
      <c r="B290" s="141"/>
      <c r="C290" s="141"/>
      <c r="D290" s="141"/>
      <c r="E290" s="141"/>
      <c r="F290" s="141"/>
      <c r="G290" s="141"/>
      <c r="H290" s="141"/>
      <c r="I290" s="34"/>
      <c r="L290" s="140"/>
      <c r="M290" s="140"/>
      <c r="N290" s="34"/>
      <c r="T290" s="19"/>
    </row>
    <row r="291" spans="1:20" s="35" customFormat="1" x14ac:dyDescent="0.25">
      <c r="A291" s="98">
        <v>1</v>
      </c>
      <c r="B291" s="98" t="s">
        <v>397</v>
      </c>
      <c r="C291" s="98" t="s">
        <v>376</v>
      </c>
      <c r="D291" s="70">
        <f>(45.4)*(10.764)</f>
        <v>488.68559999999997</v>
      </c>
      <c r="E291" s="98">
        <v>0</v>
      </c>
      <c r="F291" s="98">
        <f>D291+(IF(E291&lt;201,E291,IF(E291&lt;301,E291/2,E291/3)))</f>
        <v>488.68559999999997</v>
      </c>
      <c r="G291" s="98">
        <v>0</v>
      </c>
      <c r="H291" s="98">
        <f>(F291+(IF(G291&lt;101,G291,IF(G291&lt;201,G291/2,IF(G291&lt;=301,G291/3,G291/4)))))*(($H$188)+1)</f>
        <v>757.46267999999998</v>
      </c>
      <c r="J291" s="34"/>
      <c r="T291" s="33"/>
    </row>
    <row r="292" spans="1:20" s="35" customFormat="1" ht="15.75" customHeight="1" x14ac:dyDescent="0.25">
      <c r="A292" s="98" t="s">
        <v>381</v>
      </c>
      <c r="B292" s="98" t="s">
        <v>397</v>
      </c>
      <c r="C292" s="98" t="s">
        <v>376</v>
      </c>
      <c r="D292" s="70">
        <f>(31.54)*(10.764)</f>
        <v>339.49655999999999</v>
      </c>
      <c r="E292" s="98">
        <v>0</v>
      </c>
      <c r="F292" s="98">
        <f t="shared" ref="F292:F294" si="51">D292+(IF(E292&lt;201,E292,IF(E292&lt;301,E292/2,E292/3)))</f>
        <v>339.49655999999999</v>
      </c>
      <c r="G292" s="98">
        <v>0</v>
      </c>
      <c r="H292" s="98">
        <f t="shared" ref="H292:H294" si="52">(F292+(IF(G292&lt;101,G292,IF(G292&lt;201,G292/2,IF(G292&lt;=301,G292/3,G292/4)))))*(($H$188)+1)</f>
        <v>526.21966799999996</v>
      </c>
      <c r="I292" s="34"/>
      <c r="L292" s="140"/>
      <c r="M292" s="140"/>
      <c r="N292" s="34"/>
      <c r="T292" s="33"/>
    </row>
    <row r="293" spans="1:20" s="35" customFormat="1" ht="15.75" customHeight="1" x14ac:dyDescent="0.25">
      <c r="A293" s="98">
        <v>2</v>
      </c>
      <c r="B293" s="98" t="s">
        <v>397</v>
      </c>
      <c r="C293" s="98" t="s">
        <v>376</v>
      </c>
      <c r="D293" s="70">
        <f>(31.26)*(10.764)</f>
        <v>336.48264</v>
      </c>
      <c r="E293" s="98">
        <v>0</v>
      </c>
      <c r="F293" s="98">
        <f t="shared" si="51"/>
        <v>336.48264</v>
      </c>
      <c r="G293" s="98">
        <v>0</v>
      </c>
      <c r="H293" s="98">
        <f t="shared" si="52"/>
        <v>521.548092</v>
      </c>
      <c r="I293" s="34"/>
      <c r="L293" s="140"/>
      <c r="M293" s="140"/>
      <c r="N293" s="34"/>
      <c r="T293" s="32"/>
    </row>
    <row r="294" spans="1:20" s="35" customFormat="1" ht="15.75" customHeight="1" x14ac:dyDescent="0.25">
      <c r="A294" s="98" t="s">
        <v>375</v>
      </c>
      <c r="B294" s="98" t="s">
        <v>397</v>
      </c>
      <c r="C294" s="98" t="s">
        <v>376</v>
      </c>
      <c r="D294" s="70">
        <f>(8.83)*(10.764)</f>
        <v>95.046120000000002</v>
      </c>
      <c r="E294" s="98">
        <v>0</v>
      </c>
      <c r="F294" s="98">
        <f t="shared" si="51"/>
        <v>95.046120000000002</v>
      </c>
      <c r="G294" s="98">
        <v>0</v>
      </c>
      <c r="H294" s="98">
        <f t="shared" si="52"/>
        <v>147.32148599999999</v>
      </c>
      <c r="I294" s="34"/>
      <c r="L294" s="140"/>
      <c r="M294" s="140"/>
      <c r="N294" s="34"/>
      <c r="T294" s="19"/>
    </row>
    <row r="295" spans="1:20" s="35" customFormat="1" x14ac:dyDescent="0.25">
      <c r="A295" s="98" t="s">
        <v>382</v>
      </c>
      <c r="B295" s="98" t="s">
        <v>397</v>
      </c>
      <c r="C295" s="98" t="s">
        <v>376</v>
      </c>
      <c r="D295" s="70">
        <f>(25.27)*(10.764)</f>
        <v>272.00628</v>
      </c>
      <c r="E295" s="98">
        <v>0</v>
      </c>
      <c r="F295" s="98">
        <f>D295+(IF(E295&lt;201,E295,IF(E295&lt;301,E295/2,E295/3)))</f>
        <v>272.00628</v>
      </c>
      <c r="G295" s="98">
        <v>0</v>
      </c>
      <c r="H295" s="98">
        <f>(F295+(IF(G295&lt;101,G295,IF(G295&lt;201,G295/2,IF(G295&lt;=301,G295/3,G295/4)))))*(($H$188)+1)</f>
        <v>421.609734</v>
      </c>
      <c r="J295" s="34"/>
    </row>
    <row r="296" spans="1:20" s="35" customFormat="1" x14ac:dyDescent="0.25">
      <c r="A296" s="98">
        <v>4</v>
      </c>
      <c r="B296" s="98" t="s">
        <v>372</v>
      </c>
      <c r="C296" s="98" t="s">
        <v>360</v>
      </c>
      <c r="D296" s="70">
        <f>(51.59)*(10.764)</f>
        <v>555.31475999999998</v>
      </c>
      <c r="E296" s="98">
        <v>0</v>
      </c>
      <c r="F296" s="98">
        <f t="shared" ref="F296:F301" si="53">D296+(IF(E296&lt;201,E296,IF(E296&lt;301,E296/2,E296/3)))</f>
        <v>555.31475999999998</v>
      </c>
      <c r="G296" s="98">
        <v>0</v>
      </c>
      <c r="H296" s="98">
        <f t="shared" ref="H296:H301" si="54">(F296+(IF(G296&lt;101,G296,IF(G296&lt;201,G296/2,IF(G296&lt;=301,G296/3,G296/4)))))*(($H$188)+1)</f>
        <v>860.73787800000002</v>
      </c>
      <c r="J296" s="34"/>
    </row>
    <row r="297" spans="1:20" s="35" customFormat="1" ht="15.75" customHeight="1" x14ac:dyDescent="0.25">
      <c r="A297" s="98" t="s">
        <v>383</v>
      </c>
      <c r="B297" s="98" t="s">
        <v>372</v>
      </c>
      <c r="C297" s="98" t="s">
        <v>360</v>
      </c>
      <c r="D297" s="70">
        <f>(23.24)*(10.764)</f>
        <v>250.15535999999997</v>
      </c>
      <c r="E297" s="98">
        <v>0</v>
      </c>
      <c r="F297" s="98">
        <f t="shared" si="53"/>
        <v>250.15535999999997</v>
      </c>
      <c r="G297" s="98">
        <v>0</v>
      </c>
      <c r="H297" s="98">
        <f t="shared" si="54"/>
        <v>387.74080799999996</v>
      </c>
      <c r="J297" s="34"/>
    </row>
    <row r="298" spans="1:20" s="35" customFormat="1" x14ac:dyDescent="0.25">
      <c r="A298" s="98">
        <v>5</v>
      </c>
      <c r="B298" s="98" t="s">
        <v>372</v>
      </c>
      <c r="C298" s="98" t="s">
        <v>360</v>
      </c>
      <c r="D298" s="70">
        <f>(43.52)*(10.764)</f>
        <v>468.44927999999999</v>
      </c>
      <c r="E298" s="98">
        <v>0</v>
      </c>
      <c r="F298" s="98">
        <f t="shared" si="53"/>
        <v>468.44927999999999</v>
      </c>
      <c r="G298" s="98">
        <v>0</v>
      </c>
      <c r="H298" s="98">
        <f t="shared" si="54"/>
        <v>726.09638400000006</v>
      </c>
      <c r="J298" s="34"/>
    </row>
    <row r="299" spans="1:20" s="35" customFormat="1" ht="15.75" customHeight="1" x14ac:dyDescent="0.25">
      <c r="A299" s="98">
        <f t="shared" ref="A299:A304" si="55">A298+1</f>
        <v>6</v>
      </c>
      <c r="B299" s="98" t="s">
        <v>397</v>
      </c>
      <c r="C299" s="98" t="s">
        <v>376</v>
      </c>
      <c r="D299" s="70">
        <f>(36.2)*(10.764)</f>
        <v>389.65680000000003</v>
      </c>
      <c r="E299" s="98">
        <v>0</v>
      </c>
      <c r="F299" s="98">
        <f t="shared" si="53"/>
        <v>389.65680000000003</v>
      </c>
      <c r="G299" s="98">
        <v>0</v>
      </c>
      <c r="H299" s="98">
        <f t="shared" si="54"/>
        <v>603.96804000000009</v>
      </c>
      <c r="J299" s="34"/>
    </row>
    <row r="300" spans="1:20" s="35" customFormat="1" ht="15.75" customHeight="1" x14ac:dyDescent="0.25">
      <c r="A300" s="98">
        <f t="shared" si="55"/>
        <v>7</v>
      </c>
      <c r="B300" s="98" t="s">
        <v>372</v>
      </c>
      <c r="C300" s="98" t="s">
        <v>360</v>
      </c>
      <c r="D300" s="70">
        <f>(10.49)*(10.764)</f>
        <v>112.91436</v>
      </c>
      <c r="E300" s="98">
        <v>0</v>
      </c>
      <c r="F300" s="98">
        <f t="shared" si="53"/>
        <v>112.91436</v>
      </c>
      <c r="G300" s="98">
        <v>0</v>
      </c>
      <c r="H300" s="98">
        <f t="shared" si="54"/>
        <v>175.017258</v>
      </c>
      <c r="J300" s="34"/>
    </row>
    <row r="301" spans="1:20" s="35" customFormat="1" ht="15.75" customHeight="1" x14ac:dyDescent="0.25">
      <c r="A301" s="98">
        <f t="shared" si="55"/>
        <v>8</v>
      </c>
      <c r="B301" s="98" t="s">
        <v>372</v>
      </c>
      <c r="C301" s="98" t="s">
        <v>360</v>
      </c>
      <c r="D301" s="70">
        <f>(20.28)*(10.764)</f>
        <v>218.29391999999999</v>
      </c>
      <c r="E301" s="98">
        <v>0</v>
      </c>
      <c r="F301" s="98">
        <f t="shared" si="53"/>
        <v>218.29391999999999</v>
      </c>
      <c r="G301" s="98">
        <v>0</v>
      </c>
      <c r="H301" s="98">
        <f t="shared" si="54"/>
        <v>338.35557599999999</v>
      </c>
      <c r="I301" s="34"/>
    </row>
    <row r="302" spans="1:20" s="35" customFormat="1" ht="15.75" customHeight="1" x14ac:dyDescent="0.25">
      <c r="A302" s="98">
        <f t="shared" si="55"/>
        <v>9</v>
      </c>
      <c r="B302" s="98" t="s">
        <v>397</v>
      </c>
      <c r="C302" s="98" t="s">
        <v>360</v>
      </c>
      <c r="D302" s="70">
        <f>(9.85)*(10.764)</f>
        <v>106.02539999999999</v>
      </c>
      <c r="E302" s="98">
        <v>0</v>
      </c>
      <c r="F302" s="98">
        <f>D302+(IF(E302&lt;201,E302,IF(E302&lt;301,E302/2,E302/3)))</f>
        <v>106.02539999999999</v>
      </c>
      <c r="G302" s="98">
        <v>0</v>
      </c>
      <c r="H302" s="98">
        <f>(F302+(IF(G302&lt;101,G302,IF(G302&lt;201,G302/2,IF(G302&lt;=301,G302/3,G302/4)))))*(($H$188)+1)</f>
        <v>164.33937</v>
      </c>
      <c r="I302" s="34">
        <f>(6.41*3.48+3.4*0.15+1.3*1.22+0.04*1+3.05*2.6+2.39*3.5+1.2*0.15+4.28*3.05+4.28*3.35+1.16*0.3+1.02*0.3+0.9*1.7+3.35*3.43+2.62*0.8+2.43*1.28+1.49*0.28+1.37*1.52+1.63*0.88+0.9*0.02+1.52*3.28+1.52*2.45+2.35*1.5)</f>
        <v>103.37730000000001</v>
      </c>
      <c r="J302" s="34">
        <f>1.58*3.28+2.09*1.15</f>
        <v>7.5859000000000005</v>
      </c>
      <c r="K302" s="34">
        <f>I302+J302</f>
        <v>110.9632</v>
      </c>
    </row>
    <row r="303" spans="1:20" s="35" customFormat="1" ht="15.75" customHeight="1" x14ac:dyDescent="0.25">
      <c r="A303" s="98">
        <f t="shared" si="55"/>
        <v>10</v>
      </c>
      <c r="B303" s="98" t="s">
        <v>372</v>
      </c>
      <c r="C303" s="98" t="s">
        <v>360</v>
      </c>
      <c r="D303" s="70">
        <f>(8.41)*(10.764)</f>
        <v>90.525239999999997</v>
      </c>
      <c r="E303" s="98">
        <v>0</v>
      </c>
      <c r="F303" s="98">
        <f t="shared" ref="F303:F304" si="56">D303+(IF(E303&lt;201,E303,IF(E303&lt;301,E303/2,E303/3)))</f>
        <v>90.525239999999997</v>
      </c>
      <c r="G303" s="98">
        <v>0</v>
      </c>
      <c r="H303" s="98">
        <f t="shared" ref="H303:H304" si="57">(F303+(IF(G303&lt;101,G303,IF(G303&lt;201,G303/2,IF(G303&lt;=301,G303/3,G303/4)))))*(($H$188)+1)</f>
        <v>140.314122</v>
      </c>
      <c r="I303" s="34"/>
    </row>
    <row r="304" spans="1:20" s="35" customFormat="1" ht="15.75" customHeight="1" x14ac:dyDescent="0.25">
      <c r="A304" s="98">
        <f t="shared" si="55"/>
        <v>11</v>
      </c>
      <c r="B304" s="98" t="s">
        <v>372</v>
      </c>
      <c r="C304" s="98" t="s">
        <v>360</v>
      </c>
      <c r="D304" s="70">
        <f>(11.27)*(10.764)</f>
        <v>121.31027999999999</v>
      </c>
      <c r="E304" s="98">
        <v>0</v>
      </c>
      <c r="F304" s="98">
        <f t="shared" si="56"/>
        <v>121.31027999999999</v>
      </c>
      <c r="G304" s="98">
        <v>0</v>
      </c>
      <c r="H304" s="98">
        <f t="shared" si="57"/>
        <v>188.030934</v>
      </c>
      <c r="I304" s="34">
        <f>(3.34*6.4+0.6*3.15+1.45*1.46+2.46*3.05+3.05*3.35+2.64*0.3+3.05*4.35+2.74*0.3+2.45*1.05+1.51*1.1+2.37*0.6+5.21*0.9+2.45*1.05+1.53*1.1)</f>
        <v>72.585000000000008</v>
      </c>
      <c r="J304" s="34">
        <f>2.94*1.4+2.99*0.17+1.34*1.4</f>
        <v>6.5002999999999993</v>
      </c>
      <c r="K304" s="34">
        <f>I304+J304</f>
        <v>79.085300000000004</v>
      </c>
    </row>
    <row r="305" spans="1:11" s="35" customFormat="1" ht="15.75" customHeight="1" x14ac:dyDescent="0.25">
      <c r="A305" s="98">
        <f t="shared" ref="A305:A307" si="58">A304+1</f>
        <v>12</v>
      </c>
      <c r="B305" s="98" t="s">
        <v>372</v>
      </c>
      <c r="C305" s="98" t="s">
        <v>360</v>
      </c>
      <c r="D305" s="70">
        <f>(9.32)*(10.764)</f>
        <v>100.32048</v>
      </c>
      <c r="E305" s="98">
        <v>0</v>
      </c>
      <c r="F305" s="98">
        <f>D305+(IF(E305&lt;201,E305,IF(E305&lt;301,E305/2,E305/3)))</f>
        <v>100.32048</v>
      </c>
      <c r="G305" s="98">
        <v>0</v>
      </c>
      <c r="H305" s="98">
        <f>(F305+(IF(G305&lt;101,G305,IF(G305&lt;201,G305/2,IF(G305&lt;=301,G305/3,G305/4)))))*(($H$188)+1)</f>
        <v>155.49674400000001</v>
      </c>
      <c r="I305" s="34"/>
    </row>
    <row r="306" spans="1:11" s="35" customFormat="1" ht="15.75" customHeight="1" x14ac:dyDescent="0.25">
      <c r="A306" s="98">
        <f t="shared" si="58"/>
        <v>13</v>
      </c>
      <c r="B306" s="98" t="s">
        <v>372</v>
      </c>
      <c r="C306" s="98" t="s">
        <v>360</v>
      </c>
      <c r="D306" s="70">
        <f>(43.05)*(10.764)</f>
        <v>463.39019999999994</v>
      </c>
      <c r="E306" s="98">
        <v>0</v>
      </c>
      <c r="F306" s="98">
        <f t="shared" ref="F306:F307" si="59">D306+(IF(E306&lt;201,E306,IF(E306&lt;301,E306/2,E306/3)))</f>
        <v>463.39019999999994</v>
      </c>
      <c r="G306" s="98">
        <v>0</v>
      </c>
      <c r="H306" s="98">
        <f t="shared" ref="H306:H307" si="60">(F306+(IF(G306&lt;101,G306,IF(G306&lt;201,G306/2,IF(G306&lt;=301,G306/3,G306/4)))))*(($H$188)+1)</f>
        <v>718.25480999999991</v>
      </c>
      <c r="I306" s="34"/>
      <c r="J306" s="34"/>
      <c r="K306" s="34"/>
    </row>
    <row r="307" spans="1:11" s="35" customFormat="1" x14ac:dyDescent="0.25">
      <c r="A307" s="40">
        <f t="shared" si="58"/>
        <v>14</v>
      </c>
      <c r="B307" s="40" t="s">
        <v>372</v>
      </c>
      <c r="C307" s="40" t="s">
        <v>360</v>
      </c>
      <c r="D307" s="70">
        <f>(51.79)*(10.764)</f>
        <v>557.46755999999993</v>
      </c>
      <c r="E307" s="40">
        <v>0</v>
      </c>
      <c r="F307" s="40">
        <f t="shared" si="59"/>
        <v>557.46755999999993</v>
      </c>
      <c r="G307" s="40">
        <v>0</v>
      </c>
      <c r="H307" s="40">
        <f t="shared" si="60"/>
        <v>864.07471799999996</v>
      </c>
      <c r="I307" s="34"/>
      <c r="J307" s="34">
        <f>36000000/H324</f>
        <v>31519.004856763459</v>
      </c>
      <c r="K307" s="34">
        <f>55000/1.5</f>
        <v>36666.666666666664</v>
      </c>
    </row>
    <row r="308" spans="1:11" s="35" customFormat="1" x14ac:dyDescent="0.25">
      <c r="A308" s="148"/>
      <c r="B308" s="152"/>
      <c r="C308" s="152"/>
      <c r="D308" s="152"/>
      <c r="E308" s="152"/>
      <c r="F308" s="152"/>
      <c r="G308" s="152"/>
      <c r="H308" s="149"/>
      <c r="I308" s="34"/>
    </row>
    <row r="309" spans="1:11" s="35" customFormat="1" ht="48.75" customHeight="1" x14ac:dyDescent="0.25">
      <c r="A309" s="180" t="s">
        <v>111</v>
      </c>
      <c r="B309" s="184" t="s">
        <v>169</v>
      </c>
      <c r="C309" s="184" t="s">
        <v>53</v>
      </c>
      <c r="D309" s="182" t="s">
        <v>224</v>
      </c>
      <c r="E309" s="182" t="s">
        <v>223</v>
      </c>
      <c r="F309" s="182" t="s">
        <v>54</v>
      </c>
      <c r="G309" s="186" t="s">
        <v>55</v>
      </c>
      <c r="H309" s="86" t="s">
        <v>140</v>
      </c>
      <c r="I309" s="34"/>
    </row>
    <row r="310" spans="1:11" s="35" customFormat="1" ht="15.75" customHeight="1" x14ac:dyDescent="0.25">
      <c r="A310" s="181"/>
      <c r="B310" s="185"/>
      <c r="C310" s="185"/>
      <c r="D310" s="183"/>
      <c r="E310" s="183"/>
      <c r="F310" s="183"/>
      <c r="G310" s="187"/>
      <c r="H310" s="87">
        <v>0.5</v>
      </c>
      <c r="K310" s="34">
        <f>I311+J311</f>
        <v>0</v>
      </c>
    </row>
    <row r="311" spans="1:11" s="35" customFormat="1" ht="15.75" customHeight="1" x14ac:dyDescent="0.25">
      <c r="A311" s="253" t="s">
        <v>398</v>
      </c>
      <c r="B311" s="254"/>
      <c r="C311" s="254"/>
      <c r="D311" s="254"/>
      <c r="E311" s="254"/>
      <c r="F311" s="254"/>
      <c r="G311" s="254"/>
      <c r="H311" s="255"/>
      <c r="I311" s="34"/>
      <c r="J311" s="34"/>
    </row>
    <row r="312" spans="1:11" s="35" customFormat="1" ht="15.75" customHeight="1" x14ac:dyDescent="0.25">
      <c r="A312" s="145" t="s">
        <v>354</v>
      </c>
      <c r="B312" s="146"/>
      <c r="C312" s="146"/>
      <c r="D312" s="146"/>
      <c r="E312" s="146"/>
      <c r="F312" s="146"/>
      <c r="G312" s="146"/>
      <c r="H312" s="147"/>
      <c r="I312" s="34"/>
      <c r="K312" s="34">
        <f>I313+J313</f>
        <v>0</v>
      </c>
    </row>
    <row r="313" spans="1:11" s="35" customFormat="1" ht="15.75" customHeight="1" x14ac:dyDescent="0.25">
      <c r="A313" s="145" t="s">
        <v>355</v>
      </c>
      <c r="B313" s="146"/>
      <c r="C313" s="146"/>
      <c r="D313" s="146"/>
      <c r="E313" s="146"/>
      <c r="F313" s="146"/>
      <c r="G313" s="146"/>
      <c r="H313" s="147"/>
      <c r="I313" s="34"/>
      <c r="J313" s="34"/>
    </row>
    <row r="314" spans="1:11" s="35" customFormat="1" ht="15.75" customHeight="1" x14ac:dyDescent="0.25">
      <c r="A314" s="145" t="s">
        <v>368</v>
      </c>
      <c r="B314" s="146"/>
      <c r="C314" s="146"/>
      <c r="D314" s="146"/>
      <c r="E314" s="146"/>
      <c r="F314" s="146"/>
      <c r="G314" s="146"/>
      <c r="H314" s="147"/>
      <c r="I314" s="34"/>
      <c r="K314" s="34"/>
    </row>
    <row r="315" spans="1:11" s="35" customFormat="1" ht="15.75" customHeight="1" x14ac:dyDescent="0.25">
      <c r="A315" s="145" t="s">
        <v>428</v>
      </c>
      <c r="B315" s="146"/>
      <c r="C315" s="146"/>
      <c r="D315" s="146"/>
      <c r="E315" s="146"/>
      <c r="F315" s="146"/>
      <c r="G315" s="146"/>
      <c r="H315" s="147"/>
      <c r="I315" s="34"/>
      <c r="J315" s="34"/>
      <c r="K315" s="34"/>
    </row>
    <row r="316" spans="1:11" s="35" customFormat="1" ht="15.75" customHeight="1" x14ac:dyDescent="0.25">
      <c r="A316" s="145" t="s">
        <v>429</v>
      </c>
      <c r="B316" s="146"/>
      <c r="C316" s="146"/>
      <c r="D316" s="146"/>
      <c r="E316" s="146"/>
      <c r="F316" s="146"/>
      <c r="G316" s="146"/>
      <c r="H316" s="147"/>
      <c r="I316" s="34"/>
    </row>
    <row r="317" spans="1:11" s="35" customFormat="1" ht="15.75" customHeight="1" x14ac:dyDescent="0.25">
      <c r="A317" s="145" t="s">
        <v>430</v>
      </c>
      <c r="B317" s="146"/>
      <c r="C317" s="146"/>
      <c r="D317" s="146"/>
      <c r="E317" s="146"/>
      <c r="F317" s="146"/>
      <c r="G317" s="146"/>
      <c r="H317" s="147"/>
      <c r="I317" s="34"/>
      <c r="J317" s="34"/>
      <c r="K317" s="34">
        <f>I317+J317</f>
        <v>0</v>
      </c>
    </row>
    <row r="318" spans="1:11" s="35" customFormat="1" ht="15.75" customHeight="1" x14ac:dyDescent="0.25">
      <c r="A318" s="145" t="s">
        <v>364</v>
      </c>
      <c r="B318" s="146"/>
      <c r="C318" s="146"/>
      <c r="D318" s="146"/>
      <c r="E318" s="146"/>
      <c r="F318" s="146"/>
      <c r="G318" s="146"/>
      <c r="H318" s="147"/>
      <c r="I318" s="34"/>
    </row>
    <row r="319" spans="1:11" s="35" customFormat="1" ht="15.75" customHeight="1" x14ac:dyDescent="0.25">
      <c r="A319" s="148">
        <v>1</v>
      </c>
      <c r="B319" s="149"/>
      <c r="C319" s="40" t="s">
        <v>363</v>
      </c>
      <c r="D319" s="70">
        <f>(111.69)*(10.764)</f>
        <v>1202.2311599999998</v>
      </c>
      <c r="E319" s="40">
        <v>0</v>
      </c>
      <c r="F319" s="40">
        <f t="shared" ref="F319:F324" si="61">D319+E319</f>
        <v>1202.2311599999998</v>
      </c>
      <c r="G319" s="40">
        <v>0</v>
      </c>
      <c r="H319" s="40">
        <f t="shared" ref="H319:H324" si="62">F319*(($H$310)+1)+(IF(G319&lt;101,G319,IF(G319&lt;201,G319/2,IF(G319&lt;=301,G319/3,G319/4))))</f>
        <v>1803.3467399999997</v>
      </c>
      <c r="I319" s="34"/>
      <c r="J319" s="34"/>
      <c r="K319" s="34"/>
    </row>
    <row r="320" spans="1:11" s="35" customFormat="1" ht="15.75" customHeight="1" x14ac:dyDescent="0.25">
      <c r="A320" s="148">
        <f>A319+1</f>
        <v>2</v>
      </c>
      <c r="B320" s="149"/>
      <c r="C320" s="40" t="s">
        <v>363</v>
      </c>
      <c r="D320" s="70">
        <f>(115.88)*(10.764)</f>
        <v>1247.33232</v>
      </c>
      <c r="E320" s="40">
        <v>0</v>
      </c>
      <c r="F320" s="40">
        <f t="shared" si="61"/>
        <v>1247.33232</v>
      </c>
      <c r="G320" s="40">
        <v>0</v>
      </c>
      <c r="H320" s="40">
        <f t="shared" si="62"/>
        <v>1870.99848</v>
      </c>
      <c r="I320" s="34"/>
      <c r="J320" s="34"/>
    </row>
    <row r="321" spans="1:14" s="35" customFormat="1" ht="15.75" customHeight="1" x14ac:dyDescent="0.25">
      <c r="A321" s="148">
        <f t="shared" ref="A321:A324" si="63">A320+1</f>
        <v>3</v>
      </c>
      <c r="B321" s="149"/>
      <c r="C321" s="40" t="s">
        <v>362</v>
      </c>
      <c r="D321" s="70">
        <f>(79.6)*(10.764)</f>
        <v>856.81439999999986</v>
      </c>
      <c r="E321" s="40">
        <v>0</v>
      </c>
      <c r="F321" s="40">
        <f t="shared" si="61"/>
        <v>856.81439999999986</v>
      </c>
      <c r="G321" s="40">
        <v>0</v>
      </c>
      <c r="H321" s="40">
        <f t="shared" si="62"/>
        <v>1285.2215999999999</v>
      </c>
      <c r="I321" s="34"/>
      <c r="J321" s="34"/>
      <c r="K321" s="34"/>
    </row>
    <row r="322" spans="1:14" s="35" customFormat="1" ht="15.75" customHeight="1" x14ac:dyDescent="0.25">
      <c r="A322" s="150">
        <f t="shared" si="63"/>
        <v>4</v>
      </c>
      <c r="B322" s="151"/>
      <c r="C322" s="104" t="s">
        <v>362</v>
      </c>
      <c r="D322" s="105">
        <f>(79.68)*(10.764)</f>
        <v>857.67552000000001</v>
      </c>
      <c r="E322" s="104">
        <v>0</v>
      </c>
      <c r="F322" s="104">
        <f t="shared" si="61"/>
        <v>857.67552000000001</v>
      </c>
      <c r="G322" s="104">
        <v>0</v>
      </c>
      <c r="H322" s="104">
        <f t="shared" si="62"/>
        <v>1286.5132800000001</v>
      </c>
      <c r="I322" s="34"/>
      <c r="J322" s="34"/>
      <c r="K322" s="34"/>
    </row>
    <row r="323" spans="1:14" s="92" customFormat="1" ht="15.75" customHeight="1" x14ac:dyDescent="0.25">
      <c r="A323" s="150">
        <f t="shared" si="63"/>
        <v>5</v>
      </c>
      <c r="B323" s="151"/>
      <c r="C323" s="104" t="s">
        <v>362</v>
      </c>
      <c r="D323" s="105">
        <f>(75.62)*(10.764)</f>
        <v>813.97367999999994</v>
      </c>
      <c r="E323" s="104">
        <v>0</v>
      </c>
      <c r="F323" s="104">
        <f t="shared" si="61"/>
        <v>813.97367999999994</v>
      </c>
      <c r="G323" s="104">
        <v>0</v>
      </c>
      <c r="H323" s="104">
        <f t="shared" si="62"/>
        <v>1220.9605199999999</v>
      </c>
      <c r="I323" s="34"/>
    </row>
    <row r="324" spans="1:14" s="92" customFormat="1" ht="15.75" customHeight="1" x14ac:dyDescent="0.25">
      <c r="A324" s="150">
        <f t="shared" si="63"/>
        <v>6</v>
      </c>
      <c r="B324" s="151"/>
      <c r="C324" s="104" t="s">
        <v>362</v>
      </c>
      <c r="D324" s="105">
        <f>(70.74)*(10.764)</f>
        <v>761.44535999999994</v>
      </c>
      <c r="E324" s="104">
        <v>0</v>
      </c>
      <c r="F324" s="104">
        <f t="shared" si="61"/>
        <v>761.44535999999994</v>
      </c>
      <c r="G324" s="104">
        <v>0</v>
      </c>
      <c r="H324" s="104">
        <f t="shared" si="62"/>
        <v>1142.16804</v>
      </c>
      <c r="I324" s="34"/>
      <c r="J324" s="34"/>
      <c r="K324" s="34">
        <f>I324+J324</f>
        <v>0</v>
      </c>
    </row>
    <row r="325" spans="1:14" s="92" customFormat="1" ht="15.75" customHeight="1" x14ac:dyDescent="0.25">
      <c r="A325" s="142" t="s">
        <v>371</v>
      </c>
      <c r="B325" s="143"/>
      <c r="C325" s="143"/>
      <c r="D325" s="143"/>
      <c r="E325" s="143"/>
      <c r="F325" s="143"/>
      <c r="G325" s="143"/>
      <c r="H325" s="144"/>
      <c r="I325" s="34"/>
    </row>
    <row r="326" spans="1:14" s="92" customFormat="1" ht="15.75" customHeight="1" x14ac:dyDescent="0.25">
      <c r="A326" s="142" t="s">
        <v>369</v>
      </c>
      <c r="B326" s="143"/>
      <c r="C326" s="143"/>
      <c r="D326" s="143"/>
      <c r="E326" s="143"/>
      <c r="F326" s="143"/>
      <c r="G326" s="143"/>
      <c r="H326" s="144"/>
      <c r="I326" s="34"/>
      <c r="J326" s="34"/>
      <c r="K326" s="34">
        <f>I326+J326</f>
        <v>0</v>
      </c>
      <c r="L326" s="92">
        <f>96300000*0.7</f>
        <v>67410000</v>
      </c>
    </row>
    <row r="327" spans="1:14" s="92" customFormat="1" ht="15.75" customHeight="1" x14ac:dyDescent="0.25">
      <c r="A327" s="150">
        <v>1</v>
      </c>
      <c r="B327" s="151"/>
      <c r="C327" s="104" t="s">
        <v>363</v>
      </c>
      <c r="D327" s="105">
        <f>(111.69)*(10.764)</f>
        <v>1202.2311599999998</v>
      </c>
      <c r="E327" s="104">
        <v>0</v>
      </c>
      <c r="F327" s="104">
        <f>D327+E327</f>
        <v>1202.2311599999998</v>
      </c>
      <c r="G327" s="104">
        <v>0</v>
      </c>
      <c r="H327" s="104">
        <f>F327*(($H$310)+1)+(IF(G327&lt;101,G327,IF(G327&lt;201,G327/2,IF(G327&lt;=301,G327/3,G327/4))))</f>
        <v>1803.3467399999997</v>
      </c>
      <c r="I327" s="34">
        <f>H344*35500</f>
        <v>47193595.487999998</v>
      </c>
      <c r="J327" s="34">
        <f>I327+1000000+1200000</f>
        <v>49393595.487999998</v>
      </c>
    </row>
    <row r="328" spans="1:14" s="92" customFormat="1" ht="15.75" customHeight="1" x14ac:dyDescent="0.25">
      <c r="A328" s="150">
        <f>A327+1</f>
        <v>2</v>
      </c>
      <c r="B328" s="151"/>
      <c r="C328" s="104" t="s">
        <v>363</v>
      </c>
      <c r="D328" s="105">
        <f>(115.88)*(10.764)</f>
        <v>1247.33232</v>
      </c>
      <c r="E328" s="104">
        <v>0</v>
      </c>
      <c r="F328" s="104">
        <f>D328+E328</f>
        <v>1247.33232</v>
      </c>
      <c r="G328" s="104">
        <v>0</v>
      </c>
      <c r="H328" s="104">
        <f>F328*(($H$310)+1)+(IF(G328&lt;101,G328,IF(G328&lt;201,G328/2,IF(G328&lt;=301,G328/3,G328/4))))</f>
        <v>1870.99848</v>
      </c>
      <c r="I328" s="34">
        <f>H345*35500</f>
        <v>44788901.741999999</v>
      </c>
      <c r="J328" s="34">
        <f>I328+1000000+1200000</f>
        <v>46988901.741999999</v>
      </c>
      <c r="K328" s="34"/>
    </row>
    <row r="329" spans="1:14" s="92" customFormat="1" ht="15.75" customHeight="1" x14ac:dyDescent="0.25">
      <c r="A329" s="150">
        <f t="shared" ref="A329:A332" si="64">A328+1</f>
        <v>3</v>
      </c>
      <c r="B329" s="151"/>
      <c r="C329" s="104" t="s">
        <v>362</v>
      </c>
      <c r="D329" s="105">
        <f>(79.6)*(10.764)</f>
        <v>856.81439999999986</v>
      </c>
      <c r="E329" s="104">
        <v>0</v>
      </c>
      <c r="F329" s="104">
        <f>D329+E329</f>
        <v>856.81439999999986</v>
      </c>
      <c r="G329" s="104">
        <v>0</v>
      </c>
      <c r="H329" s="104">
        <f>F329*(($H$310)+1)+(IF(G329&lt;101,G329,IF(G329&lt;201,G329/2,IF(G329&lt;=301,G329/3,G329/4))))</f>
        <v>1285.2215999999999</v>
      </c>
      <c r="I329" s="34">
        <f>SUM(I327:I328)</f>
        <v>91982497.229999989</v>
      </c>
      <c r="J329" s="34">
        <f>SUM(J327:J328)</f>
        <v>96382497.229999989</v>
      </c>
      <c r="K329" s="34"/>
      <c r="L329" s="92">
        <f>96300000-2400000-1000000</f>
        <v>92900000</v>
      </c>
    </row>
    <row r="330" spans="1:14" s="35" customFormat="1" x14ac:dyDescent="0.25">
      <c r="A330" s="150">
        <f t="shared" si="64"/>
        <v>4</v>
      </c>
      <c r="B330" s="151"/>
      <c r="C330" s="104" t="s">
        <v>362</v>
      </c>
      <c r="D330" s="105">
        <f>(79.68)*(10.764)</f>
        <v>857.67552000000001</v>
      </c>
      <c r="E330" s="104">
        <v>0</v>
      </c>
      <c r="F330" s="104">
        <f>D330+E330</f>
        <v>857.67552000000001</v>
      </c>
      <c r="G330" s="104">
        <v>0</v>
      </c>
      <c r="H330" s="104">
        <f>F330*(($H$310)+1)+(IF(G330&lt;101,G330,IF(G330&lt;201,G330/2,IF(G330&lt;=301,G330/3,G330/4))))</f>
        <v>1286.5132800000001</v>
      </c>
      <c r="I330" s="34"/>
      <c r="L330" s="140"/>
      <c r="M330" s="140"/>
    </row>
    <row r="331" spans="1:14" s="35" customFormat="1" x14ac:dyDescent="0.25">
      <c r="A331" s="148">
        <f t="shared" si="64"/>
        <v>5</v>
      </c>
      <c r="B331" s="149"/>
      <c r="C331" s="239" t="s">
        <v>365</v>
      </c>
      <c r="D331" s="240"/>
      <c r="E331" s="240"/>
      <c r="F331" s="240"/>
      <c r="G331" s="240"/>
      <c r="H331" s="241"/>
      <c r="I331" s="34"/>
      <c r="N331" s="34"/>
    </row>
    <row r="332" spans="1:14" s="35" customFormat="1" x14ac:dyDescent="0.25">
      <c r="A332" s="148">
        <f t="shared" si="64"/>
        <v>6</v>
      </c>
      <c r="B332" s="149"/>
      <c r="C332" s="245"/>
      <c r="D332" s="246"/>
      <c r="E332" s="246"/>
      <c r="F332" s="246"/>
      <c r="G332" s="246"/>
      <c r="H332" s="247"/>
      <c r="I332" s="34"/>
      <c r="N332" s="34"/>
    </row>
    <row r="333" spans="1:14" s="35" customFormat="1" x14ac:dyDescent="0.25">
      <c r="A333" s="145" t="s">
        <v>412</v>
      </c>
      <c r="B333" s="146"/>
      <c r="C333" s="146"/>
      <c r="D333" s="146"/>
      <c r="E333" s="146"/>
      <c r="F333" s="146"/>
      <c r="G333" s="146"/>
      <c r="H333" s="147"/>
      <c r="I333" s="34"/>
      <c r="N333" s="34"/>
    </row>
    <row r="334" spans="1:14" s="35" customFormat="1" x14ac:dyDescent="0.25">
      <c r="A334" s="148">
        <v>1</v>
      </c>
      <c r="B334" s="149"/>
      <c r="C334" s="40" t="s">
        <v>363</v>
      </c>
      <c r="D334" s="70">
        <f>(111.69)*(10.764)</f>
        <v>1202.2311599999998</v>
      </c>
      <c r="E334" s="40">
        <v>0</v>
      </c>
      <c r="F334" s="40">
        <f t="shared" ref="F334:F339" si="65">D334+E334</f>
        <v>1202.2311599999998</v>
      </c>
      <c r="G334" s="40">
        <v>0</v>
      </c>
      <c r="H334" s="40">
        <f t="shared" ref="H334:H339" si="66">F334*(($H$310)+1)+(IF(G334&lt;101,G334,IF(G334&lt;201,G334/2,IF(G334&lt;=301,G334/3,G334/4))))</f>
        <v>1803.3467399999997</v>
      </c>
      <c r="I334" s="34"/>
      <c r="N334" s="34"/>
    </row>
    <row r="335" spans="1:14" s="35" customFormat="1" x14ac:dyDescent="0.25">
      <c r="A335" s="148">
        <f>A334+1</f>
        <v>2</v>
      </c>
      <c r="B335" s="149"/>
      <c r="C335" s="40" t="s">
        <v>363</v>
      </c>
      <c r="D335" s="70">
        <f>(115.88)*(10.764)</f>
        <v>1247.33232</v>
      </c>
      <c r="E335" s="40">
        <v>0</v>
      </c>
      <c r="F335" s="40">
        <f t="shared" si="65"/>
        <v>1247.33232</v>
      </c>
      <c r="G335" s="40">
        <v>0</v>
      </c>
      <c r="H335" s="40">
        <f t="shared" si="66"/>
        <v>1870.99848</v>
      </c>
      <c r="I335" s="34"/>
      <c r="N335" s="34"/>
    </row>
    <row r="336" spans="1:14" s="35" customFormat="1" x14ac:dyDescent="0.25">
      <c r="A336" s="148">
        <f t="shared" ref="A336:A339" si="67">A335+1</f>
        <v>3</v>
      </c>
      <c r="B336" s="149"/>
      <c r="C336" s="40" t="s">
        <v>362</v>
      </c>
      <c r="D336" s="70">
        <f>(79.6)*(10.764)</f>
        <v>856.81439999999986</v>
      </c>
      <c r="E336" s="40">
        <v>0</v>
      </c>
      <c r="F336" s="40">
        <f t="shared" si="65"/>
        <v>856.81439999999986</v>
      </c>
      <c r="G336" s="40">
        <v>0</v>
      </c>
      <c r="H336" s="93">
        <f t="shared" si="66"/>
        <v>1285.2215999999999</v>
      </c>
      <c r="I336" s="34"/>
      <c r="N336" s="34"/>
    </row>
    <row r="337" spans="1:14" s="35" customFormat="1" x14ac:dyDescent="0.25">
      <c r="A337" s="148">
        <f t="shared" si="67"/>
        <v>4</v>
      </c>
      <c r="B337" s="149"/>
      <c r="C337" s="40" t="s">
        <v>362</v>
      </c>
      <c r="D337" s="70">
        <f>(79.68)*(10.764)</f>
        <v>857.67552000000001</v>
      </c>
      <c r="E337" s="40">
        <v>0</v>
      </c>
      <c r="F337" s="40">
        <f t="shared" si="65"/>
        <v>857.67552000000001</v>
      </c>
      <c r="G337" s="40">
        <v>0</v>
      </c>
      <c r="H337" s="93">
        <f t="shared" si="66"/>
        <v>1286.5132800000001</v>
      </c>
      <c r="I337" s="34"/>
      <c r="L337" s="140"/>
      <c r="M337" s="140"/>
    </row>
    <row r="338" spans="1:14" s="35" customFormat="1" x14ac:dyDescent="0.25">
      <c r="A338" s="148">
        <f t="shared" si="67"/>
        <v>5</v>
      </c>
      <c r="B338" s="149"/>
      <c r="C338" s="40" t="s">
        <v>362</v>
      </c>
      <c r="D338" s="70">
        <f>(75.62)*(10.764)</f>
        <v>813.97367999999994</v>
      </c>
      <c r="E338" s="40">
        <v>0</v>
      </c>
      <c r="F338" s="40">
        <f t="shared" si="65"/>
        <v>813.97367999999994</v>
      </c>
      <c r="G338" s="40">
        <v>0</v>
      </c>
      <c r="H338" s="93">
        <f t="shared" si="66"/>
        <v>1220.9605199999999</v>
      </c>
      <c r="I338" s="115">
        <f>40800000/H338</f>
        <v>33416.31390341762</v>
      </c>
      <c r="N338" s="34"/>
    </row>
    <row r="339" spans="1:14" s="35" customFormat="1" x14ac:dyDescent="0.25">
      <c r="A339" s="148">
        <f t="shared" si="67"/>
        <v>6</v>
      </c>
      <c r="B339" s="149"/>
      <c r="C339" s="40" t="s">
        <v>362</v>
      </c>
      <c r="D339" s="70">
        <f>(70.57)*(10.764)</f>
        <v>759.61547999999993</v>
      </c>
      <c r="E339" s="40">
        <v>0</v>
      </c>
      <c r="F339" s="40">
        <f t="shared" si="65"/>
        <v>759.61547999999993</v>
      </c>
      <c r="G339" s="40">
        <v>0</v>
      </c>
      <c r="H339" s="93">
        <f t="shared" si="66"/>
        <v>1139.4232199999999</v>
      </c>
      <c r="I339" s="34">
        <f>(7.15*6.4+2.97*3.43+0.6*1.83+0.6*2.15+1.5*0.4+2.45*3.67+1.3*0.05+1.04*1.36+1.52*1.22+1.62*1.32+1.52*1.08+1.2*2.13+3.8*3.37+3.5*0.35+2.75*1.83+2.05*1.83+6.2*4.28+0.3*0.9+0.3*1.12+0.3*1.25+1.83*2.88+1.32*0.75+4.42*3.05+1.8*0.31+1.46*0.3+3.91*3.65+0.33*3.36+2.45*2.05+1.53*1.1+2.37*0.6+6.26*0.9+1.52*2.15+0.93*1.05+1.45*1.36)</f>
        <v>184.02409999999998</v>
      </c>
      <c r="N339" s="34"/>
    </row>
    <row r="340" spans="1:14" s="35" customFormat="1" x14ac:dyDescent="0.25">
      <c r="A340" s="141" t="s">
        <v>413</v>
      </c>
      <c r="B340" s="141"/>
      <c r="C340" s="141"/>
      <c r="D340" s="141"/>
      <c r="E340" s="141"/>
      <c r="F340" s="141"/>
      <c r="G340" s="141"/>
      <c r="H340" s="141"/>
      <c r="I340" s="34"/>
      <c r="N340" s="34"/>
    </row>
    <row r="341" spans="1:14" s="35" customFormat="1" x14ac:dyDescent="0.25">
      <c r="A341" s="248">
        <v>1</v>
      </c>
      <c r="B341" s="248"/>
      <c r="C341" s="98" t="s">
        <v>363</v>
      </c>
      <c r="D341" s="70">
        <f>(111.69)*(10.764)</f>
        <v>1202.2311599999998</v>
      </c>
      <c r="E341" s="98">
        <v>0</v>
      </c>
      <c r="F341" s="98">
        <f t="shared" ref="F341:F346" si="68">D341+E341</f>
        <v>1202.2311599999998</v>
      </c>
      <c r="G341" s="98">
        <v>0</v>
      </c>
      <c r="H341" s="98">
        <f t="shared" ref="H341:H343" si="69">F341*(($H$310)+1)+(IF(G341&lt;101,G341,IF(G341&lt;201,G341/2,IF(G341&lt;=301,G341/3,G341/4))))</f>
        <v>1803.3467399999997</v>
      </c>
      <c r="I341" s="34"/>
      <c r="N341" s="34"/>
    </row>
    <row r="342" spans="1:14" s="35" customFormat="1" x14ac:dyDescent="0.25">
      <c r="A342" s="248">
        <f>A341+1</f>
        <v>2</v>
      </c>
      <c r="B342" s="248"/>
      <c r="C342" s="98" t="s">
        <v>363</v>
      </c>
      <c r="D342" s="70">
        <f>(115.88)*(10.764)</f>
        <v>1247.33232</v>
      </c>
      <c r="E342" s="98">
        <v>0</v>
      </c>
      <c r="F342" s="98">
        <f t="shared" si="68"/>
        <v>1247.33232</v>
      </c>
      <c r="G342" s="98">
        <v>0</v>
      </c>
      <c r="H342" s="98">
        <f t="shared" si="69"/>
        <v>1870.99848</v>
      </c>
      <c r="J342" s="34"/>
      <c r="K342" s="35" t="s">
        <v>478</v>
      </c>
    </row>
    <row r="343" spans="1:14" s="35" customFormat="1" x14ac:dyDescent="0.25">
      <c r="A343" s="248">
        <f t="shared" ref="A343:A346" si="70">A342+1</f>
        <v>3</v>
      </c>
      <c r="B343" s="248"/>
      <c r="C343" s="98" t="s">
        <v>362</v>
      </c>
      <c r="D343" s="70">
        <f>(79.6)*(10.764)</f>
        <v>856.81439999999986</v>
      </c>
      <c r="E343" s="98">
        <v>0</v>
      </c>
      <c r="F343" s="98">
        <f t="shared" si="68"/>
        <v>856.81439999999986</v>
      </c>
      <c r="G343" s="98">
        <v>0</v>
      </c>
      <c r="H343" s="98">
        <f t="shared" si="69"/>
        <v>1285.2215999999999</v>
      </c>
      <c r="I343" s="35">
        <f>7.15*6.4+2.97*3.43+0.6*1.83+0.6*2.15+1.5*0.4+2.45*3.67+1.3*0.05+1.04*1.36+1.52*1.22+1.62*1.32+1.52*1.08+1.2*2.13+3.8*3.37+3.5*0.35+2.75*1.83+2.05*1.83+6.2*4.28+0.3*0.9+0.3*1.12+0.3*1.25+1.83*2.88+1.32*0.75+4.42*3.05+1.8*0.31+1.46*0.3+1.34*1.4+3.91*3.65+0.33*3.36+2.45*2.05+1.53*1.1+2.37*0.6+6.26*0.9+1.52*2.15+0.93*1.05+1.45*1.36+(6.35*1.57)</f>
        <v>195.86959999999996</v>
      </c>
      <c r="J343" s="34"/>
      <c r="K343" s="114">
        <f>52000/1.5</f>
        <v>34666.666666666664</v>
      </c>
    </row>
    <row r="344" spans="1:14" s="35" customFormat="1" x14ac:dyDescent="0.25">
      <c r="A344" s="248">
        <f t="shared" si="70"/>
        <v>4</v>
      </c>
      <c r="B344" s="248"/>
      <c r="C344" s="98" t="s">
        <v>362</v>
      </c>
      <c r="D344" s="70">
        <f>(79.68)*(10.764)</f>
        <v>857.67552000000001</v>
      </c>
      <c r="E344" s="98">
        <v>0</v>
      </c>
      <c r="F344" s="98">
        <f t="shared" si="68"/>
        <v>857.67552000000001</v>
      </c>
      <c r="G344" s="98">
        <v>0</v>
      </c>
      <c r="H344" s="98">
        <f>F344*1.55</f>
        <v>1329.397056</v>
      </c>
      <c r="J344" s="34"/>
    </row>
    <row r="345" spans="1:14" s="35" customFormat="1" ht="15.75" customHeight="1" x14ac:dyDescent="0.25">
      <c r="A345" s="248">
        <f t="shared" si="70"/>
        <v>5</v>
      </c>
      <c r="B345" s="248"/>
      <c r="C345" s="98" t="s">
        <v>362</v>
      </c>
      <c r="D345" s="70">
        <f>(75.62)*(10.764)</f>
        <v>813.97367999999994</v>
      </c>
      <c r="E345" s="98">
        <v>0</v>
      </c>
      <c r="F345" s="98">
        <f t="shared" si="68"/>
        <v>813.97367999999994</v>
      </c>
      <c r="G345" s="98">
        <v>0</v>
      </c>
      <c r="H345" s="98">
        <f>F345*1.55</f>
        <v>1261.659204</v>
      </c>
      <c r="J345" s="34"/>
    </row>
    <row r="346" spans="1:14" s="35" customFormat="1" ht="15.75" customHeight="1" x14ac:dyDescent="0.25">
      <c r="A346" s="248">
        <f t="shared" si="70"/>
        <v>6</v>
      </c>
      <c r="B346" s="248"/>
      <c r="C346" s="98" t="s">
        <v>362</v>
      </c>
      <c r="D346" s="70">
        <f>(70.57)*(10.764)</f>
        <v>759.61547999999993</v>
      </c>
      <c r="E346" s="98">
        <v>0</v>
      </c>
      <c r="F346" s="98">
        <f t="shared" si="68"/>
        <v>759.61547999999993</v>
      </c>
      <c r="G346" s="98">
        <v>0</v>
      </c>
      <c r="H346" s="98">
        <f t="shared" ref="H346" si="71">F346*(($H$310)+1)+(IF(G346&lt;101,G346,IF(G346&lt;201,G346/2,IF(G346&lt;=301,G346/3,G346/4))))</f>
        <v>1139.4232199999999</v>
      </c>
      <c r="J346" s="34"/>
    </row>
    <row r="347" spans="1:14" s="35" customFormat="1" ht="15.75" customHeight="1" x14ac:dyDescent="0.25">
      <c r="A347" s="141" t="s">
        <v>370</v>
      </c>
      <c r="B347" s="141"/>
      <c r="C347" s="141"/>
      <c r="D347" s="141"/>
      <c r="E347" s="141"/>
      <c r="F347" s="141"/>
      <c r="G347" s="141"/>
      <c r="H347" s="141"/>
      <c r="J347" s="34"/>
    </row>
    <row r="348" spans="1:14" s="35" customFormat="1" ht="15.75" customHeight="1" x14ac:dyDescent="0.25">
      <c r="A348" s="248">
        <v>1</v>
      </c>
      <c r="B348" s="248"/>
      <c r="C348" s="98" t="s">
        <v>363</v>
      </c>
      <c r="D348" s="70">
        <f>(111.69)*(10.764)</f>
        <v>1202.2311599999998</v>
      </c>
      <c r="E348" s="98">
        <v>0</v>
      </c>
      <c r="F348" s="98">
        <f>D348+E348</f>
        <v>1202.2311599999998</v>
      </c>
      <c r="G348" s="98">
        <v>0</v>
      </c>
      <c r="H348" s="98">
        <f>F348*(($H$310)+1)+(IF(G348&lt;101,G348,IF(G348&lt;201,G348/2,IF(G348&lt;=301,G348/3,G348/4))))</f>
        <v>1803.3467399999997</v>
      </c>
      <c r="I348" s="34"/>
    </row>
    <row r="349" spans="1:14" s="35" customFormat="1" ht="15.75" customHeight="1" x14ac:dyDescent="0.25">
      <c r="A349" s="248">
        <f>A348+1</f>
        <v>2</v>
      </c>
      <c r="B349" s="248"/>
      <c r="C349" s="40" t="s">
        <v>363</v>
      </c>
      <c r="D349" s="70">
        <f>(115.88)*(10.764)</f>
        <v>1247.33232</v>
      </c>
      <c r="E349" s="40">
        <v>0</v>
      </c>
      <c r="F349" s="40">
        <f>D349+E349</f>
        <v>1247.33232</v>
      </c>
      <c r="G349" s="40">
        <v>0</v>
      </c>
      <c r="H349" s="40">
        <f>F349*(($H$310)+1)+(IF(G349&lt;101,G349,IF(G349&lt;201,G349/2,IF(G349&lt;=301,G349/3,G349/4))))</f>
        <v>1870.99848</v>
      </c>
      <c r="I349" s="34"/>
    </row>
    <row r="350" spans="1:14" s="35" customFormat="1" ht="15.75" customHeight="1" x14ac:dyDescent="0.25">
      <c r="A350" s="248">
        <f>A349+1</f>
        <v>3</v>
      </c>
      <c r="B350" s="248"/>
      <c r="C350" s="90" t="s">
        <v>362</v>
      </c>
      <c r="D350" s="70">
        <f>(79.6)*(10.764)</f>
        <v>856.81439999999986</v>
      </c>
      <c r="E350" s="90">
        <v>0</v>
      </c>
      <c r="F350" s="90">
        <f>D350+E350</f>
        <v>856.81439999999986</v>
      </c>
      <c r="G350" s="90">
        <v>0</v>
      </c>
      <c r="H350" s="90">
        <f>F350*(($H$310)+1)+(IF(G350&lt;101,G350,IF(G350&lt;201,G350/2,IF(G350&lt;=301,G350/3,G350/4))))</f>
        <v>1285.2215999999999</v>
      </c>
      <c r="I350" s="34"/>
    </row>
    <row r="351" spans="1:14" s="35" customFormat="1" ht="15.75" customHeight="1" x14ac:dyDescent="0.25">
      <c r="A351" s="248">
        <f>A350+1</f>
        <v>4</v>
      </c>
      <c r="B351" s="248"/>
      <c r="C351" s="90" t="s">
        <v>363</v>
      </c>
      <c r="D351" s="70">
        <f>(110.56)*(10.764)</f>
        <v>1190.0678399999999</v>
      </c>
      <c r="E351" s="90">
        <v>0</v>
      </c>
      <c r="F351" s="90">
        <f>D351+E351</f>
        <v>1190.0678399999999</v>
      </c>
      <c r="G351" s="90">
        <v>0</v>
      </c>
      <c r="H351" s="90">
        <f>F351*(($H$310)+1)+(IF(G351&lt;101,G351,IF(G351&lt;201,G351/2,IF(G351&lt;=301,G351/3,G351/4))))</f>
        <v>1785.10176</v>
      </c>
      <c r="I351" s="34"/>
    </row>
    <row r="352" spans="1:14" s="35" customFormat="1" ht="15.75" customHeight="1" x14ac:dyDescent="0.25">
      <c r="A352" s="249">
        <f>A351+1</f>
        <v>5</v>
      </c>
      <c r="B352" s="249"/>
      <c r="C352" s="249" t="s">
        <v>365</v>
      </c>
      <c r="D352" s="249"/>
      <c r="E352" s="249"/>
      <c r="F352" s="249"/>
      <c r="G352" s="249"/>
      <c r="H352" s="249"/>
      <c r="I352" s="34">
        <f>(3.65*6.24+3.05*0.31+1.05*1.46+2.63*3.2+2.45*4.12+3.8*3.27+2.8*0.35+0.3*1.5+3.65*3.5+2.85*0.8+3.1*1.92+2.15*0.2+2.6*1.82+1.2*2.12+1.52*2.6+0.9*0.62+3.05*4+1.52*1.54+1.32*0.91+1.53*1.3)</f>
        <v>108.57450000000003</v>
      </c>
      <c r="J352" s="34">
        <f>3.05*1.39+3.3*0.18+1.67*1.37</f>
        <v>7.1213999999999995</v>
      </c>
      <c r="K352" s="34">
        <f>I352+J352</f>
        <v>115.69590000000002</v>
      </c>
    </row>
    <row r="353" spans="1:14" s="35" customFormat="1" ht="15.75" customHeight="1" x14ac:dyDescent="0.25">
      <c r="A353" s="249">
        <f>A352+1</f>
        <v>6</v>
      </c>
      <c r="B353" s="249"/>
      <c r="C353" s="249"/>
      <c r="D353" s="249"/>
      <c r="E353" s="249"/>
      <c r="F353" s="249"/>
      <c r="G353" s="249"/>
      <c r="H353" s="249"/>
      <c r="I353" s="34">
        <f>(4.25*1.1+3.25*2.1*3.3*0.35+2.85*3.1+1.25*1.05+3.2*2.35+0.9*0.1+3.34*3.97+0.64*1.15+4.13*2.26+3.33*0.8+1.53*2.45+1.59*1.53+0.86*1.33+0.95*1.52+0.89*1.52)</f>
        <v>66.430774999999997</v>
      </c>
      <c r="J353" s="34">
        <f>0.95*3.1+0.62*3.35+1.37*1.5</f>
        <v>7.077</v>
      </c>
      <c r="K353" s="34">
        <f>I353+J353</f>
        <v>73.507774999999995</v>
      </c>
    </row>
    <row r="354" spans="1:14" s="35" customFormat="1" ht="15.75" customHeight="1" x14ac:dyDescent="0.25">
      <c r="A354" s="289" t="s">
        <v>439</v>
      </c>
      <c r="B354" s="289"/>
      <c r="C354" s="289"/>
      <c r="D354" s="289"/>
      <c r="E354" s="289"/>
      <c r="F354" s="289"/>
      <c r="G354" s="289"/>
      <c r="H354" s="289"/>
      <c r="I354" s="34"/>
    </row>
    <row r="355" spans="1:14" s="35" customFormat="1" ht="15.75" customHeight="1" x14ac:dyDescent="0.25">
      <c r="A355" s="249">
        <v>1</v>
      </c>
      <c r="B355" s="249"/>
      <c r="C355" s="104" t="s">
        <v>363</v>
      </c>
      <c r="D355" s="105">
        <f>(111.69)*(10.764)</f>
        <v>1202.2311599999998</v>
      </c>
      <c r="E355" s="104">
        <v>0</v>
      </c>
      <c r="F355" s="104">
        <f>D355+E355</f>
        <v>1202.2311599999998</v>
      </c>
      <c r="G355" s="104">
        <v>0</v>
      </c>
      <c r="H355" s="104">
        <f>F355*(($H$310)+1)+(IF(G355&lt;101,G355,IF(G355&lt;201,G355/2,IF(G355&lt;=301,G355/3,G355/4))))</f>
        <v>1803.3467399999997</v>
      </c>
      <c r="I355" s="34"/>
    </row>
    <row r="356" spans="1:14" s="35" customFormat="1" ht="15.75" customHeight="1" x14ac:dyDescent="0.25">
      <c r="A356" s="249">
        <f>A355+1</f>
        <v>2</v>
      </c>
      <c r="B356" s="249"/>
      <c r="C356" s="104" t="s">
        <v>367</v>
      </c>
      <c r="D356" s="105">
        <f>((7.15*6.4+2.97*3.43+0.6*1.83+0.6*2.15+1.5*0.4+2.45*3.67+1.3*0.05+1.04*1.36+1.52*1.22+1.62*1.32+1.52*1.08+1.2*2.13+3.8*3.37+3.5*0.35+2.75*1.83+2.05*1.83+6.2*4.28+0.3*0.9+0.3*1.12+0.3*1.25+1.83*2.88+1.32*0.75+4.42*3.05+1.8*0.31+1.46*0.3+1.34*1.4+3.91*3.65+0.33*3.36+2.45*2.05+1.53*1.1+2.37*0.6+6.26*0.9+1.52*2.15+0.93*1.05+1.45*1.36)+(6.35*1.57))*(10.764)</f>
        <v>2108.3403743999993</v>
      </c>
      <c r="E356" s="104">
        <v>0</v>
      </c>
      <c r="F356" s="104">
        <f>D356+E356</f>
        <v>2108.3403743999993</v>
      </c>
      <c r="G356" s="104">
        <v>0</v>
      </c>
      <c r="H356" s="104">
        <f>F356*(($H$310)+1)+(IF(G356&lt;101,G356,IF(G356&lt;201,G356/2,IF(G356&lt;=301,G356/3,G356/4))))</f>
        <v>3162.5105615999992</v>
      </c>
      <c r="I356" s="34"/>
    </row>
    <row r="357" spans="1:14" s="35" customFormat="1" ht="15.75" customHeight="1" x14ac:dyDescent="0.25">
      <c r="A357" s="249">
        <f>A356+1</f>
        <v>3</v>
      </c>
      <c r="B357" s="249"/>
      <c r="C357" s="104" t="s">
        <v>411</v>
      </c>
      <c r="D357" s="105">
        <f>(155.92)*(10.764)</f>
        <v>1678.3228799999997</v>
      </c>
      <c r="E357" s="104">
        <v>0</v>
      </c>
      <c r="F357" s="104">
        <f>D357+E357</f>
        <v>1678.3228799999997</v>
      </c>
      <c r="G357" s="104">
        <v>0</v>
      </c>
      <c r="H357" s="104">
        <f>F357*(($H$310)+1)+(IF(G357&lt;101,G357,IF(G357&lt;201,G357/2,IF(G357&lt;=301,G357/3,G357/4))))</f>
        <v>2517.4843199999996</v>
      </c>
      <c r="I357" s="34"/>
    </row>
    <row r="358" spans="1:14" s="100" customFormat="1" ht="15.75" customHeight="1" x14ac:dyDescent="0.25">
      <c r="A358" s="249">
        <f>A357+1</f>
        <v>4</v>
      </c>
      <c r="B358" s="249"/>
      <c r="C358" s="104" t="s">
        <v>362</v>
      </c>
      <c r="D358" s="105">
        <f>(70.57)*(10.764)</f>
        <v>759.61547999999993</v>
      </c>
      <c r="E358" s="104">
        <v>0</v>
      </c>
      <c r="F358" s="104">
        <f>D358+E358</f>
        <v>759.61547999999993</v>
      </c>
      <c r="G358" s="104">
        <v>0</v>
      </c>
      <c r="H358" s="104">
        <f>F358*(($H$310)+1)+(IF(G358&lt;101,G358,IF(G358&lt;201,G358/2,IF(G358&lt;=301,G358/3,G358/4))))</f>
        <v>1139.4232199999999</v>
      </c>
      <c r="I358" s="34"/>
    </row>
    <row r="359" spans="1:14" s="35" customFormat="1" ht="15.75" customHeight="1" x14ac:dyDescent="0.25">
      <c r="A359" s="289" t="s">
        <v>437</v>
      </c>
      <c r="B359" s="289"/>
      <c r="C359" s="289"/>
      <c r="D359" s="289"/>
      <c r="E359" s="289"/>
      <c r="F359" s="289"/>
      <c r="G359" s="289"/>
      <c r="H359" s="289"/>
      <c r="I359" s="34"/>
    </row>
    <row r="360" spans="1:14" s="35" customFormat="1" ht="15.75" customHeight="1" x14ac:dyDescent="0.25">
      <c r="A360" s="290" t="s">
        <v>399</v>
      </c>
      <c r="B360" s="291"/>
      <c r="C360" s="291"/>
      <c r="D360" s="291"/>
      <c r="E360" s="291"/>
      <c r="F360" s="291"/>
      <c r="G360" s="291"/>
      <c r="H360" s="292"/>
      <c r="I360" s="34"/>
    </row>
    <row r="361" spans="1:14" s="35" customFormat="1" ht="15.75" customHeight="1" x14ac:dyDescent="0.25">
      <c r="A361" s="142" t="s">
        <v>428</v>
      </c>
      <c r="B361" s="143"/>
      <c r="C361" s="143"/>
      <c r="D361" s="143"/>
      <c r="E361" s="143"/>
      <c r="F361" s="143"/>
      <c r="G361" s="143"/>
      <c r="H361" s="144"/>
      <c r="I361" s="34"/>
    </row>
    <row r="362" spans="1:14" s="35" customFormat="1" ht="15.75" customHeight="1" x14ac:dyDescent="0.25">
      <c r="A362" s="142" t="s">
        <v>429</v>
      </c>
      <c r="B362" s="143"/>
      <c r="C362" s="143"/>
      <c r="D362" s="143"/>
      <c r="E362" s="143"/>
      <c r="F362" s="143"/>
      <c r="G362" s="143"/>
      <c r="H362" s="144"/>
      <c r="I362" s="34"/>
      <c r="J362" s="34"/>
      <c r="K362" s="34"/>
    </row>
    <row r="363" spans="1:14" s="35" customFormat="1" ht="15.75" customHeight="1" x14ac:dyDescent="0.25">
      <c r="A363" s="142" t="s">
        <v>430</v>
      </c>
      <c r="B363" s="143"/>
      <c r="C363" s="143"/>
      <c r="D363" s="143"/>
      <c r="E363" s="143"/>
      <c r="F363" s="143"/>
      <c r="G363" s="143"/>
      <c r="H363" s="144"/>
      <c r="I363" s="34"/>
      <c r="J363" s="34"/>
      <c r="K363" s="34"/>
    </row>
    <row r="364" spans="1:14" s="35" customFormat="1" x14ac:dyDescent="0.25">
      <c r="A364" s="145" t="s">
        <v>431</v>
      </c>
      <c r="B364" s="146"/>
      <c r="C364" s="146"/>
      <c r="D364" s="146"/>
      <c r="E364" s="146"/>
      <c r="F364" s="146"/>
      <c r="G364" s="146"/>
      <c r="H364" s="147"/>
      <c r="I364" s="34"/>
      <c r="L364" s="140"/>
      <c r="M364" s="140"/>
    </row>
    <row r="365" spans="1:14" s="35" customFormat="1" x14ac:dyDescent="0.25">
      <c r="A365" s="148">
        <v>1</v>
      </c>
      <c r="B365" s="149"/>
      <c r="C365" s="101" t="s">
        <v>363</v>
      </c>
      <c r="D365" s="70">
        <f>(112.03)*(10.764)</f>
        <v>1205.8909200000001</v>
      </c>
      <c r="E365" s="40">
        <v>0</v>
      </c>
      <c r="F365" s="40">
        <f t="shared" ref="F365:F368" si="72">D365+E365</f>
        <v>1205.8909200000001</v>
      </c>
      <c r="G365" s="40">
        <v>0</v>
      </c>
      <c r="H365" s="40">
        <f t="shared" ref="H365:H368" si="73">F365*(($H$310)+1)+(IF(G365&lt;101,G365,IF(G365&lt;201,G365/2,IF(G365&lt;=301,G365/3,G365/4))))</f>
        <v>1808.8363800000002</v>
      </c>
      <c r="I365" s="34"/>
      <c r="N365" s="34"/>
    </row>
    <row r="366" spans="1:14" s="35" customFormat="1" x14ac:dyDescent="0.25">
      <c r="A366" s="148">
        <f>A365+1</f>
        <v>2</v>
      </c>
      <c r="B366" s="149"/>
      <c r="C366" s="40" t="s">
        <v>367</v>
      </c>
      <c r="D366" s="70">
        <f>(194.56)*(10.764)</f>
        <v>2094.2438400000001</v>
      </c>
      <c r="E366" s="40">
        <v>0</v>
      </c>
      <c r="F366" s="40">
        <f t="shared" si="72"/>
        <v>2094.2438400000001</v>
      </c>
      <c r="G366" s="40">
        <v>0</v>
      </c>
      <c r="H366" s="40">
        <f t="shared" si="73"/>
        <v>3141.3657600000001</v>
      </c>
      <c r="I366" s="34"/>
      <c r="N366" s="34"/>
    </row>
    <row r="367" spans="1:14" s="35" customFormat="1" x14ac:dyDescent="0.25">
      <c r="A367" s="148">
        <f t="shared" ref="A367:A368" si="74">A366+1</f>
        <v>3</v>
      </c>
      <c r="B367" s="149"/>
      <c r="C367" s="101" t="s">
        <v>367</v>
      </c>
      <c r="D367" s="70">
        <f>(194.32)*(10.764)</f>
        <v>2091.66048</v>
      </c>
      <c r="E367" s="40">
        <v>0</v>
      </c>
      <c r="F367" s="40">
        <f t="shared" si="72"/>
        <v>2091.66048</v>
      </c>
      <c r="G367" s="40">
        <v>0</v>
      </c>
      <c r="H367" s="40">
        <f t="shared" si="73"/>
        <v>3137.4907199999998</v>
      </c>
      <c r="I367" s="34"/>
      <c r="N367" s="34"/>
    </row>
    <row r="368" spans="1:14" s="35" customFormat="1" x14ac:dyDescent="0.25">
      <c r="A368" s="148">
        <f t="shared" si="74"/>
        <v>4</v>
      </c>
      <c r="B368" s="149"/>
      <c r="C368" s="101" t="s">
        <v>363</v>
      </c>
      <c r="D368" s="70">
        <f>(124.4)*(10.764)</f>
        <v>1339.0416</v>
      </c>
      <c r="E368" s="40">
        <v>0</v>
      </c>
      <c r="F368" s="40">
        <f t="shared" si="72"/>
        <v>1339.0416</v>
      </c>
      <c r="G368" s="40">
        <v>0</v>
      </c>
      <c r="H368" s="40">
        <f t="shared" si="73"/>
        <v>2008.5624</v>
      </c>
      <c r="I368" s="34"/>
      <c r="N368" s="34"/>
    </row>
    <row r="369" spans="1:10" s="35" customFormat="1" x14ac:dyDescent="0.25">
      <c r="A369" s="145" t="s">
        <v>371</v>
      </c>
      <c r="B369" s="146"/>
      <c r="C369" s="146"/>
      <c r="D369" s="146"/>
      <c r="E369" s="146"/>
      <c r="F369" s="146"/>
      <c r="G369" s="146"/>
      <c r="H369" s="147"/>
      <c r="J369" s="34"/>
    </row>
    <row r="370" spans="1:10" s="35" customFormat="1" x14ac:dyDescent="0.25">
      <c r="A370" s="145" t="s">
        <v>432</v>
      </c>
      <c r="B370" s="146"/>
      <c r="C370" s="146"/>
      <c r="D370" s="146"/>
      <c r="E370" s="146"/>
      <c r="F370" s="146"/>
      <c r="G370" s="146"/>
      <c r="H370" s="147"/>
      <c r="J370" s="34"/>
    </row>
    <row r="371" spans="1:10" s="35" customFormat="1" x14ac:dyDescent="0.25">
      <c r="A371" s="148" t="s">
        <v>366</v>
      </c>
      <c r="B371" s="149"/>
      <c r="C371" s="148" t="s">
        <v>365</v>
      </c>
      <c r="D371" s="152"/>
      <c r="E371" s="152"/>
      <c r="F371" s="152"/>
      <c r="G371" s="152"/>
      <c r="H371" s="149"/>
      <c r="J371" s="34"/>
    </row>
    <row r="372" spans="1:10" s="35" customFormat="1" x14ac:dyDescent="0.25">
      <c r="A372" s="148">
        <v>2</v>
      </c>
      <c r="B372" s="149"/>
      <c r="C372" s="101" t="s">
        <v>362</v>
      </c>
      <c r="D372" s="70">
        <f>(118.25)*(10.764)</f>
        <v>1272.8429999999998</v>
      </c>
      <c r="E372" s="40">
        <v>0</v>
      </c>
      <c r="F372" s="40">
        <f>D372+E372</f>
        <v>1272.8429999999998</v>
      </c>
      <c r="G372" s="40">
        <v>0</v>
      </c>
      <c r="H372" s="40">
        <f>F372*(($H$310)+1)+(IF(G372&lt;101,G372,IF(G372&lt;201,G372/2,IF(G372&lt;=301,G372/3,G372/4))))</f>
        <v>1909.2644999999998</v>
      </c>
      <c r="I372" s="114">
        <f>65000000/H372</f>
        <v>34044.523427738801</v>
      </c>
      <c r="J372" s="34"/>
    </row>
    <row r="373" spans="1:10" s="35" customFormat="1" ht="15.75" customHeight="1" x14ac:dyDescent="0.25">
      <c r="A373" s="150">
        <f>A372+1</f>
        <v>3</v>
      </c>
      <c r="B373" s="151"/>
      <c r="C373" s="104" t="s">
        <v>367</v>
      </c>
      <c r="D373" s="105">
        <f>(194.32)*(10.764)</f>
        <v>2091.66048</v>
      </c>
      <c r="E373" s="104">
        <v>0</v>
      </c>
      <c r="F373" s="104">
        <f>D373+E373</f>
        <v>2091.66048</v>
      </c>
      <c r="G373" s="104">
        <v>0</v>
      </c>
      <c r="H373" s="104">
        <f>F373*(($H$310)+1)+(IF(G373&lt;101,G373,IF(G373&lt;201,G373/2,IF(G373&lt;=301,G373/3,G373/4))))</f>
        <v>3137.4907199999998</v>
      </c>
      <c r="J373" s="34"/>
    </row>
    <row r="374" spans="1:10" s="35" customFormat="1" ht="15.75" customHeight="1" x14ac:dyDescent="0.25">
      <c r="A374" s="150">
        <f t="shared" ref="A374" si="75">A373+1</f>
        <v>4</v>
      </c>
      <c r="B374" s="151"/>
      <c r="C374" s="104" t="s">
        <v>363</v>
      </c>
      <c r="D374" s="105">
        <f>(124.4)*(10.764)</f>
        <v>1339.0416</v>
      </c>
      <c r="E374" s="104">
        <v>0</v>
      </c>
      <c r="F374" s="104">
        <f>D374+E374</f>
        <v>1339.0416</v>
      </c>
      <c r="G374" s="104">
        <v>0</v>
      </c>
      <c r="H374" s="104">
        <f>F374*(($H$310)+1)+(IF(G374&lt;101,G374,IF(G374&lt;201,G374/2,IF(G374&lt;=301,G374/3,G374/4))))</f>
        <v>2008.5624</v>
      </c>
      <c r="J374" s="34"/>
    </row>
    <row r="375" spans="1:10" s="35" customFormat="1" ht="15.75" customHeight="1" x14ac:dyDescent="0.25">
      <c r="A375" s="142" t="s">
        <v>438</v>
      </c>
      <c r="B375" s="143"/>
      <c r="C375" s="143"/>
      <c r="D375" s="143"/>
      <c r="E375" s="143"/>
      <c r="F375" s="143"/>
      <c r="G375" s="143"/>
      <c r="H375" s="144"/>
      <c r="I375" s="34"/>
    </row>
    <row r="376" spans="1:10" s="35" customFormat="1" ht="15.75" customHeight="1" x14ac:dyDescent="0.25">
      <c r="A376" s="148" t="s">
        <v>366</v>
      </c>
      <c r="B376" s="149"/>
      <c r="C376" s="148" t="s">
        <v>365</v>
      </c>
      <c r="D376" s="152"/>
      <c r="E376" s="152"/>
      <c r="F376" s="152"/>
      <c r="G376" s="152"/>
      <c r="H376" s="149"/>
      <c r="I376" s="34"/>
    </row>
    <row r="377" spans="1:10" s="35" customFormat="1" ht="15.75" customHeight="1" x14ac:dyDescent="0.25">
      <c r="A377" s="150">
        <v>2</v>
      </c>
      <c r="B377" s="151"/>
      <c r="C377" s="104" t="s">
        <v>363</v>
      </c>
      <c r="D377" s="105">
        <f>(145.17)*(10.764)</f>
        <v>1562.6098799999997</v>
      </c>
      <c r="E377" s="104">
        <v>0</v>
      </c>
      <c r="F377" s="104">
        <f t="shared" ref="F377:F378" si="76">D377+E377</f>
        <v>1562.6098799999997</v>
      </c>
      <c r="G377" s="104">
        <v>0</v>
      </c>
      <c r="H377" s="104">
        <f t="shared" ref="H377:H378" si="77">F377*(($H$310)+1)+(IF(G377&lt;101,G377,IF(G377&lt;201,G377/2,IF(G377&lt;=301,G377/3,G377/4))))</f>
        <v>2343.9148199999995</v>
      </c>
      <c r="I377" s="34"/>
    </row>
    <row r="378" spans="1:10" s="35" customFormat="1" ht="15.75" customHeight="1" x14ac:dyDescent="0.25">
      <c r="A378" s="150">
        <f t="shared" ref="A378" si="78">A377+1</f>
        <v>3</v>
      </c>
      <c r="B378" s="151"/>
      <c r="C378" s="104" t="s">
        <v>367</v>
      </c>
      <c r="D378" s="105">
        <f>(247.48)*(10.764)</f>
        <v>2663.8747199999998</v>
      </c>
      <c r="E378" s="104">
        <v>0</v>
      </c>
      <c r="F378" s="104">
        <f t="shared" si="76"/>
        <v>2663.8747199999998</v>
      </c>
      <c r="G378" s="104">
        <v>0</v>
      </c>
      <c r="H378" s="104">
        <f t="shared" si="77"/>
        <v>3995.8120799999997</v>
      </c>
      <c r="I378" s="34"/>
    </row>
    <row r="379" spans="1:10" s="35" customFormat="1" ht="15.75" customHeight="1" x14ac:dyDescent="0.25">
      <c r="A379" s="142" t="s">
        <v>433</v>
      </c>
      <c r="B379" s="143"/>
      <c r="C379" s="143"/>
      <c r="D379" s="143"/>
      <c r="E379" s="143"/>
      <c r="F379" s="143"/>
      <c r="G379" s="143"/>
      <c r="H379" s="144"/>
      <c r="I379" s="34"/>
    </row>
    <row r="380" spans="1:10" s="35" customFormat="1" ht="15.75" customHeight="1" x14ac:dyDescent="0.25">
      <c r="A380" s="150">
        <v>1</v>
      </c>
      <c r="B380" s="151"/>
      <c r="C380" s="104" t="s">
        <v>367</v>
      </c>
      <c r="D380" s="105">
        <f>(199.09)*(10.764)</f>
        <v>2143.0047599999998</v>
      </c>
      <c r="E380" s="104">
        <v>0</v>
      </c>
      <c r="F380" s="104">
        <f t="shared" ref="F380:F382" si="79">D380+E380</f>
        <v>2143.0047599999998</v>
      </c>
      <c r="G380" s="104">
        <v>0</v>
      </c>
      <c r="H380" s="104">
        <f t="shared" ref="H380:H382" si="80">F380*(($H$310)+1)+(IF(G380&lt;101,G380,IF(G380&lt;201,G380/2,IF(G380&lt;=301,G380/3,G380/4))))</f>
        <v>3214.5071399999997</v>
      </c>
      <c r="I380" s="34"/>
    </row>
    <row r="381" spans="1:10" s="35" customFormat="1" ht="15.75" customHeight="1" x14ac:dyDescent="0.25">
      <c r="A381" s="150">
        <f>A380+1</f>
        <v>2</v>
      </c>
      <c r="B381" s="151"/>
      <c r="C381" s="104" t="s">
        <v>363</v>
      </c>
      <c r="D381" s="105">
        <f>(145.17)*(10.764)</f>
        <v>1562.6098799999997</v>
      </c>
      <c r="E381" s="104">
        <v>0</v>
      </c>
      <c r="F381" s="104">
        <f t="shared" si="79"/>
        <v>1562.6098799999997</v>
      </c>
      <c r="G381" s="104">
        <v>0</v>
      </c>
      <c r="H381" s="104">
        <f t="shared" si="80"/>
        <v>2343.9148199999995</v>
      </c>
      <c r="I381" s="34"/>
    </row>
    <row r="382" spans="1:10" s="35" customFormat="1" ht="15.75" customHeight="1" x14ac:dyDescent="0.25">
      <c r="A382" s="150">
        <f t="shared" ref="A382" si="81">A381+1</f>
        <v>3</v>
      </c>
      <c r="B382" s="151"/>
      <c r="C382" s="104" t="s">
        <v>367</v>
      </c>
      <c r="D382" s="105">
        <f>(213.06)*(10.764)</f>
        <v>2293.3778400000001</v>
      </c>
      <c r="E382" s="104">
        <v>0</v>
      </c>
      <c r="F382" s="104">
        <f t="shared" si="79"/>
        <v>2293.3778400000001</v>
      </c>
      <c r="G382" s="104">
        <v>0</v>
      </c>
      <c r="H382" s="104">
        <f t="shared" si="80"/>
        <v>3440.0667600000002</v>
      </c>
      <c r="I382" s="34"/>
    </row>
    <row r="383" spans="1:10" s="35" customFormat="1" ht="15.75" customHeight="1" x14ac:dyDescent="0.25">
      <c r="A383" s="142" t="s">
        <v>435</v>
      </c>
      <c r="B383" s="143"/>
      <c r="C383" s="143"/>
      <c r="D383" s="143"/>
      <c r="E383" s="143"/>
      <c r="F383" s="143"/>
      <c r="G383" s="143"/>
      <c r="H383" s="144"/>
      <c r="I383" s="34"/>
    </row>
    <row r="384" spans="1:10" s="35" customFormat="1" ht="15.75" customHeight="1" x14ac:dyDescent="0.25">
      <c r="A384" s="148" t="s">
        <v>366</v>
      </c>
      <c r="B384" s="149"/>
      <c r="C384" s="148" t="s">
        <v>365</v>
      </c>
      <c r="D384" s="152"/>
      <c r="E384" s="152"/>
      <c r="F384" s="152"/>
      <c r="G384" s="152"/>
      <c r="H384" s="149"/>
      <c r="I384" s="34"/>
    </row>
    <row r="385" spans="1:14" s="35" customFormat="1" ht="15.75" customHeight="1" x14ac:dyDescent="0.25">
      <c r="A385" s="150">
        <v>2</v>
      </c>
      <c r="B385" s="151"/>
      <c r="C385" s="104" t="s">
        <v>363</v>
      </c>
      <c r="D385" s="105">
        <f>(145.17)*(10.764)</f>
        <v>1562.6098799999997</v>
      </c>
      <c r="E385" s="104">
        <v>0</v>
      </c>
      <c r="F385" s="104">
        <f t="shared" ref="F385:F386" si="82">D385+E385</f>
        <v>1562.6098799999997</v>
      </c>
      <c r="G385" s="104">
        <v>0</v>
      </c>
      <c r="H385" s="104">
        <f t="shared" ref="H385:H386" si="83">F385*(($H$310)+1)+(IF(G385&lt;101,G385,IF(G385&lt;201,G385/2,IF(G385&lt;=301,G385/3,G385/4))))</f>
        <v>2343.9148199999995</v>
      </c>
      <c r="I385" s="34"/>
    </row>
    <row r="386" spans="1:14" s="35" customFormat="1" ht="15.75" customHeight="1" x14ac:dyDescent="0.25">
      <c r="A386" s="150">
        <f t="shared" ref="A386" si="84">A385+1</f>
        <v>3</v>
      </c>
      <c r="B386" s="151"/>
      <c r="C386" s="104" t="s">
        <v>367</v>
      </c>
      <c r="D386" s="105">
        <f>(213.06)*(10.764)</f>
        <v>2293.3778400000001</v>
      </c>
      <c r="E386" s="104">
        <v>0</v>
      </c>
      <c r="F386" s="104">
        <f t="shared" si="82"/>
        <v>2293.3778400000001</v>
      </c>
      <c r="G386" s="104">
        <v>0</v>
      </c>
      <c r="H386" s="104">
        <f t="shared" si="83"/>
        <v>3440.0667600000002</v>
      </c>
      <c r="I386" s="34"/>
    </row>
    <row r="387" spans="1:14" s="35" customFormat="1" ht="15.75" customHeight="1" x14ac:dyDescent="0.25">
      <c r="A387" s="142" t="s">
        <v>434</v>
      </c>
      <c r="B387" s="143"/>
      <c r="C387" s="143"/>
      <c r="D387" s="143"/>
      <c r="E387" s="143"/>
      <c r="F387" s="143"/>
      <c r="G387" s="143"/>
      <c r="H387" s="144"/>
      <c r="I387" s="34"/>
    </row>
    <row r="388" spans="1:14" s="35" customFormat="1" ht="15.75" customHeight="1" x14ac:dyDescent="0.25">
      <c r="A388" s="150">
        <v>1</v>
      </c>
      <c r="B388" s="151"/>
      <c r="C388" s="104" t="s">
        <v>367</v>
      </c>
      <c r="D388" s="105">
        <f>(233.33)*(10.764)</f>
        <v>2511.56412</v>
      </c>
      <c r="E388" s="104">
        <v>0</v>
      </c>
      <c r="F388" s="104">
        <f t="shared" ref="F388:F390" si="85">D388+E388</f>
        <v>2511.56412</v>
      </c>
      <c r="G388" s="104">
        <v>0</v>
      </c>
      <c r="H388" s="104">
        <f t="shared" ref="H388:H390" si="86">F388*(($H$310)+1)+(IF(G388&lt;101,G388,IF(G388&lt;201,G388/2,IF(G388&lt;=301,G388/3,G388/4))))</f>
        <v>3767.34618</v>
      </c>
      <c r="I388" s="34"/>
    </row>
    <row r="389" spans="1:14" s="35" customFormat="1" ht="15.75" customHeight="1" x14ac:dyDescent="0.25">
      <c r="A389" s="150">
        <f>A388+1</f>
        <v>2</v>
      </c>
      <c r="B389" s="151"/>
      <c r="C389" s="104" t="s">
        <v>363</v>
      </c>
      <c r="D389" s="105">
        <f>(145.17)*(10.764)</f>
        <v>1562.6098799999997</v>
      </c>
      <c r="E389" s="104">
        <v>0</v>
      </c>
      <c r="F389" s="104">
        <f t="shared" si="85"/>
        <v>1562.6098799999997</v>
      </c>
      <c r="G389" s="104">
        <v>0</v>
      </c>
      <c r="H389" s="104">
        <f t="shared" si="86"/>
        <v>2343.9148199999995</v>
      </c>
      <c r="I389" s="34"/>
    </row>
    <row r="390" spans="1:14" s="35" customFormat="1" x14ac:dyDescent="0.25">
      <c r="A390" s="150">
        <f t="shared" ref="A390" si="87">A389+1</f>
        <v>3</v>
      </c>
      <c r="B390" s="151"/>
      <c r="C390" s="104" t="s">
        <v>367</v>
      </c>
      <c r="D390" s="105">
        <f>(247.48)*(10.764)</f>
        <v>2663.8747199999998</v>
      </c>
      <c r="E390" s="104">
        <v>0</v>
      </c>
      <c r="F390" s="104">
        <f t="shared" si="85"/>
        <v>2663.8747199999998</v>
      </c>
      <c r="G390" s="104">
        <v>0</v>
      </c>
      <c r="H390" s="104">
        <f t="shared" si="86"/>
        <v>3995.8120799999997</v>
      </c>
      <c r="I390" s="34"/>
      <c r="L390" s="140"/>
      <c r="M390" s="140"/>
    </row>
    <row r="391" spans="1:14" s="35" customFormat="1" x14ac:dyDescent="0.25">
      <c r="A391" s="142" t="s">
        <v>436</v>
      </c>
      <c r="B391" s="143"/>
      <c r="C391" s="143"/>
      <c r="D391" s="143"/>
      <c r="E391" s="143"/>
      <c r="F391" s="143"/>
      <c r="G391" s="143"/>
      <c r="H391" s="144"/>
      <c r="I391" s="34"/>
      <c r="N391" s="34"/>
    </row>
    <row r="392" spans="1:14" s="35" customFormat="1" x14ac:dyDescent="0.25">
      <c r="A392" s="148" t="s">
        <v>366</v>
      </c>
      <c r="B392" s="149"/>
      <c r="C392" s="148" t="s">
        <v>365</v>
      </c>
      <c r="D392" s="152"/>
      <c r="E392" s="152"/>
      <c r="F392" s="152"/>
      <c r="G392" s="152"/>
      <c r="H392" s="149"/>
      <c r="I392" s="34"/>
      <c r="N392" s="34"/>
    </row>
    <row r="393" spans="1:14" s="35" customFormat="1" x14ac:dyDescent="0.25">
      <c r="A393" s="150">
        <v>2</v>
      </c>
      <c r="B393" s="151"/>
      <c r="C393" s="104" t="s">
        <v>363</v>
      </c>
      <c r="D393" s="105">
        <f>(145.17)*(10.764)</f>
        <v>1562.6098799999997</v>
      </c>
      <c r="E393" s="104">
        <v>0</v>
      </c>
      <c r="F393" s="104">
        <f t="shared" ref="F393:F394" si="88">D393+E393</f>
        <v>1562.6098799999997</v>
      </c>
      <c r="G393" s="104">
        <v>0</v>
      </c>
      <c r="H393" s="104">
        <f t="shared" ref="H393:H394" si="89">F393*(($H$310)+1)+(IF(G393&lt;101,G393,IF(G393&lt;201,G393/2,IF(G393&lt;=301,G393/3,G393/4))))</f>
        <v>2343.9148199999995</v>
      </c>
      <c r="I393" s="34"/>
      <c r="N393" s="34"/>
    </row>
    <row r="394" spans="1:14" s="35" customFormat="1" x14ac:dyDescent="0.25">
      <c r="A394" s="150">
        <f t="shared" ref="A394" si="90">A393+1</f>
        <v>3</v>
      </c>
      <c r="B394" s="151"/>
      <c r="C394" s="104" t="s">
        <v>367</v>
      </c>
      <c r="D394" s="105">
        <f>(247.47)*(10.764)</f>
        <v>2663.7670799999996</v>
      </c>
      <c r="E394" s="104">
        <v>0</v>
      </c>
      <c r="F394" s="104">
        <f t="shared" si="88"/>
        <v>2663.7670799999996</v>
      </c>
      <c r="G394" s="104">
        <v>0</v>
      </c>
      <c r="H394" s="104">
        <f t="shared" si="89"/>
        <v>3995.6506199999994</v>
      </c>
      <c r="I394" s="34"/>
      <c r="N394" s="34"/>
    </row>
    <row r="395" spans="1:14" s="35" customFormat="1" x14ac:dyDescent="0.25">
      <c r="A395" s="141" t="s">
        <v>437</v>
      </c>
      <c r="B395" s="141"/>
      <c r="C395" s="141"/>
      <c r="D395" s="141"/>
      <c r="E395" s="141"/>
      <c r="F395" s="141"/>
      <c r="G395" s="141"/>
      <c r="H395" s="141"/>
      <c r="I395" s="34"/>
      <c r="N395" s="34"/>
    </row>
    <row r="396" spans="1:14" s="35" customFormat="1" x14ac:dyDescent="0.25">
      <c r="A396" s="256" t="s">
        <v>464</v>
      </c>
      <c r="B396" s="257"/>
      <c r="C396" s="257"/>
      <c r="D396" s="257"/>
      <c r="E396" s="257"/>
      <c r="F396" s="257"/>
      <c r="G396" s="257"/>
      <c r="H396" s="258"/>
      <c r="I396" s="34"/>
      <c r="N396" s="34"/>
    </row>
    <row r="397" spans="1:14" s="35" customFormat="1" x14ac:dyDescent="0.25">
      <c r="A397" s="141" t="s">
        <v>385</v>
      </c>
      <c r="B397" s="141"/>
      <c r="C397" s="141"/>
      <c r="D397" s="141"/>
      <c r="E397" s="141"/>
      <c r="F397" s="141"/>
      <c r="G397" s="141"/>
      <c r="H397" s="141"/>
      <c r="I397" s="34"/>
      <c r="N397" s="34"/>
    </row>
    <row r="398" spans="1:14" s="35" customFormat="1" x14ac:dyDescent="0.25">
      <c r="A398" s="141" t="s">
        <v>393</v>
      </c>
      <c r="B398" s="141"/>
      <c r="C398" s="141"/>
      <c r="D398" s="141"/>
      <c r="E398" s="141"/>
      <c r="F398" s="141"/>
      <c r="G398" s="141"/>
      <c r="H398" s="141"/>
      <c r="I398" s="34"/>
      <c r="N398" s="34"/>
    </row>
    <row r="399" spans="1:14" s="35" customFormat="1" x14ac:dyDescent="0.25">
      <c r="A399" s="141" t="s">
        <v>394</v>
      </c>
      <c r="B399" s="141"/>
      <c r="C399" s="141"/>
      <c r="D399" s="141"/>
      <c r="E399" s="141"/>
      <c r="F399" s="141"/>
      <c r="G399" s="141"/>
      <c r="H399" s="141"/>
      <c r="I399" s="34"/>
      <c r="N399" s="34"/>
    </row>
    <row r="400" spans="1:14" s="35" customFormat="1" x14ac:dyDescent="0.25">
      <c r="A400" s="90">
        <v>1</v>
      </c>
      <c r="B400" s="90" t="s">
        <v>397</v>
      </c>
      <c r="C400" s="90" t="s">
        <v>362</v>
      </c>
      <c r="D400" s="70">
        <f>(48.64)*(10.764)</f>
        <v>523.56096000000002</v>
      </c>
      <c r="E400" s="90">
        <v>0</v>
      </c>
      <c r="F400" s="90">
        <f t="shared" ref="F400:F409" si="91">D400+E400</f>
        <v>523.56096000000002</v>
      </c>
      <c r="G400" s="90">
        <v>0</v>
      </c>
      <c r="H400" s="90">
        <f t="shared" ref="H400:H409" si="92">F400*(($H$310)+1)+(IF(G400&lt;101,G400,IF(G400&lt;201,G400/2,IF(G400&lt;=301,G400/3,G400/4))))</f>
        <v>785.34144000000003</v>
      </c>
      <c r="I400" s="34"/>
      <c r="L400" s="140"/>
      <c r="M400" s="140"/>
    </row>
    <row r="401" spans="1:14" s="35" customFormat="1" x14ac:dyDescent="0.25">
      <c r="A401" s="90">
        <f>A400+1</f>
        <v>2</v>
      </c>
      <c r="B401" s="90" t="s">
        <v>397</v>
      </c>
      <c r="C401" s="90" t="s">
        <v>362</v>
      </c>
      <c r="D401" s="70">
        <f>(48.96)*(10.764)</f>
        <v>527.00544000000002</v>
      </c>
      <c r="E401" s="90">
        <v>0</v>
      </c>
      <c r="F401" s="90">
        <f t="shared" si="91"/>
        <v>527.00544000000002</v>
      </c>
      <c r="G401" s="90">
        <v>0</v>
      </c>
      <c r="H401" s="90">
        <f t="shared" si="92"/>
        <v>790.50816000000009</v>
      </c>
      <c r="I401" s="34"/>
      <c r="N401" s="34"/>
    </row>
    <row r="402" spans="1:14" s="35" customFormat="1" x14ac:dyDescent="0.25">
      <c r="A402" s="90">
        <f t="shared" ref="A402:A404" si="93">A401+1</f>
        <v>3</v>
      </c>
      <c r="B402" s="90" t="s">
        <v>397</v>
      </c>
      <c r="C402" s="90" t="s">
        <v>362</v>
      </c>
      <c r="D402" s="70">
        <f>(49.16)*(10.764)</f>
        <v>529.15823999999998</v>
      </c>
      <c r="E402" s="90">
        <v>0</v>
      </c>
      <c r="F402" s="90">
        <f t="shared" si="91"/>
        <v>529.15823999999998</v>
      </c>
      <c r="G402" s="90">
        <v>0</v>
      </c>
      <c r="H402" s="90">
        <f t="shared" si="92"/>
        <v>793.73735999999997</v>
      </c>
      <c r="I402" s="34"/>
      <c r="N402" s="34"/>
    </row>
    <row r="403" spans="1:14" s="35" customFormat="1" x14ac:dyDescent="0.25">
      <c r="A403" s="90">
        <f t="shared" si="93"/>
        <v>4</v>
      </c>
      <c r="B403" s="90" t="s">
        <v>397</v>
      </c>
      <c r="C403" s="90" t="s">
        <v>362</v>
      </c>
      <c r="D403" s="70">
        <f>(48.67)*(10.764)</f>
        <v>523.88387999999998</v>
      </c>
      <c r="E403" s="90">
        <v>0</v>
      </c>
      <c r="F403" s="90">
        <f t="shared" si="91"/>
        <v>523.88387999999998</v>
      </c>
      <c r="G403" s="90">
        <v>0</v>
      </c>
      <c r="H403" s="90">
        <f t="shared" si="92"/>
        <v>785.82582000000002</v>
      </c>
      <c r="I403" s="34"/>
      <c r="N403" s="34"/>
    </row>
    <row r="404" spans="1:14" s="35" customFormat="1" x14ac:dyDescent="0.25">
      <c r="A404" s="90">
        <f t="shared" si="93"/>
        <v>5</v>
      </c>
      <c r="B404" s="90" t="s">
        <v>397</v>
      </c>
      <c r="C404" s="90" t="s">
        <v>362</v>
      </c>
      <c r="D404" s="70">
        <f>(49.12)*(10.764)</f>
        <v>528.72767999999996</v>
      </c>
      <c r="E404" s="90">
        <v>0</v>
      </c>
      <c r="F404" s="90">
        <f t="shared" si="91"/>
        <v>528.72767999999996</v>
      </c>
      <c r="G404" s="90">
        <v>0</v>
      </c>
      <c r="H404" s="90">
        <f t="shared" si="92"/>
        <v>793.09151999999995</v>
      </c>
      <c r="I404" s="34"/>
      <c r="N404" s="34"/>
    </row>
    <row r="405" spans="1:14" s="35" customFormat="1" x14ac:dyDescent="0.25">
      <c r="A405" s="90">
        <f t="shared" ref="A405:A409" si="94">A404+1</f>
        <v>6</v>
      </c>
      <c r="B405" s="90" t="s">
        <v>397</v>
      </c>
      <c r="C405" s="90" t="s">
        <v>362</v>
      </c>
      <c r="D405" s="70">
        <f>(49.08)*(10.764)</f>
        <v>528.29711999999995</v>
      </c>
      <c r="E405" s="90">
        <v>0</v>
      </c>
      <c r="F405" s="90">
        <f t="shared" si="91"/>
        <v>528.29711999999995</v>
      </c>
      <c r="G405" s="90">
        <v>0</v>
      </c>
      <c r="H405" s="90">
        <f t="shared" si="92"/>
        <v>792.44567999999992</v>
      </c>
      <c r="I405" s="34"/>
      <c r="N405" s="34"/>
    </row>
    <row r="406" spans="1:14" s="35" customFormat="1" x14ac:dyDescent="0.25">
      <c r="A406" s="90">
        <f t="shared" si="94"/>
        <v>7</v>
      </c>
      <c r="B406" s="90" t="s">
        <v>397</v>
      </c>
      <c r="C406" s="90" t="s">
        <v>362</v>
      </c>
      <c r="D406" s="70">
        <f>(49.28)*(10.764)</f>
        <v>530.44992000000002</v>
      </c>
      <c r="E406" s="90">
        <v>0</v>
      </c>
      <c r="F406" s="90">
        <f t="shared" si="91"/>
        <v>530.44992000000002</v>
      </c>
      <c r="G406" s="90">
        <v>0</v>
      </c>
      <c r="H406" s="90">
        <f t="shared" si="92"/>
        <v>795.67488000000003</v>
      </c>
      <c r="I406" s="34"/>
      <c r="N406" s="34"/>
    </row>
    <row r="407" spans="1:14" s="35" customFormat="1" x14ac:dyDescent="0.25">
      <c r="A407" s="90">
        <f t="shared" si="94"/>
        <v>8</v>
      </c>
      <c r="B407" s="90" t="s">
        <v>397</v>
      </c>
      <c r="C407" s="90" t="s">
        <v>362</v>
      </c>
      <c r="D407" s="70">
        <f>(49.32)*(10.764)</f>
        <v>530.88047999999992</v>
      </c>
      <c r="E407" s="90">
        <v>0</v>
      </c>
      <c r="F407" s="90">
        <f t="shared" si="91"/>
        <v>530.88047999999992</v>
      </c>
      <c r="G407" s="90">
        <v>0</v>
      </c>
      <c r="H407" s="90">
        <f t="shared" si="92"/>
        <v>796.32071999999994</v>
      </c>
      <c r="I407" s="34"/>
      <c r="N407" s="34"/>
    </row>
    <row r="408" spans="1:14" s="35" customFormat="1" x14ac:dyDescent="0.25">
      <c r="A408" s="40">
        <f t="shared" si="94"/>
        <v>9</v>
      </c>
      <c r="B408" s="40" t="s">
        <v>397</v>
      </c>
      <c r="C408" s="40" t="s">
        <v>362</v>
      </c>
      <c r="D408" s="70">
        <f>(48.78)*(10.764)</f>
        <v>525.06791999999996</v>
      </c>
      <c r="E408" s="40">
        <v>0</v>
      </c>
      <c r="F408" s="40">
        <f t="shared" si="91"/>
        <v>525.06791999999996</v>
      </c>
      <c r="G408" s="40">
        <v>0</v>
      </c>
      <c r="H408" s="40">
        <f t="shared" si="92"/>
        <v>787.60187999999994</v>
      </c>
      <c r="I408" s="34"/>
      <c r="N408" s="34"/>
    </row>
    <row r="409" spans="1:14" s="35" customFormat="1" x14ac:dyDescent="0.25">
      <c r="A409" s="40">
        <f t="shared" si="94"/>
        <v>10</v>
      </c>
      <c r="B409" s="40" t="s">
        <v>397</v>
      </c>
      <c r="C409" s="40" t="s">
        <v>362</v>
      </c>
      <c r="D409" s="70">
        <f>(49.41)*(10.764)</f>
        <v>531.8492399999999</v>
      </c>
      <c r="E409" s="40">
        <v>0</v>
      </c>
      <c r="F409" s="40">
        <f t="shared" si="91"/>
        <v>531.8492399999999</v>
      </c>
      <c r="G409" s="40">
        <v>0</v>
      </c>
      <c r="H409" s="40">
        <f t="shared" si="92"/>
        <v>797.77385999999979</v>
      </c>
      <c r="I409" s="34"/>
      <c r="N409" s="34"/>
    </row>
    <row r="410" spans="1:14" s="35" customFormat="1" x14ac:dyDescent="0.25">
      <c r="A410" s="145" t="s">
        <v>386</v>
      </c>
      <c r="B410" s="146"/>
      <c r="C410" s="146"/>
      <c r="D410" s="146"/>
      <c r="E410" s="146"/>
      <c r="F410" s="146"/>
      <c r="G410" s="146"/>
      <c r="H410" s="147"/>
      <c r="I410" s="34"/>
      <c r="N410" s="34"/>
    </row>
    <row r="411" spans="1:14" s="35" customFormat="1" x14ac:dyDescent="0.25">
      <c r="A411" s="40">
        <v>1</v>
      </c>
      <c r="B411" s="40" t="s">
        <v>397</v>
      </c>
      <c r="C411" s="40" t="s">
        <v>362</v>
      </c>
      <c r="D411" s="70">
        <f>(48.64)*(10.764)</f>
        <v>523.56096000000002</v>
      </c>
      <c r="E411" s="40">
        <v>0</v>
      </c>
      <c r="F411" s="40">
        <f>D411+E411</f>
        <v>523.56096000000002</v>
      </c>
      <c r="G411" s="40">
        <v>0</v>
      </c>
      <c r="H411" s="40">
        <f>F411*(($H$310)+1)+(IF(G411&lt;101,G411,IF(G411&lt;201,G411/2,IF(G411&lt;=301,G411/3,G411/4))))</f>
        <v>785.34144000000003</v>
      </c>
      <c r="I411" s="34"/>
      <c r="L411" s="140"/>
      <c r="M411" s="140"/>
    </row>
    <row r="412" spans="1:14" s="35" customFormat="1" x14ac:dyDescent="0.25">
      <c r="A412" s="40">
        <f>A411+1</f>
        <v>2</v>
      </c>
      <c r="B412" s="40" t="s">
        <v>397</v>
      </c>
      <c r="C412" s="40" t="s">
        <v>362</v>
      </c>
      <c r="D412" s="70">
        <f>(48.96)*(10.764)</f>
        <v>527.00544000000002</v>
      </c>
      <c r="E412" s="40">
        <v>0</v>
      </c>
      <c r="F412" s="40">
        <f>D412+E412</f>
        <v>527.00544000000002</v>
      </c>
      <c r="G412" s="40">
        <v>0</v>
      </c>
      <c r="H412" s="40">
        <f>F412*(($H$310)+1)+(IF(G412&lt;101,G412,IF(G412&lt;201,G412/2,IF(G412&lt;=301,G412/3,G412/4))))</f>
        <v>790.50816000000009</v>
      </c>
      <c r="I412" s="34"/>
      <c r="N412" s="34"/>
    </row>
    <row r="413" spans="1:14" s="35" customFormat="1" x14ac:dyDescent="0.25">
      <c r="A413" s="40">
        <f t="shared" ref="A413:A420" si="95">A412+1</f>
        <v>3</v>
      </c>
      <c r="B413" s="40" t="s">
        <v>397</v>
      </c>
      <c r="C413" s="40" t="s">
        <v>362</v>
      </c>
      <c r="D413" s="70">
        <f>(49.16)*(10.764)</f>
        <v>529.15823999999998</v>
      </c>
      <c r="E413" s="40">
        <v>0</v>
      </c>
      <c r="F413" s="40">
        <f>D413+E413</f>
        <v>529.15823999999998</v>
      </c>
      <c r="G413" s="40">
        <v>0</v>
      </c>
      <c r="H413" s="40">
        <f>F413*(($H$310)+1)+(IF(G413&lt;101,G413,IF(G413&lt;201,G413/2,IF(G413&lt;=301,G413/3,G413/4))))</f>
        <v>793.73735999999997</v>
      </c>
      <c r="I413" s="34"/>
      <c r="N413" s="34"/>
    </row>
    <row r="414" spans="1:14" s="35" customFormat="1" x14ac:dyDescent="0.25">
      <c r="A414" s="40">
        <f t="shared" si="95"/>
        <v>4</v>
      </c>
      <c r="B414" s="40" t="s">
        <v>366</v>
      </c>
      <c r="C414" s="239" t="s">
        <v>365</v>
      </c>
      <c r="D414" s="240"/>
      <c r="E414" s="240"/>
      <c r="F414" s="240"/>
      <c r="G414" s="240"/>
      <c r="H414" s="241"/>
      <c r="I414" s="34"/>
      <c r="N414" s="34"/>
    </row>
    <row r="415" spans="1:14" s="35" customFormat="1" x14ac:dyDescent="0.25">
      <c r="A415" s="40">
        <f t="shared" si="95"/>
        <v>5</v>
      </c>
      <c r="B415" s="40" t="s">
        <v>366</v>
      </c>
      <c r="C415" s="245"/>
      <c r="D415" s="246"/>
      <c r="E415" s="246"/>
      <c r="F415" s="246"/>
      <c r="G415" s="246"/>
      <c r="H415" s="247"/>
      <c r="I415" s="34"/>
      <c r="N415" s="34"/>
    </row>
    <row r="416" spans="1:14" s="35" customFormat="1" x14ac:dyDescent="0.25">
      <c r="A416" s="40">
        <f t="shared" si="95"/>
        <v>6</v>
      </c>
      <c r="B416" s="40" t="s">
        <v>397</v>
      </c>
      <c r="C416" s="40" t="s">
        <v>362</v>
      </c>
      <c r="D416" s="70">
        <f>(49.08)*(10.764)</f>
        <v>528.29711999999995</v>
      </c>
      <c r="E416" s="40">
        <v>0</v>
      </c>
      <c r="F416" s="40">
        <f>D416+E416</f>
        <v>528.29711999999995</v>
      </c>
      <c r="G416" s="40">
        <v>0</v>
      </c>
      <c r="H416" s="40">
        <f>F416*(($H$310)+1)+(IF(G416&lt;101,G416,IF(G416&lt;201,G416/2,IF(G416&lt;=301,G416/3,G416/4))))</f>
        <v>792.44567999999992</v>
      </c>
      <c r="I416" s="34"/>
      <c r="N416" s="34"/>
    </row>
    <row r="417" spans="1:14" s="35" customFormat="1" x14ac:dyDescent="0.25">
      <c r="A417" s="40">
        <f t="shared" si="95"/>
        <v>7</v>
      </c>
      <c r="B417" s="40" t="s">
        <v>366</v>
      </c>
      <c r="C417" s="148" t="s">
        <v>365</v>
      </c>
      <c r="D417" s="152"/>
      <c r="E417" s="152"/>
      <c r="F417" s="152"/>
      <c r="G417" s="152"/>
      <c r="H417" s="149"/>
      <c r="I417" s="34"/>
      <c r="N417" s="34"/>
    </row>
    <row r="418" spans="1:14" s="35" customFormat="1" x14ac:dyDescent="0.25">
      <c r="A418" s="40">
        <f t="shared" si="95"/>
        <v>8</v>
      </c>
      <c r="B418" s="40" t="s">
        <v>397</v>
      </c>
      <c r="C418" s="40" t="s">
        <v>362</v>
      </c>
      <c r="D418" s="70">
        <f>(49.32)*(10.764)</f>
        <v>530.88047999999992</v>
      </c>
      <c r="E418" s="40">
        <v>0</v>
      </c>
      <c r="F418" s="40">
        <f>D418+E418</f>
        <v>530.88047999999992</v>
      </c>
      <c r="G418" s="40">
        <v>0</v>
      </c>
      <c r="H418" s="40">
        <f>F418*(($H$310)+1)+(IF(G418&lt;101,G418,IF(G418&lt;201,G418/2,IF(G418&lt;=301,G418/3,G418/4))))</f>
        <v>796.32071999999994</v>
      </c>
      <c r="I418" s="34"/>
      <c r="N418" s="34"/>
    </row>
    <row r="419" spans="1:14" s="35" customFormat="1" x14ac:dyDescent="0.25">
      <c r="A419" s="40">
        <f t="shared" si="95"/>
        <v>9</v>
      </c>
      <c r="B419" s="40" t="s">
        <v>397</v>
      </c>
      <c r="C419" s="40" t="s">
        <v>362</v>
      </c>
      <c r="D419" s="70">
        <f>(48.78)*(10.764)</f>
        <v>525.06791999999996</v>
      </c>
      <c r="E419" s="40">
        <v>0</v>
      </c>
      <c r="F419" s="40">
        <f>D419+E419</f>
        <v>525.06791999999996</v>
      </c>
      <c r="G419" s="40">
        <v>0</v>
      </c>
      <c r="H419" s="40">
        <f>F419*(($H$310)+1)+(IF(G419&lt;101,G419,IF(G419&lt;201,G419/2,IF(G419&lt;=301,G419/3,G419/4))))</f>
        <v>787.60187999999994</v>
      </c>
      <c r="I419" s="34"/>
      <c r="N419" s="34"/>
    </row>
    <row r="420" spans="1:14" s="35" customFormat="1" x14ac:dyDescent="0.25">
      <c r="A420" s="40">
        <f t="shared" si="95"/>
        <v>10</v>
      </c>
      <c r="B420" s="40" t="s">
        <v>397</v>
      </c>
      <c r="C420" s="40" t="s">
        <v>362</v>
      </c>
      <c r="D420" s="70">
        <f>(49.41)*(10.764)</f>
        <v>531.8492399999999</v>
      </c>
      <c r="E420" s="40">
        <v>0</v>
      </c>
      <c r="F420" s="40">
        <f>D420+E420</f>
        <v>531.8492399999999</v>
      </c>
      <c r="G420" s="40">
        <v>0</v>
      </c>
      <c r="H420" s="40">
        <f>F420*(($H$310)+1)+(IF(G420&lt;101,G420,IF(G420&lt;201,G420/2,IF(G420&lt;=301,G420/3,G420/4))))</f>
        <v>797.77385999999979</v>
      </c>
      <c r="I420" s="34"/>
      <c r="N420" s="34"/>
    </row>
    <row r="421" spans="1:14" s="35" customFormat="1" x14ac:dyDescent="0.25">
      <c r="A421" s="141" t="s">
        <v>387</v>
      </c>
      <c r="B421" s="141"/>
      <c r="C421" s="141"/>
      <c r="D421" s="141"/>
      <c r="E421" s="141"/>
      <c r="F421" s="141"/>
      <c r="G421" s="141"/>
      <c r="H421" s="141"/>
      <c r="I421" s="34"/>
      <c r="N421" s="34"/>
    </row>
    <row r="422" spans="1:14" s="35" customFormat="1" x14ac:dyDescent="0.25">
      <c r="A422" s="40">
        <v>1</v>
      </c>
      <c r="B422" s="40" t="s">
        <v>397</v>
      </c>
      <c r="C422" s="40" t="s">
        <v>362</v>
      </c>
      <c r="D422" s="70">
        <f>(48.64)*(10.764)</f>
        <v>523.56096000000002</v>
      </c>
      <c r="E422" s="40">
        <v>0</v>
      </c>
      <c r="F422" s="40">
        <f>D422+E422</f>
        <v>523.56096000000002</v>
      </c>
      <c r="G422" s="40">
        <v>0</v>
      </c>
      <c r="H422" s="40">
        <f>F422*(($H$310)+1)+(IF(G422&lt;101,G422,IF(G422&lt;201,G422/2,IF(G422&lt;=301,G422/3,G422/4))))</f>
        <v>785.34144000000003</v>
      </c>
      <c r="I422" s="34"/>
      <c r="L422" s="140"/>
      <c r="M422" s="140"/>
    </row>
    <row r="423" spans="1:14" s="35" customFormat="1" x14ac:dyDescent="0.25">
      <c r="A423" s="40">
        <f>A422+1</f>
        <v>2</v>
      </c>
      <c r="B423" s="40" t="s">
        <v>397</v>
      </c>
      <c r="C423" s="40" t="s">
        <v>362</v>
      </c>
      <c r="D423" s="70">
        <f>(48.96)*(10.764)</f>
        <v>527.00544000000002</v>
      </c>
      <c r="E423" s="40">
        <v>0</v>
      </c>
      <c r="F423" s="40">
        <f>D423+E423</f>
        <v>527.00544000000002</v>
      </c>
      <c r="G423" s="40">
        <v>0</v>
      </c>
      <c r="H423" s="40">
        <f>F423*(($H$310)+1)+(IF(G423&lt;101,G423,IF(G423&lt;201,G423/2,IF(G423&lt;=301,G423/3,G423/4))))</f>
        <v>790.50816000000009</v>
      </c>
      <c r="I423" s="34"/>
      <c r="N423" s="34"/>
    </row>
    <row r="424" spans="1:14" s="35" customFormat="1" x14ac:dyDescent="0.25">
      <c r="A424" s="40">
        <f>A423+1</f>
        <v>3</v>
      </c>
      <c r="B424" s="40" t="s">
        <v>397</v>
      </c>
      <c r="C424" s="40" t="s">
        <v>362</v>
      </c>
      <c r="D424" s="70">
        <f>(49.16)*(10.764)</f>
        <v>529.15823999999998</v>
      </c>
      <c r="E424" s="40">
        <v>0</v>
      </c>
      <c r="F424" s="40">
        <f>D424+E424</f>
        <v>529.15823999999998</v>
      </c>
      <c r="G424" s="40">
        <v>0</v>
      </c>
      <c r="H424" s="40">
        <f>F424*(($H$310)+1)+(IF(G424&lt;101,G424,IF(G424&lt;201,G424/2,IF(G424&lt;=301,G424/3,G424/4))))</f>
        <v>793.73735999999997</v>
      </c>
      <c r="I424" s="34"/>
      <c r="N424" s="34"/>
    </row>
    <row r="425" spans="1:14" s="35" customFormat="1" x14ac:dyDescent="0.25">
      <c r="A425" s="40">
        <f>A424+1</f>
        <v>4</v>
      </c>
      <c r="B425" s="40" t="s">
        <v>366</v>
      </c>
      <c r="C425" s="239" t="s">
        <v>365</v>
      </c>
      <c r="D425" s="240"/>
      <c r="E425" s="240"/>
      <c r="F425" s="240"/>
      <c r="G425" s="240"/>
      <c r="H425" s="241"/>
      <c r="I425" s="34"/>
      <c r="N425" s="34"/>
    </row>
    <row r="426" spans="1:14" s="35" customFormat="1" x14ac:dyDescent="0.25">
      <c r="A426" s="40">
        <f>A425+1</f>
        <v>5</v>
      </c>
      <c r="B426" s="40" t="s">
        <v>366</v>
      </c>
      <c r="C426" s="245"/>
      <c r="D426" s="246"/>
      <c r="E426" s="246"/>
      <c r="F426" s="246"/>
      <c r="G426" s="246"/>
      <c r="H426" s="247"/>
      <c r="I426" s="34"/>
      <c r="N426" s="34"/>
    </row>
    <row r="427" spans="1:14" s="35" customFormat="1" x14ac:dyDescent="0.25">
      <c r="A427" s="40">
        <f t="shared" ref="A427:A431" si="96">A426+1</f>
        <v>6</v>
      </c>
      <c r="B427" s="40" t="s">
        <v>397</v>
      </c>
      <c r="C427" s="40" t="s">
        <v>362</v>
      </c>
      <c r="D427" s="70">
        <f>(49.08)*(10.764)</f>
        <v>528.29711999999995</v>
      </c>
      <c r="E427" s="40">
        <v>0</v>
      </c>
      <c r="F427" s="40">
        <f>D427+E427</f>
        <v>528.29711999999995</v>
      </c>
      <c r="G427" s="40">
        <v>0</v>
      </c>
      <c r="H427" s="40">
        <f>F427*(($H$310)+1)+(IF(G427&lt;101,G427,IF(G427&lt;201,G427/2,IF(G427&lt;=301,G427/3,G427/4))))</f>
        <v>792.44567999999992</v>
      </c>
      <c r="I427" s="34"/>
      <c r="N427" s="34"/>
    </row>
    <row r="428" spans="1:14" s="35" customFormat="1" x14ac:dyDescent="0.25">
      <c r="A428" s="40">
        <f t="shared" si="96"/>
        <v>7</v>
      </c>
      <c r="B428" s="40" t="s">
        <v>397</v>
      </c>
      <c r="C428" s="40" t="s">
        <v>362</v>
      </c>
      <c r="D428" s="70">
        <f>(49.28)*(10.764)</f>
        <v>530.44992000000002</v>
      </c>
      <c r="E428" s="40">
        <v>0</v>
      </c>
      <c r="F428" s="40">
        <f>D428+E428</f>
        <v>530.44992000000002</v>
      </c>
      <c r="G428" s="40">
        <v>0</v>
      </c>
      <c r="H428" s="40">
        <f>F428*(($H$310)+1)+(IF(G428&lt;101,G428,IF(G428&lt;201,G428/2,IF(G428&lt;=301,G428/3,G428/4))))</f>
        <v>795.67488000000003</v>
      </c>
      <c r="I428" s="34"/>
      <c r="N428" s="34"/>
    </row>
    <row r="429" spans="1:14" s="35" customFormat="1" x14ac:dyDescent="0.25">
      <c r="A429" s="40">
        <f t="shared" si="96"/>
        <v>8</v>
      </c>
      <c r="B429" s="40" t="s">
        <v>397</v>
      </c>
      <c r="C429" s="40" t="s">
        <v>362</v>
      </c>
      <c r="D429" s="70">
        <f>(49.32)*(10.764)</f>
        <v>530.88047999999992</v>
      </c>
      <c r="E429" s="40">
        <v>0</v>
      </c>
      <c r="F429" s="40">
        <f>D429+E429</f>
        <v>530.88047999999992</v>
      </c>
      <c r="G429" s="40">
        <v>0</v>
      </c>
      <c r="H429" s="40">
        <f>F429*(($H$310)+1)+(IF(G429&lt;101,G429,IF(G429&lt;201,G429/2,IF(G429&lt;=301,G429/3,G429/4))))</f>
        <v>796.32071999999994</v>
      </c>
      <c r="I429" s="34"/>
      <c r="N429" s="34"/>
    </row>
    <row r="430" spans="1:14" s="35" customFormat="1" x14ac:dyDescent="0.25">
      <c r="A430" s="40">
        <f t="shared" si="96"/>
        <v>9</v>
      </c>
      <c r="B430" s="40" t="s">
        <v>397</v>
      </c>
      <c r="C430" s="40" t="s">
        <v>362</v>
      </c>
      <c r="D430" s="70">
        <f>(48.78)*(10.764)</f>
        <v>525.06791999999996</v>
      </c>
      <c r="E430" s="40">
        <v>0</v>
      </c>
      <c r="F430" s="40">
        <f>D430+E430</f>
        <v>525.06791999999996</v>
      </c>
      <c r="G430" s="40">
        <v>0</v>
      </c>
      <c r="H430" s="40">
        <f>F430*(($H$310)+1)+(IF(G430&lt;101,G430,IF(G430&lt;201,G430/2,IF(G430&lt;=301,G430/3,G430/4))))</f>
        <v>787.60187999999994</v>
      </c>
      <c r="I430" s="34"/>
      <c r="N430" s="34"/>
    </row>
    <row r="431" spans="1:14" s="35" customFormat="1" x14ac:dyDescent="0.25">
      <c r="A431" s="40">
        <f t="shared" si="96"/>
        <v>10</v>
      </c>
      <c r="B431" s="40" t="s">
        <v>397</v>
      </c>
      <c r="C431" s="40" t="s">
        <v>362</v>
      </c>
      <c r="D431" s="70">
        <f>(49.41)*(10.764)</f>
        <v>531.8492399999999</v>
      </c>
      <c r="E431" s="40">
        <v>0</v>
      </c>
      <c r="F431" s="40">
        <f>D431+E431</f>
        <v>531.8492399999999</v>
      </c>
      <c r="G431" s="40">
        <v>0</v>
      </c>
      <c r="H431" s="40">
        <f>F431*(($H$310)+1)+(IF(G431&lt;101,G431,IF(G431&lt;201,G431/2,IF(G431&lt;=301,G431/3,G431/4))))</f>
        <v>797.77385999999979</v>
      </c>
      <c r="I431" s="34"/>
      <c r="N431" s="34"/>
    </row>
    <row r="432" spans="1:14" s="35" customFormat="1" x14ac:dyDescent="0.25">
      <c r="A432" s="141" t="s">
        <v>388</v>
      </c>
      <c r="B432" s="141"/>
      <c r="C432" s="141"/>
      <c r="D432" s="141"/>
      <c r="E432" s="141"/>
      <c r="F432" s="141"/>
      <c r="G432" s="141"/>
      <c r="H432" s="141"/>
      <c r="I432" s="34"/>
      <c r="N432" s="34"/>
    </row>
    <row r="433" spans="1:10" s="35" customFormat="1" x14ac:dyDescent="0.25">
      <c r="A433" s="98">
        <v>1</v>
      </c>
      <c r="B433" s="98" t="s">
        <v>397</v>
      </c>
      <c r="C433" s="98" t="s">
        <v>362</v>
      </c>
      <c r="D433" s="70">
        <f>(48.64)*(10.764)</f>
        <v>523.56096000000002</v>
      </c>
      <c r="E433" s="98">
        <v>0</v>
      </c>
      <c r="F433" s="98">
        <f t="shared" ref="F433:F442" si="97">D433+E433</f>
        <v>523.56096000000002</v>
      </c>
      <c r="G433" s="98">
        <v>0</v>
      </c>
      <c r="H433" s="98">
        <f>F433*(($H$310)+1)+(IF(G433&lt;101,G433,IF(G433&lt;201,G433/2,IF(G433&lt;=301,G433/3,G433/4))))</f>
        <v>785.34144000000003</v>
      </c>
      <c r="J433" s="34"/>
    </row>
    <row r="434" spans="1:10" s="35" customFormat="1" x14ac:dyDescent="0.25">
      <c r="A434" s="98">
        <f>A433+1</f>
        <v>2</v>
      </c>
      <c r="B434" s="98" t="s">
        <v>397</v>
      </c>
      <c r="C434" s="98" t="s">
        <v>362</v>
      </c>
      <c r="D434" s="70">
        <f>(48.96)*(10.764)</f>
        <v>527.00544000000002</v>
      </c>
      <c r="E434" s="98">
        <v>0</v>
      </c>
      <c r="F434" s="98">
        <f t="shared" si="97"/>
        <v>527.00544000000002</v>
      </c>
      <c r="G434" s="98">
        <v>0</v>
      </c>
      <c r="H434" s="98">
        <f>F434*(($H$310)+1)+(IF(G434&lt;101,G434,IF(G434&lt;201,G434/2,IF(G434&lt;=301,G434/3,G434/4))))</f>
        <v>790.50816000000009</v>
      </c>
      <c r="J434" s="34"/>
    </row>
    <row r="435" spans="1:10" s="35" customFormat="1" ht="15.75" customHeight="1" x14ac:dyDescent="0.25">
      <c r="A435" s="98">
        <f>A434+1</f>
        <v>3</v>
      </c>
      <c r="B435" s="98" t="s">
        <v>397</v>
      </c>
      <c r="C435" s="98" t="s">
        <v>362</v>
      </c>
      <c r="D435" s="70">
        <f>(49.16)*(10.764)</f>
        <v>529.15823999999998</v>
      </c>
      <c r="E435" s="98">
        <v>0</v>
      </c>
      <c r="F435" s="98">
        <f t="shared" si="97"/>
        <v>529.15823999999998</v>
      </c>
      <c r="G435" s="98">
        <v>0</v>
      </c>
      <c r="H435" s="98">
        <f>F435*(($H$310)+1)+(IF(G435&lt;101,G435,IF(G435&lt;201,G435/2,IF(G435&lt;=301,G435/3,G435/4))))</f>
        <v>793.73735999999997</v>
      </c>
      <c r="J435" s="34"/>
    </row>
    <row r="436" spans="1:10" s="35" customFormat="1" ht="15.75" customHeight="1" x14ac:dyDescent="0.25">
      <c r="A436" s="98">
        <f>A435+1</f>
        <v>4</v>
      </c>
      <c r="B436" s="98" t="s">
        <v>397</v>
      </c>
      <c r="C436" s="98" t="s">
        <v>362</v>
      </c>
      <c r="D436" s="70">
        <f>(48.67)*(10.764)</f>
        <v>523.88387999999998</v>
      </c>
      <c r="E436" s="98">
        <v>0</v>
      </c>
      <c r="F436" s="98">
        <f t="shared" si="97"/>
        <v>523.88387999999998</v>
      </c>
      <c r="G436" s="98">
        <v>0</v>
      </c>
      <c r="H436" s="98">
        <f t="shared" ref="H436:H437" si="98">F436*(($H$310)+1)+(IF(G436&lt;101,G436,IF(G436&lt;201,G436/2,IF(G436&lt;=301,G436/3,G436/4))))</f>
        <v>785.82582000000002</v>
      </c>
      <c r="J436" s="34"/>
    </row>
    <row r="437" spans="1:10" s="35" customFormat="1" ht="15.75" customHeight="1" x14ac:dyDescent="0.25">
      <c r="A437" s="98">
        <f>A436+1</f>
        <v>5</v>
      </c>
      <c r="B437" s="98" t="s">
        <v>390</v>
      </c>
      <c r="C437" s="98" t="s">
        <v>389</v>
      </c>
      <c r="D437" s="70">
        <f>(39.69)*(10.764)</f>
        <v>427.22315999999995</v>
      </c>
      <c r="E437" s="98">
        <v>0</v>
      </c>
      <c r="F437" s="98">
        <f t="shared" si="97"/>
        <v>427.22315999999995</v>
      </c>
      <c r="G437" s="98">
        <v>0</v>
      </c>
      <c r="H437" s="98">
        <f t="shared" si="98"/>
        <v>640.8347399999999</v>
      </c>
      <c r="I437" s="34"/>
    </row>
    <row r="438" spans="1:10" s="35" customFormat="1" ht="15.75" customHeight="1" x14ac:dyDescent="0.25">
      <c r="A438" s="98">
        <f t="shared" ref="A438:A442" si="99">A437+1</f>
        <v>6</v>
      </c>
      <c r="B438" s="98" t="s">
        <v>397</v>
      </c>
      <c r="C438" s="98" t="s">
        <v>362</v>
      </c>
      <c r="D438" s="70">
        <f>(49.08)*(10.764)</f>
        <v>528.29711999999995</v>
      </c>
      <c r="E438" s="98">
        <v>0</v>
      </c>
      <c r="F438" s="98">
        <f t="shared" si="97"/>
        <v>528.29711999999995</v>
      </c>
      <c r="G438" s="98">
        <v>0</v>
      </c>
      <c r="H438" s="98">
        <f>F438*(($H$310)+1)+(IF(G438&lt;101,G438,IF(G438&lt;201,G438/2,IF(G438&lt;=301,G438/3,G438/4))))</f>
        <v>792.44567999999992</v>
      </c>
      <c r="I438" s="34"/>
    </row>
    <row r="439" spans="1:10" s="35" customFormat="1" ht="15.75" customHeight="1" x14ac:dyDescent="0.25">
      <c r="A439" s="98">
        <f t="shared" si="99"/>
        <v>7</v>
      </c>
      <c r="B439" s="98" t="s">
        <v>372</v>
      </c>
      <c r="C439" s="98" t="s">
        <v>363</v>
      </c>
      <c r="D439" s="70">
        <f>(58.45)*(10.764)</f>
        <v>629.1558</v>
      </c>
      <c r="E439" s="98">
        <v>0</v>
      </c>
      <c r="F439" s="98">
        <f t="shared" si="97"/>
        <v>629.1558</v>
      </c>
      <c r="G439" s="98">
        <v>0</v>
      </c>
      <c r="H439" s="98">
        <f>F439*(($H$310)+1)+(IF(G439&lt;101,G439,IF(G439&lt;201,G439/2,IF(G439&lt;=301,G439/3,G439/4))))</f>
        <v>943.7337</v>
      </c>
      <c r="I439" s="34"/>
    </row>
    <row r="440" spans="1:10" s="35" customFormat="1" ht="15.75" customHeight="1" x14ac:dyDescent="0.25">
      <c r="A440" s="98">
        <f t="shared" si="99"/>
        <v>8</v>
      </c>
      <c r="B440" s="98" t="s">
        <v>390</v>
      </c>
      <c r="C440" s="98" t="s">
        <v>389</v>
      </c>
      <c r="D440" s="70">
        <f>(39.9)*(10.764)</f>
        <v>429.48359999999997</v>
      </c>
      <c r="E440" s="98">
        <v>0</v>
      </c>
      <c r="F440" s="98">
        <f t="shared" si="97"/>
        <v>429.48359999999997</v>
      </c>
      <c r="G440" s="98">
        <v>0</v>
      </c>
      <c r="H440" s="98">
        <f>F440*(($H$310)+1)+(IF(G440&lt;101,G440,IF(G440&lt;201,G440/2,IF(G440&lt;=301,G440/3,G440/4))))</f>
        <v>644.22539999999992</v>
      </c>
      <c r="I440" s="34"/>
    </row>
    <row r="441" spans="1:10" s="35" customFormat="1" ht="15.75" customHeight="1" x14ac:dyDescent="0.25">
      <c r="A441" s="98">
        <f t="shared" si="99"/>
        <v>9</v>
      </c>
      <c r="B441" s="98" t="s">
        <v>372</v>
      </c>
      <c r="C441" s="98" t="s">
        <v>363</v>
      </c>
      <c r="D441" s="70">
        <f>(58.03)*(10.764)</f>
        <v>624.63491999999997</v>
      </c>
      <c r="E441" s="98">
        <v>0</v>
      </c>
      <c r="F441" s="98">
        <f t="shared" si="97"/>
        <v>624.63491999999997</v>
      </c>
      <c r="G441" s="98">
        <v>0</v>
      </c>
      <c r="H441" s="98">
        <f>F441*(($H$310)+1)+(IF(G441&lt;101,G441,IF(G441&lt;201,G441/2,IF(G441&lt;=301,G441/3,G441/4))))</f>
        <v>936.95237999999995</v>
      </c>
      <c r="I441" s="34"/>
    </row>
    <row r="442" spans="1:10" s="35" customFormat="1" ht="15.75" customHeight="1" x14ac:dyDescent="0.25">
      <c r="A442" s="90">
        <f t="shared" si="99"/>
        <v>10</v>
      </c>
      <c r="B442" s="90" t="s">
        <v>397</v>
      </c>
      <c r="C442" s="90" t="s">
        <v>362</v>
      </c>
      <c r="D442" s="70">
        <f>(49.41)*(10.764)</f>
        <v>531.8492399999999</v>
      </c>
      <c r="E442" s="90">
        <v>0</v>
      </c>
      <c r="F442" s="90">
        <f t="shared" si="97"/>
        <v>531.8492399999999</v>
      </c>
      <c r="G442" s="90">
        <v>0</v>
      </c>
      <c r="H442" s="90">
        <f>F442*(($H$310)+1)+(IF(G442&lt;101,G442,IF(G442&lt;201,G442/2,IF(G442&lt;=301,G442/3,G442/4))))</f>
        <v>797.77385999999979</v>
      </c>
      <c r="I442" s="34"/>
    </row>
    <row r="443" spans="1:10" s="35" customFormat="1" ht="15.75" customHeight="1" x14ac:dyDescent="0.25">
      <c r="A443" s="141" t="s">
        <v>391</v>
      </c>
      <c r="B443" s="141"/>
      <c r="C443" s="141"/>
      <c r="D443" s="141"/>
      <c r="E443" s="141"/>
      <c r="F443" s="141"/>
      <c r="G443" s="141"/>
      <c r="H443" s="141"/>
      <c r="I443" s="34"/>
    </row>
    <row r="444" spans="1:10" s="35" customFormat="1" ht="15.75" customHeight="1" x14ac:dyDescent="0.25">
      <c r="A444" s="90">
        <v>1</v>
      </c>
      <c r="B444" s="90" t="s">
        <v>397</v>
      </c>
      <c r="C444" s="90" t="s">
        <v>362</v>
      </c>
      <c r="D444" s="70">
        <f>(48.64)*(10.764)</f>
        <v>523.56096000000002</v>
      </c>
      <c r="E444" s="90">
        <v>0</v>
      </c>
      <c r="F444" s="90">
        <f t="shared" ref="F444:F453" si="100">D444+E444</f>
        <v>523.56096000000002</v>
      </c>
      <c r="G444" s="90">
        <v>0</v>
      </c>
      <c r="H444" s="90">
        <f>F444*(($H$310)+1)+(IF(G444&lt;101,G444,IF(G444&lt;201,G444/2,IF(G444&lt;=301,G444/3,G444/4))))</f>
        <v>785.34144000000003</v>
      </c>
      <c r="I444" s="34"/>
    </row>
    <row r="445" spans="1:10" s="35" customFormat="1" ht="15.75" customHeight="1" x14ac:dyDescent="0.25">
      <c r="A445" s="90">
        <f>A444+1</f>
        <v>2</v>
      </c>
      <c r="B445" s="90" t="s">
        <v>397</v>
      </c>
      <c r="C445" s="90" t="s">
        <v>362</v>
      </c>
      <c r="D445" s="70">
        <f>(48.96)*(10.764)</f>
        <v>527.00544000000002</v>
      </c>
      <c r="E445" s="90">
        <v>0</v>
      </c>
      <c r="F445" s="90">
        <f t="shared" si="100"/>
        <v>527.00544000000002</v>
      </c>
      <c r="G445" s="90">
        <v>0</v>
      </c>
      <c r="H445" s="90">
        <f>F445*(($H$310)+1)+(IF(G445&lt;101,G445,IF(G445&lt;201,G445/2,IF(G445&lt;=301,G445/3,G445/4))))</f>
        <v>790.50816000000009</v>
      </c>
      <c r="I445" s="34"/>
    </row>
    <row r="446" spans="1:10" s="35" customFormat="1" ht="15.75" customHeight="1" x14ac:dyDescent="0.25">
      <c r="A446" s="90">
        <f>A445+1</f>
        <v>3</v>
      </c>
      <c r="B446" s="90" t="s">
        <v>397</v>
      </c>
      <c r="C446" s="90" t="s">
        <v>362</v>
      </c>
      <c r="D446" s="70">
        <f>(49.16)*(10.764)</f>
        <v>529.15823999999998</v>
      </c>
      <c r="E446" s="90">
        <v>0</v>
      </c>
      <c r="F446" s="90">
        <f t="shared" si="100"/>
        <v>529.15823999999998</v>
      </c>
      <c r="G446" s="90">
        <v>0</v>
      </c>
      <c r="H446" s="90">
        <f>F446*(($H$310)+1)+(IF(G446&lt;101,G446,IF(G446&lt;201,G446/2,IF(G446&lt;=301,G446/3,G446/4))))</f>
        <v>793.73735999999997</v>
      </c>
      <c r="I446" s="34"/>
    </row>
    <row r="447" spans="1:10" s="35" customFormat="1" ht="15.75" customHeight="1" x14ac:dyDescent="0.25">
      <c r="A447" s="90">
        <f>A446+1</f>
        <v>4</v>
      </c>
      <c r="B447" s="90" t="s">
        <v>397</v>
      </c>
      <c r="C447" s="90" t="s">
        <v>362</v>
      </c>
      <c r="D447" s="70">
        <f>(48.67)*(10.764)</f>
        <v>523.88387999999998</v>
      </c>
      <c r="E447" s="90">
        <v>0</v>
      </c>
      <c r="F447" s="90">
        <f t="shared" si="100"/>
        <v>523.88387999999998</v>
      </c>
      <c r="G447" s="90">
        <v>0</v>
      </c>
      <c r="H447" s="90">
        <f t="shared" ref="H447:H448" si="101">F447*(($H$310)+1)+(IF(G447&lt;101,G447,IF(G447&lt;201,G447/2,IF(G447&lt;=301,G447/3,G447/4))))</f>
        <v>785.82582000000002</v>
      </c>
      <c r="I447" s="34"/>
    </row>
    <row r="448" spans="1:10" s="35" customFormat="1" ht="15.75" customHeight="1" x14ac:dyDescent="0.25">
      <c r="A448" s="90">
        <f>A447+1</f>
        <v>5</v>
      </c>
      <c r="B448" s="90" t="s">
        <v>390</v>
      </c>
      <c r="C448" s="90" t="s">
        <v>389</v>
      </c>
      <c r="D448" s="70">
        <f>(39.69)*(10.764)</f>
        <v>427.22315999999995</v>
      </c>
      <c r="E448" s="90">
        <v>0</v>
      </c>
      <c r="F448" s="90">
        <f t="shared" si="100"/>
        <v>427.22315999999995</v>
      </c>
      <c r="G448" s="90">
        <v>0</v>
      </c>
      <c r="H448" s="90">
        <f t="shared" si="101"/>
        <v>640.8347399999999</v>
      </c>
      <c r="I448" s="34"/>
    </row>
    <row r="449" spans="1:14" s="35" customFormat="1" ht="15.75" customHeight="1" x14ac:dyDescent="0.25">
      <c r="A449" s="90">
        <f t="shared" ref="A449:A453" si="102">A448+1</f>
        <v>6</v>
      </c>
      <c r="B449" s="90" t="s">
        <v>397</v>
      </c>
      <c r="C449" s="90" t="s">
        <v>362</v>
      </c>
      <c r="D449" s="70">
        <f>(49.08)*(10.764)</f>
        <v>528.29711999999995</v>
      </c>
      <c r="E449" s="90">
        <v>0</v>
      </c>
      <c r="F449" s="90">
        <f t="shared" si="100"/>
        <v>528.29711999999995</v>
      </c>
      <c r="G449" s="90">
        <v>0</v>
      </c>
      <c r="H449" s="90">
        <f>F449*(($H$310)+1)+(IF(G449&lt;101,G449,IF(G449&lt;201,G449/2,IF(G449&lt;=301,G449/3,G449/4))))</f>
        <v>792.44567999999992</v>
      </c>
      <c r="I449" s="34"/>
    </row>
    <row r="450" spans="1:14" s="35" customFormat="1" ht="15.75" customHeight="1" x14ac:dyDescent="0.25">
      <c r="A450" s="90">
        <f t="shared" si="102"/>
        <v>7</v>
      </c>
      <c r="B450" s="90" t="s">
        <v>397</v>
      </c>
      <c r="C450" s="90" t="s">
        <v>363</v>
      </c>
      <c r="D450" s="70">
        <f>(58.45)*(10.764)</f>
        <v>629.1558</v>
      </c>
      <c r="E450" s="90">
        <v>0</v>
      </c>
      <c r="F450" s="90">
        <f t="shared" si="100"/>
        <v>629.1558</v>
      </c>
      <c r="G450" s="90">
        <v>0</v>
      </c>
      <c r="H450" s="90">
        <f>F450*(($H$310)+1)+(IF(G450&lt;101,G450,IF(G450&lt;201,G450/2,IF(G450&lt;=301,G450/3,G450/4))))</f>
        <v>943.7337</v>
      </c>
      <c r="I450" s="34"/>
    </row>
    <row r="451" spans="1:14" s="35" customFormat="1" ht="15.75" customHeight="1" x14ac:dyDescent="0.25">
      <c r="A451" s="90">
        <f t="shared" si="102"/>
        <v>8</v>
      </c>
      <c r="B451" s="90" t="s">
        <v>390</v>
      </c>
      <c r="C451" s="90" t="s">
        <v>389</v>
      </c>
      <c r="D451" s="70">
        <f>(39.69)*(10.764)</f>
        <v>427.22315999999995</v>
      </c>
      <c r="E451" s="90">
        <v>0</v>
      </c>
      <c r="F451" s="90">
        <f t="shared" si="100"/>
        <v>427.22315999999995</v>
      </c>
      <c r="G451" s="90">
        <v>0</v>
      </c>
      <c r="H451" s="90">
        <f>F451*(($H$310)+1)+(IF(G451&lt;101,G451,IF(G451&lt;201,G451/2,IF(G451&lt;=301,G451/3,G451/4))))</f>
        <v>640.8347399999999</v>
      </c>
      <c r="I451" s="34"/>
    </row>
    <row r="452" spans="1:14" s="35" customFormat="1" ht="15.75" customHeight="1" x14ac:dyDescent="0.25">
      <c r="A452" s="90">
        <f t="shared" si="102"/>
        <v>9</v>
      </c>
      <c r="B452" s="90" t="s">
        <v>397</v>
      </c>
      <c r="C452" s="90" t="s">
        <v>363</v>
      </c>
      <c r="D452" s="70">
        <f>(58.03)*(10.764)</f>
        <v>624.63491999999997</v>
      </c>
      <c r="E452" s="90">
        <v>0</v>
      </c>
      <c r="F452" s="90">
        <f t="shared" si="100"/>
        <v>624.63491999999997</v>
      </c>
      <c r="G452" s="90">
        <v>0</v>
      </c>
      <c r="H452" s="90">
        <f>F452*(($H$310)+1)+(IF(G452&lt;101,G452,IF(G452&lt;201,G452/2,IF(G452&lt;=301,G452/3,G452/4))))</f>
        <v>936.95237999999995</v>
      </c>
      <c r="I452" s="34"/>
    </row>
    <row r="453" spans="1:14" s="35" customFormat="1" ht="15.75" customHeight="1" x14ac:dyDescent="0.25">
      <c r="A453" s="90">
        <f t="shared" si="102"/>
        <v>10</v>
      </c>
      <c r="B453" s="90" t="s">
        <v>397</v>
      </c>
      <c r="C453" s="90" t="s">
        <v>362</v>
      </c>
      <c r="D453" s="70">
        <f>(49.41)*(10.764)</f>
        <v>531.8492399999999</v>
      </c>
      <c r="E453" s="90">
        <v>0</v>
      </c>
      <c r="F453" s="90">
        <f t="shared" si="100"/>
        <v>531.8492399999999</v>
      </c>
      <c r="G453" s="90">
        <v>0</v>
      </c>
      <c r="H453" s="90">
        <f>F453*(($H$310)+1)+(IF(G453&lt;101,G453,IF(G453&lt;201,G453/2,IF(G453&lt;=301,G453/3,G453/4))))</f>
        <v>797.77385999999979</v>
      </c>
      <c r="I453" s="34"/>
    </row>
    <row r="454" spans="1:14" s="35" customFormat="1" ht="15.75" customHeight="1" x14ac:dyDescent="0.25">
      <c r="A454" s="141" t="s">
        <v>392</v>
      </c>
      <c r="B454" s="141"/>
      <c r="C454" s="141"/>
      <c r="D454" s="141"/>
      <c r="E454" s="141"/>
      <c r="F454" s="141"/>
      <c r="G454" s="141"/>
      <c r="H454" s="141"/>
      <c r="I454" s="34"/>
    </row>
    <row r="455" spans="1:14" s="35" customFormat="1" ht="15.75" customHeight="1" x14ac:dyDescent="0.25">
      <c r="A455" s="90">
        <v>1</v>
      </c>
      <c r="B455" s="90" t="s">
        <v>390</v>
      </c>
      <c r="C455" s="90" t="s">
        <v>362</v>
      </c>
      <c r="D455" s="70">
        <f>(48.64)*(10.764)</f>
        <v>523.56096000000002</v>
      </c>
      <c r="E455" s="90">
        <v>0</v>
      </c>
      <c r="F455" s="90">
        <f t="shared" ref="F455:F464" si="103">D455+E455</f>
        <v>523.56096000000002</v>
      </c>
      <c r="G455" s="90">
        <v>0</v>
      </c>
      <c r="H455" s="90">
        <f>F455*(($H$310)+1)+(IF(G455&lt;101,G455,IF(G455&lt;201,G455/2,IF(G455&lt;=301,G455/3,G455/4))))</f>
        <v>785.34144000000003</v>
      </c>
      <c r="I455" s="34"/>
    </row>
    <row r="456" spans="1:14" s="35" customFormat="1" ht="15.75" customHeight="1" x14ac:dyDescent="0.25">
      <c r="A456" s="90">
        <f>A455+1</f>
        <v>2</v>
      </c>
      <c r="B456" s="90" t="s">
        <v>390</v>
      </c>
      <c r="C456" s="90" t="s">
        <v>362</v>
      </c>
      <c r="D456" s="70">
        <f>(48.96)*(10.764)</f>
        <v>527.00544000000002</v>
      </c>
      <c r="E456" s="90">
        <v>0</v>
      </c>
      <c r="F456" s="90">
        <f t="shared" si="103"/>
        <v>527.00544000000002</v>
      </c>
      <c r="G456" s="90">
        <v>0</v>
      </c>
      <c r="H456" s="90">
        <f>F456*(($H$310)+1)+(IF(G456&lt;101,G456,IF(G456&lt;201,G456/2,IF(G456&lt;=301,G456/3,G456/4))))</f>
        <v>790.50816000000009</v>
      </c>
      <c r="I456" s="34"/>
    </row>
    <row r="457" spans="1:14" s="35" customFormat="1" ht="15.75" customHeight="1" x14ac:dyDescent="0.25">
      <c r="A457" s="90">
        <f>A456+1</f>
        <v>3</v>
      </c>
      <c r="B457" s="90" t="s">
        <v>390</v>
      </c>
      <c r="C457" s="90" t="s">
        <v>362</v>
      </c>
      <c r="D457" s="70">
        <f>(49.16)*(10.764)</f>
        <v>529.15823999999998</v>
      </c>
      <c r="E457" s="90">
        <v>0</v>
      </c>
      <c r="F457" s="90">
        <f t="shared" si="103"/>
        <v>529.15823999999998</v>
      </c>
      <c r="G457" s="90">
        <v>0</v>
      </c>
      <c r="H457" s="90">
        <f>F457*(($H$310)+1)+(IF(G457&lt;101,G457,IF(G457&lt;201,G457/2,IF(G457&lt;=301,G457/3,G457/4))))</f>
        <v>793.73735999999997</v>
      </c>
      <c r="I457" s="34"/>
    </row>
    <row r="458" spans="1:14" s="35" customFormat="1" ht="15.75" customHeight="1" x14ac:dyDescent="0.25">
      <c r="A458" s="90">
        <f>A457+1</f>
        <v>4</v>
      </c>
      <c r="B458" s="90" t="s">
        <v>390</v>
      </c>
      <c r="C458" s="90" t="s">
        <v>362</v>
      </c>
      <c r="D458" s="70">
        <f>(48.67)*(10.764)</f>
        <v>523.88387999999998</v>
      </c>
      <c r="E458" s="90">
        <v>0</v>
      </c>
      <c r="F458" s="90">
        <f t="shared" si="103"/>
        <v>523.88387999999998</v>
      </c>
      <c r="G458" s="90">
        <v>0</v>
      </c>
      <c r="H458" s="90">
        <f t="shared" ref="H458:H459" si="104">F458*(($H$310)+1)+(IF(G458&lt;101,G458,IF(G458&lt;201,G458/2,IF(G458&lt;=301,G458/3,G458/4))))</f>
        <v>785.82582000000002</v>
      </c>
      <c r="I458" s="34"/>
    </row>
    <row r="459" spans="1:14" s="35" customFormat="1" x14ac:dyDescent="0.25">
      <c r="A459" s="90">
        <f>A458+1</f>
        <v>5</v>
      </c>
      <c r="B459" s="90" t="s">
        <v>390</v>
      </c>
      <c r="C459" s="90" t="s">
        <v>362</v>
      </c>
      <c r="D459" s="70">
        <f>(49.12)*(10.764)</f>
        <v>528.72767999999996</v>
      </c>
      <c r="E459" s="90">
        <v>0</v>
      </c>
      <c r="F459" s="90">
        <f t="shared" si="103"/>
        <v>528.72767999999996</v>
      </c>
      <c r="G459" s="90">
        <v>0</v>
      </c>
      <c r="H459" s="90">
        <f t="shared" si="104"/>
        <v>793.09151999999995</v>
      </c>
      <c r="I459" s="34"/>
      <c r="L459" s="140"/>
      <c r="M459" s="140"/>
    </row>
    <row r="460" spans="1:14" s="35" customFormat="1" x14ac:dyDescent="0.25">
      <c r="A460" s="90">
        <f t="shared" ref="A460:A464" si="105">A459+1</f>
        <v>6</v>
      </c>
      <c r="B460" s="90" t="s">
        <v>390</v>
      </c>
      <c r="C460" s="90" t="s">
        <v>362</v>
      </c>
      <c r="D460" s="70">
        <f>(49.08)*(10.764)</f>
        <v>528.29711999999995</v>
      </c>
      <c r="E460" s="90">
        <v>0</v>
      </c>
      <c r="F460" s="90">
        <f t="shared" si="103"/>
        <v>528.29711999999995</v>
      </c>
      <c r="G460" s="90">
        <v>0</v>
      </c>
      <c r="H460" s="90">
        <f>F460*(($H$310)+1)+(IF(G460&lt;101,G460,IF(G460&lt;201,G460/2,IF(G460&lt;=301,G460/3,G460/4))))</f>
        <v>792.44567999999992</v>
      </c>
      <c r="I460" s="34"/>
      <c r="N460" s="34"/>
    </row>
    <row r="461" spans="1:14" s="35" customFormat="1" x14ac:dyDescent="0.25">
      <c r="A461" s="90">
        <f t="shared" si="105"/>
        <v>7</v>
      </c>
      <c r="B461" s="90" t="s">
        <v>390</v>
      </c>
      <c r="C461" s="90" t="s">
        <v>362</v>
      </c>
      <c r="D461" s="70">
        <f>(49.28)*(10.764)</f>
        <v>530.44992000000002</v>
      </c>
      <c r="E461" s="90">
        <v>0</v>
      </c>
      <c r="F461" s="90">
        <f t="shared" si="103"/>
        <v>530.44992000000002</v>
      </c>
      <c r="G461" s="90">
        <v>0</v>
      </c>
      <c r="H461" s="90">
        <f>F461*(($H$310)+1)+(IF(G461&lt;101,G461,IF(G461&lt;201,G461/2,IF(G461&lt;=301,G461/3,G461/4))))</f>
        <v>795.67488000000003</v>
      </c>
      <c r="I461" s="34"/>
      <c r="N461" s="34"/>
    </row>
    <row r="462" spans="1:14" s="35" customFormat="1" x14ac:dyDescent="0.25">
      <c r="A462" s="90">
        <f t="shared" si="105"/>
        <v>8</v>
      </c>
      <c r="B462" s="90" t="s">
        <v>390</v>
      </c>
      <c r="C462" s="90" t="s">
        <v>362</v>
      </c>
      <c r="D462" s="70">
        <f>(49.32)*(10.764)</f>
        <v>530.88047999999992</v>
      </c>
      <c r="E462" s="90">
        <v>0</v>
      </c>
      <c r="F462" s="90">
        <f t="shared" si="103"/>
        <v>530.88047999999992</v>
      </c>
      <c r="G462" s="90">
        <v>0</v>
      </c>
      <c r="H462" s="90">
        <f>F462*(($H$310)+1)+(IF(G462&lt;101,G462,IF(G462&lt;201,G462/2,IF(G462&lt;=301,G462/3,G462/4))))</f>
        <v>796.32071999999994</v>
      </c>
      <c r="I462" s="34"/>
      <c r="N462" s="34"/>
    </row>
    <row r="463" spans="1:14" s="35" customFormat="1" x14ac:dyDescent="0.25">
      <c r="A463" s="90">
        <f t="shared" si="105"/>
        <v>9</v>
      </c>
      <c r="B463" s="90" t="s">
        <v>390</v>
      </c>
      <c r="C463" s="90" t="s">
        <v>362</v>
      </c>
      <c r="D463" s="70">
        <f>(48.78)*(10.764)</f>
        <v>525.06791999999996</v>
      </c>
      <c r="E463" s="90">
        <v>0</v>
      </c>
      <c r="F463" s="90">
        <f t="shared" si="103"/>
        <v>525.06791999999996</v>
      </c>
      <c r="G463" s="90">
        <v>0</v>
      </c>
      <c r="H463" s="90">
        <f>F463*(($H$310)+1)+(IF(G463&lt;101,G463,IF(G463&lt;201,G463/2,IF(G463&lt;=301,G463/3,G463/4))))</f>
        <v>787.60187999999994</v>
      </c>
      <c r="I463" s="34"/>
      <c r="N463" s="34"/>
    </row>
    <row r="464" spans="1:14" s="35" customFormat="1" x14ac:dyDescent="0.25">
      <c r="A464" s="90">
        <f t="shared" si="105"/>
        <v>10</v>
      </c>
      <c r="B464" s="90" t="s">
        <v>390</v>
      </c>
      <c r="C464" s="90" t="s">
        <v>362</v>
      </c>
      <c r="D464" s="70">
        <f>(49.41)*(10.764)</f>
        <v>531.8492399999999</v>
      </c>
      <c r="E464" s="90">
        <v>0</v>
      </c>
      <c r="F464" s="90">
        <f t="shared" si="103"/>
        <v>531.8492399999999</v>
      </c>
      <c r="G464" s="90">
        <v>0</v>
      </c>
      <c r="H464" s="90">
        <f>F464*(($H$310)+1)+(IF(G464&lt;101,G464,IF(G464&lt;201,G464/2,IF(G464&lt;=301,G464/3,G464/4))))</f>
        <v>797.77385999999979</v>
      </c>
      <c r="I464" s="34"/>
      <c r="N464" s="34"/>
    </row>
    <row r="465" spans="1:14" s="35" customFormat="1" x14ac:dyDescent="0.25">
      <c r="A465" s="256" t="s">
        <v>465</v>
      </c>
      <c r="B465" s="257"/>
      <c r="C465" s="257"/>
      <c r="D465" s="257"/>
      <c r="E465" s="257"/>
      <c r="F465" s="257"/>
      <c r="G465" s="257"/>
      <c r="H465" s="258"/>
      <c r="I465" s="34"/>
      <c r="N465" s="34"/>
    </row>
    <row r="466" spans="1:14" s="35" customFormat="1" x14ac:dyDescent="0.25">
      <c r="A466" s="141" t="s">
        <v>385</v>
      </c>
      <c r="B466" s="141"/>
      <c r="C466" s="141"/>
      <c r="D466" s="141"/>
      <c r="E466" s="141"/>
      <c r="F466" s="141"/>
      <c r="G466" s="141"/>
      <c r="H466" s="141"/>
      <c r="I466" s="34"/>
      <c r="N466" s="34"/>
    </row>
    <row r="467" spans="1:14" s="35" customFormat="1" x14ac:dyDescent="0.25">
      <c r="A467" s="141" t="s">
        <v>393</v>
      </c>
      <c r="B467" s="141"/>
      <c r="C467" s="141"/>
      <c r="D467" s="141"/>
      <c r="E467" s="141"/>
      <c r="F467" s="141"/>
      <c r="G467" s="141"/>
      <c r="H467" s="141"/>
      <c r="I467" s="34"/>
      <c r="N467" s="34"/>
    </row>
    <row r="468" spans="1:14" s="35" customFormat="1" x14ac:dyDescent="0.25">
      <c r="A468" s="141" t="s">
        <v>394</v>
      </c>
      <c r="B468" s="141"/>
      <c r="C468" s="141"/>
      <c r="D468" s="141"/>
      <c r="E468" s="141"/>
      <c r="F468" s="141"/>
      <c r="G468" s="141"/>
      <c r="H468" s="141"/>
      <c r="I468" s="34"/>
      <c r="N468" s="34"/>
    </row>
    <row r="469" spans="1:14" s="35" customFormat="1" x14ac:dyDescent="0.25">
      <c r="A469" s="90">
        <v>1</v>
      </c>
      <c r="B469" s="90" t="s">
        <v>397</v>
      </c>
      <c r="C469" s="90" t="s">
        <v>362</v>
      </c>
      <c r="D469" s="70">
        <f>(48.59)*(10.764)</f>
        <v>523.02275999999995</v>
      </c>
      <c r="E469" s="90">
        <v>0</v>
      </c>
      <c r="F469" s="90">
        <f t="shared" ref="F469:F478" si="106">D469+E469</f>
        <v>523.02275999999995</v>
      </c>
      <c r="G469" s="90">
        <v>0</v>
      </c>
      <c r="H469" s="90">
        <f t="shared" ref="H469:H478" si="107">F469*(($H$310)+1)+(IF(G469&lt;101,G469,IF(G469&lt;201,G469/2,IF(G469&lt;=301,G469/3,G469/4))))</f>
        <v>784.53413999999998</v>
      </c>
      <c r="I469" s="34"/>
      <c r="N469" s="34"/>
    </row>
    <row r="470" spans="1:14" s="35" customFormat="1" x14ac:dyDescent="0.25">
      <c r="A470" s="90">
        <f>A469+1</f>
        <v>2</v>
      </c>
      <c r="B470" s="90" t="s">
        <v>397</v>
      </c>
      <c r="C470" s="90" t="s">
        <v>362</v>
      </c>
      <c r="D470" s="70">
        <f>(48.92)*(10.764)</f>
        <v>526.57488000000001</v>
      </c>
      <c r="E470" s="90">
        <v>0</v>
      </c>
      <c r="F470" s="90">
        <f t="shared" si="106"/>
        <v>526.57488000000001</v>
      </c>
      <c r="G470" s="90">
        <v>0</v>
      </c>
      <c r="H470" s="90">
        <f t="shared" si="107"/>
        <v>789.86231999999995</v>
      </c>
      <c r="I470" s="34"/>
      <c r="L470" s="140"/>
      <c r="M470" s="140"/>
    </row>
    <row r="471" spans="1:14" s="35" customFormat="1" x14ac:dyDescent="0.25">
      <c r="A471" s="90">
        <f t="shared" ref="A471:A473" si="108">A470+1</f>
        <v>3</v>
      </c>
      <c r="B471" s="90" t="s">
        <v>397</v>
      </c>
      <c r="C471" s="90" t="s">
        <v>362</v>
      </c>
      <c r="D471" s="70">
        <f>(48.89)*(10.764)</f>
        <v>526.25195999999994</v>
      </c>
      <c r="E471" s="90">
        <v>0</v>
      </c>
      <c r="F471" s="90">
        <f t="shared" si="106"/>
        <v>526.25195999999994</v>
      </c>
      <c r="G471" s="90">
        <v>0</v>
      </c>
      <c r="H471" s="90">
        <f t="shared" si="107"/>
        <v>789.37793999999985</v>
      </c>
      <c r="I471" s="34"/>
      <c r="N471" s="34"/>
    </row>
    <row r="472" spans="1:14" s="35" customFormat="1" x14ac:dyDescent="0.25">
      <c r="A472" s="90">
        <f t="shared" si="108"/>
        <v>4</v>
      </c>
      <c r="B472" s="90" t="s">
        <v>397</v>
      </c>
      <c r="C472" s="90" t="s">
        <v>362</v>
      </c>
      <c r="D472" s="70">
        <f>(49.11)*(10.764)</f>
        <v>528.62004000000002</v>
      </c>
      <c r="E472" s="90">
        <v>0</v>
      </c>
      <c r="F472" s="90">
        <f t="shared" si="106"/>
        <v>528.62004000000002</v>
      </c>
      <c r="G472" s="90">
        <v>0</v>
      </c>
      <c r="H472" s="90">
        <f t="shared" si="107"/>
        <v>792.93006000000003</v>
      </c>
      <c r="I472" s="34"/>
      <c r="N472" s="34"/>
    </row>
    <row r="473" spans="1:14" s="35" customFormat="1" x14ac:dyDescent="0.25">
      <c r="A473" s="90">
        <f t="shared" si="108"/>
        <v>5</v>
      </c>
      <c r="B473" s="90" t="s">
        <v>397</v>
      </c>
      <c r="C473" s="90" t="s">
        <v>362</v>
      </c>
      <c r="D473" s="70">
        <f>(49.27)*(10.764)</f>
        <v>530.34227999999996</v>
      </c>
      <c r="E473" s="90">
        <v>0</v>
      </c>
      <c r="F473" s="90">
        <f t="shared" si="106"/>
        <v>530.34227999999996</v>
      </c>
      <c r="G473" s="90">
        <v>0</v>
      </c>
      <c r="H473" s="90">
        <f t="shared" si="107"/>
        <v>795.51342</v>
      </c>
      <c r="I473" s="34"/>
      <c r="N473" s="34"/>
    </row>
    <row r="474" spans="1:14" s="35" customFormat="1" x14ac:dyDescent="0.25">
      <c r="A474" s="90">
        <f t="shared" ref="A474:A478" si="109">A473+1</f>
        <v>6</v>
      </c>
      <c r="B474" s="90" t="s">
        <v>397</v>
      </c>
      <c r="C474" s="90" t="s">
        <v>362</v>
      </c>
      <c r="D474" s="70">
        <f>(49.13)*(10.764)</f>
        <v>528.83532000000002</v>
      </c>
      <c r="E474" s="90">
        <v>0</v>
      </c>
      <c r="F474" s="90">
        <f t="shared" si="106"/>
        <v>528.83532000000002</v>
      </c>
      <c r="G474" s="90">
        <v>0</v>
      </c>
      <c r="H474" s="90">
        <f t="shared" si="107"/>
        <v>793.25297999999998</v>
      </c>
      <c r="I474" s="34"/>
      <c r="N474" s="34"/>
    </row>
    <row r="475" spans="1:14" s="35" customFormat="1" x14ac:dyDescent="0.25">
      <c r="A475" s="90">
        <f t="shared" si="109"/>
        <v>7</v>
      </c>
      <c r="B475" s="90" t="s">
        <v>397</v>
      </c>
      <c r="C475" s="90" t="s">
        <v>362</v>
      </c>
      <c r="D475" s="70">
        <f>(49.14)*(10.764)</f>
        <v>528.94295999999997</v>
      </c>
      <c r="E475" s="90">
        <v>0</v>
      </c>
      <c r="F475" s="90">
        <f t="shared" si="106"/>
        <v>528.94295999999997</v>
      </c>
      <c r="G475" s="90">
        <v>0</v>
      </c>
      <c r="H475" s="90">
        <f t="shared" si="107"/>
        <v>793.41444000000001</v>
      </c>
      <c r="I475" s="34"/>
      <c r="N475" s="34"/>
    </row>
    <row r="476" spans="1:14" s="35" customFormat="1" x14ac:dyDescent="0.25">
      <c r="A476" s="90">
        <f t="shared" si="109"/>
        <v>8</v>
      </c>
      <c r="B476" s="90" t="s">
        <v>397</v>
      </c>
      <c r="C476" s="90" t="s">
        <v>362</v>
      </c>
      <c r="D476" s="70">
        <f>(49.15)*(10.764)</f>
        <v>529.05059999999992</v>
      </c>
      <c r="E476" s="90">
        <v>0</v>
      </c>
      <c r="F476" s="90">
        <f t="shared" si="106"/>
        <v>529.05059999999992</v>
      </c>
      <c r="G476" s="90">
        <v>0</v>
      </c>
      <c r="H476" s="90">
        <f t="shared" si="107"/>
        <v>793.57589999999982</v>
      </c>
      <c r="I476" s="34"/>
      <c r="N476" s="34"/>
    </row>
    <row r="477" spans="1:14" s="35" customFormat="1" x14ac:dyDescent="0.25">
      <c r="A477" s="90">
        <f t="shared" si="109"/>
        <v>9</v>
      </c>
      <c r="B477" s="90" t="s">
        <v>397</v>
      </c>
      <c r="C477" s="90" t="s">
        <v>362</v>
      </c>
      <c r="D477" s="70">
        <f>(49.13)*(10.764)</f>
        <v>528.83532000000002</v>
      </c>
      <c r="E477" s="90">
        <v>0</v>
      </c>
      <c r="F477" s="90">
        <f t="shared" si="106"/>
        <v>528.83532000000002</v>
      </c>
      <c r="G477" s="90">
        <v>0</v>
      </c>
      <c r="H477" s="90">
        <f t="shared" si="107"/>
        <v>793.25297999999998</v>
      </c>
      <c r="I477" s="34"/>
      <c r="N477" s="34"/>
    </row>
    <row r="478" spans="1:14" s="35" customFormat="1" x14ac:dyDescent="0.25">
      <c r="A478" s="90">
        <f t="shared" si="109"/>
        <v>10</v>
      </c>
      <c r="B478" s="90" t="s">
        <v>397</v>
      </c>
      <c r="C478" s="90" t="s">
        <v>362</v>
      </c>
      <c r="D478" s="70">
        <f>(49.96)*(10.764)</f>
        <v>537.76944000000003</v>
      </c>
      <c r="E478" s="90">
        <v>0</v>
      </c>
      <c r="F478" s="90">
        <f t="shared" si="106"/>
        <v>537.76944000000003</v>
      </c>
      <c r="G478" s="90">
        <v>0</v>
      </c>
      <c r="H478" s="90">
        <f t="shared" si="107"/>
        <v>806.65416000000005</v>
      </c>
      <c r="I478" s="34"/>
      <c r="N478" s="34"/>
    </row>
    <row r="479" spans="1:14" s="35" customFormat="1" x14ac:dyDescent="0.25">
      <c r="A479" s="141" t="s">
        <v>386</v>
      </c>
      <c r="B479" s="141"/>
      <c r="C479" s="141"/>
      <c r="D479" s="141"/>
      <c r="E479" s="141"/>
      <c r="F479" s="141"/>
      <c r="G479" s="141"/>
      <c r="H479" s="141"/>
      <c r="I479" s="34"/>
      <c r="N479" s="34"/>
    </row>
    <row r="480" spans="1:14" s="35" customFormat="1" x14ac:dyDescent="0.25">
      <c r="A480" s="90">
        <v>1</v>
      </c>
      <c r="B480" s="90" t="s">
        <v>397</v>
      </c>
      <c r="C480" s="90" t="s">
        <v>362</v>
      </c>
      <c r="D480" s="70">
        <f>(48.59)*(10.764)</f>
        <v>523.02275999999995</v>
      </c>
      <c r="E480" s="90">
        <v>0</v>
      </c>
      <c r="F480" s="90">
        <f>D480+E480</f>
        <v>523.02275999999995</v>
      </c>
      <c r="G480" s="90">
        <v>0</v>
      </c>
      <c r="H480" s="90">
        <f>F480*(($H$310)+1)+(IF(G480&lt;101,G480,IF(G480&lt;201,G480/2,IF(G480&lt;=301,G480/3,G480/4))))</f>
        <v>784.53413999999998</v>
      </c>
      <c r="I480" s="34"/>
      <c r="N480" s="34"/>
    </row>
    <row r="481" spans="1:14" s="35" customFormat="1" x14ac:dyDescent="0.25">
      <c r="A481" s="90">
        <f>A480+1</f>
        <v>2</v>
      </c>
      <c r="B481" s="90" t="s">
        <v>397</v>
      </c>
      <c r="C481" s="90" t="s">
        <v>362</v>
      </c>
      <c r="D481" s="70">
        <f>(48.92)*(10.764)</f>
        <v>526.57488000000001</v>
      </c>
      <c r="E481" s="90">
        <v>0</v>
      </c>
      <c r="F481" s="90">
        <f>D481+E481</f>
        <v>526.57488000000001</v>
      </c>
      <c r="G481" s="90">
        <v>0</v>
      </c>
      <c r="H481" s="90">
        <f>F481*(($H$310)+1)+(IF(G481&lt;101,G481,IF(G481&lt;201,G481/2,IF(G481&lt;=301,G481/3,G481/4))))</f>
        <v>789.86231999999995</v>
      </c>
      <c r="I481" s="34"/>
      <c r="L481" s="140"/>
      <c r="M481" s="140"/>
    </row>
    <row r="482" spans="1:14" s="35" customFormat="1" x14ac:dyDescent="0.25">
      <c r="A482" s="90">
        <f t="shared" ref="A482:A489" si="110">A481+1</f>
        <v>3</v>
      </c>
      <c r="B482" s="90" t="s">
        <v>397</v>
      </c>
      <c r="C482" s="90" t="s">
        <v>362</v>
      </c>
      <c r="D482" s="70">
        <f>(48.89)*(10.764)</f>
        <v>526.25195999999994</v>
      </c>
      <c r="E482" s="90">
        <v>0</v>
      </c>
      <c r="F482" s="90">
        <f>D482+E482</f>
        <v>526.25195999999994</v>
      </c>
      <c r="G482" s="90">
        <v>0</v>
      </c>
      <c r="H482" s="90">
        <f>F482*(($H$310)+1)+(IF(G482&lt;101,G482,IF(G482&lt;201,G482/2,IF(G482&lt;=301,G482/3,G482/4))))</f>
        <v>789.37793999999985</v>
      </c>
      <c r="I482" s="34"/>
      <c r="N482" s="34"/>
    </row>
    <row r="483" spans="1:14" s="35" customFormat="1" x14ac:dyDescent="0.25">
      <c r="A483" s="90">
        <f t="shared" si="110"/>
        <v>4</v>
      </c>
      <c r="B483" s="90" t="s">
        <v>366</v>
      </c>
      <c r="C483" s="248" t="s">
        <v>365</v>
      </c>
      <c r="D483" s="248"/>
      <c r="E483" s="248"/>
      <c r="F483" s="248"/>
      <c r="G483" s="248"/>
      <c r="H483" s="248"/>
      <c r="I483" s="34"/>
      <c r="N483" s="34"/>
    </row>
    <row r="484" spans="1:14" s="35" customFormat="1" x14ac:dyDescent="0.25">
      <c r="A484" s="90">
        <f t="shared" si="110"/>
        <v>5</v>
      </c>
      <c r="B484" s="90" t="s">
        <v>366</v>
      </c>
      <c r="C484" s="248"/>
      <c r="D484" s="248"/>
      <c r="E484" s="248"/>
      <c r="F484" s="248"/>
      <c r="G484" s="248"/>
      <c r="H484" s="248"/>
      <c r="I484" s="34"/>
      <c r="N484" s="34"/>
    </row>
    <row r="485" spans="1:14" s="35" customFormat="1" x14ac:dyDescent="0.25">
      <c r="A485" s="90">
        <f t="shared" si="110"/>
        <v>6</v>
      </c>
      <c r="B485" s="90" t="s">
        <v>397</v>
      </c>
      <c r="C485" s="90" t="s">
        <v>362</v>
      </c>
      <c r="D485" s="70">
        <f>(49.13)*(10.764)</f>
        <v>528.83532000000002</v>
      </c>
      <c r="E485" s="90">
        <v>0</v>
      </c>
      <c r="F485" s="90">
        <f>D485+E485</f>
        <v>528.83532000000002</v>
      </c>
      <c r="G485" s="90">
        <v>0</v>
      </c>
      <c r="H485" s="90">
        <f>F485*(($H$310)+1)+(IF(G485&lt;101,G485,IF(G485&lt;201,G485/2,IF(G485&lt;=301,G485/3,G485/4))))</f>
        <v>793.25297999999998</v>
      </c>
      <c r="I485" s="34"/>
      <c r="N485" s="34"/>
    </row>
    <row r="486" spans="1:14" s="35" customFormat="1" x14ac:dyDescent="0.25">
      <c r="A486" s="90">
        <f t="shared" si="110"/>
        <v>7</v>
      </c>
      <c r="B486" s="90" t="s">
        <v>366</v>
      </c>
      <c r="C486" s="248" t="s">
        <v>365</v>
      </c>
      <c r="D486" s="248"/>
      <c r="E486" s="248"/>
      <c r="F486" s="248"/>
      <c r="G486" s="248"/>
      <c r="H486" s="248"/>
      <c r="I486" s="34"/>
      <c r="N486" s="34"/>
    </row>
    <row r="487" spans="1:14" s="35" customFormat="1" x14ac:dyDescent="0.25">
      <c r="A487" s="90">
        <f t="shared" si="110"/>
        <v>8</v>
      </c>
      <c r="B487" s="90" t="s">
        <v>397</v>
      </c>
      <c r="C487" s="90" t="s">
        <v>362</v>
      </c>
      <c r="D487" s="70">
        <f>(49.15)*(10.764)</f>
        <v>529.05059999999992</v>
      </c>
      <c r="E487" s="90">
        <v>0</v>
      </c>
      <c r="F487" s="90">
        <f>D487+E487</f>
        <v>529.05059999999992</v>
      </c>
      <c r="G487" s="90">
        <v>0</v>
      </c>
      <c r="H487" s="90">
        <f>F487*(($H$310)+1)+(IF(G487&lt;101,G487,IF(G487&lt;201,G487/2,IF(G487&lt;=301,G487/3,G487/4))))</f>
        <v>793.57589999999982</v>
      </c>
      <c r="I487" s="34"/>
      <c r="N487" s="34"/>
    </row>
    <row r="488" spans="1:14" s="35" customFormat="1" x14ac:dyDescent="0.25">
      <c r="A488" s="90">
        <f t="shared" si="110"/>
        <v>9</v>
      </c>
      <c r="B488" s="90" t="s">
        <v>397</v>
      </c>
      <c r="C488" s="90" t="s">
        <v>362</v>
      </c>
      <c r="D488" s="70">
        <f>(49.13)*(10.764)</f>
        <v>528.83532000000002</v>
      </c>
      <c r="E488" s="90">
        <v>0</v>
      </c>
      <c r="F488" s="90">
        <f>D488+E488</f>
        <v>528.83532000000002</v>
      </c>
      <c r="G488" s="90">
        <v>0</v>
      </c>
      <c r="H488" s="90">
        <f>F488*(($H$310)+1)+(IF(G488&lt;101,G488,IF(G488&lt;201,G488/2,IF(G488&lt;=301,G488/3,G488/4))))</f>
        <v>793.25297999999998</v>
      </c>
      <c r="I488" s="34"/>
      <c r="N488" s="34"/>
    </row>
    <row r="489" spans="1:14" s="35" customFormat="1" x14ac:dyDescent="0.25">
      <c r="A489" s="90">
        <f t="shared" si="110"/>
        <v>10</v>
      </c>
      <c r="B489" s="90" t="s">
        <v>397</v>
      </c>
      <c r="C489" s="90" t="s">
        <v>362</v>
      </c>
      <c r="D489" s="70">
        <f>(49.96)*(10.764)</f>
        <v>537.76944000000003</v>
      </c>
      <c r="E489" s="90">
        <v>0</v>
      </c>
      <c r="F489" s="90">
        <f>D489+E489</f>
        <v>537.76944000000003</v>
      </c>
      <c r="G489" s="90">
        <v>0</v>
      </c>
      <c r="H489" s="90">
        <f>F489*(($H$310)+1)+(IF(G489&lt;101,G489,IF(G489&lt;201,G489/2,IF(G489&lt;=301,G489/3,G489/4))))</f>
        <v>806.65416000000005</v>
      </c>
      <c r="I489" s="34"/>
      <c r="N489" s="34"/>
    </row>
    <row r="490" spans="1:14" s="35" customFormat="1" x14ac:dyDescent="0.25">
      <c r="A490" s="141" t="s">
        <v>387</v>
      </c>
      <c r="B490" s="141"/>
      <c r="C490" s="141"/>
      <c r="D490" s="141"/>
      <c r="E490" s="141"/>
      <c r="F490" s="141"/>
      <c r="G490" s="141"/>
      <c r="H490" s="141"/>
      <c r="I490" s="34"/>
      <c r="N490" s="34"/>
    </row>
    <row r="491" spans="1:14" s="35" customFormat="1" x14ac:dyDescent="0.25">
      <c r="A491" s="90">
        <v>1</v>
      </c>
      <c r="B491" s="90" t="s">
        <v>397</v>
      </c>
      <c r="C491" s="90" t="s">
        <v>362</v>
      </c>
      <c r="D491" s="70">
        <f>(48.59)*(10.764)</f>
        <v>523.02275999999995</v>
      </c>
      <c r="E491" s="90">
        <v>0</v>
      </c>
      <c r="F491" s="90">
        <f>D491+E491</f>
        <v>523.02275999999995</v>
      </c>
      <c r="G491" s="90">
        <v>0</v>
      </c>
      <c r="H491" s="90">
        <f>F491*(($H$310)+1)+(IF(G491&lt;101,G491,IF(G491&lt;201,G491/2,IF(G491&lt;=301,G491/3,G491/4))))</f>
        <v>784.53413999999998</v>
      </c>
      <c r="I491" s="34"/>
      <c r="N491" s="34"/>
    </row>
    <row r="492" spans="1:14" s="35" customFormat="1" x14ac:dyDescent="0.25">
      <c r="A492" s="90">
        <f>A491+1</f>
        <v>2</v>
      </c>
      <c r="B492" s="90" t="s">
        <v>397</v>
      </c>
      <c r="C492" s="90" t="s">
        <v>362</v>
      </c>
      <c r="D492" s="70">
        <f>(48.92)*(10.764)</f>
        <v>526.57488000000001</v>
      </c>
      <c r="E492" s="90">
        <v>0</v>
      </c>
      <c r="F492" s="90">
        <f>D492+E492</f>
        <v>526.57488000000001</v>
      </c>
      <c r="G492" s="90">
        <v>0</v>
      </c>
      <c r="H492" s="90">
        <f>F492*(($H$310)+1)+(IF(G492&lt;101,G492,IF(G492&lt;201,G492/2,IF(G492&lt;=301,G492/3,G492/4))))</f>
        <v>789.86231999999995</v>
      </c>
      <c r="I492" s="34"/>
      <c r="L492" s="140"/>
      <c r="M492" s="140"/>
    </row>
    <row r="493" spans="1:14" s="35" customFormat="1" x14ac:dyDescent="0.25">
      <c r="A493" s="90">
        <f>A492+1</f>
        <v>3</v>
      </c>
      <c r="B493" s="90" t="s">
        <v>397</v>
      </c>
      <c r="C493" s="90" t="s">
        <v>362</v>
      </c>
      <c r="D493" s="70">
        <f>(48.89)*(10.764)</f>
        <v>526.25195999999994</v>
      </c>
      <c r="E493" s="90">
        <v>0</v>
      </c>
      <c r="F493" s="90">
        <f>D493+E493</f>
        <v>526.25195999999994</v>
      </c>
      <c r="G493" s="90">
        <v>0</v>
      </c>
      <c r="H493" s="90">
        <f>F493*(($H$310)+1)+(IF(G493&lt;101,G493,IF(G493&lt;201,G493/2,IF(G493&lt;=301,G493/3,G493/4))))</f>
        <v>789.37793999999985</v>
      </c>
      <c r="I493" s="34"/>
      <c r="N493" s="34"/>
    </row>
    <row r="494" spans="1:14" s="35" customFormat="1" x14ac:dyDescent="0.25">
      <c r="A494" s="90">
        <f>A493+1</f>
        <v>4</v>
      </c>
      <c r="B494" s="90" t="s">
        <v>366</v>
      </c>
      <c r="C494" s="248" t="s">
        <v>365</v>
      </c>
      <c r="D494" s="248"/>
      <c r="E494" s="248"/>
      <c r="F494" s="248"/>
      <c r="G494" s="248"/>
      <c r="H494" s="248"/>
      <c r="I494" s="34"/>
      <c r="N494" s="34"/>
    </row>
    <row r="495" spans="1:14" s="35" customFormat="1" x14ac:dyDescent="0.25">
      <c r="A495" s="90">
        <f>A494+1</f>
        <v>5</v>
      </c>
      <c r="B495" s="90" t="s">
        <v>390</v>
      </c>
      <c r="C495" s="90" t="s">
        <v>389</v>
      </c>
      <c r="D495" s="70">
        <f>(28.85)*(10.764)</f>
        <v>310.54140000000001</v>
      </c>
      <c r="E495" s="90">
        <v>0</v>
      </c>
      <c r="F495" s="90">
        <f t="shared" ref="F495:F500" si="111">D495+E495</f>
        <v>310.54140000000001</v>
      </c>
      <c r="G495" s="90">
        <v>0</v>
      </c>
      <c r="H495" s="90">
        <f t="shared" ref="H495:H500" si="112">F495*(($H$310)+1)+(IF(G495&lt;101,G495,IF(G495&lt;201,G495/2,IF(G495&lt;=301,G495/3,G495/4))))</f>
        <v>465.81209999999999</v>
      </c>
      <c r="I495" s="34"/>
      <c r="N495" s="34"/>
    </row>
    <row r="496" spans="1:14" s="35" customFormat="1" x14ac:dyDescent="0.25">
      <c r="A496" s="90">
        <f t="shared" ref="A496:A500" si="113">A495+1</f>
        <v>6</v>
      </c>
      <c r="B496" s="90" t="s">
        <v>397</v>
      </c>
      <c r="C496" s="90" t="s">
        <v>362</v>
      </c>
      <c r="D496" s="70">
        <f>(49.13)*(10.764)</f>
        <v>528.83532000000002</v>
      </c>
      <c r="E496" s="90">
        <v>0</v>
      </c>
      <c r="F496" s="90">
        <f t="shared" si="111"/>
        <v>528.83532000000002</v>
      </c>
      <c r="G496" s="90">
        <v>0</v>
      </c>
      <c r="H496" s="90">
        <f t="shared" si="112"/>
        <v>793.25297999999998</v>
      </c>
      <c r="I496" s="34"/>
      <c r="N496" s="34"/>
    </row>
    <row r="497" spans="1:20" s="35" customFormat="1" x14ac:dyDescent="0.25">
      <c r="A497" s="90">
        <f t="shared" si="113"/>
        <v>7</v>
      </c>
      <c r="B497" s="90" t="s">
        <v>397</v>
      </c>
      <c r="C497" s="90" t="s">
        <v>362</v>
      </c>
      <c r="D497" s="70">
        <f>(49.14)*(10.764)</f>
        <v>528.94295999999997</v>
      </c>
      <c r="E497" s="90">
        <v>0</v>
      </c>
      <c r="F497" s="90">
        <f t="shared" si="111"/>
        <v>528.94295999999997</v>
      </c>
      <c r="G497" s="90">
        <v>0</v>
      </c>
      <c r="H497" s="90">
        <f t="shared" si="112"/>
        <v>793.41444000000001</v>
      </c>
      <c r="I497" s="34"/>
      <c r="N497" s="34"/>
    </row>
    <row r="498" spans="1:20" s="35" customFormat="1" x14ac:dyDescent="0.25">
      <c r="A498" s="90">
        <f t="shared" si="113"/>
        <v>8</v>
      </c>
      <c r="B498" s="90" t="s">
        <v>397</v>
      </c>
      <c r="C498" s="90" t="s">
        <v>362</v>
      </c>
      <c r="D498" s="70">
        <f>(49.15)*(10.764)</f>
        <v>529.05059999999992</v>
      </c>
      <c r="E498" s="90">
        <v>0</v>
      </c>
      <c r="F498" s="90">
        <f t="shared" si="111"/>
        <v>529.05059999999992</v>
      </c>
      <c r="G498" s="90">
        <v>0</v>
      </c>
      <c r="H498" s="90">
        <f t="shared" si="112"/>
        <v>793.57589999999982</v>
      </c>
      <c r="I498" s="34"/>
      <c r="N498" s="34"/>
    </row>
    <row r="499" spans="1:20" s="35" customFormat="1" x14ac:dyDescent="0.25">
      <c r="A499" s="90">
        <f t="shared" si="113"/>
        <v>9</v>
      </c>
      <c r="B499" s="90" t="s">
        <v>397</v>
      </c>
      <c r="C499" s="90" t="s">
        <v>362</v>
      </c>
      <c r="D499" s="70">
        <f>(49.13)*(10.764)</f>
        <v>528.83532000000002</v>
      </c>
      <c r="E499" s="90">
        <v>0</v>
      </c>
      <c r="F499" s="90">
        <f t="shared" si="111"/>
        <v>528.83532000000002</v>
      </c>
      <c r="G499" s="90">
        <v>0</v>
      </c>
      <c r="H499" s="90">
        <f t="shared" si="112"/>
        <v>793.25297999999998</v>
      </c>
      <c r="I499" s="34"/>
      <c r="N499" s="34"/>
    </row>
    <row r="500" spans="1:20" s="35" customFormat="1" x14ac:dyDescent="0.25">
      <c r="A500" s="90">
        <f t="shared" si="113"/>
        <v>10</v>
      </c>
      <c r="B500" s="90" t="s">
        <v>397</v>
      </c>
      <c r="C500" s="90" t="s">
        <v>362</v>
      </c>
      <c r="D500" s="70">
        <f>(49.96)*(10.764)</f>
        <v>537.76944000000003</v>
      </c>
      <c r="E500" s="90">
        <v>0</v>
      </c>
      <c r="F500" s="90">
        <f t="shared" si="111"/>
        <v>537.76944000000003</v>
      </c>
      <c r="G500" s="90">
        <v>0</v>
      </c>
      <c r="H500" s="90">
        <f t="shared" si="112"/>
        <v>806.65416000000005</v>
      </c>
      <c r="I500" s="34"/>
      <c r="N500" s="34"/>
    </row>
    <row r="501" spans="1:20" s="35" customFormat="1" x14ac:dyDescent="0.25">
      <c r="A501" s="141" t="s">
        <v>388</v>
      </c>
      <c r="B501" s="141"/>
      <c r="C501" s="141"/>
      <c r="D501" s="141"/>
      <c r="E501" s="141"/>
      <c r="F501" s="141"/>
      <c r="G501" s="141"/>
      <c r="H501" s="141"/>
      <c r="I501" s="34"/>
      <c r="N501" s="34"/>
    </row>
    <row r="502" spans="1:20" s="35" customFormat="1" x14ac:dyDescent="0.25">
      <c r="A502" s="90">
        <v>1</v>
      </c>
      <c r="B502" s="90" t="s">
        <v>397</v>
      </c>
      <c r="C502" s="90" t="s">
        <v>362</v>
      </c>
      <c r="D502" s="70">
        <f>(48.59)*(10.764)</f>
        <v>523.02275999999995</v>
      </c>
      <c r="E502" s="90">
        <v>0</v>
      </c>
      <c r="F502" s="90">
        <f>D502+E502</f>
        <v>523.02275999999995</v>
      </c>
      <c r="G502" s="90">
        <v>0</v>
      </c>
      <c r="H502" s="90">
        <f>F502*(($H$310)+1)+(IF(G502&lt;101,G502,IF(G502&lt;201,G502/2,IF(G502&lt;=301,G502/3,G502/4))))</f>
        <v>784.53413999999998</v>
      </c>
      <c r="I502" s="34"/>
      <c r="N502" s="34"/>
    </row>
    <row r="503" spans="1:20" s="35" customFormat="1" ht="15.75" customHeight="1" x14ac:dyDescent="0.25">
      <c r="A503" s="90">
        <f>A502+1</f>
        <v>2</v>
      </c>
      <c r="B503" s="90" t="s">
        <v>397</v>
      </c>
      <c r="C503" s="90" t="s">
        <v>362</v>
      </c>
      <c r="D503" s="70">
        <f>(48.92)*(10.764)</f>
        <v>526.57488000000001</v>
      </c>
      <c r="E503" s="90">
        <v>0</v>
      </c>
      <c r="F503" s="90">
        <f>D503+E503</f>
        <v>526.57488000000001</v>
      </c>
      <c r="G503" s="90">
        <v>0</v>
      </c>
      <c r="H503" s="90">
        <f>F503*(($H$310)+1)+(IF(G503&lt;101,G503,IF(G503&lt;201,G503/2,IF(G503&lt;=301,G503/3,G503/4))))</f>
        <v>789.86231999999995</v>
      </c>
      <c r="J503" s="34"/>
    </row>
    <row r="504" spans="1:20" s="35" customFormat="1" ht="15.75" customHeight="1" x14ac:dyDescent="0.25">
      <c r="A504" s="90">
        <f>A503+1</f>
        <v>3</v>
      </c>
      <c r="B504" s="90" t="s">
        <v>397</v>
      </c>
      <c r="C504" s="90" t="s">
        <v>362</v>
      </c>
      <c r="D504" s="70">
        <f>(48.89)*(10.764)</f>
        <v>526.25195999999994</v>
      </c>
      <c r="E504" s="90">
        <v>0</v>
      </c>
      <c r="F504" s="90">
        <f>D504+E504</f>
        <v>526.25195999999994</v>
      </c>
      <c r="G504" s="90">
        <v>0</v>
      </c>
      <c r="H504" s="90">
        <f>F504*(($H$310)+1)+(IF(G504&lt;101,G504,IF(G504&lt;201,G504/2,IF(G504&lt;=301,G504/3,G504/4))))</f>
        <v>789.37793999999985</v>
      </c>
      <c r="I504" s="34"/>
      <c r="L504" s="140"/>
      <c r="M504" s="140"/>
      <c r="N504" s="34"/>
    </row>
    <row r="505" spans="1:20" s="35" customFormat="1" ht="15.75" customHeight="1" x14ac:dyDescent="0.25">
      <c r="A505" s="90">
        <f>A504+1</f>
        <v>4</v>
      </c>
      <c r="B505" s="90" t="s">
        <v>397</v>
      </c>
      <c r="C505" s="90" t="s">
        <v>362</v>
      </c>
      <c r="D505" s="70">
        <f>(49.11)*(10.764)</f>
        <v>528.62004000000002</v>
      </c>
      <c r="E505" s="90">
        <v>0</v>
      </c>
      <c r="F505" s="90">
        <f t="shared" ref="F505" si="114">D505+E505</f>
        <v>528.62004000000002</v>
      </c>
      <c r="G505" s="90">
        <v>0</v>
      </c>
      <c r="H505" s="90">
        <f t="shared" ref="H505" si="115">F505*(($H$310)+1)+(IF(G505&lt;101,G505,IF(G505&lt;201,G505/2,IF(G505&lt;=301,G505/3,G505/4))))</f>
        <v>792.93006000000003</v>
      </c>
      <c r="I505" s="34"/>
      <c r="L505" s="140"/>
      <c r="M505" s="140"/>
      <c r="N505" s="34"/>
    </row>
    <row r="506" spans="1:20" s="35" customFormat="1" ht="15.75" customHeight="1" x14ac:dyDescent="0.25">
      <c r="A506" s="90">
        <f>A505+1</f>
        <v>5</v>
      </c>
      <c r="B506" s="90" t="s">
        <v>390</v>
      </c>
      <c r="C506" s="90" t="s">
        <v>389</v>
      </c>
      <c r="D506" s="70">
        <f>(39.84)*(10.764)</f>
        <v>428.83776</v>
      </c>
      <c r="E506" s="90">
        <v>0</v>
      </c>
      <c r="F506" s="90">
        <f t="shared" ref="F506:F511" si="116">D506+E506</f>
        <v>428.83776</v>
      </c>
      <c r="G506" s="90">
        <v>0</v>
      </c>
      <c r="H506" s="90">
        <f t="shared" ref="H506:H511" si="117">F506*(($H$310)+1)+(IF(G506&lt;101,G506,IF(G506&lt;201,G506/2,IF(G506&lt;=301,G506/3,G506/4))))</f>
        <v>643.25664000000006</v>
      </c>
      <c r="I506" s="34"/>
      <c r="L506" s="140"/>
      <c r="M506" s="140"/>
      <c r="N506" s="34"/>
    </row>
    <row r="507" spans="1:20" s="35" customFormat="1" ht="15.75" customHeight="1" x14ac:dyDescent="0.25">
      <c r="A507" s="90">
        <f t="shared" ref="A507:A511" si="118">A506+1</f>
        <v>6</v>
      </c>
      <c r="B507" s="90" t="s">
        <v>397</v>
      </c>
      <c r="C507" s="90" t="s">
        <v>362</v>
      </c>
      <c r="D507" s="70">
        <f>(49.13)*(10.764)</f>
        <v>528.83532000000002</v>
      </c>
      <c r="E507" s="90">
        <v>0</v>
      </c>
      <c r="F507" s="90">
        <f t="shared" si="116"/>
        <v>528.83532000000002</v>
      </c>
      <c r="G507" s="90">
        <v>0</v>
      </c>
      <c r="H507" s="90">
        <f t="shared" si="117"/>
        <v>793.25297999999998</v>
      </c>
      <c r="I507" s="34"/>
      <c r="L507" s="140"/>
      <c r="M507" s="140"/>
      <c r="N507" s="34"/>
      <c r="T507" s="19"/>
    </row>
    <row r="508" spans="1:20" s="35" customFormat="1" x14ac:dyDescent="0.25">
      <c r="A508" s="90">
        <f t="shared" si="118"/>
        <v>7</v>
      </c>
      <c r="B508" s="90" t="s">
        <v>372</v>
      </c>
      <c r="C508" s="90" t="s">
        <v>363</v>
      </c>
      <c r="D508" s="70">
        <f>(58.47)*(10.764)</f>
        <v>629.37108000000001</v>
      </c>
      <c r="E508" s="90">
        <v>0</v>
      </c>
      <c r="F508" s="90">
        <f t="shared" si="116"/>
        <v>629.37108000000001</v>
      </c>
      <c r="G508" s="90">
        <v>0</v>
      </c>
      <c r="H508" s="90">
        <f t="shared" si="117"/>
        <v>944.05662000000007</v>
      </c>
      <c r="I508" s="34"/>
      <c r="L508" s="140"/>
      <c r="M508" s="140"/>
    </row>
    <row r="509" spans="1:20" s="35" customFormat="1" x14ac:dyDescent="0.25">
      <c r="A509" s="90">
        <f t="shared" si="118"/>
        <v>8</v>
      </c>
      <c r="B509" s="90" t="s">
        <v>390</v>
      </c>
      <c r="C509" s="90" t="s">
        <v>389</v>
      </c>
      <c r="D509" s="70">
        <f>(39.72)*(10.764)</f>
        <v>427.54607999999996</v>
      </c>
      <c r="E509" s="90">
        <v>0</v>
      </c>
      <c r="F509" s="90">
        <f t="shared" si="116"/>
        <v>427.54607999999996</v>
      </c>
      <c r="G509" s="90">
        <v>0</v>
      </c>
      <c r="H509" s="90">
        <f t="shared" si="117"/>
        <v>641.31911999999988</v>
      </c>
      <c r="I509" s="34"/>
      <c r="N509" s="34"/>
    </row>
    <row r="510" spans="1:20" s="35" customFormat="1" x14ac:dyDescent="0.25">
      <c r="A510" s="90">
        <f t="shared" si="118"/>
        <v>9</v>
      </c>
      <c r="B510" s="90" t="s">
        <v>372</v>
      </c>
      <c r="C510" s="90" t="s">
        <v>363</v>
      </c>
      <c r="D510" s="70">
        <f>(58.45)*(10.764)</f>
        <v>629.1558</v>
      </c>
      <c r="E510" s="90">
        <v>0</v>
      </c>
      <c r="F510" s="90">
        <f t="shared" si="116"/>
        <v>629.1558</v>
      </c>
      <c r="G510" s="90">
        <v>0</v>
      </c>
      <c r="H510" s="90">
        <f t="shared" si="117"/>
        <v>943.7337</v>
      </c>
      <c r="I510" s="34"/>
      <c r="N510" s="34"/>
    </row>
    <row r="511" spans="1:20" s="35" customFormat="1" x14ac:dyDescent="0.25">
      <c r="A511" s="90">
        <f t="shared" si="118"/>
        <v>10</v>
      </c>
      <c r="B511" s="90" t="s">
        <v>397</v>
      </c>
      <c r="C511" s="90" t="s">
        <v>362</v>
      </c>
      <c r="D511" s="70">
        <f>(49.96)*(10.764)</f>
        <v>537.76944000000003</v>
      </c>
      <c r="E511" s="90">
        <v>0</v>
      </c>
      <c r="F511" s="90">
        <f t="shared" si="116"/>
        <v>537.76944000000003</v>
      </c>
      <c r="G511" s="90">
        <v>0</v>
      </c>
      <c r="H511" s="90">
        <f t="shared" si="117"/>
        <v>806.65416000000005</v>
      </c>
      <c r="I511" s="34"/>
      <c r="N511" s="34"/>
    </row>
    <row r="512" spans="1:20" s="35" customFormat="1" x14ac:dyDescent="0.25">
      <c r="A512" s="141" t="s">
        <v>391</v>
      </c>
      <c r="B512" s="141"/>
      <c r="C512" s="141"/>
      <c r="D512" s="141"/>
      <c r="E512" s="141"/>
      <c r="F512" s="141"/>
      <c r="G512" s="141"/>
      <c r="H512" s="141"/>
      <c r="I512" s="34"/>
      <c r="N512" s="34"/>
    </row>
    <row r="513" spans="1:14" s="35" customFormat="1" x14ac:dyDescent="0.25">
      <c r="A513" s="90">
        <v>1</v>
      </c>
      <c r="B513" s="90" t="s">
        <v>397</v>
      </c>
      <c r="C513" s="90" t="s">
        <v>362</v>
      </c>
      <c r="D513" s="70">
        <f>(48.59)*(10.764)</f>
        <v>523.02275999999995</v>
      </c>
      <c r="E513" s="90">
        <v>0</v>
      </c>
      <c r="F513" s="90">
        <f>D513+E513</f>
        <v>523.02275999999995</v>
      </c>
      <c r="G513" s="90">
        <v>0</v>
      </c>
      <c r="H513" s="90">
        <f>F513*(($H$310)+1)+(IF(G513&lt;101,G513,IF(G513&lt;201,G513/2,IF(G513&lt;=301,G513/3,G513/4))))</f>
        <v>784.53413999999998</v>
      </c>
      <c r="I513" s="34"/>
      <c r="N513" s="34"/>
    </row>
    <row r="514" spans="1:14" s="35" customFormat="1" ht="15.75" customHeight="1" x14ac:dyDescent="0.25">
      <c r="A514" s="90">
        <f>A513+1</f>
        <v>2</v>
      </c>
      <c r="B514" s="90" t="s">
        <v>397</v>
      </c>
      <c r="C514" s="90" t="s">
        <v>362</v>
      </c>
      <c r="D514" s="70">
        <f>(48.92)*(10.764)</f>
        <v>526.57488000000001</v>
      </c>
      <c r="E514" s="90">
        <v>0</v>
      </c>
      <c r="F514" s="90">
        <f>D514+E514</f>
        <v>526.57488000000001</v>
      </c>
      <c r="G514" s="90">
        <v>0</v>
      </c>
      <c r="H514" s="90">
        <f>F514*(($H$310)+1)+(IF(G514&lt;101,G514,IF(G514&lt;201,G514/2,IF(G514&lt;=301,G514/3,G514/4))))</f>
        <v>789.86231999999995</v>
      </c>
      <c r="I514" s="34"/>
    </row>
    <row r="515" spans="1:14" s="35" customFormat="1" ht="15.75" customHeight="1" x14ac:dyDescent="0.25">
      <c r="A515" s="90">
        <f>A514+1</f>
        <v>3</v>
      </c>
      <c r="B515" s="90" t="s">
        <v>397</v>
      </c>
      <c r="C515" s="90" t="s">
        <v>362</v>
      </c>
      <c r="D515" s="70">
        <f>(48.89)*(10.764)</f>
        <v>526.25195999999994</v>
      </c>
      <c r="E515" s="90">
        <v>0</v>
      </c>
      <c r="F515" s="90">
        <f>D515+E515</f>
        <v>526.25195999999994</v>
      </c>
      <c r="G515" s="90">
        <v>0</v>
      </c>
      <c r="H515" s="90">
        <f>F515*(($H$310)+1)+(IF(G515&lt;101,G515,IF(G515&lt;201,G515/2,IF(G515&lt;=301,G515/3,G515/4))))</f>
        <v>789.37793999999985</v>
      </c>
      <c r="I515" s="34"/>
    </row>
    <row r="516" spans="1:14" s="35" customFormat="1" ht="15.75" customHeight="1" x14ac:dyDescent="0.25">
      <c r="A516" s="90">
        <f>A515+1</f>
        <v>4</v>
      </c>
      <c r="B516" s="90" t="s">
        <v>397</v>
      </c>
      <c r="C516" s="90" t="s">
        <v>362</v>
      </c>
      <c r="D516" s="70">
        <f>(49.11)*(10.764)</f>
        <v>528.62004000000002</v>
      </c>
      <c r="E516" s="90">
        <v>0</v>
      </c>
      <c r="F516" s="90">
        <f t="shared" ref="F516:F522" si="119">D516+E516</f>
        <v>528.62004000000002</v>
      </c>
      <c r="G516" s="90">
        <v>0</v>
      </c>
      <c r="H516" s="90">
        <f t="shared" ref="H516:H522" si="120">F516*(($H$310)+1)+(IF(G516&lt;101,G516,IF(G516&lt;201,G516/2,IF(G516&lt;=301,G516/3,G516/4))))</f>
        <v>792.93006000000003</v>
      </c>
      <c r="I516" s="34"/>
    </row>
    <row r="517" spans="1:14" s="35" customFormat="1" ht="15.75" customHeight="1" x14ac:dyDescent="0.25">
      <c r="A517" s="90">
        <f>A516+1</f>
        <v>5</v>
      </c>
      <c r="B517" s="90" t="s">
        <v>390</v>
      </c>
      <c r="C517" s="90" t="s">
        <v>389</v>
      </c>
      <c r="D517" s="70">
        <f>(39.84)*(10.764)</f>
        <v>428.83776</v>
      </c>
      <c r="E517" s="90">
        <v>0</v>
      </c>
      <c r="F517" s="90">
        <f t="shared" si="119"/>
        <v>428.83776</v>
      </c>
      <c r="G517" s="90">
        <v>0</v>
      </c>
      <c r="H517" s="90">
        <f t="shared" si="120"/>
        <v>643.25664000000006</v>
      </c>
      <c r="I517" s="34"/>
    </row>
    <row r="518" spans="1:14" s="35" customFormat="1" ht="15.75" customHeight="1" x14ac:dyDescent="0.25">
      <c r="A518" s="90">
        <f t="shared" ref="A518:A522" si="121">A517+1</f>
        <v>6</v>
      </c>
      <c r="B518" s="90" t="s">
        <v>397</v>
      </c>
      <c r="C518" s="90" t="s">
        <v>362</v>
      </c>
      <c r="D518" s="70">
        <f>(49.13)*(10.764)</f>
        <v>528.83532000000002</v>
      </c>
      <c r="E518" s="90">
        <v>0</v>
      </c>
      <c r="F518" s="90">
        <f t="shared" si="119"/>
        <v>528.83532000000002</v>
      </c>
      <c r="G518" s="90">
        <v>0</v>
      </c>
      <c r="H518" s="90">
        <f t="shared" si="120"/>
        <v>793.25297999999998</v>
      </c>
      <c r="I518" s="34"/>
    </row>
    <row r="519" spans="1:14" s="35" customFormat="1" ht="15.75" customHeight="1" x14ac:dyDescent="0.25">
      <c r="A519" s="90">
        <f t="shared" si="121"/>
        <v>7</v>
      </c>
      <c r="B519" s="90" t="s">
        <v>372</v>
      </c>
      <c r="C519" s="90" t="s">
        <v>363</v>
      </c>
      <c r="D519" s="70">
        <f>(58.47)*(10.764)</f>
        <v>629.37108000000001</v>
      </c>
      <c r="E519" s="90">
        <v>0</v>
      </c>
      <c r="F519" s="90">
        <f t="shared" si="119"/>
        <v>629.37108000000001</v>
      </c>
      <c r="G519" s="90">
        <v>0</v>
      </c>
      <c r="H519" s="90">
        <f t="shared" si="120"/>
        <v>944.05662000000007</v>
      </c>
      <c r="I519" s="34"/>
    </row>
    <row r="520" spans="1:14" s="35" customFormat="1" x14ac:dyDescent="0.25">
      <c r="A520" s="90">
        <f t="shared" si="121"/>
        <v>8</v>
      </c>
      <c r="B520" s="90" t="s">
        <v>390</v>
      </c>
      <c r="C520" s="90" t="s">
        <v>395</v>
      </c>
      <c r="D520" s="70">
        <f>(29.99)*(10.764)</f>
        <v>322.81235999999996</v>
      </c>
      <c r="E520" s="90">
        <v>0</v>
      </c>
      <c r="F520" s="90">
        <f t="shared" si="119"/>
        <v>322.81235999999996</v>
      </c>
      <c r="G520" s="90">
        <v>0</v>
      </c>
      <c r="H520" s="90">
        <f t="shared" si="120"/>
        <v>484.21853999999996</v>
      </c>
      <c r="I520" s="34"/>
    </row>
    <row r="521" spans="1:14" s="35" customFormat="1" ht="15.75" customHeight="1" x14ac:dyDescent="0.25">
      <c r="A521" s="90">
        <f t="shared" si="121"/>
        <v>9</v>
      </c>
      <c r="B521" s="90" t="s">
        <v>397</v>
      </c>
      <c r="C521" s="90" t="s">
        <v>367</v>
      </c>
      <c r="D521" s="70">
        <f>(68.22)*(10.764)</f>
        <v>734.32007999999996</v>
      </c>
      <c r="E521" s="90">
        <v>0</v>
      </c>
      <c r="F521" s="90">
        <f t="shared" si="119"/>
        <v>734.32007999999996</v>
      </c>
      <c r="G521" s="90">
        <v>0</v>
      </c>
      <c r="H521" s="90">
        <f t="shared" si="120"/>
        <v>1101.4801199999999</v>
      </c>
      <c r="I521" s="34"/>
    </row>
    <row r="522" spans="1:14" s="35" customFormat="1" ht="15.75" customHeight="1" x14ac:dyDescent="0.25">
      <c r="A522" s="90">
        <f t="shared" si="121"/>
        <v>10</v>
      </c>
      <c r="B522" s="90" t="s">
        <v>397</v>
      </c>
      <c r="C522" s="90" t="s">
        <v>362</v>
      </c>
      <c r="D522" s="70">
        <f>(49.96)*(10.764)</f>
        <v>537.76944000000003</v>
      </c>
      <c r="E522" s="90">
        <v>0</v>
      </c>
      <c r="F522" s="90">
        <f t="shared" si="119"/>
        <v>537.76944000000003</v>
      </c>
      <c r="G522" s="90">
        <v>0</v>
      </c>
      <c r="H522" s="90">
        <f t="shared" si="120"/>
        <v>806.65416000000005</v>
      </c>
      <c r="I522" s="34"/>
    </row>
    <row r="523" spans="1:14" x14ac:dyDescent="0.25">
      <c r="A523" s="141" t="s">
        <v>392</v>
      </c>
      <c r="B523" s="141"/>
      <c r="C523" s="141"/>
      <c r="D523" s="141"/>
      <c r="E523" s="141"/>
      <c r="F523" s="141"/>
      <c r="G523" s="141"/>
      <c r="H523" s="141"/>
    </row>
    <row r="524" spans="1:14" x14ac:dyDescent="0.25">
      <c r="A524" s="90">
        <v>1</v>
      </c>
      <c r="B524" s="90" t="s">
        <v>372</v>
      </c>
      <c r="C524" s="90" t="s">
        <v>362</v>
      </c>
      <c r="D524" s="70">
        <f>(48.63)*(10.764)</f>
        <v>523.45331999999996</v>
      </c>
      <c r="E524" s="90">
        <v>0</v>
      </c>
      <c r="F524" s="90">
        <f>D524+E524</f>
        <v>523.45331999999996</v>
      </c>
      <c r="G524" s="90">
        <v>0</v>
      </c>
      <c r="H524" s="90">
        <f>F524*(($H$310)+1)+(IF(G524&lt;101,G524,IF(G524&lt;201,G524/2,IF(G524&lt;=301,G524/3,G524/4))))</f>
        <v>785.17997999999989</v>
      </c>
    </row>
    <row r="525" spans="1:14" x14ac:dyDescent="0.25">
      <c r="A525" s="90">
        <f>A524+1</f>
        <v>2</v>
      </c>
      <c r="B525" s="90" t="s">
        <v>372</v>
      </c>
      <c r="C525" s="90" t="s">
        <v>362</v>
      </c>
      <c r="D525" s="70">
        <f>(48.92)*(10.764)</f>
        <v>526.57488000000001</v>
      </c>
      <c r="E525" s="90">
        <v>0</v>
      </c>
      <c r="F525" s="90">
        <f>D525+E525</f>
        <v>526.57488000000001</v>
      </c>
      <c r="G525" s="90">
        <v>0</v>
      </c>
      <c r="H525" s="90">
        <f>F525*(($H$310)+1)+(IF(G525&lt;101,G525,IF(G525&lt;201,G525/2,IF(G525&lt;=301,G525/3,G525/4))))</f>
        <v>789.86231999999995</v>
      </c>
    </row>
    <row r="526" spans="1:14" x14ac:dyDescent="0.25">
      <c r="A526" s="90">
        <f>A525+1</f>
        <v>3</v>
      </c>
      <c r="B526" s="90" t="s">
        <v>372</v>
      </c>
      <c r="C526" s="90" t="s">
        <v>362</v>
      </c>
      <c r="D526" s="70">
        <f>(48.89)*(10.764)</f>
        <v>526.25195999999994</v>
      </c>
      <c r="E526" s="90">
        <v>0</v>
      </c>
      <c r="F526" s="90">
        <f>D526+E526</f>
        <v>526.25195999999994</v>
      </c>
      <c r="G526" s="90">
        <v>0</v>
      </c>
      <c r="H526" s="90">
        <f>F526*(($H$310)+1)+(IF(G526&lt;101,G526,IF(G526&lt;201,G526/2,IF(G526&lt;=301,G526/3,G526/4))))</f>
        <v>789.37793999999985</v>
      </c>
    </row>
    <row r="527" spans="1:14" x14ac:dyDescent="0.25">
      <c r="A527" s="90">
        <f>A526+1</f>
        <v>4</v>
      </c>
      <c r="B527" s="90" t="s">
        <v>390</v>
      </c>
      <c r="C527" s="90" t="s">
        <v>362</v>
      </c>
      <c r="D527" s="70">
        <f>(49.11)*(10.764)</f>
        <v>528.62004000000002</v>
      </c>
      <c r="E527" s="90">
        <v>0</v>
      </c>
      <c r="F527" s="90">
        <f t="shared" ref="F527:F533" si="122">D527+E527</f>
        <v>528.62004000000002</v>
      </c>
      <c r="G527" s="90">
        <v>0</v>
      </c>
      <c r="H527" s="90">
        <f t="shared" ref="H527:H533" si="123">F527*(($H$310)+1)+(IF(G527&lt;101,G527,IF(G527&lt;201,G527/2,IF(G527&lt;=301,G527/3,G527/4))))</f>
        <v>792.93006000000003</v>
      </c>
    </row>
    <row r="528" spans="1:14" x14ac:dyDescent="0.25">
      <c r="A528" s="90">
        <f>A527+1</f>
        <v>5</v>
      </c>
      <c r="B528" s="90" t="s">
        <v>390</v>
      </c>
      <c r="C528" s="90" t="s">
        <v>362</v>
      </c>
      <c r="D528" s="70">
        <f>(49.27)*(10.764)</f>
        <v>530.34227999999996</v>
      </c>
      <c r="E528" s="90">
        <v>0</v>
      </c>
      <c r="F528" s="90">
        <f t="shared" si="122"/>
        <v>530.34227999999996</v>
      </c>
      <c r="G528" s="90">
        <v>0</v>
      </c>
      <c r="H528" s="90">
        <f t="shared" si="123"/>
        <v>795.51342</v>
      </c>
    </row>
    <row r="529" spans="1:8" x14ac:dyDescent="0.25">
      <c r="A529" s="90">
        <f t="shared" ref="A529:A533" si="124">A528+1</f>
        <v>6</v>
      </c>
      <c r="B529" s="90" t="s">
        <v>390</v>
      </c>
      <c r="C529" s="90" t="s">
        <v>362</v>
      </c>
      <c r="D529" s="70">
        <f>(49.13)*(10.764)</f>
        <v>528.83532000000002</v>
      </c>
      <c r="E529" s="90">
        <v>0</v>
      </c>
      <c r="F529" s="90">
        <f t="shared" si="122"/>
        <v>528.83532000000002</v>
      </c>
      <c r="G529" s="90">
        <v>0</v>
      </c>
      <c r="H529" s="90">
        <f t="shared" si="123"/>
        <v>793.25297999999998</v>
      </c>
    </row>
    <row r="530" spans="1:8" ht="15" customHeight="1" x14ac:dyDescent="0.25">
      <c r="A530" s="90">
        <f t="shared" si="124"/>
        <v>7</v>
      </c>
      <c r="B530" s="90" t="s">
        <v>390</v>
      </c>
      <c r="C530" s="90" t="s">
        <v>362</v>
      </c>
      <c r="D530" s="70">
        <f>(49.14)*(10.764)</f>
        <v>528.94295999999997</v>
      </c>
      <c r="E530" s="90">
        <v>0</v>
      </c>
      <c r="F530" s="90">
        <f t="shared" si="122"/>
        <v>528.94295999999997</v>
      </c>
      <c r="G530" s="90">
        <v>0</v>
      </c>
      <c r="H530" s="90">
        <f t="shared" si="123"/>
        <v>793.41444000000001</v>
      </c>
    </row>
    <row r="531" spans="1:8" x14ac:dyDescent="0.25">
      <c r="A531" s="90">
        <f t="shared" si="124"/>
        <v>8</v>
      </c>
      <c r="B531" s="90" t="s">
        <v>390</v>
      </c>
      <c r="C531" s="90" t="s">
        <v>362</v>
      </c>
      <c r="D531" s="70">
        <f>(49.15)*(10.764)</f>
        <v>529.05059999999992</v>
      </c>
      <c r="E531" s="90">
        <v>0</v>
      </c>
      <c r="F531" s="90">
        <f t="shared" si="122"/>
        <v>529.05059999999992</v>
      </c>
      <c r="G531" s="90">
        <v>0</v>
      </c>
      <c r="H531" s="90">
        <f t="shared" si="123"/>
        <v>793.57589999999982</v>
      </c>
    </row>
    <row r="532" spans="1:8" x14ac:dyDescent="0.25">
      <c r="A532" s="90">
        <f t="shared" si="124"/>
        <v>9</v>
      </c>
      <c r="B532" s="90" t="s">
        <v>390</v>
      </c>
      <c r="C532" s="90" t="s">
        <v>367</v>
      </c>
      <c r="D532" s="70">
        <f>(49.13)*(10.764)</f>
        <v>528.83532000000002</v>
      </c>
      <c r="E532" s="90">
        <v>0</v>
      </c>
      <c r="F532" s="90">
        <f t="shared" si="122"/>
        <v>528.83532000000002</v>
      </c>
      <c r="G532" s="90">
        <v>0</v>
      </c>
      <c r="H532" s="90">
        <f t="shared" si="123"/>
        <v>793.25297999999998</v>
      </c>
    </row>
    <row r="533" spans="1:8" x14ac:dyDescent="0.25">
      <c r="A533" s="90">
        <f t="shared" si="124"/>
        <v>10</v>
      </c>
      <c r="B533" s="90" t="s">
        <v>390</v>
      </c>
      <c r="C533" s="90" t="s">
        <v>362</v>
      </c>
      <c r="D533" s="70">
        <f>(49.96)*(10.764)</f>
        <v>537.76944000000003</v>
      </c>
      <c r="E533" s="90">
        <v>0</v>
      </c>
      <c r="F533" s="90">
        <f t="shared" si="122"/>
        <v>537.76944000000003</v>
      </c>
      <c r="G533" s="90">
        <v>0</v>
      </c>
      <c r="H533" s="90">
        <f t="shared" si="123"/>
        <v>806.65416000000005</v>
      </c>
    </row>
    <row r="534" spans="1:8" x14ac:dyDescent="0.25">
      <c r="A534" s="179" t="s">
        <v>63</v>
      </c>
      <c r="B534" s="179"/>
      <c r="C534" s="179"/>
      <c r="D534" s="179"/>
      <c r="E534" s="179"/>
      <c r="F534" s="179"/>
      <c r="G534" s="179"/>
      <c r="H534" s="179"/>
    </row>
    <row r="535" spans="1:8" ht="47.25" customHeight="1" x14ac:dyDescent="0.25">
      <c r="A535" s="108" t="s">
        <v>144</v>
      </c>
      <c r="B535" s="193" t="s">
        <v>471</v>
      </c>
      <c r="C535" s="193"/>
      <c r="D535" s="193"/>
      <c r="E535" s="193"/>
      <c r="F535" s="193"/>
      <c r="G535" s="193"/>
      <c r="H535" s="193"/>
    </row>
    <row r="536" spans="1:8" x14ac:dyDescent="0.25">
      <c r="A536" s="108" t="s">
        <v>144</v>
      </c>
      <c r="B536" s="193" t="str">
        <f>(IF(H309="Saleable area Loading :","We have considered Saleable area of Flats as per our Calculation.","We considered Saleable area of Flat as per Builder area Sheet."))</f>
        <v>We have considered Saleable area of Flats as per our Calculation.</v>
      </c>
      <c r="C536" s="193"/>
      <c r="D536" s="193"/>
      <c r="E536" s="193"/>
      <c r="F536" s="193"/>
      <c r="G536" s="193"/>
      <c r="H536" s="193"/>
    </row>
    <row r="537" spans="1:8" x14ac:dyDescent="0.25">
      <c r="A537" s="108" t="s">
        <v>144</v>
      </c>
      <c r="B537" s="193" t="str">
        <f>(IF(H187="Saleable area Loading :","We have considered Saleable area of Commercial as per our Calculation.","We considered Saleable area of Commercial as per Builder area Sheet."))</f>
        <v>We have considered Saleable area of Commercial as per our Calculation.</v>
      </c>
      <c r="C537" s="193"/>
      <c r="D537" s="193"/>
      <c r="E537" s="193"/>
      <c r="F537" s="193"/>
      <c r="G537" s="193"/>
      <c r="H537" s="193"/>
    </row>
    <row r="538" spans="1:8" x14ac:dyDescent="0.25">
      <c r="A538" s="89" t="s">
        <v>144</v>
      </c>
      <c r="B538" s="193" t="s">
        <v>114</v>
      </c>
      <c r="C538" s="193"/>
      <c r="D538" s="193"/>
      <c r="E538" s="193"/>
      <c r="F538" s="193"/>
      <c r="G538" s="193"/>
      <c r="H538" s="193"/>
    </row>
    <row r="539" spans="1:8" x14ac:dyDescent="0.25">
      <c r="A539" s="89" t="s">
        <v>144</v>
      </c>
      <c r="B539" s="193" t="s">
        <v>396</v>
      </c>
      <c r="C539" s="193"/>
      <c r="D539" s="193"/>
      <c r="E539" s="193"/>
      <c r="F539" s="193"/>
      <c r="G539" s="193"/>
      <c r="H539" s="193"/>
    </row>
    <row r="540" spans="1:8" x14ac:dyDescent="0.25">
      <c r="A540" s="89" t="s">
        <v>144</v>
      </c>
      <c r="B540" s="193" t="s">
        <v>143</v>
      </c>
      <c r="C540" s="193"/>
      <c r="D540" s="193"/>
      <c r="E540" s="193"/>
      <c r="F540" s="193"/>
      <c r="G540" s="193"/>
      <c r="H540" s="193"/>
    </row>
    <row r="541" spans="1:8" x14ac:dyDescent="0.25">
      <c r="A541" s="89" t="s">
        <v>144</v>
      </c>
      <c r="B541" s="193" t="s">
        <v>115</v>
      </c>
      <c r="C541" s="193"/>
      <c r="D541" s="193"/>
      <c r="E541" s="193"/>
      <c r="F541" s="193"/>
      <c r="G541" s="193"/>
      <c r="H541" s="193"/>
    </row>
    <row r="542" spans="1:8" ht="30.75" customHeight="1" x14ac:dyDescent="0.25">
      <c r="A542" s="89" t="s">
        <v>144</v>
      </c>
      <c r="B542" s="193" t="s">
        <v>145</v>
      </c>
      <c r="C542" s="193"/>
      <c r="D542" s="193"/>
      <c r="E542" s="193"/>
      <c r="F542" s="193"/>
      <c r="G542" s="193"/>
      <c r="H542" s="193"/>
    </row>
    <row r="543" spans="1:8" x14ac:dyDescent="0.25">
      <c r="A543" s="94" t="s">
        <v>144</v>
      </c>
      <c r="B543" s="194" t="s">
        <v>116</v>
      </c>
      <c r="C543" s="195"/>
      <c r="D543" s="195"/>
      <c r="E543" s="195"/>
      <c r="F543" s="195"/>
      <c r="G543" s="195"/>
      <c r="H543" s="196"/>
    </row>
    <row r="544" spans="1:8" x14ac:dyDescent="0.25">
      <c r="A544" s="42" t="s">
        <v>144</v>
      </c>
      <c r="B544" s="194" t="s">
        <v>447</v>
      </c>
      <c r="C544" s="195"/>
      <c r="D544" s="195"/>
      <c r="E544" s="195"/>
      <c r="F544" s="195"/>
      <c r="G544" s="195"/>
      <c r="H544" s="196"/>
    </row>
    <row r="545" spans="1:8" x14ac:dyDescent="0.25">
      <c r="A545" s="108" t="s">
        <v>144</v>
      </c>
      <c r="B545" s="194" t="s">
        <v>485</v>
      </c>
      <c r="C545" s="195"/>
      <c r="D545" s="195"/>
      <c r="E545" s="195"/>
      <c r="F545" s="195"/>
      <c r="G545" s="195"/>
      <c r="H545" s="196"/>
    </row>
    <row r="546" spans="1:8" x14ac:dyDescent="0.25">
      <c r="A546" s="108" t="s">
        <v>144</v>
      </c>
      <c r="B546" s="194" t="s">
        <v>479</v>
      </c>
      <c r="C546" s="195"/>
      <c r="D546" s="195"/>
      <c r="E546" s="195"/>
      <c r="F546" s="195"/>
      <c r="G546" s="195"/>
      <c r="H546" s="196"/>
    </row>
    <row r="547" spans="1:8" x14ac:dyDescent="0.25">
      <c r="A547" s="200" t="s">
        <v>56</v>
      </c>
      <c r="B547" s="200"/>
      <c r="C547" s="200"/>
      <c r="D547" s="200"/>
      <c r="E547" s="200"/>
      <c r="F547" s="200"/>
      <c r="G547" s="200"/>
      <c r="H547" s="200"/>
    </row>
    <row r="548" spans="1:8" x14ac:dyDescent="0.25">
      <c r="A548" s="159" t="s">
        <v>57</v>
      </c>
      <c r="B548" s="159"/>
      <c r="C548" s="159"/>
      <c r="D548" s="159"/>
      <c r="E548" s="159"/>
      <c r="F548" s="159"/>
      <c r="G548" s="159"/>
      <c r="H548" s="159"/>
    </row>
    <row r="549" spans="1:8" x14ac:dyDescent="0.25">
      <c r="A549" s="192" t="s">
        <v>58</v>
      </c>
      <c r="B549" s="192"/>
      <c r="C549" s="192"/>
      <c r="D549" s="192"/>
      <c r="E549" s="192"/>
      <c r="F549" s="192"/>
      <c r="G549" s="192"/>
      <c r="H549" s="192"/>
    </row>
    <row r="550" spans="1:8" x14ac:dyDescent="0.25">
      <c r="A550" s="159" t="s">
        <v>59</v>
      </c>
      <c r="B550" s="159"/>
      <c r="C550" s="159"/>
      <c r="D550" s="159"/>
      <c r="E550" s="159"/>
      <c r="F550" s="159"/>
      <c r="G550" s="159"/>
      <c r="H550" s="159"/>
    </row>
    <row r="551" spans="1:8" x14ac:dyDescent="0.25">
      <c r="A551" s="163" t="s">
        <v>60</v>
      </c>
      <c r="B551" s="163"/>
      <c r="C551" s="163"/>
      <c r="D551" s="163"/>
      <c r="E551" s="163"/>
      <c r="F551" s="163"/>
      <c r="G551" s="163"/>
      <c r="H551" s="163"/>
    </row>
    <row r="552" spans="1:8" x14ac:dyDescent="0.25">
      <c r="A552" s="163" t="s">
        <v>117</v>
      </c>
      <c r="B552" s="163"/>
      <c r="C552" s="163"/>
      <c r="D552" s="163"/>
      <c r="E552" s="163"/>
      <c r="F552" s="163"/>
      <c r="G552" s="163"/>
      <c r="H552" s="163"/>
    </row>
    <row r="553" spans="1:8" x14ac:dyDescent="0.25">
      <c r="A553" s="165" t="s">
        <v>118</v>
      </c>
      <c r="B553" s="165"/>
      <c r="C553" s="165"/>
      <c r="D553" s="165"/>
      <c r="E553" s="165"/>
      <c r="F553" s="165"/>
      <c r="G553" s="165"/>
      <c r="H553" s="165"/>
    </row>
    <row r="554" spans="1:8" x14ac:dyDescent="0.25">
      <c r="A554" s="198" t="s">
        <v>70</v>
      </c>
      <c r="B554" s="198"/>
      <c r="C554" s="198" t="s">
        <v>446</v>
      </c>
      <c r="D554" s="198"/>
      <c r="E554" s="198" t="s">
        <v>98</v>
      </c>
      <c r="F554" s="198"/>
      <c r="G554" s="198" t="s">
        <v>416</v>
      </c>
      <c r="H554" s="198"/>
    </row>
    <row r="555" spans="1:8" x14ac:dyDescent="0.25">
      <c r="A555" s="197" t="s">
        <v>72</v>
      </c>
      <c r="B555" s="197"/>
      <c r="C555" s="197"/>
      <c r="D555" s="197"/>
      <c r="E555" s="197"/>
      <c r="F555" s="197"/>
      <c r="G555" s="197"/>
      <c r="H555" s="197"/>
    </row>
    <row r="556" spans="1:8" x14ac:dyDescent="0.25">
      <c r="A556" s="197"/>
      <c r="B556" s="197"/>
      <c r="C556" s="197"/>
      <c r="D556" s="197"/>
      <c r="E556" s="197"/>
      <c r="F556" s="197"/>
      <c r="G556" s="197"/>
      <c r="H556" s="197"/>
    </row>
    <row r="557" spans="1:8" x14ac:dyDescent="0.25">
      <c r="A557" s="197"/>
      <c r="B557" s="197"/>
      <c r="C557" s="197"/>
      <c r="D557" s="197"/>
      <c r="E557" s="197"/>
      <c r="F557" s="197"/>
      <c r="G557" s="197"/>
      <c r="H557" s="197"/>
    </row>
    <row r="558" spans="1:8" x14ac:dyDescent="0.25">
      <c r="A558" s="197"/>
      <c r="B558" s="197"/>
      <c r="C558" s="197"/>
      <c r="D558" s="197"/>
      <c r="E558" s="197"/>
      <c r="F558" s="197"/>
      <c r="G558" s="197"/>
      <c r="H558" s="197"/>
    </row>
    <row r="559" spans="1:8" x14ac:dyDescent="0.25">
      <c r="A559" s="36" t="s">
        <v>61</v>
      </c>
      <c r="B559" s="37"/>
      <c r="C559" s="37"/>
      <c r="D559" s="36" t="str">
        <f>E9</f>
        <v>The Edge</v>
      </c>
      <c r="F559" s="37"/>
      <c r="G559" s="37"/>
      <c r="H559" s="37"/>
    </row>
    <row r="560" spans="1:8" x14ac:dyDescent="0.25">
      <c r="A560" s="37"/>
      <c r="B560" s="37"/>
      <c r="C560" s="37"/>
      <c r="D560" s="37"/>
      <c r="E560" s="37"/>
      <c r="F560" s="37"/>
      <c r="G560" s="37"/>
      <c r="H560" s="37"/>
    </row>
    <row r="561" spans="1:8" x14ac:dyDescent="0.25">
      <c r="A561" s="37"/>
      <c r="B561" s="37"/>
      <c r="C561" s="37"/>
      <c r="D561" s="37"/>
      <c r="E561" s="37"/>
      <c r="F561" s="37"/>
      <c r="G561" s="37"/>
      <c r="H561" s="37"/>
    </row>
    <row r="602" spans="1:1" x14ac:dyDescent="0.25">
      <c r="A602" s="39" t="s">
        <v>154</v>
      </c>
    </row>
    <row r="645" spans="1:1" x14ac:dyDescent="0.25">
      <c r="A645" s="39" t="s">
        <v>62</v>
      </c>
    </row>
  </sheetData>
  <mergeCells count="679">
    <mergeCell ref="L390:M390"/>
    <mergeCell ref="L330:M330"/>
    <mergeCell ref="L227:M227"/>
    <mergeCell ref="L228:M228"/>
    <mergeCell ref="L283:M283"/>
    <mergeCell ref="L284:M284"/>
    <mergeCell ref="C494:H494"/>
    <mergeCell ref="A479:H479"/>
    <mergeCell ref="A454:H454"/>
    <mergeCell ref="L422:M422"/>
    <mergeCell ref="A465:H465"/>
    <mergeCell ref="A266:H266"/>
    <mergeCell ref="A466:H466"/>
    <mergeCell ref="A467:H467"/>
    <mergeCell ref="A468:H468"/>
    <mergeCell ref="C483:H484"/>
    <mergeCell ref="C486:H486"/>
    <mergeCell ref="A490:H490"/>
    <mergeCell ref="L492:M492"/>
    <mergeCell ref="A443:H443"/>
    <mergeCell ref="L411:M411"/>
    <mergeCell ref="A410:H410"/>
    <mergeCell ref="C414:H415"/>
    <mergeCell ref="C417:H417"/>
    <mergeCell ref="A421:H421"/>
    <mergeCell ref="L470:M470"/>
    <mergeCell ref="L459:M459"/>
    <mergeCell ref="A51:B51"/>
    <mergeCell ref="C51:E51"/>
    <mergeCell ref="G51:H51"/>
    <mergeCell ref="A52:B52"/>
    <mergeCell ref="C52:E52"/>
    <mergeCell ref="G52:H52"/>
    <mergeCell ref="K71:M71"/>
    <mergeCell ref="A398:H398"/>
    <mergeCell ref="A222:H222"/>
    <mergeCell ref="C182:D182"/>
    <mergeCell ref="E182:F182"/>
    <mergeCell ref="G182:H182"/>
    <mergeCell ref="A183:B183"/>
    <mergeCell ref="A60:B61"/>
    <mergeCell ref="C60:E60"/>
    <mergeCell ref="G60:H60"/>
    <mergeCell ref="A399:H399"/>
    <mergeCell ref="C425:H426"/>
    <mergeCell ref="A432:H432"/>
    <mergeCell ref="A397:H397"/>
    <mergeCell ref="C352:H353"/>
    <mergeCell ref="L337:M337"/>
    <mergeCell ref="A333:H333"/>
    <mergeCell ref="A334:B334"/>
    <mergeCell ref="A335:B335"/>
    <mergeCell ref="A336:B336"/>
    <mergeCell ref="A337:B337"/>
    <mergeCell ref="A338:B338"/>
    <mergeCell ref="A339:B339"/>
    <mergeCell ref="A347:H347"/>
    <mergeCell ref="A340:H340"/>
    <mergeCell ref="L364:M364"/>
    <mergeCell ref="A343:B343"/>
    <mergeCell ref="A344:B344"/>
    <mergeCell ref="A345:B345"/>
    <mergeCell ref="A346:B346"/>
    <mergeCell ref="A394:B394"/>
    <mergeCell ref="A392:B392"/>
    <mergeCell ref="L400:M400"/>
    <mergeCell ref="L255:M255"/>
    <mergeCell ref="C392:H392"/>
    <mergeCell ref="A396:H396"/>
    <mergeCell ref="A355:B355"/>
    <mergeCell ref="A356:B356"/>
    <mergeCell ref="A357:B357"/>
    <mergeCell ref="A358:B358"/>
    <mergeCell ref="A325:H325"/>
    <mergeCell ref="A359:H359"/>
    <mergeCell ref="A348:B348"/>
    <mergeCell ref="A349:B349"/>
    <mergeCell ref="A350:B350"/>
    <mergeCell ref="A351:B351"/>
    <mergeCell ref="A352:B352"/>
    <mergeCell ref="A353:B353"/>
    <mergeCell ref="C331:H332"/>
    <mergeCell ref="L252:M252"/>
    <mergeCell ref="L253:M253"/>
    <mergeCell ref="L254:M254"/>
    <mergeCell ref="L285:M285"/>
    <mergeCell ref="L286:M286"/>
    <mergeCell ref="L287:M287"/>
    <mergeCell ref="L288:M288"/>
    <mergeCell ref="L289:M289"/>
    <mergeCell ref="L274:M274"/>
    <mergeCell ref="L275:M275"/>
    <mergeCell ref="L276:M276"/>
    <mergeCell ref="L277:M277"/>
    <mergeCell ref="L278:M278"/>
    <mergeCell ref="L279:M279"/>
    <mergeCell ref="L218:M218"/>
    <mergeCell ref="L219:M219"/>
    <mergeCell ref="L220:M220"/>
    <mergeCell ref="L245:M245"/>
    <mergeCell ref="L223:M223"/>
    <mergeCell ref="L224:M224"/>
    <mergeCell ref="L225:M225"/>
    <mergeCell ref="L229:M229"/>
    <mergeCell ref="L251:M251"/>
    <mergeCell ref="L237:M237"/>
    <mergeCell ref="L238:M238"/>
    <mergeCell ref="L239:M239"/>
    <mergeCell ref="L240:M240"/>
    <mergeCell ref="L241:M241"/>
    <mergeCell ref="L242:M242"/>
    <mergeCell ref="L243:M243"/>
    <mergeCell ref="L244:M244"/>
    <mergeCell ref="L226:M226"/>
    <mergeCell ref="L248:M248"/>
    <mergeCell ref="L232:M232"/>
    <mergeCell ref="L233:M233"/>
    <mergeCell ref="L234:M234"/>
    <mergeCell ref="L235:M235"/>
    <mergeCell ref="L236:M236"/>
    <mergeCell ref="A381:B381"/>
    <mergeCell ref="A382:B382"/>
    <mergeCell ref="A378:B378"/>
    <mergeCell ref="C376:H376"/>
    <mergeCell ref="A342:B342"/>
    <mergeCell ref="A328:B328"/>
    <mergeCell ref="A329:B329"/>
    <mergeCell ref="A330:B330"/>
    <mergeCell ref="A341:B341"/>
    <mergeCell ref="A373:B373"/>
    <mergeCell ref="A363:H363"/>
    <mergeCell ref="A360:H360"/>
    <mergeCell ref="A354:H354"/>
    <mergeCell ref="A393:B393"/>
    <mergeCell ref="L270:M270"/>
    <mergeCell ref="L261:M261"/>
    <mergeCell ref="L262:M262"/>
    <mergeCell ref="L263:M263"/>
    <mergeCell ref="L264:M264"/>
    <mergeCell ref="L265:M265"/>
    <mergeCell ref="A387:H387"/>
    <mergeCell ref="A388:B388"/>
    <mergeCell ref="A390:B390"/>
    <mergeCell ref="A383:H383"/>
    <mergeCell ref="A384:B384"/>
    <mergeCell ref="A385:B385"/>
    <mergeCell ref="A386:B386"/>
    <mergeCell ref="C384:H384"/>
    <mergeCell ref="A391:H391"/>
    <mergeCell ref="L271:M271"/>
    <mergeCell ref="L272:M272"/>
    <mergeCell ref="L266:M266"/>
    <mergeCell ref="L267:M267"/>
    <mergeCell ref="A317:H317"/>
    <mergeCell ref="A370:H370"/>
    <mergeCell ref="A379:H379"/>
    <mergeCell ref="A377:B377"/>
    <mergeCell ref="A318:H318"/>
    <mergeCell ref="L280:M280"/>
    <mergeCell ref="L281:M281"/>
    <mergeCell ref="L256:M256"/>
    <mergeCell ref="L257:M257"/>
    <mergeCell ref="L258:M258"/>
    <mergeCell ref="L259:M259"/>
    <mergeCell ref="L260:M260"/>
    <mergeCell ref="A290:H290"/>
    <mergeCell ref="L290:M290"/>
    <mergeCell ref="L282:M282"/>
    <mergeCell ref="E309:E310"/>
    <mergeCell ref="A315:H315"/>
    <mergeCell ref="A316:H316"/>
    <mergeCell ref="A312:H312"/>
    <mergeCell ref="A311:H311"/>
    <mergeCell ref="L268:M268"/>
    <mergeCell ref="L269:M269"/>
    <mergeCell ref="A267:H267"/>
    <mergeCell ref="D309:D310"/>
    <mergeCell ref="A319:B319"/>
    <mergeCell ref="A372:B372"/>
    <mergeCell ref="C176:D176"/>
    <mergeCell ref="E176:F176"/>
    <mergeCell ref="G176:H176"/>
    <mergeCell ref="C177:D177"/>
    <mergeCell ref="A320:B320"/>
    <mergeCell ref="A321:B321"/>
    <mergeCell ref="A322:B322"/>
    <mergeCell ref="A324:B324"/>
    <mergeCell ref="G177:H177"/>
    <mergeCell ref="A190:H190"/>
    <mergeCell ref="B217:H217"/>
    <mergeCell ref="B219:H219"/>
    <mergeCell ref="A371:B371"/>
    <mergeCell ref="C371:H371"/>
    <mergeCell ref="A331:B331"/>
    <mergeCell ref="A265:H265"/>
    <mergeCell ref="D187:D188"/>
    <mergeCell ref="G187:G188"/>
    <mergeCell ref="A323:B323"/>
    <mergeCell ref="F187:F188"/>
    <mergeCell ref="C180:D180"/>
    <mergeCell ref="E180:F180"/>
    <mergeCell ref="C157:D157"/>
    <mergeCell ref="E157:F157"/>
    <mergeCell ref="G157:H157"/>
    <mergeCell ref="C159:D159"/>
    <mergeCell ref="E159:F159"/>
    <mergeCell ref="G159:H159"/>
    <mergeCell ref="A157:A159"/>
    <mergeCell ref="C158:D158"/>
    <mergeCell ref="E158:F158"/>
    <mergeCell ref="C130:H130"/>
    <mergeCell ref="A131:B131"/>
    <mergeCell ref="E131:F131"/>
    <mergeCell ref="G131:H131"/>
    <mergeCell ref="A146:E146"/>
    <mergeCell ref="A156:B156"/>
    <mergeCell ref="C156:D156"/>
    <mergeCell ref="E156:F156"/>
    <mergeCell ref="G156:H156"/>
    <mergeCell ref="A143:E143"/>
    <mergeCell ref="F145:H145"/>
    <mergeCell ref="A149:E149"/>
    <mergeCell ref="A145:E145"/>
    <mergeCell ref="F146:H146"/>
    <mergeCell ref="F147:H147"/>
    <mergeCell ref="A148:E148"/>
    <mergeCell ref="F148:H148"/>
    <mergeCell ref="F149:H149"/>
    <mergeCell ref="A142:E142"/>
    <mergeCell ref="F142:H142"/>
    <mergeCell ref="F143:H143"/>
    <mergeCell ref="A155:H155"/>
    <mergeCell ref="L183:M183"/>
    <mergeCell ref="L188:M188"/>
    <mergeCell ref="L189:M189"/>
    <mergeCell ref="L190:M190"/>
    <mergeCell ref="A109:B109"/>
    <mergeCell ref="A111:B111"/>
    <mergeCell ref="A141:B141"/>
    <mergeCell ref="C187:C188"/>
    <mergeCell ref="A147:E147"/>
    <mergeCell ref="A177:B177"/>
    <mergeCell ref="E177:F177"/>
    <mergeCell ref="A152:E152"/>
    <mergeCell ref="A135:B135"/>
    <mergeCell ref="A136:B136"/>
    <mergeCell ref="A137:B137"/>
    <mergeCell ref="E187:E188"/>
    <mergeCell ref="A138:B138"/>
    <mergeCell ref="A139:B139"/>
    <mergeCell ref="A140:B140"/>
    <mergeCell ref="F144:H144"/>
    <mergeCell ref="A144:E144"/>
    <mergeCell ref="A128:B128"/>
    <mergeCell ref="C128:H128"/>
    <mergeCell ref="A130:B130"/>
    <mergeCell ref="A106:B106"/>
    <mergeCell ref="G104:H113"/>
    <mergeCell ref="A107:B107"/>
    <mergeCell ref="A104:B104"/>
    <mergeCell ref="L508:M508"/>
    <mergeCell ref="L507:M507"/>
    <mergeCell ref="L504:M504"/>
    <mergeCell ref="L505:M505"/>
    <mergeCell ref="L506:M506"/>
    <mergeCell ref="E104:F113"/>
    <mergeCell ref="A184:B184"/>
    <mergeCell ref="C184:D184"/>
    <mergeCell ref="E184:F184"/>
    <mergeCell ref="A132:B132"/>
    <mergeCell ref="E132:F141"/>
    <mergeCell ref="G132:H141"/>
    <mergeCell ref="A133:B133"/>
    <mergeCell ref="L191:M191"/>
    <mergeCell ref="A191:H191"/>
    <mergeCell ref="L184:M184"/>
    <mergeCell ref="L185:M185"/>
    <mergeCell ref="L186:M186"/>
    <mergeCell ref="L187:M187"/>
    <mergeCell ref="L180:M180"/>
    <mergeCell ref="G103:H103"/>
    <mergeCell ref="C65:H65"/>
    <mergeCell ref="A89:B89"/>
    <mergeCell ref="A92:B92"/>
    <mergeCell ref="E90:F99"/>
    <mergeCell ref="G90:H99"/>
    <mergeCell ref="A97:B97"/>
    <mergeCell ref="C102:H102"/>
    <mergeCell ref="A105:B105"/>
    <mergeCell ref="A103:B103"/>
    <mergeCell ref="E103:F103"/>
    <mergeCell ref="A100:B100"/>
    <mergeCell ref="C100:H100"/>
    <mergeCell ref="D80:H80"/>
    <mergeCell ref="A75:C78"/>
    <mergeCell ref="D75:H75"/>
    <mergeCell ref="D76:H76"/>
    <mergeCell ref="A79:C79"/>
    <mergeCell ref="A80:C80"/>
    <mergeCell ref="A102:B102"/>
    <mergeCell ref="D79:H79"/>
    <mergeCell ref="D77:H77"/>
    <mergeCell ref="A88:B88"/>
    <mergeCell ref="C86:H86"/>
    <mergeCell ref="C248:H250"/>
    <mergeCell ref="C252:H252"/>
    <mergeCell ref="C254:H258"/>
    <mergeCell ref="C260:H260"/>
    <mergeCell ref="E165:F165"/>
    <mergeCell ref="A172:B172"/>
    <mergeCell ref="C172:D172"/>
    <mergeCell ref="E172:F172"/>
    <mergeCell ref="G172:H172"/>
    <mergeCell ref="A221:H221"/>
    <mergeCell ref="A189:H189"/>
    <mergeCell ref="A247:H247"/>
    <mergeCell ref="A165:A166"/>
    <mergeCell ref="A170:A171"/>
    <mergeCell ref="A175:A176"/>
    <mergeCell ref="C183:D183"/>
    <mergeCell ref="E183:F183"/>
    <mergeCell ref="G183:H183"/>
    <mergeCell ref="A220:H220"/>
    <mergeCell ref="A81:C81"/>
    <mergeCell ref="D81:H81"/>
    <mergeCell ref="C88:H88"/>
    <mergeCell ref="A82:C82"/>
    <mergeCell ref="D82:H82"/>
    <mergeCell ref="A85:C85"/>
    <mergeCell ref="D85:H85"/>
    <mergeCell ref="A84:C84"/>
    <mergeCell ref="A83:C83"/>
    <mergeCell ref="D84:H84"/>
    <mergeCell ref="A86:B86"/>
    <mergeCell ref="D78:H78"/>
    <mergeCell ref="C67:H67"/>
    <mergeCell ref="C69:H69"/>
    <mergeCell ref="A48:H48"/>
    <mergeCell ref="D74:H74"/>
    <mergeCell ref="A74:C74"/>
    <mergeCell ref="A45:D45"/>
    <mergeCell ref="A49:B49"/>
    <mergeCell ref="C49:H49"/>
    <mergeCell ref="C63:E63"/>
    <mergeCell ref="G63:H63"/>
    <mergeCell ref="G62:H62"/>
    <mergeCell ref="C55:E55"/>
    <mergeCell ref="G55:H55"/>
    <mergeCell ref="C56:H56"/>
    <mergeCell ref="G58:H58"/>
    <mergeCell ref="A59:B59"/>
    <mergeCell ref="G66:H66"/>
    <mergeCell ref="A68:B69"/>
    <mergeCell ref="C68:E68"/>
    <mergeCell ref="G68:H68"/>
    <mergeCell ref="G59:H59"/>
    <mergeCell ref="A62:B63"/>
    <mergeCell ref="C61:E61"/>
    <mergeCell ref="C59:E59"/>
    <mergeCell ref="A71:H71"/>
    <mergeCell ref="A72:C72"/>
    <mergeCell ref="A73:C73"/>
    <mergeCell ref="A55:B56"/>
    <mergeCell ref="A36:B36"/>
    <mergeCell ref="C36:E36"/>
    <mergeCell ref="A47:D47"/>
    <mergeCell ref="C58:E58"/>
    <mergeCell ref="C62:E62"/>
    <mergeCell ref="G61:H61"/>
    <mergeCell ref="A31:D31"/>
    <mergeCell ref="E31:H31"/>
    <mergeCell ref="A32:D32"/>
    <mergeCell ref="E32:H32"/>
    <mergeCell ref="E43:H43"/>
    <mergeCell ref="A43:D43"/>
    <mergeCell ref="A39:B39"/>
    <mergeCell ref="C39:H39"/>
    <mergeCell ref="A46:D46"/>
    <mergeCell ref="A38:H38"/>
    <mergeCell ref="A37:B37"/>
    <mergeCell ref="C37:E37"/>
    <mergeCell ref="A42:D42"/>
    <mergeCell ref="E42:H42"/>
    <mergeCell ref="A41:H41"/>
    <mergeCell ref="F37:H37"/>
    <mergeCell ref="C33:E33"/>
    <mergeCell ref="F36:H36"/>
    <mergeCell ref="F33:H33"/>
    <mergeCell ref="A34:B34"/>
    <mergeCell ref="A33:B33"/>
    <mergeCell ref="C34:E34"/>
    <mergeCell ref="A35:B35"/>
    <mergeCell ref="C35:E35"/>
    <mergeCell ref="F34:H34"/>
    <mergeCell ref="F35:H35"/>
    <mergeCell ref="A58:B58"/>
    <mergeCell ref="A44:D44"/>
    <mergeCell ref="E44:H44"/>
    <mergeCell ref="E45:H45"/>
    <mergeCell ref="E46:H46"/>
    <mergeCell ref="E47:H47"/>
    <mergeCell ref="A53:B54"/>
    <mergeCell ref="C53:E53"/>
    <mergeCell ref="G53:H53"/>
    <mergeCell ref="C54:E54"/>
    <mergeCell ref="G54:H54"/>
    <mergeCell ref="A40:B40"/>
    <mergeCell ref="C40:H40"/>
    <mergeCell ref="A50:H50"/>
    <mergeCell ref="A57:H57"/>
    <mergeCell ref="E27:H27"/>
    <mergeCell ref="A29:D29"/>
    <mergeCell ref="E29:H29"/>
    <mergeCell ref="A26:D26"/>
    <mergeCell ref="E26:H26"/>
    <mergeCell ref="A25:D25"/>
    <mergeCell ref="E25:H25"/>
    <mergeCell ref="A30:D30"/>
    <mergeCell ref="E30:H30"/>
    <mergeCell ref="A27:D27"/>
    <mergeCell ref="A28:D28"/>
    <mergeCell ref="E28:H28"/>
    <mergeCell ref="A19:B19"/>
    <mergeCell ref="C19:D19"/>
    <mergeCell ref="E19:F19"/>
    <mergeCell ref="G19:H19"/>
    <mergeCell ref="A20:B20"/>
    <mergeCell ref="C20:D20"/>
    <mergeCell ref="E20:F20"/>
    <mergeCell ref="G20:H20"/>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21:B21"/>
    <mergeCell ref="C21:D21"/>
    <mergeCell ref="E21:F21"/>
    <mergeCell ref="G21:H21"/>
    <mergeCell ref="A22:B22"/>
    <mergeCell ref="C22:D22"/>
    <mergeCell ref="E22:F22"/>
    <mergeCell ref="G22:H22"/>
    <mergeCell ref="A12:D12"/>
    <mergeCell ref="E12:H12"/>
    <mergeCell ref="A17:B17"/>
    <mergeCell ref="A14:D1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555:H558"/>
    <mergeCell ref="A554:B554"/>
    <mergeCell ref="E554:F554"/>
    <mergeCell ref="C554:D554"/>
    <mergeCell ref="G554:H554"/>
    <mergeCell ref="A178:H178"/>
    <mergeCell ref="A153:E153"/>
    <mergeCell ref="F153:H153"/>
    <mergeCell ref="A154:E154"/>
    <mergeCell ref="F154:H154"/>
    <mergeCell ref="A180:B180"/>
    <mergeCell ref="A550:H550"/>
    <mergeCell ref="A173:H173"/>
    <mergeCell ref="A553:H553"/>
    <mergeCell ref="A551:H551"/>
    <mergeCell ref="A548:H548"/>
    <mergeCell ref="A308:H308"/>
    <mergeCell ref="E174:F174"/>
    <mergeCell ref="A547:H547"/>
    <mergeCell ref="A369:H369"/>
    <mergeCell ref="A326:H326"/>
    <mergeCell ref="A327:B327"/>
    <mergeCell ref="G158:H158"/>
    <mergeCell ref="A160:B160"/>
    <mergeCell ref="A552:H552"/>
    <mergeCell ref="A549:H549"/>
    <mergeCell ref="B539:H539"/>
    <mergeCell ref="B535:H535"/>
    <mergeCell ref="B536:H536"/>
    <mergeCell ref="B538:H538"/>
    <mergeCell ref="B540:H540"/>
    <mergeCell ref="B545:H545"/>
    <mergeCell ref="B542:H542"/>
    <mergeCell ref="B537:H537"/>
    <mergeCell ref="B544:H544"/>
    <mergeCell ref="B543:H543"/>
    <mergeCell ref="B546:H546"/>
    <mergeCell ref="B541:H541"/>
    <mergeCell ref="A501:H501"/>
    <mergeCell ref="A150:E150"/>
    <mergeCell ref="A185:H185"/>
    <mergeCell ref="A376:B376"/>
    <mergeCell ref="A389:B389"/>
    <mergeCell ref="A395:H395"/>
    <mergeCell ref="A332:B332"/>
    <mergeCell ref="A375:H375"/>
    <mergeCell ref="A380:B380"/>
    <mergeCell ref="G160:H160"/>
    <mergeCell ref="C169:D169"/>
    <mergeCell ref="E169:F169"/>
    <mergeCell ref="G169:H169"/>
    <mergeCell ref="G164:H164"/>
    <mergeCell ref="C165:D165"/>
    <mergeCell ref="G165:H165"/>
    <mergeCell ref="E171:F171"/>
    <mergeCell ref="G171:H171"/>
    <mergeCell ref="A167:B167"/>
    <mergeCell ref="C167:D167"/>
    <mergeCell ref="E167:F167"/>
    <mergeCell ref="G167:H167"/>
    <mergeCell ref="C179:D179"/>
    <mergeCell ref="A161:H161"/>
    <mergeCell ref="A534:H534"/>
    <mergeCell ref="A523:H523"/>
    <mergeCell ref="A164:B164"/>
    <mergeCell ref="G180:H180"/>
    <mergeCell ref="E164:F164"/>
    <mergeCell ref="A309:A310"/>
    <mergeCell ref="A314:H314"/>
    <mergeCell ref="F309:F310"/>
    <mergeCell ref="B187:B188"/>
    <mergeCell ref="A187:A188"/>
    <mergeCell ref="C309:C310"/>
    <mergeCell ref="G309:G310"/>
    <mergeCell ref="G184:H184"/>
    <mergeCell ref="A216:H216"/>
    <mergeCell ref="B309:B310"/>
    <mergeCell ref="E175:F175"/>
    <mergeCell ref="G175:H175"/>
    <mergeCell ref="G174:H174"/>
    <mergeCell ref="C170:D170"/>
    <mergeCell ref="E170:F170"/>
    <mergeCell ref="G170:H170"/>
    <mergeCell ref="C171:D171"/>
    <mergeCell ref="A168:H168"/>
    <mergeCell ref="A169:B169"/>
    <mergeCell ref="I15:P15"/>
    <mergeCell ref="F152:H152"/>
    <mergeCell ref="F150:H150"/>
    <mergeCell ref="A186:H186"/>
    <mergeCell ref="G179:H179"/>
    <mergeCell ref="A151:E151"/>
    <mergeCell ref="A70:B70"/>
    <mergeCell ref="C70:E70"/>
    <mergeCell ref="D72:H72"/>
    <mergeCell ref="F151:H151"/>
    <mergeCell ref="E179:F179"/>
    <mergeCell ref="A179:B179"/>
    <mergeCell ref="C174:D174"/>
    <mergeCell ref="D83:H83"/>
    <mergeCell ref="D73:H73"/>
    <mergeCell ref="G70:H70"/>
    <mergeCell ref="A64:B65"/>
    <mergeCell ref="C64:E64"/>
    <mergeCell ref="G64:H64"/>
    <mergeCell ref="A66:B67"/>
    <mergeCell ref="C66:E66"/>
    <mergeCell ref="A174:B174"/>
    <mergeCell ref="A134:B134"/>
    <mergeCell ref="C164:D164"/>
    <mergeCell ref="A90:B90"/>
    <mergeCell ref="G89:H89"/>
    <mergeCell ref="A98:B98"/>
    <mergeCell ref="A99:B99"/>
    <mergeCell ref="A94:B94"/>
    <mergeCell ref="A91:B91"/>
    <mergeCell ref="A93:B93"/>
    <mergeCell ref="E89:F89"/>
    <mergeCell ref="A96:B96"/>
    <mergeCell ref="A95:B95"/>
    <mergeCell ref="L193:M193"/>
    <mergeCell ref="L194:M194"/>
    <mergeCell ref="L195:M195"/>
    <mergeCell ref="L294:M294"/>
    <mergeCell ref="L293:M293"/>
    <mergeCell ref="L292:M292"/>
    <mergeCell ref="L201:M201"/>
    <mergeCell ref="L202:M202"/>
    <mergeCell ref="L203:M203"/>
    <mergeCell ref="L230:M230"/>
    <mergeCell ref="L246:M246"/>
    <mergeCell ref="L247:M247"/>
    <mergeCell ref="L221:M221"/>
    <mergeCell ref="L222:M222"/>
    <mergeCell ref="L208:M208"/>
    <mergeCell ref="L209:M209"/>
    <mergeCell ref="L210:M210"/>
    <mergeCell ref="L211:M211"/>
    <mergeCell ref="L212:M212"/>
    <mergeCell ref="L213:M213"/>
    <mergeCell ref="L214:M214"/>
    <mergeCell ref="L215:M215"/>
    <mergeCell ref="L216:M216"/>
    <mergeCell ref="L217:M217"/>
    <mergeCell ref="L181:M181"/>
    <mergeCell ref="L182:M182"/>
    <mergeCell ref="A512:H512"/>
    <mergeCell ref="L481:M481"/>
    <mergeCell ref="L196:M196"/>
    <mergeCell ref="L197:M197"/>
    <mergeCell ref="L198:M198"/>
    <mergeCell ref="L199:M199"/>
    <mergeCell ref="L200:M200"/>
    <mergeCell ref="A361:H361"/>
    <mergeCell ref="A362:H362"/>
    <mergeCell ref="A364:H364"/>
    <mergeCell ref="A365:B365"/>
    <mergeCell ref="A366:B366"/>
    <mergeCell ref="A367:B367"/>
    <mergeCell ref="A368:B368"/>
    <mergeCell ref="A374:B374"/>
    <mergeCell ref="A313:H313"/>
    <mergeCell ref="L192:M192"/>
    <mergeCell ref="C218:H218"/>
    <mergeCell ref="C181:D181"/>
    <mergeCell ref="E181:F181"/>
    <mergeCell ref="G181:H181"/>
    <mergeCell ref="A181:A182"/>
    <mergeCell ref="A114:B114"/>
    <mergeCell ref="C114:H114"/>
    <mergeCell ref="A116:B116"/>
    <mergeCell ref="C116:H116"/>
    <mergeCell ref="A117:B117"/>
    <mergeCell ref="E117:F117"/>
    <mergeCell ref="G117:H117"/>
    <mergeCell ref="A108:B108"/>
    <mergeCell ref="A110:B110"/>
    <mergeCell ref="A113:B113"/>
    <mergeCell ref="A112:B112"/>
    <mergeCell ref="A118:B118"/>
    <mergeCell ref="E118:F127"/>
    <mergeCell ref="G118:H127"/>
    <mergeCell ref="A119:B119"/>
    <mergeCell ref="A120:B120"/>
    <mergeCell ref="A121:B121"/>
    <mergeCell ref="A122:B122"/>
    <mergeCell ref="A123:B123"/>
    <mergeCell ref="A124:B124"/>
    <mergeCell ref="A125:B125"/>
    <mergeCell ref="A126:B126"/>
    <mergeCell ref="A127:B127"/>
    <mergeCell ref="A162:B162"/>
    <mergeCell ref="C162:D162"/>
    <mergeCell ref="E162:F162"/>
    <mergeCell ref="G162:H162"/>
    <mergeCell ref="A163:B163"/>
    <mergeCell ref="C163:D163"/>
    <mergeCell ref="C160:D160"/>
    <mergeCell ref="E160:F160"/>
    <mergeCell ref="C175:D175"/>
    <mergeCell ref="E163:F163"/>
    <mergeCell ref="G163:H163"/>
    <mergeCell ref="C166:D166"/>
    <mergeCell ref="E166:F166"/>
    <mergeCell ref="G166:H166"/>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87:E188">
      <formula1>"Attached Loft area,Attached Otla area,Attached Mezzanine area"</formula1>
    </dataValidation>
    <dataValidation type="list" allowBlank="1" showInputMessage="1" showErrorMessage="1" sqref="G554:H554">
      <formula1>"Kunal Kadam,Pranita Mhatre,Shruti Fule,Pooja Kawale,Gaurav Panchal,Shruti Tathare, Hitakshi Mhatre, Sachin Sawant"</formula1>
    </dataValidation>
    <dataValidation type="list" allowBlank="1" showInputMessage="1" showErrorMessage="1" sqref="F142:H142">
      <formula1>"On Saleable Area,On Builtup Area,On Carpet Area,On Plot Area"</formula1>
    </dataValidation>
    <dataValidation type="list" allowBlank="1" showInputMessage="1" showErrorMessage="1" sqref="B187:B188">
      <formula1>"Shop No. (Sale Plan),Sale / Rehab,Sale / Mhada"</formula1>
    </dataValidation>
    <dataValidation type="list" allowBlank="1" showInputMessage="1" showErrorMessage="1" sqref="B309:B310">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309:E310">
      <formula1>"Fungible area,Balcony Area,Chajja Area,Cornice Area,AP Area,WS Area"</formula1>
    </dataValidation>
    <dataValidation type="list" allowBlank="1" showInputMessage="1" showErrorMessage="1" sqref="H310 H188">
      <formula1>".45,.50,.55,.60"</formula1>
    </dataValidation>
    <dataValidation type="list" allowBlank="1" showInputMessage="1" showErrorMessage="1" sqref="E4:H4">
      <formula1>$L$3:$P$3</formula1>
    </dataValidation>
    <dataValidation type="list" allowBlank="1" showInputMessage="1" showErrorMessage="1" sqref="C49:H49">
      <formula1>OFFSET(#REF!,1,MATCH($G20,#REF!,0)-1,15,1)</formula1>
    </dataValidation>
    <dataValidation type="list" allowBlank="1" showInputMessage="1" showErrorMessage="1" sqref="H187 H309">
      <formula1>"Saleable area Loading :,Builder Saleable Area"</formula1>
    </dataValidation>
    <dataValidation type="list" allowBlank="1" showInputMessage="1" showErrorMessage="1" sqref="D309:D310 D187:D188">
      <formula1>"Carpet area,RERA Carpet area"</formula1>
    </dataValidation>
    <dataValidation type="list" allowBlank="1" showInputMessage="1" showErrorMessage="1" sqref="F153:H153">
      <formula1>OFFSET($S$131,1,MATCH($G20,$S$131:$W$131,0)-1,15,1)</formula1>
    </dataValidation>
  </dataValidations>
  <hyperlinks>
    <hyperlink ref="C40" r:id="rId1"/>
    <hyperlink ref="I82" r:id="rId2"/>
  </hyperlinks>
  <printOptions horizontalCentered="1"/>
  <pageMargins left="0.39370078740157483" right="0.39370078740157483" top="0.82677165354330717" bottom="0.78740157480314965" header="0.15748031496062992" footer="0.19685039370078741"/>
  <pageSetup paperSize="2" fitToHeight="0" orientation="portrait" r:id="rId3"/>
  <headerFooter>
    <oddHeader>&amp;C&amp;G</oddHeader>
    <oddFooter>&amp;L&amp;"Times New Roman,Bold"&amp;12Ref No: &amp;F&amp;C&amp;G&amp;R&amp;"Times New Roman,Bold"&amp;12&amp;P</oddFooter>
  </headerFooter>
  <rowBreaks count="6" manualBreakCount="6">
    <brk id="32" max="7" man="1"/>
    <brk id="61" max="7" man="1"/>
    <brk id="533" max="7" man="1"/>
    <brk id="558" max="7" man="1"/>
    <brk id="601" max="7" man="1"/>
    <brk id="644" max="7"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topLeftCell="A16" zoomScale="85" zoomScaleNormal="85" workbookViewId="0">
      <selection activeCell="B15" sqref="B15"/>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94" t="s">
        <v>99</v>
      </c>
      <c r="C3" s="294"/>
      <c r="D3" s="294"/>
      <c r="E3" s="294"/>
      <c r="F3" s="294"/>
      <c r="G3" s="294"/>
      <c r="H3" s="294"/>
    </row>
    <row r="4" spans="1:9" x14ac:dyDescent="0.25">
      <c r="A4" s="2"/>
      <c r="B4" s="3" t="s">
        <v>100</v>
      </c>
      <c r="C4" s="3" t="s">
        <v>101</v>
      </c>
      <c r="D4" s="3" t="s">
        <v>64</v>
      </c>
      <c r="E4" s="3" t="s">
        <v>102</v>
      </c>
      <c r="F4" s="3" t="s">
        <v>108</v>
      </c>
      <c r="G4" s="3" t="s">
        <v>109</v>
      </c>
      <c r="H4" s="3" t="s">
        <v>103</v>
      </c>
    </row>
    <row r="5" spans="1:9" ht="15" customHeight="1" x14ac:dyDescent="0.25">
      <c r="A5" s="2"/>
      <c r="B5" s="5" t="s">
        <v>104</v>
      </c>
      <c r="C5" s="6"/>
      <c r="D5" s="5"/>
      <c r="E5" s="5"/>
      <c r="F5" s="7">
        <f>E5*1.6</f>
        <v>0</v>
      </c>
      <c r="G5" s="7" t="e">
        <f>H5/F5</f>
        <v>#DIV/0!</v>
      </c>
      <c r="H5" s="8"/>
    </row>
    <row r="6" spans="1:9" x14ac:dyDescent="0.25">
      <c r="A6" s="2"/>
      <c r="B6" s="5" t="s">
        <v>104</v>
      </c>
      <c r="C6" s="9"/>
      <c r="D6" s="5"/>
      <c r="E6" s="5"/>
      <c r="F6" s="7">
        <f t="shared" ref="F6:F11" si="0">E6*1.6</f>
        <v>0</v>
      </c>
      <c r="G6" s="7" t="e">
        <f t="shared" ref="G6:G11" si="1">H6/F6</f>
        <v>#DIV/0!</v>
      </c>
      <c r="H6" s="8"/>
    </row>
    <row r="7" spans="1:9" ht="15" customHeight="1" x14ac:dyDescent="0.25">
      <c r="A7" s="2"/>
      <c r="B7" s="5" t="s">
        <v>104</v>
      </c>
      <c r="C7" s="6"/>
      <c r="D7" s="5"/>
      <c r="E7" s="5"/>
      <c r="F7" s="7">
        <f t="shared" si="0"/>
        <v>0</v>
      </c>
      <c r="G7" s="7" t="e">
        <f t="shared" si="1"/>
        <v>#DIV/0!</v>
      </c>
      <c r="H7" s="8"/>
    </row>
    <row r="8" spans="1:9" x14ac:dyDescent="0.25">
      <c r="A8" s="2"/>
      <c r="B8" s="5" t="s">
        <v>104</v>
      </c>
      <c r="C8" s="9"/>
      <c r="D8" s="5"/>
      <c r="E8" s="5"/>
      <c r="F8" s="7">
        <f t="shared" si="0"/>
        <v>0</v>
      </c>
      <c r="G8" s="7" t="e">
        <f t="shared" si="1"/>
        <v>#DIV/0!</v>
      </c>
      <c r="H8" s="8"/>
    </row>
    <row r="9" spans="1:9" ht="15" customHeight="1" x14ac:dyDescent="0.25">
      <c r="A9" s="2"/>
      <c r="B9" s="5" t="s">
        <v>104</v>
      </c>
      <c r="C9" s="9"/>
      <c r="D9" s="5"/>
      <c r="E9" s="5"/>
      <c r="F9" s="7">
        <f t="shared" si="0"/>
        <v>0</v>
      </c>
      <c r="G9" s="7" t="e">
        <f t="shared" si="1"/>
        <v>#DIV/0!</v>
      </c>
      <c r="H9" s="8"/>
    </row>
    <row r="10" spans="1:9" ht="15" customHeight="1" x14ac:dyDescent="0.25">
      <c r="A10" s="2"/>
      <c r="B10" s="5" t="s">
        <v>105</v>
      </c>
      <c r="C10" s="6"/>
      <c r="D10" s="5"/>
      <c r="E10" s="5"/>
      <c r="F10" s="7">
        <f t="shared" si="0"/>
        <v>0</v>
      </c>
      <c r="G10" s="7" t="e">
        <f t="shared" si="1"/>
        <v>#DIV/0!</v>
      </c>
      <c r="H10" s="8"/>
    </row>
    <row r="11" spans="1:9" ht="15" customHeight="1" x14ac:dyDescent="0.25">
      <c r="A11" s="2"/>
      <c r="B11" s="5" t="s">
        <v>105</v>
      </c>
      <c r="C11" s="6"/>
      <c r="D11" s="5"/>
      <c r="E11" s="5"/>
      <c r="F11" s="7">
        <f t="shared" si="0"/>
        <v>0</v>
      </c>
      <c r="G11" s="7" t="e">
        <f t="shared" si="1"/>
        <v>#DIV/0!</v>
      </c>
      <c r="H11" s="8"/>
    </row>
    <row r="12" spans="1:9" ht="15" customHeight="1" x14ac:dyDescent="0.25">
      <c r="A12" s="2"/>
      <c r="B12" s="10" t="s">
        <v>106</v>
      </c>
      <c r="C12" s="5"/>
      <c r="D12" s="5"/>
      <c r="E12" s="5"/>
      <c r="F12" s="5"/>
      <c r="G12" s="11" t="e">
        <f>AVERAGE(G5:G11)</f>
        <v>#DIV/0!</v>
      </c>
      <c r="H12" s="5"/>
    </row>
    <row r="13" spans="1:9" ht="15" customHeight="1" x14ac:dyDescent="0.25">
      <c r="B13" s="10" t="s">
        <v>107</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8"/>
      <c r="C4" s="48" t="s">
        <v>11</v>
      </c>
      <c r="D4" s="49" t="s">
        <v>170</v>
      </c>
      <c r="E4" s="49" t="s">
        <v>180</v>
      </c>
      <c r="F4" s="49" t="s">
        <v>163</v>
      </c>
      <c r="G4" s="49" t="s">
        <v>185</v>
      </c>
      <c r="H4" s="49" t="s">
        <v>203</v>
      </c>
      <c r="J4" t="s">
        <v>185</v>
      </c>
      <c r="K4" t="s">
        <v>201</v>
      </c>
    </row>
    <row r="5" spans="2:11" x14ac:dyDescent="0.25">
      <c r="B5" s="48"/>
      <c r="C5" s="48"/>
      <c r="D5" s="49" t="s">
        <v>171</v>
      </c>
      <c r="E5" s="49" t="s">
        <v>178</v>
      </c>
      <c r="F5" s="49" t="s">
        <v>200</v>
      </c>
      <c r="G5" s="49" t="s">
        <v>186</v>
      </c>
      <c r="H5" s="49" t="s">
        <v>204</v>
      </c>
    </row>
    <row r="6" spans="2:11" x14ac:dyDescent="0.25">
      <c r="B6" s="48"/>
      <c r="C6" s="48"/>
      <c r="D6" s="49" t="s">
        <v>172</v>
      </c>
      <c r="E6" s="49" t="s">
        <v>179</v>
      </c>
      <c r="F6" s="49" t="s">
        <v>201</v>
      </c>
      <c r="G6" s="49" t="s">
        <v>187</v>
      </c>
      <c r="H6" s="49" t="s">
        <v>217</v>
      </c>
    </row>
    <row r="7" spans="2:11" x14ac:dyDescent="0.25">
      <c r="B7" s="48"/>
      <c r="C7" s="48"/>
      <c r="D7" s="49" t="s">
        <v>173</v>
      </c>
      <c r="E7" s="49" t="s">
        <v>181</v>
      </c>
      <c r="F7" s="49" t="s">
        <v>202</v>
      </c>
      <c r="G7" s="49" t="s">
        <v>188</v>
      </c>
      <c r="H7" s="49" t="s">
        <v>205</v>
      </c>
    </row>
    <row r="8" spans="2:11" x14ac:dyDescent="0.25">
      <c r="B8" s="48"/>
      <c r="C8" s="48"/>
      <c r="D8" s="49" t="s">
        <v>174</v>
      </c>
      <c r="E8" s="49" t="s">
        <v>182</v>
      </c>
      <c r="F8" s="49"/>
      <c r="G8" s="49" t="s">
        <v>189</v>
      </c>
      <c r="H8" s="49" t="s">
        <v>206</v>
      </c>
    </row>
    <row r="9" spans="2:11" x14ac:dyDescent="0.25">
      <c r="B9" s="48"/>
      <c r="C9" s="48"/>
      <c r="D9" s="49" t="s">
        <v>175</v>
      </c>
      <c r="E9" s="49" t="s">
        <v>180</v>
      </c>
      <c r="F9" s="49"/>
      <c r="G9" s="49" t="s">
        <v>190</v>
      </c>
      <c r="H9" s="49" t="s">
        <v>207</v>
      </c>
    </row>
    <row r="10" spans="2:11" x14ac:dyDescent="0.25">
      <c r="B10" s="48"/>
      <c r="C10" s="48"/>
      <c r="D10" s="49" t="s">
        <v>176</v>
      </c>
      <c r="E10" s="49" t="s">
        <v>183</v>
      </c>
      <c r="F10" s="49"/>
      <c r="G10" s="49" t="s">
        <v>191</v>
      </c>
      <c r="H10" s="49" t="s">
        <v>208</v>
      </c>
    </row>
    <row r="11" spans="2:11" x14ac:dyDescent="0.25">
      <c r="B11" s="48"/>
      <c r="C11" s="48"/>
      <c r="D11" s="49" t="s">
        <v>177</v>
      </c>
      <c r="E11" s="49" t="s">
        <v>184</v>
      </c>
      <c r="F11" s="49"/>
      <c r="G11" s="49" t="s">
        <v>192</v>
      </c>
      <c r="H11" s="49" t="s">
        <v>209</v>
      </c>
    </row>
    <row r="12" spans="2:11" x14ac:dyDescent="0.25">
      <c r="B12" s="48"/>
      <c r="C12" s="48"/>
      <c r="D12" s="49"/>
      <c r="E12" s="49"/>
      <c r="F12" s="49"/>
      <c r="G12" s="49" t="s">
        <v>193</v>
      </c>
      <c r="H12" s="49" t="s">
        <v>210</v>
      </c>
    </row>
    <row r="13" spans="2:11" x14ac:dyDescent="0.25">
      <c r="B13" s="48"/>
      <c r="C13" s="48"/>
      <c r="D13" s="49"/>
      <c r="E13" s="49"/>
      <c r="F13" s="49"/>
      <c r="G13" s="49" t="s">
        <v>194</v>
      </c>
      <c r="H13" s="49" t="s">
        <v>211</v>
      </c>
    </row>
    <row r="14" spans="2:11" x14ac:dyDescent="0.25">
      <c r="B14" s="48"/>
      <c r="C14" s="48"/>
      <c r="D14" s="49"/>
      <c r="E14" s="49"/>
      <c r="F14" s="49"/>
      <c r="G14" s="49" t="s">
        <v>195</v>
      </c>
      <c r="H14" s="49" t="s">
        <v>212</v>
      </c>
    </row>
    <row r="15" spans="2:11" x14ac:dyDescent="0.25">
      <c r="B15" s="48"/>
      <c r="C15" s="48"/>
      <c r="D15" s="49"/>
      <c r="E15" s="49"/>
      <c r="F15" s="49"/>
      <c r="G15" s="49" t="s">
        <v>196</v>
      </c>
      <c r="H15" s="49" t="s">
        <v>213</v>
      </c>
    </row>
    <row r="16" spans="2:11" x14ac:dyDescent="0.25">
      <c r="B16" s="48"/>
      <c r="C16" s="48"/>
      <c r="D16" s="49"/>
      <c r="E16" s="49"/>
      <c r="F16" s="49"/>
      <c r="G16" s="49" t="s">
        <v>197</v>
      </c>
      <c r="H16" s="49" t="s">
        <v>214</v>
      </c>
    </row>
    <row r="17" spans="2:8" x14ac:dyDescent="0.25">
      <c r="B17" s="48"/>
      <c r="C17" s="48"/>
      <c r="D17" s="49"/>
      <c r="E17" s="49"/>
      <c r="F17" s="49"/>
      <c r="G17" s="49" t="s">
        <v>198</v>
      </c>
      <c r="H17" s="49" t="s">
        <v>215</v>
      </c>
    </row>
    <row r="18" spans="2:8" x14ac:dyDescent="0.25">
      <c r="B18" s="48"/>
      <c r="C18" s="48"/>
      <c r="D18" s="49"/>
      <c r="E18" s="49"/>
      <c r="F18" s="49"/>
      <c r="G18" s="49" t="s">
        <v>199</v>
      </c>
      <c r="H18" s="49" t="s">
        <v>216</v>
      </c>
    </row>
    <row r="24" spans="2:8" x14ac:dyDescent="0.25">
      <c r="C24" t="s">
        <v>160</v>
      </c>
    </row>
    <row r="25" spans="2:8" x14ac:dyDescent="0.25">
      <c r="C25" t="s">
        <v>218</v>
      </c>
    </row>
    <row r="26" spans="2:8" x14ac:dyDescent="0.25">
      <c r="C26" t="s">
        <v>219</v>
      </c>
    </row>
    <row r="27" spans="2:8" x14ac:dyDescent="0.25">
      <c r="C27" t="s">
        <v>220</v>
      </c>
    </row>
    <row r="28" spans="2:8" x14ac:dyDescent="0.25">
      <c r="C28" t="s">
        <v>221</v>
      </c>
    </row>
    <row r="29" spans="2:8" x14ac:dyDescent="0.25">
      <c r="C29" t="s">
        <v>222</v>
      </c>
    </row>
    <row r="30" spans="2:8" x14ac:dyDescent="0.25">
      <c r="C30" t="s">
        <v>160</v>
      </c>
    </row>
    <row r="33" spans="3:11" x14ac:dyDescent="0.25">
      <c r="J33">
        <v>1</v>
      </c>
      <c r="K33">
        <v>2</v>
      </c>
    </row>
    <row r="34" spans="3:11" x14ac:dyDescent="0.25">
      <c r="C34" s="50" t="s">
        <v>228</v>
      </c>
      <c r="D34" s="49" t="s">
        <v>226</v>
      </c>
      <c r="E34" s="49" t="s">
        <v>231</v>
      </c>
      <c r="F34" s="49" t="s">
        <v>229</v>
      </c>
      <c r="G34" s="49" t="s">
        <v>230</v>
      </c>
      <c r="H34" s="49" t="s">
        <v>232</v>
      </c>
      <c r="J34" t="s">
        <v>185</v>
      </c>
      <c r="K34" t="s">
        <v>201</v>
      </c>
    </row>
    <row r="35" spans="3:11" x14ac:dyDescent="0.25">
      <c r="C35" s="48" t="s">
        <v>227</v>
      </c>
      <c r="D35" s="49" t="s">
        <v>161</v>
      </c>
      <c r="E35" s="49" t="s">
        <v>236</v>
      </c>
      <c r="F35" s="49" t="s">
        <v>238</v>
      </c>
      <c r="G35" s="49" t="s">
        <v>240</v>
      </c>
      <c r="H35" s="49"/>
    </row>
    <row r="36" spans="3:11" x14ac:dyDescent="0.25">
      <c r="C36" s="48"/>
      <c r="D36" s="49" t="s">
        <v>233</v>
      </c>
      <c r="E36" s="49" t="s">
        <v>237</v>
      </c>
      <c r="F36" s="49" t="s">
        <v>239</v>
      </c>
      <c r="G36" s="49" t="s">
        <v>241</v>
      </c>
      <c r="H36" s="49"/>
    </row>
    <row r="37" spans="3:11" x14ac:dyDescent="0.25">
      <c r="C37" s="48"/>
      <c r="D37" s="49" t="s">
        <v>234</v>
      </c>
      <c r="E37" s="49"/>
      <c r="F37" s="49"/>
      <c r="G37" s="49" t="s">
        <v>242</v>
      </c>
      <c r="H37" s="49"/>
    </row>
    <row r="38" spans="3:11" x14ac:dyDescent="0.25">
      <c r="C38" s="48"/>
      <c r="D38" s="49" t="s">
        <v>235</v>
      </c>
      <c r="E38" s="49"/>
      <c r="F38" s="49"/>
      <c r="G38" s="49" t="s">
        <v>242</v>
      </c>
      <c r="H38" s="49"/>
    </row>
    <row r="39" spans="3:11" x14ac:dyDescent="0.25">
      <c r="C39" s="48"/>
      <c r="D39" s="49"/>
      <c r="E39" s="49"/>
      <c r="F39" s="49"/>
      <c r="G39" s="49" t="s">
        <v>243</v>
      </c>
      <c r="H39" s="49"/>
    </row>
    <row r="40" spans="3:11" x14ac:dyDescent="0.25">
      <c r="C40" s="48"/>
      <c r="D40" s="49"/>
      <c r="E40" s="49"/>
      <c r="F40" s="49"/>
      <c r="G40" s="49" t="s">
        <v>244</v>
      </c>
      <c r="H40" s="49"/>
    </row>
    <row r="41" spans="3:11" x14ac:dyDescent="0.25">
      <c r="C41" s="48"/>
      <c r="D41" s="49"/>
      <c r="E41" s="49"/>
      <c r="F41" s="49"/>
      <c r="G41" s="49"/>
      <c r="H41" s="49"/>
    </row>
    <row r="43" spans="3:11" x14ac:dyDescent="0.25">
      <c r="C43" t="s">
        <v>245</v>
      </c>
    </row>
    <row r="44" spans="3:11" x14ac:dyDescent="0.25">
      <c r="C44" t="s">
        <v>163</v>
      </c>
      <c r="D44" t="s">
        <v>246</v>
      </c>
    </row>
    <row r="45" spans="3:11" x14ac:dyDescent="0.25">
      <c r="D45" t="s">
        <v>247</v>
      </c>
    </row>
    <row r="46" spans="3:11" x14ac:dyDescent="0.25">
      <c r="D46" t="s">
        <v>248</v>
      </c>
    </row>
    <row r="47" spans="3:11" x14ac:dyDescent="0.25">
      <c r="D47" t="s">
        <v>249</v>
      </c>
    </row>
    <row r="48" spans="3:11" x14ac:dyDescent="0.25">
      <c r="D48" t="s">
        <v>250</v>
      </c>
    </row>
    <row r="49" spans="3:4" x14ac:dyDescent="0.25">
      <c r="C49" t="s">
        <v>170</v>
      </c>
      <c r="D49" t="s">
        <v>251</v>
      </c>
    </row>
    <row r="50" spans="3:4" x14ac:dyDescent="0.25">
      <c r="D50" t="s">
        <v>252</v>
      </c>
    </row>
    <row r="51" spans="3:4" x14ac:dyDescent="0.25">
      <c r="D51" t="s">
        <v>253</v>
      </c>
    </row>
    <row r="52" spans="3:4" x14ac:dyDescent="0.25">
      <c r="D52" t="s">
        <v>256</v>
      </c>
    </row>
    <row r="53" spans="3:4" x14ac:dyDescent="0.25">
      <c r="D53" t="s">
        <v>254</v>
      </c>
    </row>
    <row r="54" spans="3:4" x14ac:dyDescent="0.25">
      <c r="D54" t="s">
        <v>255</v>
      </c>
    </row>
    <row r="55" spans="3:4" x14ac:dyDescent="0.25">
      <c r="D55" t="s">
        <v>257</v>
      </c>
    </row>
    <row r="56" spans="3:4" x14ac:dyDescent="0.25">
      <c r="D56" t="s">
        <v>258</v>
      </c>
    </row>
    <row r="57" spans="3:4" x14ac:dyDescent="0.25">
      <c r="D57" t="s">
        <v>259</v>
      </c>
    </row>
    <row r="58" spans="3:4" x14ac:dyDescent="0.25">
      <c r="D58" t="s">
        <v>261</v>
      </c>
    </row>
    <row r="59" spans="3:4" x14ac:dyDescent="0.25">
      <c r="D59" t="s">
        <v>270</v>
      </c>
    </row>
    <row r="60" spans="3:4" x14ac:dyDescent="0.25">
      <c r="C60" t="s">
        <v>185</v>
      </c>
      <c r="D60" t="s">
        <v>262</v>
      </c>
    </row>
    <row r="61" spans="3:4" x14ac:dyDescent="0.25">
      <c r="D61" t="s">
        <v>260</v>
      </c>
    </row>
    <row r="62" spans="3:4" x14ac:dyDescent="0.25">
      <c r="D62" t="s">
        <v>250</v>
      </c>
    </row>
    <row r="63" spans="3:4" x14ac:dyDescent="0.25">
      <c r="D63" t="s">
        <v>263</v>
      </c>
    </row>
    <row r="64" spans="3:4" x14ac:dyDescent="0.25">
      <c r="D64" t="s">
        <v>264</v>
      </c>
    </row>
    <row r="65" spans="3:4" x14ac:dyDescent="0.25">
      <c r="D65" t="s">
        <v>265</v>
      </c>
    </row>
    <row r="66" spans="3:4" x14ac:dyDescent="0.25">
      <c r="D66" t="s">
        <v>266</v>
      </c>
    </row>
    <row r="67" spans="3:4" x14ac:dyDescent="0.25">
      <c r="C67" t="s">
        <v>180</v>
      </c>
      <c r="D67" t="s">
        <v>267</v>
      </c>
    </row>
    <row r="68" spans="3:4" x14ac:dyDescent="0.25">
      <c r="D68" t="s">
        <v>268</v>
      </c>
    </row>
    <row r="69" spans="3:4" x14ac:dyDescent="0.25">
      <c r="D69" t="s">
        <v>269</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workbookViewId="0">
      <selection activeCell="C31" sqref="C31"/>
    </sheetView>
  </sheetViews>
  <sheetFormatPr defaultRowHeight="15" x14ac:dyDescent="0.25"/>
  <cols>
    <col min="2" max="2" width="3" bestFit="1" customWidth="1"/>
    <col min="3" max="3" width="155.28515625" customWidth="1"/>
  </cols>
  <sheetData>
    <row r="2" spans="2:3" ht="15" customHeight="1" x14ac:dyDescent="0.25">
      <c r="B2" s="51">
        <v>1</v>
      </c>
      <c r="C2" s="53" t="s">
        <v>276</v>
      </c>
    </row>
    <row r="3" spans="2:3" x14ac:dyDescent="0.25">
      <c r="B3" s="51">
        <v>2</v>
      </c>
      <c r="C3" s="52" t="s">
        <v>277</v>
      </c>
    </row>
    <row r="4" spans="2:3" x14ac:dyDescent="0.25">
      <c r="B4" s="51">
        <v>3</v>
      </c>
      <c r="C4" s="51" t="s">
        <v>278</v>
      </c>
    </row>
    <row r="5" spans="2:3" x14ac:dyDescent="0.25">
      <c r="B5" s="51">
        <v>4</v>
      </c>
      <c r="C5" s="52" t="s">
        <v>279</v>
      </c>
    </row>
    <row r="6" spans="2:3" x14ac:dyDescent="0.25">
      <c r="B6" s="51">
        <v>5</v>
      </c>
      <c r="C6" s="51" t="s">
        <v>280</v>
      </c>
    </row>
    <row r="7" spans="2:3" ht="30" x14ac:dyDescent="0.25">
      <c r="B7" s="51">
        <v>6</v>
      </c>
      <c r="C7" s="52" t="s">
        <v>281</v>
      </c>
    </row>
    <row r="8" spans="2:3" ht="75" x14ac:dyDescent="0.25">
      <c r="B8" s="51">
        <v>7</v>
      </c>
      <c r="C8" s="52" t="s">
        <v>282</v>
      </c>
    </row>
    <row r="9" spans="2:3" x14ac:dyDescent="0.25">
      <c r="B9" s="51">
        <v>8</v>
      </c>
      <c r="C9" s="51" t="s">
        <v>283</v>
      </c>
    </row>
    <row r="10" spans="2:3" x14ac:dyDescent="0.25">
      <c r="B10" s="51">
        <v>9</v>
      </c>
      <c r="C10" s="51" t="s">
        <v>284</v>
      </c>
    </row>
    <row r="11" spans="2:3" x14ac:dyDescent="0.25">
      <c r="B11" s="51">
        <v>10</v>
      </c>
      <c r="C11" s="51" t="s">
        <v>285</v>
      </c>
    </row>
    <row r="12" spans="2:3" x14ac:dyDescent="0.25">
      <c r="B12" s="51">
        <v>11</v>
      </c>
      <c r="C12" s="51" t="s">
        <v>286</v>
      </c>
    </row>
    <row r="13" spans="2:3" x14ac:dyDescent="0.25">
      <c r="B13" s="51">
        <v>12</v>
      </c>
      <c r="C13" s="51" t="s">
        <v>287</v>
      </c>
    </row>
    <row r="14" spans="2:3" x14ac:dyDescent="0.25">
      <c r="B14" s="51">
        <v>13</v>
      </c>
      <c r="C14" s="51" t="s">
        <v>288</v>
      </c>
    </row>
    <row r="15" spans="2:3" x14ac:dyDescent="0.25">
      <c r="B15" s="51">
        <v>14</v>
      </c>
      <c r="C15" s="51" t="s">
        <v>278</v>
      </c>
    </row>
    <row r="16" spans="2:3" x14ac:dyDescent="0.25">
      <c r="B16" s="51">
        <v>15</v>
      </c>
      <c r="C16" s="51" t="s">
        <v>290</v>
      </c>
    </row>
    <row r="17" spans="2:3" x14ac:dyDescent="0.25">
      <c r="B17" s="69">
        <v>16</v>
      </c>
      <c r="C17" s="56" t="s">
        <v>291</v>
      </c>
    </row>
    <row r="18" spans="2:3" x14ac:dyDescent="0.25">
      <c r="B18" s="55">
        <v>17</v>
      </c>
      <c r="C18" s="56" t="s">
        <v>292</v>
      </c>
    </row>
    <row r="19" spans="2:3" x14ac:dyDescent="0.25">
      <c r="B19" s="54">
        <v>18</v>
      </c>
      <c r="C19" s="51" t="s">
        <v>293</v>
      </c>
    </row>
    <row r="20" spans="2:3" x14ac:dyDescent="0.25">
      <c r="B20" s="55">
        <v>19</v>
      </c>
      <c r="C20" s="51" t="s">
        <v>329</v>
      </c>
    </row>
    <row r="21" spans="2:3" x14ac:dyDescent="0.25">
      <c r="B21" s="51">
        <v>20</v>
      </c>
      <c r="C21" s="51" t="s">
        <v>294</v>
      </c>
    </row>
    <row r="22" spans="2:3" x14ac:dyDescent="0.25">
      <c r="B22" s="55">
        <v>21</v>
      </c>
      <c r="C22" s="51" t="s">
        <v>293</v>
      </c>
    </row>
    <row r="23" spans="2:3" s="64" customFormat="1" ht="29.25" customHeight="1" x14ac:dyDescent="0.25">
      <c r="B23" s="63">
        <v>22</v>
      </c>
      <c r="C23" s="53" t="s">
        <v>321</v>
      </c>
    </row>
    <row r="24" spans="2:3" s="64" customFormat="1" ht="30.75" customHeight="1" x14ac:dyDescent="0.25">
      <c r="B24" s="65">
        <v>23</v>
      </c>
      <c r="C24" s="53" t="s">
        <v>322</v>
      </c>
    </row>
    <row r="25" spans="2:3" x14ac:dyDescent="0.25">
      <c r="B25" s="51">
        <v>24</v>
      </c>
      <c r="C25" s="51" t="s">
        <v>325</v>
      </c>
    </row>
    <row r="26" spans="2:3" x14ac:dyDescent="0.25">
      <c r="B26" s="55">
        <v>25</v>
      </c>
      <c r="C26" s="51" t="s">
        <v>323</v>
      </c>
    </row>
    <row r="27" spans="2:3" x14ac:dyDescent="0.25">
      <c r="B27" s="65">
        <v>26</v>
      </c>
      <c r="C27" s="51" t="s">
        <v>324</v>
      </c>
    </row>
    <row r="28" spans="2:3" x14ac:dyDescent="0.25">
      <c r="B28" s="55">
        <v>27</v>
      </c>
      <c r="C28" s="51" t="s">
        <v>326</v>
      </c>
    </row>
    <row r="29" spans="2:3" ht="60" x14ac:dyDescent="0.25">
      <c r="B29" s="68">
        <v>28</v>
      </c>
      <c r="C29" s="52" t="s">
        <v>327</v>
      </c>
    </row>
    <row r="30" spans="2:3" x14ac:dyDescent="0.25">
      <c r="B30" s="65">
        <v>29</v>
      </c>
      <c r="C30" s="51" t="s">
        <v>328</v>
      </c>
    </row>
    <row r="31" spans="2:3" ht="30" x14ac:dyDescent="0.25">
      <c r="B31" s="65">
        <v>30</v>
      </c>
      <c r="C31" s="52" t="s">
        <v>330</v>
      </c>
    </row>
    <row r="32" spans="2:3" x14ac:dyDescent="0.25">
      <c r="B32" s="65">
        <v>31</v>
      </c>
      <c r="C32" s="51" t="s">
        <v>331</v>
      </c>
    </row>
    <row r="33" spans="2:3" x14ac:dyDescent="0.25">
      <c r="B33" s="65">
        <v>32</v>
      </c>
      <c r="C33" s="51" t="s">
        <v>332</v>
      </c>
    </row>
    <row r="34" spans="2:3" ht="36.75" customHeight="1" x14ac:dyDescent="0.25">
      <c r="B34" s="65">
        <v>33</v>
      </c>
      <c r="C34" s="56" t="s">
        <v>333</v>
      </c>
    </row>
    <row r="35" spans="2:3" x14ac:dyDescent="0.25">
      <c r="B35" s="65">
        <v>34</v>
      </c>
      <c r="C35" s="51"/>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40625" defaultRowHeight="15" x14ac:dyDescent="0.25"/>
  <cols>
    <col min="1" max="1" width="9.140625" style="48"/>
    <col min="2" max="2" width="12.28515625" style="48" customWidth="1"/>
    <col min="3" max="16384" width="9.140625" style="48"/>
  </cols>
  <sheetData>
    <row r="2" spans="1:12" x14ac:dyDescent="0.25">
      <c r="B2" s="57" t="s">
        <v>295</v>
      </c>
      <c r="C2" s="295"/>
      <c r="D2" s="295"/>
    </row>
    <row r="3" spans="1:12" x14ac:dyDescent="0.25">
      <c r="D3" s="58"/>
      <c r="E3" s="58"/>
      <c r="F3" s="58"/>
      <c r="G3" s="58"/>
      <c r="H3" s="58"/>
      <c r="I3" s="58"/>
    </row>
    <row r="4" spans="1:12" x14ac:dyDescent="0.25">
      <c r="A4" s="57" t="s">
        <v>64</v>
      </c>
      <c r="B4" s="59" t="s">
        <v>296</v>
      </c>
      <c r="C4" s="296" t="s">
        <v>297</v>
      </c>
      <c r="D4" s="296"/>
      <c r="E4" s="296"/>
      <c r="F4" s="59"/>
      <c r="G4" s="297" t="s">
        <v>298</v>
      </c>
      <c r="H4" s="297"/>
      <c r="I4" s="297"/>
      <c r="J4" s="298" t="s">
        <v>299</v>
      </c>
      <c r="K4" s="298"/>
      <c r="L4" s="298"/>
    </row>
    <row r="5" spans="1:12" x14ac:dyDescent="0.25">
      <c r="A5" s="57"/>
      <c r="B5" s="59"/>
      <c r="C5" s="59" t="s">
        <v>300</v>
      </c>
      <c r="D5" s="59" t="s">
        <v>301</v>
      </c>
      <c r="E5" s="59" t="s">
        <v>302</v>
      </c>
      <c r="F5" s="59"/>
      <c r="G5" s="59" t="s">
        <v>300</v>
      </c>
      <c r="H5" s="59" t="s">
        <v>301</v>
      </c>
      <c r="I5" s="59" t="s">
        <v>302</v>
      </c>
      <c r="J5" s="59" t="s">
        <v>300</v>
      </c>
      <c r="K5" s="59" t="s">
        <v>301</v>
      </c>
      <c r="L5" s="59" t="s">
        <v>302</v>
      </c>
    </row>
    <row r="6" spans="1:12" x14ac:dyDescent="0.25">
      <c r="B6" s="49" t="s">
        <v>303</v>
      </c>
      <c r="C6" s="49"/>
      <c r="D6" s="49"/>
      <c r="E6" s="49">
        <f>C6*D6</f>
        <v>0</v>
      </c>
      <c r="F6" s="49" t="s">
        <v>320</v>
      </c>
      <c r="G6" s="49"/>
      <c r="H6" s="49"/>
      <c r="I6" s="49">
        <f>G6*H6</f>
        <v>0</v>
      </c>
      <c r="J6" s="49"/>
      <c r="K6" s="49"/>
      <c r="L6" s="49">
        <f>J6*K6</f>
        <v>0</v>
      </c>
    </row>
    <row r="7" spans="1:12" x14ac:dyDescent="0.25">
      <c r="B7" s="49"/>
      <c r="C7" s="49"/>
      <c r="D7" s="49"/>
      <c r="E7" s="49">
        <f t="shared" ref="E7:E41" si="0">C7*D7</f>
        <v>0</v>
      </c>
      <c r="F7" s="49" t="s">
        <v>320</v>
      </c>
      <c r="G7" s="49"/>
      <c r="H7" s="49"/>
      <c r="I7" s="49">
        <f t="shared" ref="I7:I35" si="1">G7*H7</f>
        <v>0</v>
      </c>
      <c r="J7" s="49"/>
      <c r="K7" s="49"/>
      <c r="L7" s="49">
        <f t="shared" ref="L7:L35" si="2">J7*K7</f>
        <v>0</v>
      </c>
    </row>
    <row r="8" spans="1:12" x14ac:dyDescent="0.25">
      <c r="B8" s="49"/>
      <c r="C8" s="49"/>
      <c r="D8" s="49"/>
      <c r="E8" s="49">
        <f t="shared" si="0"/>
        <v>0</v>
      </c>
      <c r="F8" s="49"/>
      <c r="G8" s="49"/>
      <c r="H8" s="49"/>
      <c r="I8" s="49">
        <f t="shared" si="1"/>
        <v>0</v>
      </c>
      <c r="J8" s="49"/>
      <c r="K8" s="49"/>
      <c r="L8" s="49">
        <f t="shared" si="2"/>
        <v>0</v>
      </c>
    </row>
    <row r="9" spans="1:12" x14ac:dyDescent="0.25">
      <c r="B9" s="49"/>
      <c r="C9" s="49"/>
      <c r="D9" s="49"/>
      <c r="E9" s="49">
        <f t="shared" si="0"/>
        <v>0</v>
      </c>
      <c r="F9" s="49" t="s">
        <v>304</v>
      </c>
      <c r="G9" s="49"/>
      <c r="H9" s="49"/>
      <c r="I9" s="49">
        <f t="shared" si="1"/>
        <v>0</v>
      </c>
      <c r="J9" s="49"/>
      <c r="K9" s="49"/>
      <c r="L9" s="49">
        <f t="shared" si="2"/>
        <v>0</v>
      </c>
    </row>
    <row r="10" spans="1:12" x14ac:dyDescent="0.25">
      <c r="B10" s="49" t="s">
        <v>305</v>
      </c>
      <c r="C10" s="49"/>
      <c r="D10" s="49"/>
      <c r="E10" s="49">
        <f t="shared" si="0"/>
        <v>0</v>
      </c>
      <c r="F10" s="49" t="s">
        <v>304</v>
      </c>
      <c r="G10" s="49"/>
      <c r="H10" s="49"/>
      <c r="I10" s="49">
        <f t="shared" si="1"/>
        <v>0</v>
      </c>
      <c r="J10" s="49"/>
      <c r="K10" s="49"/>
      <c r="L10" s="49">
        <f t="shared" si="2"/>
        <v>0</v>
      </c>
    </row>
    <row r="11" spans="1:12" x14ac:dyDescent="0.25">
      <c r="B11" s="49"/>
      <c r="C11" s="49"/>
      <c r="D11" s="49"/>
      <c r="E11" s="49">
        <f t="shared" si="0"/>
        <v>0</v>
      </c>
      <c r="F11" s="49" t="s">
        <v>306</v>
      </c>
      <c r="G11" s="49"/>
      <c r="H11" s="49"/>
      <c r="I11" s="49">
        <f t="shared" si="1"/>
        <v>0</v>
      </c>
      <c r="J11" s="49"/>
      <c r="K11" s="49"/>
      <c r="L11" s="49">
        <f t="shared" si="2"/>
        <v>0</v>
      </c>
    </row>
    <row r="12" spans="1:12" x14ac:dyDescent="0.25">
      <c r="B12" s="49"/>
      <c r="C12" s="49"/>
      <c r="D12" s="49"/>
      <c r="E12" s="49">
        <f t="shared" si="0"/>
        <v>0</v>
      </c>
      <c r="F12" s="49"/>
      <c r="G12" s="49"/>
      <c r="H12" s="49"/>
      <c r="I12" s="49">
        <f t="shared" si="1"/>
        <v>0</v>
      </c>
      <c r="J12" s="49"/>
      <c r="K12" s="49"/>
      <c r="L12" s="49">
        <f t="shared" si="2"/>
        <v>0</v>
      </c>
    </row>
    <row r="13" spans="1:12" x14ac:dyDescent="0.25">
      <c r="B13" s="49"/>
      <c r="C13" s="49"/>
      <c r="D13" s="49"/>
      <c r="E13" s="49">
        <f t="shared" si="0"/>
        <v>0</v>
      </c>
      <c r="F13" s="49"/>
      <c r="G13" s="49"/>
      <c r="H13" s="49"/>
      <c r="I13" s="49">
        <f t="shared" si="1"/>
        <v>0</v>
      </c>
      <c r="J13" s="49"/>
      <c r="K13" s="49"/>
      <c r="L13" s="49">
        <f t="shared" si="2"/>
        <v>0</v>
      </c>
    </row>
    <row r="14" spans="1:12" x14ac:dyDescent="0.25">
      <c r="B14" s="49" t="s">
        <v>307</v>
      </c>
      <c r="C14" s="49"/>
      <c r="D14" s="49"/>
      <c r="E14" s="49">
        <f t="shared" si="0"/>
        <v>0</v>
      </c>
      <c r="F14" s="49" t="s">
        <v>304</v>
      </c>
      <c r="G14" s="49"/>
      <c r="H14" s="49"/>
      <c r="I14" s="49">
        <f t="shared" si="1"/>
        <v>0</v>
      </c>
      <c r="J14" s="49"/>
      <c r="K14" s="49"/>
      <c r="L14" s="49">
        <f t="shared" si="2"/>
        <v>0</v>
      </c>
    </row>
    <row r="15" spans="1:12" x14ac:dyDescent="0.25">
      <c r="B15" s="49"/>
      <c r="C15" s="49"/>
      <c r="D15" s="49"/>
      <c r="E15" s="49">
        <f t="shared" si="0"/>
        <v>0</v>
      </c>
      <c r="F15" s="49" t="s">
        <v>306</v>
      </c>
      <c r="G15" s="49"/>
      <c r="H15" s="49"/>
      <c r="I15" s="49">
        <f t="shared" si="1"/>
        <v>0</v>
      </c>
      <c r="J15" s="49"/>
      <c r="K15" s="49"/>
      <c r="L15" s="49">
        <f t="shared" si="2"/>
        <v>0</v>
      </c>
    </row>
    <row r="16" spans="1:12" x14ac:dyDescent="0.25">
      <c r="B16" s="49"/>
      <c r="C16" s="49"/>
      <c r="D16" s="49"/>
      <c r="E16" s="49">
        <f t="shared" si="0"/>
        <v>0</v>
      </c>
      <c r="F16" s="49"/>
      <c r="G16" s="49"/>
      <c r="H16" s="49"/>
      <c r="I16" s="49">
        <f t="shared" si="1"/>
        <v>0</v>
      </c>
      <c r="J16" s="49"/>
      <c r="K16" s="49"/>
      <c r="L16" s="49">
        <f t="shared" si="2"/>
        <v>0</v>
      </c>
    </row>
    <row r="17" spans="2:12" x14ac:dyDescent="0.25">
      <c r="B17" s="49"/>
      <c r="C17" s="49"/>
      <c r="D17" s="49"/>
      <c r="E17" s="49">
        <f t="shared" si="0"/>
        <v>0</v>
      </c>
      <c r="F17" s="49"/>
      <c r="G17" s="49"/>
      <c r="H17" s="49"/>
      <c r="I17" s="49">
        <f t="shared" si="1"/>
        <v>0</v>
      </c>
      <c r="J17" s="49"/>
      <c r="K17" s="49"/>
      <c r="L17" s="49">
        <f t="shared" si="2"/>
        <v>0</v>
      </c>
    </row>
    <row r="18" spans="2:12" x14ac:dyDescent="0.25">
      <c r="B18" s="49" t="s">
        <v>308</v>
      </c>
      <c r="C18" s="49"/>
      <c r="D18" s="49"/>
      <c r="E18" s="49">
        <f t="shared" si="0"/>
        <v>0</v>
      </c>
      <c r="F18" s="49" t="s">
        <v>304</v>
      </c>
      <c r="G18" s="49"/>
      <c r="H18" s="49"/>
      <c r="I18" s="49">
        <f t="shared" si="1"/>
        <v>0</v>
      </c>
      <c r="J18" s="49"/>
      <c r="K18" s="49"/>
      <c r="L18" s="49">
        <f t="shared" si="2"/>
        <v>0</v>
      </c>
    </row>
    <row r="19" spans="2:12" x14ac:dyDescent="0.25">
      <c r="B19" s="49"/>
      <c r="C19" s="49"/>
      <c r="D19" s="49"/>
      <c r="E19" s="49">
        <f t="shared" si="0"/>
        <v>0</v>
      </c>
      <c r="F19" s="49" t="s">
        <v>306</v>
      </c>
      <c r="G19" s="49"/>
      <c r="H19" s="49"/>
      <c r="I19" s="49">
        <f t="shared" si="1"/>
        <v>0</v>
      </c>
      <c r="J19" s="49"/>
      <c r="K19" s="49"/>
      <c r="L19" s="49">
        <f t="shared" si="2"/>
        <v>0</v>
      </c>
    </row>
    <row r="20" spans="2:12" x14ac:dyDescent="0.25">
      <c r="B20" s="49"/>
      <c r="C20" s="49"/>
      <c r="D20" s="49"/>
      <c r="E20" s="49">
        <f t="shared" si="0"/>
        <v>0</v>
      </c>
      <c r="F20" s="49"/>
      <c r="G20" s="49"/>
      <c r="H20" s="49"/>
      <c r="I20" s="49">
        <f t="shared" si="1"/>
        <v>0</v>
      </c>
      <c r="J20" s="49"/>
      <c r="K20" s="49"/>
      <c r="L20" s="49">
        <f t="shared" si="2"/>
        <v>0</v>
      </c>
    </row>
    <row r="21" spans="2:12" x14ac:dyDescent="0.25">
      <c r="B21" s="49" t="s">
        <v>309</v>
      </c>
      <c r="C21" s="49"/>
      <c r="D21" s="49"/>
      <c r="E21" s="49">
        <f t="shared" si="0"/>
        <v>0</v>
      </c>
      <c r="F21" s="49" t="s">
        <v>304</v>
      </c>
      <c r="G21" s="49"/>
      <c r="H21" s="49"/>
      <c r="I21" s="49">
        <f t="shared" si="1"/>
        <v>0</v>
      </c>
      <c r="J21" s="49"/>
      <c r="K21" s="49"/>
      <c r="L21" s="49">
        <f t="shared" si="2"/>
        <v>0</v>
      </c>
    </row>
    <row r="22" spans="2:12" x14ac:dyDescent="0.25">
      <c r="B22" s="49"/>
      <c r="C22" s="49"/>
      <c r="D22" s="49"/>
      <c r="E22" s="49">
        <f t="shared" si="0"/>
        <v>0</v>
      </c>
      <c r="F22" s="49" t="s">
        <v>306</v>
      </c>
      <c r="G22" s="49"/>
      <c r="H22" s="49"/>
      <c r="I22" s="49">
        <f t="shared" si="1"/>
        <v>0</v>
      </c>
      <c r="J22" s="49"/>
      <c r="K22" s="49"/>
      <c r="L22" s="49">
        <f t="shared" si="2"/>
        <v>0</v>
      </c>
    </row>
    <row r="23" spans="2:12" x14ac:dyDescent="0.25">
      <c r="B23" s="49"/>
      <c r="C23" s="49"/>
      <c r="D23" s="49"/>
      <c r="E23" s="49">
        <f t="shared" si="0"/>
        <v>0</v>
      </c>
      <c r="F23" s="49"/>
      <c r="G23" s="49"/>
      <c r="H23" s="49"/>
      <c r="I23" s="49">
        <f t="shared" si="1"/>
        <v>0</v>
      </c>
      <c r="J23" s="49"/>
      <c r="K23" s="49"/>
      <c r="L23" s="49">
        <f t="shared" si="2"/>
        <v>0</v>
      </c>
    </row>
    <row r="24" spans="2:12" x14ac:dyDescent="0.25">
      <c r="B24" s="49" t="s">
        <v>310</v>
      </c>
      <c r="C24" s="49"/>
      <c r="D24" s="49"/>
      <c r="E24" s="49">
        <f t="shared" si="0"/>
        <v>0</v>
      </c>
      <c r="F24" s="49" t="s">
        <v>311</v>
      </c>
      <c r="G24" s="49"/>
      <c r="H24" s="49"/>
      <c r="I24" s="49">
        <f t="shared" si="1"/>
        <v>0</v>
      </c>
      <c r="J24" s="49"/>
      <c r="K24" s="49"/>
      <c r="L24" s="49">
        <f t="shared" si="2"/>
        <v>0</v>
      </c>
    </row>
    <row r="25" spans="2:12" x14ac:dyDescent="0.25">
      <c r="B25" s="49"/>
      <c r="C25" s="49"/>
      <c r="D25" s="49"/>
      <c r="E25" s="49">
        <f t="shared" ref="E25:E27" si="3">C25*D25</f>
        <v>0</v>
      </c>
      <c r="F25" s="49" t="s">
        <v>311</v>
      </c>
      <c r="G25" s="49"/>
      <c r="H25" s="49"/>
      <c r="I25" s="49">
        <f t="shared" ref="I25:I27" si="4">G25*H25</f>
        <v>0</v>
      </c>
      <c r="J25" s="49"/>
      <c r="K25" s="49"/>
      <c r="L25" s="49">
        <f t="shared" ref="L25:L27" si="5">J25*K25</f>
        <v>0</v>
      </c>
    </row>
    <row r="26" spans="2:12" x14ac:dyDescent="0.25">
      <c r="B26" s="49"/>
      <c r="C26" s="49"/>
      <c r="D26" s="49"/>
      <c r="E26" s="49">
        <f t="shared" si="3"/>
        <v>0</v>
      </c>
      <c r="F26" s="49" t="s">
        <v>311</v>
      </c>
      <c r="G26" s="49"/>
      <c r="H26" s="49"/>
      <c r="I26" s="49">
        <f t="shared" si="4"/>
        <v>0</v>
      </c>
      <c r="J26" s="49"/>
      <c r="K26" s="49"/>
      <c r="L26" s="49">
        <f t="shared" si="5"/>
        <v>0</v>
      </c>
    </row>
    <row r="27" spans="2:12" x14ac:dyDescent="0.25">
      <c r="B27" s="49"/>
      <c r="C27" s="49"/>
      <c r="D27" s="49"/>
      <c r="E27" s="49">
        <f t="shared" si="3"/>
        <v>0</v>
      </c>
      <c r="F27" s="49" t="s">
        <v>311</v>
      </c>
      <c r="G27" s="49"/>
      <c r="H27" s="49"/>
      <c r="I27" s="49">
        <f t="shared" si="4"/>
        <v>0</v>
      </c>
      <c r="J27" s="49"/>
      <c r="K27" s="49"/>
      <c r="L27" s="49">
        <f t="shared" si="5"/>
        <v>0</v>
      </c>
    </row>
    <row r="28" spans="2:12" x14ac:dyDescent="0.25">
      <c r="B28" s="49" t="s">
        <v>312</v>
      </c>
      <c r="C28" s="49"/>
      <c r="D28" s="49"/>
      <c r="E28" s="49">
        <f t="shared" si="0"/>
        <v>0</v>
      </c>
      <c r="F28" s="49" t="s">
        <v>311</v>
      </c>
      <c r="G28" s="49"/>
      <c r="H28" s="49"/>
      <c r="I28" s="49">
        <f t="shared" si="1"/>
        <v>0</v>
      </c>
      <c r="J28" s="49"/>
      <c r="K28" s="49"/>
      <c r="L28" s="49">
        <f t="shared" si="2"/>
        <v>0</v>
      </c>
    </row>
    <row r="29" spans="2:12" x14ac:dyDescent="0.25">
      <c r="B29" s="49" t="s">
        <v>313</v>
      </c>
      <c r="C29" s="49"/>
      <c r="D29" s="49"/>
      <c r="E29" s="49">
        <f t="shared" si="0"/>
        <v>0</v>
      </c>
      <c r="F29" s="49" t="s">
        <v>311</v>
      </c>
      <c r="G29" s="49"/>
      <c r="H29" s="49"/>
      <c r="I29" s="49">
        <f t="shared" si="1"/>
        <v>0</v>
      </c>
      <c r="J29" s="49"/>
      <c r="K29" s="49"/>
      <c r="L29" s="49">
        <f t="shared" si="2"/>
        <v>0</v>
      </c>
    </row>
    <row r="30" spans="2:12" x14ac:dyDescent="0.25">
      <c r="B30" s="49" t="s">
        <v>317</v>
      </c>
      <c r="C30" s="49"/>
      <c r="D30" s="49"/>
      <c r="E30" s="49">
        <f t="shared" si="0"/>
        <v>0</v>
      </c>
      <c r="F30" s="49"/>
      <c r="G30" s="49"/>
      <c r="H30" s="49"/>
      <c r="I30" s="49">
        <f t="shared" si="1"/>
        <v>0</v>
      </c>
      <c r="J30" s="49"/>
      <c r="K30" s="49"/>
      <c r="L30" s="49">
        <f t="shared" si="2"/>
        <v>0</v>
      </c>
    </row>
    <row r="31" spans="2:12" x14ac:dyDescent="0.25">
      <c r="B31" s="49"/>
      <c r="C31" s="49"/>
      <c r="D31" s="49"/>
      <c r="E31" s="49">
        <f t="shared" ref="E31:E32" si="6">C31*D31</f>
        <v>0</v>
      </c>
      <c r="F31" s="49"/>
      <c r="G31" s="49"/>
      <c r="H31" s="49"/>
      <c r="I31" s="49">
        <f t="shared" ref="I31:I32" si="7">G31*H31</f>
        <v>0</v>
      </c>
      <c r="J31" s="49"/>
      <c r="K31" s="49"/>
      <c r="L31" s="49">
        <f t="shared" ref="L31:L32" si="8">J31*K31</f>
        <v>0</v>
      </c>
    </row>
    <row r="32" spans="2:12" x14ac:dyDescent="0.25">
      <c r="B32" s="49"/>
      <c r="C32" s="49"/>
      <c r="D32" s="49"/>
      <c r="E32" s="49">
        <f t="shared" si="6"/>
        <v>0</v>
      </c>
      <c r="F32" s="49"/>
      <c r="G32" s="49"/>
      <c r="H32" s="49"/>
      <c r="I32" s="49">
        <f t="shared" si="7"/>
        <v>0</v>
      </c>
      <c r="J32" s="49"/>
      <c r="K32" s="49"/>
      <c r="L32" s="49">
        <f t="shared" si="8"/>
        <v>0</v>
      </c>
    </row>
    <row r="33" spans="2:12" x14ac:dyDescent="0.25">
      <c r="B33" s="49" t="s">
        <v>314</v>
      </c>
      <c r="C33" s="49"/>
      <c r="D33" s="49"/>
      <c r="E33" s="49">
        <f t="shared" si="0"/>
        <v>0</v>
      </c>
      <c r="F33" s="49"/>
      <c r="G33" s="49"/>
      <c r="H33" s="49"/>
      <c r="I33" s="49">
        <f t="shared" si="1"/>
        <v>0</v>
      </c>
      <c r="J33" s="49"/>
      <c r="K33" s="49"/>
      <c r="L33" s="49">
        <f t="shared" si="2"/>
        <v>0</v>
      </c>
    </row>
    <row r="34" spans="2:12" x14ac:dyDescent="0.25">
      <c r="B34" s="49" t="s">
        <v>318</v>
      </c>
      <c r="C34" s="49"/>
      <c r="D34" s="49"/>
      <c r="E34" s="49">
        <f t="shared" si="0"/>
        <v>0</v>
      </c>
      <c r="F34" s="49"/>
      <c r="G34" s="49"/>
      <c r="H34" s="49"/>
      <c r="I34" s="49">
        <f t="shared" si="1"/>
        <v>0</v>
      </c>
      <c r="J34" s="49"/>
      <c r="K34" s="49"/>
      <c r="L34" s="49">
        <f t="shared" si="2"/>
        <v>0</v>
      </c>
    </row>
    <row r="35" spans="2:12" x14ac:dyDescent="0.25">
      <c r="B35" s="49" t="s">
        <v>315</v>
      </c>
      <c r="C35" s="49"/>
      <c r="D35" s="49"/>
      <c r="E35" s="49">
        <f t="shared" si="0"/>
        <v>0</v>
      </c>
      <c r="F35" s="49"/>
      <c r="G35" s="49"/>
      <c r="H35" s="49"/>
      <c r="I35" s="49">
        <f t="shared" si="1"/>
        <v>0</v>
      </c>
      <c r="J35" s="49"/>
      <c r="K35" s="49"/>
      <c r="L35" s="49">
        <f t="shared" si="2"/>
        <v>0</v>
      </c>
    </row>
    <row r="36" spans="2:12" x14ac:dyDescent="0.25">
      <c r="B36" s="49" t="s">
        <v>316</v>
      </c>
      <c r="C36" s="49"/>
      <c r="D36" s="49"/>
      <c r="E36" s="49">
        <f t="shared" si="0"/>
        <v>0</v>
      </c>
      <c r="F36" s="49"/>
      <c r="G36" s="49"/>
      <c r="H36" s="49"/>
      <c r="I36" s="49">
        <f>G36*H36</f>
        <v>0</v>
      </c>
      <c r="J36" s="49"/>
      <c r="K36" s="49"/>
      <c r="L36" s="49">
        <f>J36*K36</f>
        <v>0</v>
      </c>
    </row>
    <row r="37" spans="2:12" x14ac:dyDescent="0.25">
      <c r="B37" s="49"/>
      <c r="C37" s="49"/>
      <c r="D37" s="49"/>
      <c r="E37" s="49">
        <f t="shared" ref="E37:E38" si="9">C37*D37</f>
        <v>0</v>
      </c>
      <c r="F37" s="49"/>
      <c r="G37" s="49"/>
      <c r="H37" s="49"/>
      <c r="I37" s="49">
        <f t="shared" ref="I37:I38" si="10">G37*H37</f>
        <v>0</v>
      </c>
      <c r="J37" s="49"/>
      <c r="K37" s="49"/>
      <c r="L37" s="49">
        <f t="shared" ref="L37:L38" si="11">J37*K37</f>
        <v>0</v>
      </c>
    </row>
    <row r="38" spans="2:12" x14ac:dyDescent="0.25">
      <c r="B38" s="49" t="s">
        <v>319</v>
      </c>
      <c r="C38" s="49"/>
      <c r="D38" s="49"/>
      <c r="E38" s="49">
        <f t="shared" si="9"/>
        <v>0</v>
      </c>
      <c r="F38" s="49"/>
      <c r="G38" s="49"/>
      <c r="H38" s="49"/>
      <c r="I38" s="49">
        <f t="shared" si="10"/>
        <v>0</v>
      </c>
      <c r="J38" s="49"/>
      <c r="K38" s="49"/>
      <c r="L38" s="49">
        <f t="shared" si="11"/>
        <v>0</v>
      </c>
    </row>
    <row r="39" spans="2:12" x14ac:dyDescent="0.25">
      <c r="B39" s="49"/>
      <c r="C39" s="49"/>
      <c r="D39" s="49"/>
      <c r="E39" s="49">
        <f t="shared" si="0"/>
        <v>0</v>
      </c>
      <c r="F39" s="49"/>
      <c r="G39" s="49"/>
      <c r="H39" s="49"/>
      <c r="I39" s="49">
        <f>G39*H39</f>
        <v>0</v>
      </c>
      <c r="J39" s="49"/>
      <c r="K39" s="49"/>
      <c r="L39" s="49">
        <f>J39*K39</f>
        <v>0</v>
      </c>
    </row>
    <row r="40" spans="2:12" x14ac:dyDescent="0.25">
      <c r="B40" s="49"/>
      <c r="C40" s="49"/>
      <c r="D40" s="49"/>
      <c r="E40" s="49">
        <f t="shared" si="0"/>
        <v>0</v>
      </c>
      <c r="F40" s="49"/>
      <c r="G40" s="49"/>
      <c r="H40" s="49"/>
      <c r="I40" s="49">
        <f>G40*H40</f>
        <v>0</v>
      </c>
      <c r="J40" s="49"/>
      <c r="K40" s="49"/>
      <c r="L40" s="49">
        <f>J40*K40</f>
        <v>0</v>
      </c>
    </row>
    <row r="41" spans="2:12" x14ac:dyDescent="0.25">
      <c r="B41" s="49"/>
      <c r="C41" s="49"/>
      <c r="D41" s="49"/>
      <c r="E41" s="49">
        <f t="shared" si="0"/>
        <v>0</v>
      </c>
      <c r="F41" s="49"/>
      <c r="G41" s="49"/>
      <c r="H41" s="49"/>
      <c r="I41" s="49">
        <f>G41*H41</f>
        <v>0</v>
      </c>
      <c r="J41" s="49"/>
      <c r="K41" s="49"/>
      <c r="L41" s="49">
        <f>J41*K41</f>
        <v>0</v>
      </c>
    </row>
    <row r="42" spans="2:12" x14ac:dyDescent="0.25">
      <c r="B42" s="49" t="s">
        <v>141</v>
      </c>
      <c r="C42" s="49"/>
      <c r="D42" s="49">
        <f>E42*10.764</f>
        <v>0</v>
      </c>
      <c r="E42" s="62">
        <f>SUM(E6:E41)</f>
        <v>0</v>
      </c>
      <c r="F42" s="49"/>
      <c r="G42" s="49"/>
      <c r="H42" s="49">
        <f>I42*10.764</f>
        <v>0</v>
      </c>
      <c r="I42" s="61">
        <f>SUM(I6:I41)</f>
        <v>0</v>
      </c>
      <c r="J42" s="49"/>
      <c r="K42" s="49">
        <f>L42*10.764</f>
        <v>0</v>
      </c>
      <c r="L42" s="60">
        <f>SUM(L6:L41)</f>
        <v>0</v>
      </c>
    </row>
    <row r="44" spans="2:12" x14ac:dyDescent="0.25">
      <c r="D44" s="48">
        <f>D42+H42</f>
        <v>0</v>
      </c>
      <c r="E44" s="48">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2025-07-25T06:29:47Z</cp:lastPrinted>
  <dcterms:created xsi:type="dcterms:W3CDTF">2019-07-16T09:29:46Z</dcterms:created>
  <dcterms:modified xsi:type="dcterms:W3CDTF">2025-07-25T06:36:01Z</dcterms:modified>
</cp:coreProperties>
</file>