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VSJCV\Making\AXIS\2025-26\Axis\APF Old\July 2025\25-07-2025\"/>
    </mc:Choice>
  </mc:AlternateContent>
  <bookViews>
    <workbookView xWindow="0" yWindow="0" windowWidth="19200" windowHeight="6640" tabRatio="725"/>
  </bookViews>
  <sheets>
    <sheet name="Report" sheetId="1" r:id="rId1"/>
    <sheet name="valuation" sheetId="5" r:id="rId2"/>
    <sheet name="Note" sheetId="4" r:id="rId3"/>
  </sheets>
  <definedNames>
    <definedName name="_xlnm.Print_Area" localSheetId="0">Report!$A$1:$H$331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5" i="1" l="1"/>
  <c r="F165" i="1" s="1"/>
  <c r="D164" i="1"/>
  <c r="F164" i="1" s="1"/>
  <c r="D163" i="1"/>
  <c r="A163" i="1"/>
  <c r="A164" i="1" s="1"/>
  <c r="A165" i="1" s="1"/>
  <c r="D162" i="1"/>
  <c r="F162" i="1" s="1"/>
  <c r="A162" i="1"/>
  <c r="G161" i="1"/>
  <c r="D161" i="1"/>
  <c r="F161" i="1" s="1"/>
  <c r="D171" i="1"/>
  <c r="F171" i="1" s="1"/>
  <c r="D170" i="1"/>
  <c r="F170" i="1" s="1"/>
  <c r="D169" i="1"/>
  <c r="F169" i="1" s="1"/>
  <c r="D168" i="1"/>
  <c r="F168" i="1" s="1"/>
  <c r="A168" i="1"/>
  <c r="A169" i="1" s="1"/>
  <c r="A170" i="1" s="1"/>
  <c r="A171" i="1" s="1"/>
  <c r="G167" i="1"/>
  <c r="D167" i="1"/>
  <c r="F167" i="1" s="1"/>
  <c r="D176" i="1" l="1"/>
  <c r="E176" i="1"/>
  <c r="E175" i="1"/>
  <c r="D175" i="1"/>
  <c r="D174" i="1"/>
  <c r="E173" i="1"/>
  <c r="D173" i="1"/>
  <c r="D157" i="1"/>
  <c r="D159" i="1"/>
  <c r="D158" i="1"/>
  <c r="D156" i="1"/>
  <c r="D155" i="1"/>
  <c r="D153" i="1"/>
  <c r="D152" i="1"/>
  <c r="D151" i="1"/>
  <c r="D150" i="1"/>
  <c r="D149" i="1"/>
  <c r="E151" i="1"/>
  <c r="E150" i="1"/>
  <c r="E149" i="1"/>
  <c r="I149" i="1"/>
  <c r="D144" i="1"/>
  <c r="D143" i="1"/>
  <c r="D142" i="1"/>
  <c r="D141" i="1"/>
  <c r="D140" i="1"/>
  <c r="D139" i="1"/>
  <c r="E126" i="1" l="1"/>
  <c r="C131" i="1"/>
  <c r="E131" i="1"/>
  <c r="G49" i="1"/>
  <c r="F159" i="1" l="1"/>
  <c r="F158" i="1"/>
  <c r="F157" i="1"/>
  <c r="F156" i="1"/>
  <c r="A156" i="1"/>
  <c r="A157" i="1" s="1"/>
  <c r="A158" i="1" s="1"/>
  <c r="A159" i="1" s="1"/>
  <c r="G155" i="1"/>
  <c r="F155" i="1"/>
  <c r="K149" i="1"/>
  <c r="J149" i="1"/>
  <c r="F153" i="1"/>
  <c r="E144" i="1"/>
  <c r="E143" i="1"/>
  <c r="E142" i="1"/>
  <c r="E141" i="1"/>
  <c r="E140" i="1"/>
  <c r="E139" i="1"/>
  <c r="I139" i="1"/>
  <c r="J139" i="1"/>
  <c r="E42" i="1"/>
  <c r="E43" i="1" s="1"/>
  <c r="E7" i="1"/>
  <c r="F144" i="1" l="1"/>
  <c r="C126" i="1"/>
  <c r="F143" i="1"/>
  <c r="F149" i="1"/>
  <c r="C14" i="1"/>
  <c r="E29" i="1" l="1"/>
  <c r="F150" i="1" l="1"/>
  <c r="F151" i="1"/>
  <c r="F152" i="1"/>
  <c r="A150" i="1"/>
  <c r="A151" i="1" s="1"/>
  <c r="A152" i="1" s="1"/>
  <c r="A153" i="1" s="1"/>
  <c r="G149" i="1"/>
  <c r="F123" i="1" l="1"/>
  <c r="F140" i="1" l="1"/>
  <c r="F141" i="1"/>
  <c r="F142" i="1"/>
  <c r="F139" i="1"/>
  <c r="G126" i="1" l="1"/>
  <c r="B179" i="1"/>
  <c r="F176" i="1" l="1"/>
  <c r="F174" i="1"/>
  <c r="F173" i="1"/>
  <c r="G131" i="1" s="1"/>
  <c r="F175" i="1"/>
  <c r="I175" i="1" s="1"/>
  <c r="B180" i="1" l="1"/>
  <c r="F11" i="5" l="1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G5" i="5" s="1"/>
  <c r="G12" i="5" s="1"/>
  <c r="D205" i="1"/>
  <c r="G173" i="1"/>
  <c r="A140" i="1"/>
  <c r="A141" i="1" s="1"/>
  <c r="A142" i="1" s="1"/>
  <c r="A143" i="1" s="1"/>
  <c r="A144" i="1" s="1"/>
  <c r="G139" i="1"/>
  <c r="J108" i="1"/>
  <c r="J107" i="1"/>
  <c r="J106" i="1"/>
  <c r="J105" i="1"/>
  <c r="C97" i="1"/>
  <c r="J94" i="1"/>
  <c r="J93" i="1"/>
  <c r="J92" i="1"/>
  <c r="J91" i="1"/>
  <c r="C83" i="1"/>
  <c r="J80" i="1"/>
  <c r="J79" i="1"/>
  <c r="J78" i="1"/>
  <c r="J77" i="1"/>
  <c r="C69" i="1"/>
  <c r="D56" i="1"/>
  <c r="C49" i="1"/>
  <c r="E26" i="1"/>
  <c r="E24" i="1"/>
  <c r="E3" i="1"/>
  <c r="H84" i="1"/>
  <c r="H98" i="1"/>
  <c r="H70" i="1"/>
  <c r="I63" i="1" l="1"/>
  <c r="D63" i="1"/>
  <c r="D78" i="1"/>
  <c r="D77" i="1"/>
  <c r="D79" i="1"/>
  <c r="D76" i="1"/>
  <c r="D80" i="1"/>
  <c r="D75" i="1"/>
  <c r="D81" i="1"/>
  <c r="D94" i="1"/>
  <c r="D95" i="1"/>
  <c r="D96" i="1"/>
  <c r="D90" i="1"/>
  <c r="D91" i="1"/>
  <c r="D92" i="1"/>
  <c r="D93" i="1"/>
  <c r="C89" i="1"/>
  <c r="J83" i="1" s="1"/>
  <c r="J85" i="1" s="1"/>
  <c r="D82" i="1"/>
  <c r="J69" i="1"/>
  <c r="J73" i="1"/>
  <c r="J74" i="1"/>
  <c r="C73" i="1" s="1"/>
  <c r="J72" i="1"/>
  <c r="J75" i="1"/>
  <c r="J76" i="1" s="1"/>
  <c r="J81" i="1" s="1"/>
  <c r="J82" i="1" s="1"/>
  <c r="C74" i="1" s="1"/>
  <c r="C103" i="1"/>
  <c r="J97" i="1" s="1"/>
  <c r="J99" i="1" s="1"/>
  <c r="J101" i="1"/>
  <c r="D110" i="1"/>
  <c r="D108" i="1"/>
  <c r="D106" i="1"/>
  <c r="D104" i="1"/>
  <c r="J102" i="1"/>
  <c r="C101" i="1" s="1"/>
  <c r="J100" i="1"/>
  <c r="J103" i="1"/>
  <c r="J104" i="1" s="1"/>
  <c r="J109" i="1" s="1"/>
  <c r="J110" i="1" s="1"/>
  <c r="C102" i="1" s="1"/>
  <c r="D109" i="1"/>
  <c r="D107" i="1"/>
  <c r="D105" i="1"/>
  <c r="J89" i="1"/>
  <c r="J90" i="1" s="1"/>
  <c r="J95" i="1" s="1"/>
  <c r="J96" i="1" s="1"/>
  <c r="C88" i="1" s="1"/>
  <c r="J87" i="1"/>
  <c r="J88" i="1"/>
  <c r="C87" i="1" s="1"/>
  <c r="J86" i="1"/>
  <c r="D103" i="1" l="1"/>
  <c r="D101" i="1"/>
  <c r="D89" i="1"/>
  <c r="J71" i="1"/>
  <c r="E73" i="1"/>
  <c r="D74" i="1"/>
  <c r="G73" i="1"/>
  <c r="D67" i="1" s="1"/>
  <c r="D68" i="1" s="1"/>
  <c r="D73" i="1"/>
  <c r="E87" i="1"/>
  <c r="D88" i="1"/>
  <c r="G87" i="1"/>
  <c r="D87" i="1"/>
  <c r="J84" i="1" s="1"/>
  <c r="E101" i="1"/>
  <c r="D102" i="1"/>
  <c r="G101" i="1"/>
  <c r="I70" i="1" l="1"/>
  <c r="J70" i="1"/>
  <c r="I98" i="1"/>
  <c r="J98" i="1"/>
  <c r="I84" i="1"/>
  <c r="F68" i="1"/>
  <c r="I71" i="1" l="1"/>
  <c r="I69" i="1" s="1"/>
  <c r="C71" i="1" s="1"/>
  <c r="I99" i="1"/>
  <c r="I97" i="1" s="1"/>
  <c r="C99" i="1" s="1"/>
  <c r="I85" i="1"/>
  <c r="I83" i="1" s="1"/>
  <c r="C85" i="1" s="1"/>
</calcChain>
</file>

<file path=xl/sharedStrings.xml><?xml version="1.0" encoding="utf-8"?>
<sst xmlns="http://schemas.openxmlformats.org/spreadsheetml/2006/main" count="388" uniqueCount="234">
  <si>
    <t xml:space="preserve">Valuation Report </t>
  </si>
  <si>
    <t>Date:</t>
  </si>
  <si>
    <t>CPC Name:</t>
  </si>
  <si>
    <t>Date Of Property Visit</t>
  </si>
  <si>
    <t>Name of the builder group</t>
  </si>
  <si>
    <t>Name of the builder company</t>
  </si>
  <si>
    <t>Name of the Project</t>
  </si>
  <si>
    <t>Name / No of the Building</t>
  </si>
  <si>
    <t>Docouments Provided</t>
  </si>
  <si>
    <t>RERA No.</t>
  </si>
  <si>
    <t xml:space="preserve">Project location details       </t>
  </si>
  <si>
    <t>Road</t>
  </si>
  <si>
    <t>District</t>
  </si>
  <si>
    <t>City</t>
  </si>
  <si>
    <t>Pin Code</t>
  </si>
  <si>
    <t xml:space="preserve">Distance from city centre: </t>
  </si>
  <si>
    <t>all available at  1 to 2 km.</t>
  </si>
  <si>
    <t>Does property have Electricity / Water / Drainage Connection</t>
  </si>
  <si>
    <t>Yes</t>
  </si>
  <si>
    <t>Class of locality</t>
  </si>
  <si>
    <t>Nature of land with topographical condtion</t>
  </si>
  <si>
    <t>Plane</t>
  </si>
  <si>
    <t xml:space="preserve">Nature of the locality </t>
  </si>
  <si>
    <t>Quality of infrastructure in vicinity</t>
  </si>
  <si>
    <t>Good</t>
  </si>
  <si>
    <t>East</t>
  </si>
  <si>
    <t>West</t>
  </si>
  <si>
    <t>South</t>
  </si>
  <si>
    <t>North</t>
  </si>
  <si>
    <t>As per deed</t>
  </si>
  <si>
    <t>NA</t>
  </si>
  <si>
    <t>At site</t>
  </si>
  <si>
    <t>Does the boundaries at site match, as mentioned in the Docoumentation: NA</t>
  </si>
  <si>
    <t xml:space="preserve">Approved usage of the Property:                                                                                                                                             </t>
  </si>
  <si>
    <t>No</t>
  </si>
  <si>
    <t>Area Statement Details :</t>
  </si>
  <si>
    <t>Total land area of the project in Sq. Mt.</t>
  </si>
  <si>
    <t>Permissible FSI</t>
  </si>
  <si>
    <t>Permissible TDR/Paid FSI</t>
  </si>
  <si>
    <t>Total FSI availaible for the project</t>
  </si>
  <si>
    <t>Total number of Buildings</t>
  </si>
  <si>
    <t xml:space="preserve">Approval Detail : Plan approval </t>
  </si>
  <si>
    <t xml:space="preserve">Layout Approval No     </t>
  </si>
  <si>
    <t>Dated</t>
  </si>
  <si>
    <t xml:space="preserve">Approved Floor plan No.  </t>
  </si>
  <si>
    <t xml:space="preserve">O. Certificate No.: </t>
  </si>
  <si>
    <t>Expected Completion</t>
  </si>
  <si>
    <t>Building wise Construction details</t>
  </si>
  <si>
    <t>Approved no of units</t>
  </si>
  <si>
    <t>Approved no of Floors</t>
  </si>
  <si>
    <t>Type of Work</t>
  </si>
  <si>
    <t>Plinth</t>
  </si>
  <si>
    <t xml:space="preserve">Recommended rate of Parking </t>
  </si>
  <si>
    <t>Distressed valuation of the Property</t>
  </si>
  <si>
    <t>Building &amp; Wing</t>
  </si>
  <si>
    <t>Total Carpet Area</t>
  </si>
  <si>
    <t>Total Saleable Area</t>
  </si>
  <si>
    <t>Building details Floor Wise</t>
  </si>
  <si>
    <t xml:space="preserve">Details of Flats in Building   </t>
  </si>
  <si>
    <t>Description</t>
  </si>
  <si>
    <t>Gross Carpet area</t>
  </si>
  <si>
    <t>Attached Terrace area</t>
  </si>
  <si>
    <t>Floor</t>
  </si>
  <si>
    <t>Undertaking :</t>
  </si>
  <si>
    <t>1) We have personally visited the property &amp; identified the same based on the documents provided.</t>
  </si>
  <si>
    <t>2) I/We have no direct or Indirect Interest in the property being valued</t>
  </si>
  <si>
    <t>3) The information furnished above is true and correct to my/our knowledge.</t>
  </si>
  <si>
    <t>4) Legal title of the property is not verified by us.</t>
  </si>
  <si>
    <t xml:space="preserve">PHOTOGRAPHS OF PROPERTY : 
</t>
  </si>
  <si>
    <t>Google Map :</t>
  </si>
  <si>
    <t xml:space="preserve">Remarks:  </t>
  </si>
  <si>
    <t>Flat</t>
  </si>
  <si>
    <t>Residential Area Details :</t>
  </si>
  <si>
    <t>Podium</t>
  </si>
  <si>
    <t>Ground</t>
  </si>
  <si>
    <t>Locality/Village</t>
  </si>
  <si>
    <t>Taluka</t>
  </si>
  <si>
    <r>
      <t xml:space="preserve">Proposed Amenities :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</rPr>
      <t xml:space="preserve">   </t>
    </r>
    <r>
      <rPr>
        <b/>
        <sz val="12"/>
        <rFont val="Times New Roman"/>
        <family val="1"/>
      </rPr>
      <t xml:space="preserve">                                               </t>
    </r>
  </si>
  <si>
    <t>Commercial Area Details :</t>
  </si>
  <si>
    <t>Accessibility to the Project from the City: (Proximity to civic amenities like school, hospital, market, etc.)</t>
  </si>
  <si>
    <t>Inspected By :</t>
  </si>
  <si>
    <t>No. of Units</t>
  </si>
  <si>
    <t>Authorized Signatory
Name &amp; Seal of the agency</t>
  </si>
  <si>
    <t>Floors</t>
  </si>
  <si>
    <t>Type of Structure</t>
  </si>
  <si>
    <t>RCC Frame Structure</t>
  </si>
  <si>
    <t>Complition %</t>
  </si>
  <si>
    <t>Disbursement %</t>
  </si>
  <si>
    <t>Progress %</t>
  </si>
  <si>
    <t xml:space="preserve">Material laying at Site: </t>
  </si>
  <si>
    <t>Projected life of the structure</t>
  </si>
  <si>
    <t xml:space="preserve">Quality of construction: </t>
  </si>
  <si>
    <t>Proposed no of Floors</t>
  </si>
  <si>
    <t xml:space="preserve">Stage of construction: </t>
  </si>
  <si>
    <t>Approved area of building (Sq.Mt)</t>
  </si>
  <si>
    <t>Total Approved Builtup area of the project (Sq.Mt)</t>
  </si>
  <si>
    <t>Restrictive Covenants in regard to Land Use</t>
  </si>
  <si>
    <t>Boundries</t>
  </si>
  <si>
    <t>Development Charges</t>
  </si>
  <si>
    <t>Club Charges</t>
  </si>
  <si>
    <t>Gas Connection Charges</t>
  </si>
  <si>
    <t>Society Formation Charges</t>
  </si>
  <si>
    <t>Advance Maintenance Charges</t>
  </si>
  <si>
    <t>Excavation in process</t>
  </si>
  <si>
    <t>Excavation Completed</t>
  </si>
  <si>
    <t>Footing in Process</t>
  </si>
  <si>
    <t>Footing Completed</t>
  </si>
  <si>
    <t>Plinth completed</t>
  </si>
  <si>
    <t>Report By :</t>
  </si>
  <si>
    <t>Market Research Data</t>
  </si>
  <si>
    <t>Source</t>
  </si>
  <si>
    <t>Distance from proposed property</t>
  </si>
  <si>
    <t>Net Carpet</t>
  </si>
  <si>
    <t>Market Value</t>
  </si>
  <si>
    <t>Magic Brick</t>
  </si>
  <si>
    <t>99 Acres</t>
  </si>
  <si>
    <t>Average</t>
  </si>
  <si>
    <t xml:space="preserve">Valuation Adopted </t>
  </si>
  <si>
    <t>Saleable Area</t>
  </si>
  <si>
    <t>Rate on Saleable</t>
  </si>
  <si>
    <t xml:space="preserve">Wheather the construction is as per approved Building plan : </t>
  </si>
  <si>
    <t>Shop No.
(Sale Plan)</t>
  </si>
  <si>
    <r>
      <t xml:space="preserve">Shop No.
</t>
    </r>
    <r>
      <rPr>
        <b/>
        <sz val="11"/>
        <color rgb="FF000000"/>
        <rFont val="Times New Roman"/>
        <family val="1"/>
      </rPr>
      <t>(Approved Plan)</t>
    </r>
  </si>
  <si>
    <r>
      <t xml:space="preserve">Flat No.
</t>
    </r>
    <r>
      <rPr>
        <b/>
        <sz val="11"/>
        <color rgb="FF000000"/>
        <rFont val="Times New Roman"/>
        <family val="1"/>
      </rPr>
      <t>(Approved Plan)</t>
    </r>
  </si>
  <si>
    <t>Flat No.
(Sale Plan)</t>
  </si>
  <si>
    <t>01 Building</t>
  </si>
  <si>
    <t>Valid Upto 
Date</t>
  </si>
  <si>
    <t>Nearby Landmark</t>
  </si>
  <si>
    <t>We considered Carpet area as per Approved Plan.</t>
  </si>
  <si>
    <t>We have considered rate by verifying it from market inquire.</t>
  </si>
  <si>
    <t>Car parking is subjected to authentic documentation.</t>
  </si>
  <si>
    <t>5) Gross carpet area =  Net Carpet area + Fungible area.</t>
  </si>
  <si>
    <t>6) Fungible Area= Enclosed Balcony + Flower Bed + Covered Balcony + Service Slab + Duct + Chajja + Wheather Shed area.</t>
  </si>
  <si>
    <t>Excavation</t>
  </si>
  <si>
    <t>RCC (Including podiums)</t>
  </si>
  <si>
    <t>Brickwork &amp; Internal Plaster</t>
  </si>
  <si>
    <t>Flooring &amp; Fitting</t>
  </si>
  <si>
    <t>External Plaster &amp; Plumbing</t>
  </si>
  <si>
    <t>Building Common Amenities</t>
  </si>
  <si>
    <t>Possession</t>
  </si>
  <si>
    <t>Ext. Plaster &amp; Plumbing</t>
  </si>
  <si>
    <t>Brickwork</t>
  </si>
  <si>
    <t>Internal Plaster</t>
  </si>
  <si>
    <t>Painting &amp; Wooden</t>
  </si>
  <si>
    <t>Slab/Floor</t>
  </si>
  <si>
    <t>Construction details:</t>
  </si>
  <si>
    <t>Piling Work in process</t>
  </si>
  <si>
    <t>Basement</t>
  </si>
  <si>
    <t>Basement 2</t>
  </si>
  <si>
    <t>Basement 3</t>
  </si>
  <si>
    <t>Basement 4</t>
  </si>
  <si>
    <t>Basement 1</t>
  </si>
  <si>
    <t>Plinth in process</t>
  </si>
  <si>
    <t>B Wing = G + 1st to 20th Floor</t>
  </si>
  <si>
    <t>C Wing = G + 1st to 20th Floor</t>
  </si>
  <si>
    <t xml:space="preserve">Violations Observed if any : </t>
  </si>
  <si>
    <t>Saleable area Loading :</t>
  </si>
  <si>
    <t>Total</t>
  </si>
  <si>
    <t>Name of Municipal Corporation/Authority</t>
  </si>
  <si>
    <t>We have considered proposed No. of Floor for Stage Calculation.</t>
  </si>
  <si>
    <t>*</t>
  </si>
  <si>
    <t>Recommended rate should be considered as all inclusive rate if other charges are not mentioned. (Excluding GST &amp; other government Taxes)</t>
  </si>
  <si>
    <t xml:space="preserve">Commencement-CC No
Valid Up to: </t>
  </si>
  <si>
    <t>Attached Loft area</t>
  </si>
  <si>
    <t xml:space="preserve">Recommended Rates of the Property : </t>
  </si>
  <si>
    <t>Floor Rise Rate</t>
  </si>
  <si>
    <t>Recommended rate of the Shop Per Sq. Ft.</t>
  </si>
  <si>
    <t>Recommended rate of the Flat Per Sq. Ft.</t>
  </si>
  <si>
    <t>On Saleable Area</t>
  </si>
  <si>
    <t>Legal Charges</t>
  </si>
  <si>
    <t>Location Link</t>
  </si>
  <si>
    <t>Locality</t>
  </si>
  <si>
    <t>Provided Contact Details ( Name &amp; Contact No.)</t>
  </si>
  <si>
    <t>Site Person - Contact Details ( Name &amp; Contact No.)</t>
  </si>
  <si>
    <t>Layout :</t>
  </si>
  <si>
    <t>Axis Sanpada</t>
  </si>
  <si>
    <t>Gajora Infra</t>
  </si>
  <si>
    <t xml:space="preserve">Mr. Devam 8976338393
</t>
  </si>
  <si>
    <t>P52000021780</t>
  </si>
  <si>
    <t>Sector No</t>
  </si>
  <si>
    <t>R2, Plot No. 16</t>
  </si>
  <si>
    <t>Pushpak (New)</t>
  </si>
  <si>
    <t>https://goo.gl/maps/FefoHFGzsFrT3JtE7</t>
  </si>
  <si>
    <t>Karanjade</t>
  </si>
  <si>
    <t>Panvel</t>
  </si>
  <si>
    <t>Internal Rd</t>
  </si>
  <si>
    <t>Raigad</t>
  </si>
  <si>
    <t>ZP School Chinchpada</t>
  </si>
  <si>
    <t>Serenity Enclave</t>
  </si>
  <si>
    <t>3.5KM from Panvel Railway Station</t>
  </si>
  <si>
    <t>Rd/Ashtavinayak Apartment</t>
  </si>
  <si>
    <t>Open Plot</t>
  </si>
  <si>
    <t>ZP School</t>
  </si>
  <si>
    <t>CIDCO</t>
  </si>
  <si>
    <t>Gr + 1st to 6th Floor</t>
  </si>
  <si>
    <t>Ground Floor For Commercial &amp; Parking</t>
  </si>
  <si>
    <t>Shop</t>
  </si>
  <si>
    <t>1BHK</t>
  </si>
  <si>
    <t>1st Floor For Residential</t>
  </si>
  <si>
    <t>1RK</t>
  </si>
  <si>
    <t>2BHK</t>
  </si>
  <si>
    <t>We considered Gross carpet area = Net carpet + Enclose balcony.</t>
  </si>
  <si>
    <t>6th Floor</t>
  </si>
  <si>
    <t>Flats</t>
  </si>
  <si>
    <t>Shops</t>
  </si>
  <si>
    <t>Water, MSEB, Development Charges</t>
  </si>
  <si>
    <t xml:space="preserve">Airport NOC No.
Valid Up to: </t>
  </si>
  <si>
    <t>NAVI/WEST/B/073118/323983</t>
  </si>
  <si>
    <t>Approved Plans, CC, Cost Sheet</t>
  </si>
  <si>
    <t>53M (AMSL)</t>
  </si>
  <si>
    <t>As per site visit dtd. 09/12/2022, we have observed that all chajja/cornice area is already enclosed with ref to approved floor plans dtd 04/04/2019.</t>
  </si>
  <si>
    <t xml:space="preserve">1. Vitrified tiles flooring 2. Granite Kitchen Platform 3. Decorative Enternace etc.
</t>
  </si>
  <si>
    <t>CIDCO/BP-16269/TPO(NM &amp; K)/2019/10466</t>
  </si>
  <si>
    <t>601&amp; 602</t>
  </si>
  <si>
    <t>Flat no. 601&amp;602 are merged in the approved plan.</t>
  </si>
  <si>
    <t>Flats - 29, Shops - 06</t>
  </si>
  <si>
    <t xml:space="preserve">We have updated revised approved floor plan &amp; C.C (on 17/03/2023).
</t>
  </si>
  <si>
    <t>Office No. 1031, Wing J, Akshar Business Park, Plot No. 03 Sector 25, Near APMC Market,
 Vashi, Navi Mumbai, Maharashtra 400703 TEL: 022-46090378/79/80                                                                      
 E mail : vsjcapf@gmail.com. Web site : www.vsjadon.com</t>
  </si>
  <si>
    <t>2nd Floor</t>
  </si>
  <si>
    <t>3rd Floor</t>
  </si>
  <si>
    <t>4th &amp; 5th Floor</t>
  </si>
  <si>
    <t>620 to 650</t>
  </si>
  <si>
    <t>Saleble area is change for Flat No. 303</t>
  </si>
  <si>
    <t>Flat No. 303 Salable area is Change by Smith on 18/04/2024</t>
  </si>
  <si>
    <t>Latitude,Longitude</t>
  </si>
  <si>
    <t>18.9826634,73.0948131</t>
  </si>
  <si>
    <t>Completed</t>
  </si>
  <si>
    <t xml:space="preserve">CIDCO/BP-16269/TPO (NM &amp; K)/2019/12318
Approved upto : Gr/St + 1st to 6th Floor
Total BUA = 1571.6 Sq.M.
No. of Residential Units = 29 Nos.
No. of Commercial Units = 06 Nos.
</t>
  </si>
  <si>
    <t>All work completed. OC Received.</t>
  </si>
  <si>
    <t>We have updated OC from CIDCO site (On 25/07/2025).</t>
  </si>
  <si>
    <t>Pooja</t>
  </si>
  <si>
    <t>Ravindra vishwakarma</t>
  </si>
  <si>
    <t>As checked on RERA portal on date 25/07/2025, we have observed that above project "Serenity Enclave" is kept under abeyance. Please check from your end.</t>
  </si>
  <si>
    <t>Recommended Rates of the Property have been revised on 29/07/2025.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</si>
</sst>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_ * #,##0_ ;_ * \-#,##0_ ;_ * &quot;-&quot;??_ ;_ @_ "/>
  </numFmts>
  <fonts count="28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.5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  <xf numFmtId="165" fontId="5" fillId="0" borderId="0" applyFont="0" applyFill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07">
    <xf numFmtId="0" fontId="0" fillId="0" borderId="0" xfId="0"/>
    <xf numFmtId="0" fontId="5" fillId="0" borderId="0" xfId="4"/>
    <xf numFmtId="0" fontId="1" fillId="0" borderId="0" xfId="5"/>
    <xf numFmtId="0" fontId="9" fillId="0" borderId="1" xfId="5" applyFont="1" applyBorder="1" applyAlignment="1">
      <alignment horizontal="center" vertical="top" wrapText="1"/>
    </xf>
    <xf numFmtId="0" fontId="19" fillId="0" borderId="0" xfId="4" applyFont="1"/>
    <xf numFmtId="0" fontId="1" fillId="0" borderId="1" xfId="5" applyBorder="1" applyAlignment="1">
      <alignment horizontal="center" vertical="center"/>
    </xf>
    <xf numFmtId="0" fontId="1" fillId="0" borderId="1" xfId="5" applyBorder="1" applyAlignment="1">
      <alignment horizontal="left" vertical="center"/>
    </xf>
    <xf numFmtId="1" fontId="1" fillId="0" borderId="1" xfId="5" applyNumberFormat="1" applyBorder="1" applyAlignment="1">
      <alignment horizontal="center" vertical="center"/>
    </xf>
    <xf numFmtId="166" fontId="1" fillId="0" borderId="1" xfId="6" applyNumberFormat="1" applyFont="1" applyBorder="1" applyAlignment="1">
      <alignment horizontal="right" vertical="center"/>
    </xf>
    <xf numFmtId="0" fontId="1" fillId="0" borderId="1" xfId="5" applyBorder="1" applyAlignment="1">
      <alignment horizontal="left" vertical="center" wrapText="1"/>
    </xf>
    <xf numFmtId="0" fontId="9" fillId="0" borderId="1" xfId="5" applyFont="1" applyBorder="1" applyAlignment="1">
      <alignment horizontal="center" vertical="center"/>
    </xf>
    <xf numFmtId="1" fontId="18" fillId="0" borderId="1" xfId="5" applyNumberFormat="1" applyFont="1" applyBorder="1" applyAlignment="1">
      <alignment horizontal="center" vertical="center"/>
    </xf>
    <xf numFmtId="0" fontId="5" fillId="0" borderId="1" xfId="4" applyBorder="1" applyAlignment="1">
      <alignment horizontal="center" vertical="center"/>
    </xf>
    <xf numFmtId="9" fontId="8" fillId="0" borderId="16" xfId="8" applyFont="1" applyFill="1" applyBorder="1" applyAlignment="1" applyProtection="1">
      <alignment horizontal="center" vertical="top" wrapText="1"/>
      <protection locked="0"/>
    </xf>
    <xf numFmtId="0" fontId="17" fillId="0" borderId="0" xfId="0" applyFont="1" applyProtection="1">
      <protection hidden="1"/>
    </xf>
    <xf numFmtId="0" fontId="15" fillId="0" borderId="1" xfId="1" applyFont="1" applyBorder="1" applyAlignment="1" applyProtection="1">
      <alignment horizontal="center" vertical="top"/>
      <protection locked="0"/>
    </xf>
    <xf numFmtId="0" fontId="17" fillId="0" borderId="11" xfId="0" applyFont="1" applyBorder="1" applyProtection="1">
      <protection hidden="1"/>
    </xf>
    <xf numFmtId="0" fontId="12" fillId="0" borderId="4" xfId="1" applyFont="1" applyBorder="1" applyAlignment="1" applyProtection="1">
      <alignment horizontal="center" vertical="top"/>
      <protection locked="0"/>
    </xf>
    <xf numFmtId="0" fontId="12" fillId="0" borderId="5" xfId="1" applyFont="1" applyBorder="1" applyAlignment="1" applyProtection="1">
      <alignment horizontal="center" vertical="top"/>
      <protection locked="0"/>
    </xf>
    <xf numFmtId="0" fontId="6" fillId="0" borderId="1" xfId="1" applyFont="1" applyBorder="1" applyAlignment="1" applyProtection="1">
      <alignment vertical="top" wrapText="1"/>
      <protection locked="0"/>
    </xf>
    <xf numFmtId="9" fontId="7" fillId="0" borderId="1" xfId="8" applyFont="1" applyFill="1" applyBorder="1" applyAlignment="1" applyProtection="1">
      <alignment horizontal="center" vertical="top" wrapText="1"/>
      <protection locked="0"/>
    </xf>
    <xf numFmtId="9" fontId="7" fillId="0" borderId="7" xfId="8" applyFont="1" applyFill="1" applyBorder="1" applyAlignment="1" applyProtection="1">
      <alignment horizontal="center" vertical="top" wrapText="1"/>
      <protection locked="0"/>
    </xf>
    <xf numFmtId="0" fontId="7" fillId="0" borderId="0" xfId="1" applyFont="1"/>
    <xf numFmtId="0" fontId="15" fillId="0" borderId="0" xfId="1" applyFont="1"/>
    <xf numFmtId="0" fontId="12" fillId="0" borderId="0" xfId="1" applyFont="1"/>
    <xf numFmtId="1" fontId="7" fillId="0" borderId="0" xfId="1" applyNumberFormat="1" applyFont="1"/>
    <xf numFmtId="14" fontId="7" fillId="0" borderId="0" xfId="1" applyNumberFormat="1" applyFont="1"/>
    <xf numFmtId="0" fontId="7" fillId="0" borderId="0" xfId="1" applyFont="1" applyProtection="1">
      <protection hidden="1"/>
    </xf>
    <xf numFmtId="0" fontId="23" fillId="0" borderId="0" xfId="1" applyFont="1"/>
    <xf numFmtId="0" fontId="7" fillId="0" borderId="10" xfId="1" applyFont="1" applyBorder="1"/>
    <xf numFmtId="0" fontId="17" fillId="0" borderId="10" xfId="0" applyFont="1" applyBorder="1" applyProtection="1">
      <protection hidden="1"/>
    </xf>
    <xf numFmtId="1" fontId="0" fillId="0" borderId="10" xfId="0" applyNumberFormat="1" applyBorder="1"/>
    <xf numFmtId="1" fontId="0" fillId="0" borderId="10" xfId="0" applyNumberFormat="1" applyBorder="1" applyAlignment="1">
      <alignment horizontal="right"/>
    </xf>
    <xf numFmtId="1" fontId="0" fillId="0" borderId="12" xfId="0" applyNumberFormat="1" applyBorder="1"/>
    <xf numFmtId="0" fontId="16" fillId="0" borderId="0" xfId="1" applyFont="1"/>
    <xf numFmtId="0" fontId="6" fillId="0" borderId="0" xfId="2" applyFont="1"/>
    <xf numFmtId="0" fontId="7" fillId="0" borderId="0" xfId="0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top" wrapText="1"/>
      <protection locked="0"/>
    </xf>
    <xf numFmtId="0" fontId="7" fillId="0" borderId="0" xfId="1" applyFont="1" applyProtection="1">
      <protection locked="0"/>
    </xf>
    <xf numFmtId="0" fontId="10" fillId="0" borderId="0" xfId="1" applyFont="1" applyProtection="1">
      <protection locked="0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8" fillId="0" borderId="3" xfId="1" applyNumberFormat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8" fillId="0" borderId="1" xfId="1" applyFont="1" applyBorder="1" applyAlignment="1" applyProtection="1">
      <alignment vertical="top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1" xfId="1" applyFont="1" applyBorder="1" applyAlignment="1" applyProtection="1">
      <alignment horizontal="center" vertical="top"/>
      <protection locked="0"/>
    </xf>
    <xf numFmtId="0" fontId="6" fillId="0" borderId="1" xfId="1" applyFont="1" applyBorder="1" applyAlignment="1" applyProtection="1">
      <alignment horizontal="center" vertical="top"/>
      <protection locked="0"/>
    </xf>
    <xf numFmtId="0" fontId="24" fillId="2" borderId="30" xfId="0" applyFont="1" applyFill="1" applyBorder="1"/>
    <xf numFmtId="0" fontId="25" fillId="0" borderId="31" xfId="0" applyFont="1" applyBorder="1"/>
    <xf numFmtId="0" fontId="25" fillId="0" borderId="1" xfId="0" applyFont="1" applyBorder="1"/>
    <xf numFmtId="0" fontId="25" fillId="0" borderId="5" xfId="0" applyFont="1" applyBorder="1"/>
    <xf numFmtId="1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top"/>
      <protection locked="0"/>
    </xf>
    <xf numFmtId="1" fontId="7" fillId="0" borderId="0" xfId="0" applyNumberFormat="1" applyFont="1" applyAlignment="1">
      <alignment horizontal="center" vertical="center"/>
    </xf>
    <xf numFmtId="0" fontId="0" fillId="2" borderId="0" xfId="0" applyFill="1"/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24" fillId="2" borderId="15" xfId="0" applyFont="1" applyFill="1" applyBorder="1"/>
    <xf numFmtId="0" fontId="25" fillId="0" borderId="9" xfId="0" applyFont="1" applyBorder="1"/>
    <xf numFmtId="1" fontId="8" fillId="0" borderId="1" xfId="1" applyNumberFormat="1" applyFont="1" applyBorder="1" applyAlignment="1" applyProtection="1">
      <alignment horizontal="center" vertical="top" wrapText="1"/>
      <protection locked="0"/>
    </xf>
    <xf numFmtId="9" fontId="8" fillId="0" borderId="1" xfId="8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vertical="top" wrapText="1"/>
      <protection locked="0"/>
    </xf>
    <xf numFmtId="1" fontId="8" fillId="0" borderId="21" xfId="0" applyNumberFormat="1" applyFont="1" applyBorder="1" applyAlignment="1" applyProtection="1">
      <alignment vertical="top" wrapText="1"/>
      <protection locked="0"/>
    </xf>
    <xf numFmtId="1" fontId="8" fillId="0" borderId="9" xfId="0" applyNumberFormat="1" applyFont="1" applyBorder="1" applyAlignment="1" applyProtection="1">
      <alignment vertical="top" wrapText="1"/>
      <protection locked="0"/>
    </xf>
    <xf numFmtId="1" fontId="6" fillId="0" borderId="8" xfId="1" applyNumberFormat="1" applyFont="1" applyBorder="1" applyAlignment="1" applyProtection="1">
      <alignment horizontal="center" vertical="center" wrapText="1"/>
      <protection locked="0"/>
    </xf>
    <xf numFmtId="1" fontId="6" fillId="0" borderId="9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6" fillId="0" borderId="21" xfId="1" applyFont="1" applyBorder="1" applyAlignment="1" applyProtection="1">
      <alignment horizontal="left" vertical="top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164" fontId="6" fillId="0" borderId="1" xfId="1" applyNumberFormat="1" applyFont="1" applyBorder="1" applyAlignment="1" applyProtection="1">
      <alignment horizontal="left" vertical="top"/>
      <protection locked="0"/>
    </xf>
    <xf numFmtId="0" fontId="6" fillId="0" borderId="1" xfId="1" applyFont="1" applyBorder="1" applyAlignment="1" applyProtection="1">
      <alignment horizontal="left" vertical="top"/>
      <protection locked="0"/>
    </xf>
    <xf numFmtId="0" fontId="8" fillId="0" borderId="32" xfId="1" applyFont="1" applyBorder="1" applyAlignment="1" applyProtection="1">
      <alignment horizontal="left" vertical="top" wrapText="1"/>
      <protection locked="0"/>
    </xf>
    <xf numFmtId="0" fontId="8" fillId="0" borderId="20" xfId="1" applyFont="1" applyBorder="1" applyAlignment="1" applyProtection="1">
      <alignment horizontal="left" vertical="top" wrapText="1"/>
      <protection locked="0"/>
    </xf>
    <xf numFmtId="0" fontId="8" fillId="0" borderId="19" xfId="1" applyFont="1" applyBorder="1" applyAlignment="1" applyProtection="1">
      <alignment horizontal="left" vertical="top" wrapText="1"/>
      <protection locked="0"/>
    </xf>
    <xf numFmtId="0" fontId="8" fillId="0" borderId="2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14" fontId="6" fillId="0" borderId="8" xfId="1" applyNumberFormat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vertical="top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 vertical="top"/>
      <protection locked="0"/>
    </xf>
    <xf numFmtId="0" fontId="7" fillId="0" borderId="1" xfId="1" applyFont="1" applyBorder="1" applyAlignment="1" applyProtection="1">
      <alignment horizontal="left" vertical="top"/>
      <protection locked="0"/>
    </xf>
    <xf numFmtId="14" fontId="8" fillId="0" borderId="8" xfId="1" applyNumberFormat="1" applyFont="1" applyBorder="1" applyAlignment="1" applyProtection="1">
      <alignment horizontal="left" vertical="top"/>
      <protection locked="0"/>
    </xf>
    <xf numFmtId="0" fontId="8" fillId="0" borderId="9" xfId="1" applyFont="1" applyBorder="1" applyAlignment="1" applyProtection="1">
      <alignment horizontal="left" vertical="top"/>
      <protection locked="0"/>
    </xf>
    <xf numFmtId="0" fontId="6" fillId="0" borderId="17" xfId="1" applyFont="1" applyBorder="1" applyAlignment="1" applyProtection="1">
      <alignment horizontal="left" vertical="top" wrapText="1"/>
      <protection locked="0"/>
    </xf>
    <xf numFmtId="0" fontId="6" fillId="0" borderId="18" xfId="1" applyFont="1" applyBorder="1" applyAlignment="1" applyProtection="1">
      <alignment horizontal="left" vertical="top" wrapText="1"/>
      <protection locked="0"/>
    </xf>
    <xf numFmtId="0" fontId="6" fillId="0" borderId="19" xfId="1" applyFont="1" applyBorder="1" applyAlignment="1" applyProtection="1">
      <alignment horizontal="left" vertical="top" wrapText="1"/>
      <protection locked="0"/>
    </xf>
    <xf numFmtId="0" fontId="6" fillId="0" borderId="20" xfId="1" applyFont="1" applyBorder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vertical="top"/>
      <protection locked="0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8" fillId="0" borderId="1" xfId="0" applyNumberFormat="1" applyFont="1" applyBorder="1" applyAlignment="1" applyProtection="1">
      <alignment horizontal="center" vertical="top" wrapText="1"/>
      <protection locked="0"/>
    </xf>
    <xf numFmtId="1" fontId="8" fillId="0" borderId="1" xfId="1" applyNumberFormat="1" applyFont="1" applyBorder="1" applyAlignment="1" applyProtection="1">
      <alignment horizontal="center" vertical="top" wrapText="1"/>
      <protection locked="0"/>
    </xf>
    <xf numFmtId="1" fontId="4" fillId="0" borderId="1" xfId="1" applyNumberFormat="1" applyFont="1" applyBorder="1" applyAlignment="1" applyProtection="1">
      <alignment horizontal="center" vertical="top" wrapText="1"/>
      <protection locked="0"/>
    </xf>
    <xf numFmtId="0" fontId="7" fillId="0" borderId="4" xfId="1" applyFont="1" applyBorder="1" applyAlignment="1" applyProtection="1">
      <alignment horizontal="center" vertical="top" wrapText="1"/>
      <protection locked="0"/>
    </xf>
    <xf numFmtId="167" fontId="12" fillId="0" borderId="1" xfId="9" applyNumberFormat="1" applyFont="1" applyFill="1" applyBorder="1" applyAlignment="1" applyProtection="1">
      <alignment horizontal="left" vertical="top"/>
      <protection locked="0"/>
    </xf>
    <xf numFmtId="1" fontId="7" fillId="0" borderId="1" xfId="0" applyNumberFormat="1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3" fillId="0" borderId="4" xfId="1" applyFont="1" applyBorder="1" applyAlignment="1" applyProtection="1">
      <alignment horizontal="left" vertical="top"/>
      <protection locked="0"/>
    </xf>
    <xf numFmtId="0" fontId="13" fillId="0" borderId="1" xfId="1" applyFont="1" applyBorder="1" applyAlignment="1" applyProtection="1">
      <alignment horizontal="left" vertical="top"/>
      <protection locked="0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3" fillId="0" borderId="5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2" fillId="0" borderId="3" xfId="1" applyFont="1" applyBorder="1" applyAlignment="1" applyProtection="1">
      <alignment horizontal="left" vertical="top" wrapText="1"/>
      <protection locked="0"/>
    </xf>
    <xf numFmtId="0" fontId="13" fillId="0" borderId="1" xfId="1" applyFont="1" applyBorder="1" applyAlignment="1" applyProtection="1">
      <alignment horizontal="center" vertical="top" wrapText="1"/>
      <protection locked="0"/>
    </xf>
    <xf numFmtId="0" fontId="14" fillId="0" borderId="1" xfId="1" applyFont="1" applyBorder="1" applyAlignment="1" applyProtection="1">
      <alignment horizontal="center" vertical="top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left" vertical="top"/>
      <protection locked="0"/>
    </xf>
    <xf numFmtId="1" fontId="8" fillId="0" borderId="1" xfId="1" applyNumberFormat="1" applyFont="1" applyBorder="1" applyAlignment="1" applyProtection="1">
      <alignment horizontal="center" vertical="center" wrapText="1"/>
      <protection locked="0"/>
    </xf>
    <xf numFmtId="1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1" fillId="0" borderId="1" xfId="1" applyFont="1" applyBorder="1" applyAlignment="1" applyProtection="1">
      <alignment horizontal="center" vertical="top" wrapText="1"/>
      <protection locked="0"/>
    </xf>
    <xf numFmtId="0" fontId="8" fillId="0" borderId="1" xfId="1" applyFont="1" applyBorder="1" applyAlignment="1" applyProtection="1">
      <alignment horizontal="center" vertical="top"/>
      <protection locked="0"/>
    </xf>
    <xf numFmtId="14" fontId="12" fillId="0" borderId="1" xfId="1" applyNumberFormat="1" applyFont="1" applyBorder="1" applyAlignment="1" applyProtection="1">
      <alignment horizontal="left" vertical="top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/>
      <protection locked="0"/>
    </xf>
    <xf numFmtId="0" fontId="13" fillId="0" borderId="1" xfId="1" applyFont="1" applyBorder="1" applyAlignment="1" applyProtection="1">
      <alignment horizontal="center" vertical="top"/>
      <protection locked="0"/>
    </xf>
    <xf numFmtId="0" fontId="12" fillId="0" borderId="1" xfId="1" applyFont="1" applyBorder="1" applyAlignment="1" applyProtection="1">
      <alignment horizontal="center" vertical="top"/>
      <protection locked="0"/>
    </xf>
    <xf numFmtId="0" fontId="12" fillId="0" borderId="1" xfId="1" applyFont="1" applyBorder="1" applyAlignment="1" applyProtection="1">
      <alignment horizontal="center"/>
      <protection locked="0"/>
    </xf>
    <xf numFmtId="0" fontId="13" fillId="0" borderId="1" xfId="1" applyFont="1" applyBorder="1" applyAlignment="1" applyProtection="1">
      <alignment horizontal="center"/>
      <protection locked="0"/>
    </xf>
    <xf numFmtId="2" fontId="6" fillId="0" borderId="1" xfId="1" applyNumberFormat="1" applyFont="1" applyBorder="1" applyAlignment="1" applyProtection="1">
      <alignment horizontal="left" vertical="top" wrapText="1"/>
      <protection locked="0"/>
    </xf>
    <xf numFmtId="0" fontId="10" fillId="0" borderId="1" xfId="1" applyFont="1" applyBorder="1" applyAlignment="1" applyProtection="1">
      <alignment horizontal="left" vertical="top"/>
      <protection locked="0"/>
    </xf>
    <xf numFmtId="0" fontId="7" fillId="0" borderId="3" xfId="1" applyFont="1" applyBorder="1" applyAlignment="1" applyProtection="1">
      <alignment horizontal="left" vertical="top" wrapText="1"/>
      <protection locked="0"/>
    </xf>
    <xf numFmtId="0" fontId="7" fillId="0" borderId="3" xfId="1" applyFont="1" applyBorder="1" applyAlignment="1" applyProtection="1">
      <alignment horizontal="left" vertical="top"/>
      <protection locked="0"/>
    </xf>
    <xf numFmtId="0" fontId="12" fillId="0" borderId="17" xfId="1" applyFont="1" applyBorder="1" applyAlignment="1" applyProtection="1">
      <alignment horizontal="left" vertical="top" wrapText="1"/>
      <protection locked="0"/>
    </xf>
    <xf numFmtId="0" fontId="12" fillId="0" borderId="24" xfId="1" applyFont="1" applyBorder="1" applyAlignment="1" applyProtection="1">
      <alignment horizontal="left" vertical="top" wrapText="1"/>
      <protection locked="0"/>
    </xf>
    <xf numFmtId="0" fontId="12" fillId="0" borderId="18" xfId="1" applyFont="1" applyBorder="1" applyAlignment="1" applyProtection="1">
      <alignment horizontal="left" vertical="top" wrapText="1"/>
      <protection locked="0"/>
    </xf>
    <xf numFmtId="0" fontId="8" fillId="0" borderId="8" xfId="1" applyFont="1" applyBorder="1" applyAlignment="1" applyProtection="1">
      <alignment horizontal="left" vertical="top" wrapText="1"/>
      <protection locked="0"/>
    </xf>
    <xf numFmtId="0" fontId="8" fillId="0" borderId="21" xfId="1" applyFont="1" applyBorder="1" applyAlignment="1" applyProtection="1">
      <alignment horizontal="left" vertical="top" wrapText="1"/>
      <protection locked="0"/>
    </xf>
    <xf numFmtId="0" fontId="8" fillId="0" borderId="9" xfId="1" applyFont="1" applyBorder="1" applyAlignment="1" applyProtection="1">
      <alignment horizontal="left" vertical="top" wrapText="1"/>
      <protection locked="0"/>
    </xf>
    <xf numFmtId="164" fontId="7" fillId="0" borderId="1" xfId="1" applyNumberFormat="1" applyFont="1" applyBorder="1" applyAlignment="1" applyProtection="1">
      <alignment horizontal="left" vertical="top"/>
      <protection locked="0"/>
    </xf>
    <xf numFmtId="2" fontId="7" fillId="0" borderId="1" xfId="1" applyNumberFormat="1" applyFont="1" applyBorder="1" applyAlignment="1" applyProtection="1">
      <alignment horizontal="left" vertical="top"/>
      <protection locked="0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12" fillId="0" borderId="25" xfId="1" applyFont="1" applyBorder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19" xfId="1" applyFont="1" applyBorder="1" applyAlignment="1" applyProtection="1">
      <alignment horizontal="left" vertical="top" wrapText="1"/>
      <protection locked="0"/>
    </xf>
    <xf numFmtId="0" fontId="12" fillId="0" borderId="2" xfId="1" applyFont="1" applyBorder="1" applyAlignment="1" applyProtection="1">
      <alignment horizontal="left" vertical="top" wrapText="1"/>
      <protection locked="0"/>
    </xf>
    <xf numFmtId="9" fontId="7" fillId="0" borderId="1" xfId="8" applyFont="1" applyFill="1" applyBorder="1" applyAlignment="1" applyProtection="1">
      <alignment horizontal="center" vertical="center" wrapText="1"/>
      <protection locked="0"/>
    </xf>
    <xf numFmtId="1" fontId="6" fillId="0" borderId="1" xfId="1" applyNumberFormat="1" applyFont="1" applyBorder="1" applyAlignment="1" applyProtection="1">
      <alignment horizontal="left" vertical="top" wrapText="1"/>
      <protection locked="0"/>
    </xf>
    <xf numFmtId="1" fontId="6" fillId="0" borderId="1" xfId="0" applyNumberFormat="1" applyFont="1" applyBorder="1" applyAlignment="1" applyProtection="1">
      <alignment horizontal="center" vertical="top" wrapText="1"/>
      <protection locked="0"/>
    </xf>
    <xf numFmtId="1" fontId="8" fillId="0" borderId="8" xfId="1" applyNumberFormat="1" applyFont="1" applyBorder="1" applyAlignment="1" applyProtection="1">
      <alignment horizontal="center" vertical="center" wrapText="1"/>
      <protection locked="0"/>
    </xf>
    <xf numFmtId="1" fontId="8" fillId="0" borderId="21" xfId="1" applyNumberFormat="1" applyFont="1" applyBorder="1" applyAlignment="1" applyProtection="1">
      <alignment horizontal="center" vertical="center" wrapText="1"/>
      <protection locked="0"/>
    </xf>
    <xf numFmtId="1" fontId="8" fillId="0" borderId="9" xfId="1" applyNumberFormat="1" applyFont="1" applyBorder="1" applyAlignment="1" applyProtection="1">
      <alignment horizontal="center" vertical="center" wrapText="1"/>
      <protection locked="0"/>
    </xf>
    <xf numFmtId="0" fontId="8" fillId="0" borderId="22" xfId="1" applyFont="1" applyBorder="1" applyAlignment="1" applyProtection="1">
      <alignment horizontal="left" vertical="top" wrapText="1"/>
      <protection locked="0"/>
    </xf>
    <xf numFmtId="0" fontId="8" fillId="0" borderId="15" xfId="1" applyFont="1" applyBorder="1" applyAlignment="1" applyProtection="1">
      <alignment horizontal="left" vertical="top" wrapText="1"/>
      <protection locked="0"/>
    </xf>
    <xf numFmtId="0" fontId="8" fillId="0" borderId="13" xfId="1" applyFont="1" applyBorder="1" applyAlignment="1" applyProtection="1">
      <alignment horizontal="left" vertical="top" wrapText="1"/>
      <protection locked="0"/>
    </xf>
    <xf numFmtId="0" fontId="8" fillId="0" borderId="14" xfId="1" applyFont="1" applyBorder="1" applyAlignment="1" applyProtection="1">
      <alignment horizontal="left" vertical="top" wrapText="1"/>
      <protection locked="0"/>
    </xf>
    <xf numFmtId="0" fontId="8" fillId="0" borderId="23" xfId="1" applyFont="1" applyBorder="1" applyAlignment="1" applyProtection="1">
      <alignment horizontal="left" vertical="top" wrapText="1"/>
      <protection locked="0"/>
    </xf>
    <xf numFmtId="1" fontId="4" fillId="0" borderId="3" xfId="1" applyNumberFormat="1" applyFont="1" applyBorder="1" applyAlignment="1" applyProtection="1">
      <alignment horizontal="center" vertical="top" wrapText="1"/>
      <protection locked="0"/>
    </xf>
    <xf numFmtId="1" fontId="4" fillId="0" borderId="16" xfId="1" applyNumberFormat="1" applyFont="1" applyBorder="1" applyAlignment="1" applyProtection="1">
      <alignment horizontal="center" vertical="top" wrapText="1"/>
      <protection locked="0"/>
    </xf>
    <xf numFmtId="1" fontId="8" fillId="0" borderId="17" xfId="1" applyNumberFormat="1" applyFont="1" applyBorder="1" applyAlignment="1" applyProtection="1">
      <alignment horizontal="center" vertical="top" wrapText="1"/>
      <protection locked="0"/>
    </xf>
    <xf numFmtId="1" fontId="8" fillId="0" borderId="18" xfId="1" applyNumberFormat="1" applyFont="1" applyBorder="1" applyAlignment="1" applyProtection="1">
      <alignment horizontal="center" vertical="top" wrapText="1"/>
      <protection locked="0"/>
    </xf>
    <xf numFmtId="1" fontId="8" fillId="0" borderId="19" xfId="1" applyNumberFormat="1" applyFont="1" applyBorder="1" applyAlignment="1" applyProtection="1">
      <alignment horizontal="center" vertical="top" wrapText="1"/>
      <protection locked="0"/>
    </xf>
    <xf numFmtId="1" fontId="8" fillId="0" borderId="20" xfId="1" applyNumberFormat="1" applyFont="1" applyBorder="1" applyAlignment="1" applyProtection="1">
      <alignment horizontal="center" vertical="top" wrapText="1"/>
      <protection locked="0"/>
    </xf>
    <xf numFmtId="9" fontId="7" fillId="0" borderId="17" xfId="8" applyFont="1" applyFill="1" applyBorder="1" applyAlignment="1" applyProtection="1">
      <alignment horizontal="center" vertical="center" wrapText="1"/>
      <protection locked="0"/>
    </xf>
    <xf numFmtId="9" fontId="7" fillId="0" borderId="18" xfId="8" applyFont="1" applyFill="1" applyBorder="1" applyAlignment="1" applyProtection="1">
      <alignment horizontal="center" vertical="center" wrapText="1"/>
      <protection locked="0"/>
    </xf>
    <xf numFmtId="9" fontId="7" fillId="0" borderId="25" xfId="8" applyFont="1" applyFill="1" applyBorder="1" applyAlignment="1" applyProtection="1">
      <alignment horizontal="center" vertical="center" wrapText="1"/>
      <protection locked="0"/>
    </xf>
    <xf numFmtId="9" fontId="7" fillId="0" borderId="26" xfId="8" applyFont="1" applyFill="1" applyBorder="1" applyAlignment="1" applyProtection="1">
      <alignment horizontal="center" vertical="center" wrapText="1"/>
      <protection locked="0"/>
    </xf>
    <xf numFmtId="9" fontId="7" fillId="0" borderId="28" xfId="8" applyFont="1" applyFill="1" applyBorder="1" applyAlignment="1" applyProtection="1">
      <alignment horizontal="center" vertical="center" wrapText="1"/>
      <protection locked="0"/>
    </xf>
    <xf numFmtId="9" fontId="7" fillId="0" borderId="29" xfId="8" applyFont="1" applyFill="1" applyBorder="1" applyAlignment="1" applyProtection="1">
      <alignment horizontal="center" vertical="center" wrapText="1"/>
      <protection locked="0"/>
    </xf>
    <xf numFmtId="1" fontId="8" fillId="0" borderId="3" xfId="1" applyNumberFormat="1" applyFont="1" applyBorder="1" applyAlignment="1" applyProtection="1">
      <alignment horizontal="center" vertical="top" wrapText="1"/>
      <protection locked="0"/>
    </xf>
    <xf numFmtId="1" fontId="8" fillId="0" borderId="16" xfId="1" applyNumberFormat="1" applyFont="1" applyBorder="1" applyAlignment="1" applyProtection="1">
      <alignment horizontal="center" vertical="top" wrapText="1"/>
      <protection locked="0"/>
    </xf>
    <xf numFmtId="9" fontId="7" fillId="0" borderId="27" xfId="8" applyFont="1" applyFill="1" applyBorder="1" applyAlignment="1" applyProtection="1">
      <alignment horizontal="center" vertical="center" wrapText="1"/>
      <protection locked="0"/>
    </xf>
    <xf numFmtId="9" fontId="7" fillId="0" borderId="10" xfId="8" applyFont="1" applyFill="1" applyBorder="1" applyAlignment="1" applyProtection="1">
      <alignment horizontal="center" vertical="center" wrapText="1"/>
      <protection locked="0"/>
    </xf>
    <xf numFmtId="9" fontId="7" fillId="0" borderId="12" xfId="8" applyFont="1" applyFill="1" applyBorder="1" applyAlignment="1" applyProtection="1">
      <alignment horizontal="center" vertical="center" wrapText="1"/>
      <protection locked="0"/>
    </xf>
    <xf numFmtId="0" fontId="8" fillId="0" borderId="16" xfId="1" applyFont="1" applyBorder="1" applyAlignment="1" applyProtection="1">
      <alignment horizontal="left" vertical="top"/>
      <protection locked="0"/>
    </xf>
    <xf numFmtId="0" fontId="8" fillId="0" borderId="16" xfId="1" applyFont="1" applyBorder="1" applyAlignment="1" applyProtection="1">
      <alignment horizontal="center" vertical="top"/>
      <protection locked="0"/>
    </xf>
    <xf numFmtId="0" fontId="26" fillId="0" borderId="1" xfId="10" applyFill="1" applyBorder="1" applyAlignment="1" applyProtection="1">
      <alignment horizontal="left" vertical="top" wrapText="1"/>
      <protection locked="0"/>
    </xf>
    <xf numFmtId="0" fontId="7" fillId="0" borderId="8" xfId="1" applyFont="1" applyBorder="1" applyAlignment="1" applyProtection="1">
      <alignment horizontal="left" vertical="top" wrapText="1"/>
      <protection locked="0"/>
    </xf>
    <xf numFmtId="0" fontId="7" fillId="0" borderId="9" xfId="1" applyFont="1" applyBorder="1" applyAlignment="1" applyProtection="1">
      <alignment horizontal="left" vertical="top" wrapText="1"/>
      <protection locked="0"/>
    </xf>
    <xf numFmtId="0" fontId="10" fillId="0" borderId="8" xfId="1" applyFont="1" applyBorder="1" applyAlignment="1" applyProtection="1">
      <alignment horizontal="left" vertical="top"/>
      <protection locked="0"/>
    </xf>
    <xf numFmtId="0" fontId="10" fillId="0" borderId="21" xfId="1" applyFont="1" applyBorder="1" applyAlignment="1" applyProtection="1">
      <alignment horizontal="left" vertical="top"/>
      <protection locked="0"/>
    </xf>
    <xf numFmtId="0" fontId="10" fillId="0" borderId="9" xfId="1" applyFont="1" applyBorder="1" applyAlignment="1" applyProtection="1">
      <alignment horizontal="left" vertical="top"/>
      <protection locked="0"/>
    </xf>
    <xf numFmtId="1" fontId="27" fillId="0" borderId="8" xfId="0" applyNumberFormat="1" applyFont="1" applyBorder="1" applyAlignment="1" applyProtection="1">
      <alignment vertical="top" wrapText="1"/>
      <protection locked="0"/>
    </xf>
    <xf numFmtId="1" fontId="27" fillId="0" borderId="21" xfId="0" applyNumberFormat="1" applyFont="1" applyBorder="1" applyAlignment="1" applyProtection="1">
      <alignment vertical="top" wrapText="1"/>
      <protection locked="0"/>
    </xf>
    <xf numFmtId="1" fontId="27" fillId="0" borderId="9" xfId="0" applyNumberFormat="1" applyFont="1" applyBorder="1" applyAlignment="1" applyProtection="1">
      <alignment vertical="top" wrapText="1"/>
      <protection locked="0"/>
    </xf>
    <xf numFmtId="0" fontId="10" fillId="0" borderId="8" xfId="1" applyFont="1" applyBorder="1" applyAlignment="1" applyProtection="1">
      <alignment horizontal="left"/>
      <protection locked="0"/>
    </xf>
    <xf numFmtId="0" fontId="10" fillId="0" borderId="21" xfId="1" applyFont="1" applyBorder="1" applyAlignment="1" applyProtection="1">
      <alignment horizontal="left"/>
      <protection locked="0"/>
    </xf>
    <xf numFmtId="0" fontId="10" fillId="0" borderId="9" xfId="1" applyFont="1" applyBorder="1" applyAlignment="1" applyProtection="1">
      <alignment horizontal="left"/>
      <protection locked="0"/>
    </xf>
    <xf numFmtId="1" fontId="6" fillId="0" borderId="17" xfId="1" applyNumberFormat="1" applyFont="1" applyBorder="1" applyAlignment="1" applyProtection="1">
      <alignment horizontal="center" vertical="center" wrapText="1"/>
      <protection locked="0"/>
    </xf>
    <xf numFmtId="1" fontId="6" fillId="0" borderId="18" xfId="1" applyNumberFormat="1" applyFont="1" applyBorder="1" applyAlignment="1" applyProtection="1">
      <alignment horizontal="center" vertical="center" wrapText="1"/>
      <protection locked="0"/>
    </xf>
    <xf numFmtId="1" fontId="6" fillId="0" borderId="25" xfId="1" applyNumberFormat="1" applyFont="1" applyBorder="1" applyAlignment="1" applyProtection="1">
      <alignment horizontal="center" vertical="center" wrapText="1"/>
      <protection locked="0"/>
    </xf>
    <xf numFmtId="1" fontId="6" fillId="0" borderId="26" xfId="1" applyNumberFormat="1" applyFont="1" applyBorder="1" applyAlignment="1" applyProtection="1">
      <alignment horizontal="center" vertical="center" wrapText="1"/>
      <protection locked="0"/>
    </xf>
    <xf numFmtId="1" fontId="6" fillId="0" borderId="19" xfId="1" applyNumberFormat="1" applyFont="1" applyBorder="1" applyAlignment="1" applyProtection="1">
      <alignment horizontal="center" vertical="center" wrapText="1"/>
      <protection locked="0"/>
    </xf>
    <xf numFmtId="1" fontId="6" fillId="0" borderId="20" xfId="1" applyNumberFormat="1" applyFont="1" applyBorder="1" applyAlignment="1" applyProtection="1">
      <alignment horizontal="center" vertical="center" wrapText="1"/>
      <protection locked="0"/>
    </xf>
    <xf numFmtId="1" fontId="10" fillId="0" borderId="8" xfId="0" applyNumberFormat="1" applyFont="1" applyBorder="1" applyAlignment="1" applyProtection="1">
      <alignment vertical="top" wrapText="1"/>
      <protection locked="0"/>
    </xf>
    <xf numFmtId="1" fontId="10" fillId="0" borderId="21" xfId="0" applyNumberFormat="1" applyFont="1" applyBorder="1" applyAlignment="1" applyProtection="1">
      <alignment vertical="top" wrapText="1"/>
      <protection locked="0"/>
    </xf>
    <xf numFmtId="1" fontId="10" fillId="0" borderId="9" xfId="0" applyNumberFormat="1" applyFont="1" applyBorder="1" applyAlignment="1" applyProtection="1">
      <alignment vertical="top" wrapText="1"/>
      <protection locked="0"/>
    </xf>
    <xf numFmtId="1" fontId="13" fillId="0" borderId="8" xfId="0" applyNumberFormat="1" applyFont="1" applyBorder="1" applyAlignment="1" applyProtection="1">
      <alignment vertical="top" wrapText="1"/>
      <protection locked="0"/>
    </xf>
    <xf numFmtId="1" fontId="13" fillId="0" borderId="21" xfId="0" applyNumberFormat="1" applyFont="1" applyBorder="1" applyAlignment="1" applyProtection="1">
      <alignment vertical="top" wrapText="1"/>
      <protection locked="0"/>
    </xf>
    <xf numFmtId="1" fontId="13" fillId="0" borderId="9" xfId="0" applyNumberFormat="1" applyFont="1" applyBorder="1" applyAlignment="1" applyProtection="1">
      <alignment vertical="top" wrapText="1"/>
      <protection locked="0"/>
    </xf>
    <xf numFmtId="1" fontId="8" fillId="0" borderId="1" xfId="0" applyNumberFormat="1" applyFont="1" applyBorder="1" applyAlignment="1" applyProtection="1">
      <alignment horizontal="left" vertical="top" wrapText="1"/>
      <protection locked="0"/>
    </xf>
    <xf numFmtId="0" fontId="9" fillId="0" borderId="1" xfId="5" applyFont="1" applyBorder="1" applyAlignment="1">
      <alignment horizontal="left"/>
    </xf>
  </cellXfs>
  <cellStyles count="11">
    <cellStyle name="Comma" xfId="9" builtinId="3"/>
    <cellStyle name="Comma 2" xfId="6"/>
    <cellStyle name="Excel Built-in Normal" xfId="2"/>
    <cellStyle name="Excel Built-in Normal 2" xfId="4"/>
    <cellStyle name="Hyperlink" xfId="10" builtinId="8"/>
    <cellStyle name="Normal" xfId="0" builtinId="0"/>
    <cellStyle name="Normal 2" xfId="3"/>
    <cellStyle name="Normal 3" xfId="1"/>
    <cellStyle name="Normal 3 3" xfId="7"/>
    <cellStyle name="Normal 4" xfId="5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542925</xdr:colOff>
      <xdr:row>269</xdr:row>
      <xdr:rowOff>161925</xdr:rowOff>
    </xdr:from>
    <xdr:to>
      <xdr:col>8</xdr:col>
      <xdr:colOff>914400</xdr:colOff>
      <xdr:row>271</xdr:row>
      <xdr:rowOff>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7543800" y="50368200"/>
          <a:ext cx="371475" cy="238125"/>
        </a:xfrm>
        <a:prstGeom prst="straightConnector1">
          <a:avLst/>
        </a:prstGeom>
        <a:ln w="28575"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828675</xdr:colOff>
      <xdr:row>267</xdr:row>
      <xdr:rowOff>161925</xdr:rowOff>
    </xdr:from>
    <xdr:to>
      <xdr:col>10</xdr:col>
      <xdr:colOff>219075</xdr:colOff>
      <xdr:row>271</xdr:row>
      <xdr:rowOff>104775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829550" y="49968150"/>
          <a:ext cx="14573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2800" b="1">
              <a:ln>
                <a:noFill/>
              </a:ln>
              <a:solidFill>
                <a:srgbClr val="FF0000"/>
              </a:solidFill>
            </a:rPr>
            <a:t>N</a:t>
          </a:r>
        </a:p>
      </xdr:txBody>
    </xdr:sp>
    <xdr:clientData/>
  </xdr:twoCellAnchor>
  <xdr:twoCellAnchor editAs="oneCell">
    <xdr:from>
      <xdr:col>0</xdr:col>
      <xdr:colOff>676277</xdr:colOff>
      <xdr:row>289</xdr:row>
      <xdr:rowOff>0</xdr:rowOff>
    </xdr:from>
    <xdr:to>
      <xdr:col>7</xdr:col>
      <xdr:colOff>131496</xdr:colOff>
      <xdr:row>307</xdr:row>
      <xdr:rowOff>416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6277" y="55206900"/>
          <a:ext cx="5570269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676275</xdr:colOff>
      <xdr:row>307</xdr:row>
      <xdr:rowOff>143416</xdr:rowOff>
    </xdr:from>
    <xdr:to>
      <xdr:col>7</xdr:col>
      <xdr:colOff>131496</xdr:colOff>
      <xdr:row>325</xdr:row>
      <xdr:rowOff>142966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6275" y="58950766"/>
          <a:ext cx="5570271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3</xdr:col>
      <xdr:colOff>838316</xdr:colOff>
      <xdr:row>317</xdr:row>
      <xdr:rowOff>8518</xdr:rowOff>
    </xdr:from>
    <xdr:to>
      <xdr:col>4</xdr:col>
      <xdr:colOff>323226</xdr:colOff>
      <xdr:row>319</xdr:row>
      <xdr:rowOff>92001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881870">
          <a:off x="3429116" y="60816118"/>
          <a:ext cx="494560" cy="483533"/>
        </a:xfrm>
        <a:prstGeom prst="rect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8</xdr:col>
      <xdr:colOff>76200</xdr:colOff>
      <xdr:row>306</xdr:row>
      <xdr:rowOff>104775</xdr:rowOff>
    </xdr:from>
    <xdr:to>
      <xdr:col>10</xdr:col>
      <xdr:colOff>66675</xdr:colOff>
      <xdr:row>311</xdr:row>
      <xdr:rowOff>9525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077075" y="58712100"/>
          <a:ext cx="2057400" cy="904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1800" b="1">
              <a:ln>
                <a:noFill/>
              </a:ln>
              <a:solidFill>
                <a:srgbClr val="002060"/>
              </a:solidFill>
            </a:rPr>
            <a:t>Serenity Enclave</a:t>
          </a:r>
        </a:p>
      </xdr:txBody>
    </xdr:sp>
    <xdr:clientData/>
  </xdr:twoCellAnchor>
  <xdr:twoCellAnchor>
    <xdr:from>
      <xdr:col>3</xdr:col>
      <xdr:colOff>742950</xdr:colOff>
      <xdr:row>311</xdr:row>
      <xdr:rowOff>190500</xdr:rowOff>
    </xdr:from>
    <xdr:to>
      <xdr:col>6</xdr:col>
      <xdr:colOff>114300</xdr:colOff>
      <xdr:row>316</xdr:row>
      <xdr:rowOff>95250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333750" y="59797950"/>
          <a:ext cx="2057400" cy="904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1800" b="1">
              <a:ln>
                <a:noFill/>
              </a:ln>
              <a:solidFill>
                <a:srgbClr val="FFFF00"/>
              </a:solidFill>
            </a:rPr>
            <a:t>Serenity</a:t>
          </a:r>
        </a:p>
        <a:p>
          <a:pPr algn="l"/>
          <a:r>
            <a:rPr lang="en-IN" sz="1800" b="1">
              <a:ln>
                <a:noFill/>
              </a:ln>
              <a:solidFill>
                <a:srgbClr val="FFFF00"/>
              </a:solidFill>
            </a:rPr>
            <a:t> Enclave</a:t>
          </a:r>
        </a:p>
      </xdr:txBody>
    </xdr:sp>
    <xdr:clientData/>
  </xdr:twoCellAnchor>
  <xdr:twoCellAnchor>
    <xdr:from>
      <xdr:col>4</xdr:col>
      <xdr:colOff>137287</xdr:colOff>
      <xdr:row>314</xdr:row>
      <xdr:rowOff>114300</xdr:rowOff>
    </xdr:from>
    <xdr:to>
      <xdr:col>4</xdr:col>
      <xdr:colOff>266700</xdr:colOff>
      <xdr:row>317</xdr:row>
      <xdr:rowOff>16429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endCxn id="19" idx="0"/>
        </xdr:cNvCxnSpPr>
      </xdr:nvCxnSpPr>
      <xdr:spPr>
        <a:xfrm flipH="1">
          <a:off x="3737737" y="60321825"/>
          <a:ext cx="129413" cy="502204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250</xdr:row>
      <xdr:rowOff>0</xdr:rowOff>
    </xdr:from>
    <xdr:to>
      <xdr:col>7</xdr:col>
      <xdr:colOff>123941</xdr:colOff>
      <xdr:row>278</xdr:row>
      <xdr:rowOff>159300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58" t="25236" r="64951" b="14858"/>
        <a:stretch/>
      </xdr:blipFill>
      <xdr:spPr>
        <a:xfrm>
          <a:off x="819150" y="46405800"/>
          <a:ext cx="5419841" cy="576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5</xdr:col>
      <xdr:colOff>742950</xdr:colOff>
      <xdr:row>273</xdr:row>
      <xdr:rowOff>95250</xdr:rowOff>
    </xdr:from>
    <xdr:to>
      <xdr:col>6</xdr:col>
      <xdr:colOff>276225</xdr:colOff>
      <xdr:row>274</xdr:row>
      <xdr:rowOff>133350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5181600" y="51101625"/>
          <a:ext cx="371475" cy="238125"/>
        </a:xfrm>
        <a:prstGeom prst="straightConnector1">
          <a:avLst/>
        </a:prstGeom>
        <a:ln w="28575"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271</xdr:row>
      <xdr:rowOff>95250</xdr:rowOff>
    </xdr:from>
    <xdr:to>
      <xdr:col>7</xdr:col>
      <xdr:colOff>809625</xdr:colOff>
      <xdr:row>275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467350" y="50701575"/>
          <a:ext cx="14573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2800" b="1">
              <a:ln>
                <a:noFill/>
              </a:ln>
              <a:solidFill>
                <a:srgbClr val="FF0000"/>
              </a:solidFill>
            </a:rPr>
            <a:t>N</a:t>
          </a:r>
        </a:p>
      </xdr:txBody>
    </xdr:sp>
    <xdr:clientData/>
  </xdr:twoCellAnchor>
  <xdr:twoCellAnchor editAs="oneCell">
    <xdr:from>
      <xdr:col>8</xdr:col>
      <xdr:colOff>539750</xdr:colOff>
      <xdr:row>1</xdr:row>
      <xdr:rowOff>171450</xdr:rowOff>
    </xdr:from>
    <xdr:to>
      <xdr:col>15</xdr:col>
      <xdr:colOff>27900</xdr:colOff>
      <xdr:row>17</xdr:row>
      <xdr:rowOff>14900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4950" y="762000"/>
          <a:ext cx="5533350" cy="30375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0</xdr:col>
      <xdr:colOff>374650</xdr:colOff>
      <xdr:row>205</xdr:row>
      <xdr:rowOff>69850</xdr:rowOff>
    </xdr:from>
    <xdr:to>
      <xdr:col>7</xdr:col>
      <xdr:colOff>852266</xdr:colOff>
      <xdr:row>245</xdr:row>
      <xdr:rowOff>90162</xdr:rowOff>
    </xdr:to>
    <xdr:grpSp>
      <xdr:nvGrpSpPr>
        <xdr:cNvPr id="9" name="Group 8"/>
        <xdr:cNvGrpSpPr/>
      </xdr:nvGrpSpPr>
      <xdr:grpSpPr>
        <a:xfrm>
          <a:off x="374650" y="35896550"/>
          <a:ext cx="6421216" cy="7887962"/>
          <a:chOff x="374650" y="36093400"/>
          <a:chExt cx="6421216" cy="7887962"/>
        </a:xfrm>
      </xdr:grpSpPr>
      <xdr:pic>
        <xdr:nvPicPr>
          <xdr:cNvPr id="21" name="Picture 2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46591" y="41821362"/>
            <a:ext cx="2877333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74651" y="36093400"/>
            <a:ext cx="2049863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6" name="Picture 25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74650" y="38957381"/>
            <a:ext cx="2049863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0" name="Picture 29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746003" y="36093400"/>
            <a:ext cx="2049863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1" name="Picture 30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60327" y="38957381"/>
            <a:ext cx="2049863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2" name="Picture 31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746002" y="38957381"/>
            <a:ext cx="2049863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" name="Picture 32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60327" y="36093400"/>
            <a:ext cx="2049863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 editAs="oneCell">
    <xdr:from>
      <xdr:col>8</xdr:col>
      <xdr:colOff>469900</xdr:colOff>
      <xdr:row>52</xdr:row>
      <xdr:rowOff>254000</xdr:rowOff>
    </xdr:from>
    <xdr:to>
      <xdr:col>10</xdr:col>
      <xdr:colOff>196850</xdr:colOff>
      <xdr:row>58</xdr:row>
      <xdr:rowOff>69850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31397" t="20279" r="36265" b="7181"/>
        <a:stretch/>
      </xdr:blipFill>
      <xdr:spPr>
        <a:xfrm>
          <a:off x="7607300" y="12007850"/>
          <a:ext cx="1746250" cy="220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FefoHFGzsFrT3JtE7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288"/>
  <sheetViews>
    <sheetView tabSelected="1" view="pageBreakPreview" topLeftCell="A178" zoomScaleNormal="100" zoomScaleSheetLayoutView="100" workbookViewId="0">
      <selection activeCell="A193" sqref="A193:H193"/>
    </sheetView>
  </sheetViews>
  <sheetFormatPr defaultColWidth="9.08984375" defaultRowHeight="15.5" x14ac:dyDescent="0.35"/>
  <cols>
    <col min="1" max="1" width="11.453125" style="41" customWidth="1"/>
    <col min="2" max="2" width="12" style="41" customWidth="1"/>
    <col min="3" max="3" width="12.6328125" style="41" customWidth="1"/>
    <col min="4" max="4" width="14.08984375" style="41" customWidth="1"/>
    <col min="5" max="7" width="11.6328125" style="41" customWidth="1"/>
    <col min="8" max="8" width="17.08984375" style="41" customWidth="1"/>
    <col min="9" max="9" width="17.453125" style="22" customWidth="1"/>
    <col min="10" max="10" width="11.453125" style="22" customWidth="1"/>
    <col min="11" max="11" width="10.54296875" style="22" bestFit="1" customWidth="1"/>
    <col min="12" max="12" width="10.54296875" style="22" customWidth="1"/>
    <col min="13" max="13" width="11.90625" style="22" customWidth="1"/>
    <col min="14" max="14" width="12.54296875" style="22" customWidth="1"/>
    <col min="15" max="15" width="9.90625" style="22" customWidth="1"/>
    <col min="16" max="16" width="11.6328125" style="22" customWidth="1"/>
    <col min="17" max="247" width="9.08984375" style="22"/>
    <col min="248" max="248" width="8.6328125" style="22" customWidth="1"/>
    <col min="249" max="249" width="9.90625" style="22" customWidth="1"/>
    <col min="250" max="250" width="14.453125" style="22" customWidth="1"/>
    <col min="251" max="251" width="7.36328125" style="22" customWidth="1"/>
    <col min="252" max="252" width="5.54296875" style="22" customWidth="1"/>
    <col min="253" max="253" width="9" style="22" customWidth="1"/>
    <col min="254" max="255" width="9.90625" style="22" customWidth="1"/>
    <col min="256" max="256" width="11.08984375" style="22" customWidth="1"/>
    <col min="257" max="257" width="2.90625" style="22" customWidth="1"/>
    <col min="258" max="258" width="3.54296875" style="22" customWidth="1"/>
    <col min="259" max="503" width="9.08984375" style="22"/>
    <col min="504" max="504" width="8.6328125" style="22" customWidth="1"/>
    <col min="505" max="505" width="9.90625" style="22" customWidth="1"/>
    <col min="506" max="506" width="14.453125" style="22" customWidth="1"/>
    <col min="507" max="507" width="7.36328125" style="22" customWidth="1"/>
    <col min="508" max="508" width="5.54296875" style="22" customWidth="1"/>
    <col min="509" max="509" width="9" style="22" customWidth="1"/>
    <col min="510" max="511" width="9.90625" style="22" customWidth="1"/>
    <col min="512" max="512" width="11.08984375" style="22" customWidth="1"/>
    <col min="513" max="513" width="2.90625" style="22" customWidth="1"/>
    <col min="514" max="514" width="3.54296875" style="22" customWidth="1"/>
    <col min="515" max="759" width="9.08984375" style="22"/>
    <col min="760" max="760" width="8.6328125" style="22" customWidth="1"/>
    <col min="761" max="761" width="9.90625" style="22" customWidth="1"/>
    <col min="762" max="762" width="14.453125" style="22" customWidth="1"/>
    <col min="763" max="763" width="7.36328125" style="22" customWidth="1"/>
    <col min="764" max="764" width="5.54296875" style="22" customWidth="1"/>
    <col min="765" max="765" width="9" style="22" customWidth="1"/>
    <col min="766" max="767" width="9.90625" style="22" customWidth="1"/>
    <col min="768" max="768" width="11.08984375" style="22" customWidth="1"/>
    <col min="769" max="769" width="2.90625" style="22" customWidth="1"/>
    <col min="770" max="770" width="3.54296875" style="22" customWidth="1"/>
    <col min="771" max="1015" width="9.08984375" style="22"/>
    <col min="1016" max="1016" width="8.6328125" style="22" customWidth="1"/>
    <col min="1017" max="1017" width="9.90625" style="22" customWidth="1"/>
    <col min="1018" max="1018" width="14.453125" style="22" customWidth="1"/>
    <col min="1019" max="1019" width="7.36328125" style="22" customWidth="1"/>
    <col min="1020" max="1020" width="5.54296875" style="22" customWidth="1"/>
    <col min="1021" max="1021" width="9" style="22" customWidth="1"/>
    <col min="1022" max="1023" width="9.90625" style="22" customWidth="1"/>
    <col min="1024" max="1024" width="11.08984375" style="22" customWidth="1"/>
    <col min="1025" max="1025" width="2.90625" style="22" customWidth="1"/>
    <col min="1026" max="1026" width="3.54296875" style="22" customWidth="1"/>
    <col min="1027" max="1271" width="9.08984375" style="22"/>
    <col min="1272" max="1272" width="8.6328125" style="22" customWidth="1"/>
    <col min="1273" max="1273" width="9.90625" style="22" customWidth="1"/>
    <col min="1274" max="1274" width="14.453125" style="22" customWidth="1"/>
    <col min="1275" max="1275" width="7.36328125" style="22" customWidth="1"/>
    <col min="1276" max="1276" width="5.54296875" style="22" customWidth="1"/>
    <col min="1277" max="1277" width="9" style="22" customWidth="1"/>
    <col min="1278" max="1279" width="9.90625" style="22" customWidth="1"/>
    <col min="1280" max="1280" width="11.08984375" style="22" customWidth="1"/>
    <col min="1281" max="1281" width="2.90625" style="22" customWidth="1"/>
    <col min="1282" max="1282" width="3.54296875" style="22" customWidth="1"/>
    <col min="1283" max="1527" width="9.08984375" style="22"/>
    <col min="1528" max="1528" width="8.6328125" style="22" customWidth="1"/>
    <col min="1529" max="1529" width="9.90625" style="22" customWidth="1"/>
    <col min="1530" max="1530" width="14.453125" style="22" customWidth="1"/>
    <col min="1531" max="1531" width="7.36328125" style="22" customWidth="1"/>
    <col min="1532" max="1532" width="5.54296875" style="22" customWidth="1"/>
    <col min="1533" max="1533" width="9" style="22" customWidth="1"/>
    <col min="1534" max="1535" width="9.90625" style="22" customWidth="1"/>
    <col min="1536" max="1536" width="11.08984375" style="22" customWidth="1"/>
    <col min="1537" max="1537" width="2.90625" style="22" customWidth="1"/>
    <col min="1538" max="1538" width="3.54296875" style="22" customWidth="1"/>
    <col min="1539" max="1783" width="9.08984375" style="22"/>
    <col min="1784" max="1784" width="8.6328125" style="22" customWidth="1"/>
    <col min="1785" max="1785" width="9.90625" style="22" customWidth="1"/>
    <col min="1786" max="1786" width="14.453125" style="22" customWidth="1"/>
    <col min="1787" max="1787" width="7.36328125" style="22" customWidth="1"/>
    <col min="1788" max="1788" width="5.54296875" style="22" customWidth="1"/>
    <col min="1789" max="1789" width="9" style="22" customWidth="1"/>
    <col min="1790" max="1791" width="9.90625" style="22" customWidth="1"/>
    <col min="1792" max="1792" width="11.08984375" style="22" customWidth="1"/>
    <col min="1793" max="1793" width="2.90625" style="22" customWidth="1"/>
    <col min="1794" max="1794" width="3.54296875" style="22" customWidth="1"/>
    <col min="1795" max="2039" width="9.08984375" style="22"/>
    <col min="2040" max="2040" width="8.6328125" style="22" customWidth="1"/>
    <col min="2041" max="2041" width="9.90625" style="22" customWidth="1"/>
    <col min="2042" max="2042" width="14.453125" style="22" customWidth="1"/>
    <col min="2043" max="2043" width="7.36328125" style="22" customWidth="1"/>
    <col min="2044" max="2044" width="5.54296875" style="22" customWidth="1"/>
    <col min="2045" max="2045" width="9" style="22" customWidth="1"/>
    <col min="2046" max="2047" width="9.90625" style="22" customWidth="1"/>
    <col min="2048" max="2048" width="11.08984375" style="22" customWidth="1"/>
    <col min="2049" max="2049" width="2.90625" style="22" customWidth="1"/>
    <col min="2050" max="2050" width="3.54296875" style="22" customWidth="1"/>
    <col min="2051" max="2295" width="9.08984375" style="22"/>
    <col min="2296" max="2296" width="8.6328125" style="22" customWidth="1"/>
    <col min="2297" max="2297" width="9.90625" style="22" customWidth="1"/>
    <col min="2298" max="2298" width="14.453125" style="22" customWidth="1"/>
    <col min="2299" max="2299" width="7.36328125" style="22" customWidth="1"/>
    <col min="2300" max="2300" width="5.54296875" style="22" customWidth="1"/>
    <col min="2301" max="2301" width="9" style="22" customWidth="1"/>
    <col min="2302" max="2303" width="9.90625" style="22" customWidth="1"/>
    <col min="2304" max="2304" width="11.08984375" style="22" customWidth="1"/>
    <col min="2305" max="2305" width="2.90625" style="22" customWidth="1"/>
    <col min="2306" max="2306" width="3.54296875" style="22" customWidth="1"/>
    <col min="2307" max="2551" width="9.08984375" style="22"/>
    <col min="2552" max="2552" width="8.6328125" style="22" customWidth="1"/>
    <col min="2553" max="2553" width="9.90625" style="22" customWidth="1"/>
    <col min="2554" max="2554" width="14.453125" style="22" customWidth="1"/>
    <col min="2555" max="2555" width="7.36328125" style="22" customWidth="1"/>
    <col min="2556" max="2556" width="5.54296875" style="22" customWidth="1"/>
    <col min="2557" max="2557" width="9" style="22" customWidth="1"/>
    <col min="2558" max="2559" width="9.90625" style="22" customWidth="1"/>
    <col min="2560" max="2560" width="11.08984375" style="22" customWidth="1"/>
    <col min="2561" max="2561" width="2.90625" style="22" customWidth="1"/>
    <col min="2562" max="2562" width="3.54296875" style="22" customWidth="1"/>
    <col min="2563" max="2807" width="9.08984375" style="22"/>
    <col min="2808" max="2808" width="8.6328125" style="22" customWidth="1"/>
    <col min="2809" max="2809" width="9.90625" style="22" customWidth="1"/>
    <col min="2810" max="2810" width="14.453125" style="22" customWidth="1"/>
    <col min="2811" max="2811" width="7.36328125" style="22" customWidth="1"/>
    <col min="2812" max="2812" width="5.54296875" style="22" customWidth="1"/>
    <col min="2813" max="2813" width="9" style="22" customWidth="1"/>
    <col min="2814" max="2815" width="9.90625" style="22" customWidth="1"/>
    <col min="2816" max="2816" width="11.08984375" style="22" customWidth="1"/>
    <col min="2817" max="2817" width="2.90625" style="22" customWidth="1"/>
    <col min="2818" max="2818" width="3.54296875" style="22" customWidth="1"/>
    <col min="2819" max="3063" width="9.08984375" style="22"/>
    <col min="3064" max="3064" width="8.6328125" style="22" customWidth="1"/>
    <col min="3065" max="3065" width="9.90625" style="22" customWidth="1"/>
    <col min="3066" max="3066" width="14.453125" style="22" customWidth="1"/>
    <col min="3067" max="3067" width="7.36328125" style="22" customWidth="1"/>
    <col min="3068" max="3068" width="5.54296875" style="22" customWidth="1"/>
    <col min="3069" max="3069" width="9" style="22" customWidth="1"/>
    <col min="3070" max="3071" width="9.90625" style="22" customWidth="1"/>
    <col min="3072" max="3072" width="11.08984375" style="22" customWidth="1"/>
    <col min="3073" max="3073" width="2.90625" style="22" customWidth="1"/>
    <col min="3074" max="3074" width="3.54296875" style="22" customWidth="1"/>
    <col min="3075" max="3319" width="9.08984375" style="22"/>
    <col min="3320" max="3320" width="8.6328125" style="22" customWidth="1"/>
    <col min="3321" max="3321" width="9.90625" style="22" customWidth="1"/>
    <col min="3322" max="3322" width="14.453125" style="22" customWidth="1"/>
    <col min="3323" max="3323" width="7.36328125" style="22" customWidth="1"/>
    <col min="3324" max="3324" width="5.54296875" style="22" customWidth="1"/>
    <col min="3325" max="3325" width="9" style="22" customWidth="1"/>
    <col min="3326" max="3327" width="9.90625" style="22" customWidth="1"/>
    <col min="3328" max="3328" width="11.08984375" style="22" customWidth="1"/>
    <col min="3329" max="3329" width="2.90625" style="22" customWidth="1"/>
    <col min="3330" max="3330" width="3.54296875" style="22" customWidth="1"/>
    <col min="3331" max="3575" width="9.08984375" style="22"/>
    <col min="3576" max="3576" width="8.6328125" style="22" customWidth="1"/>
    <col min="3577" max="3577" width="9.90625" style="22" customWidth="1"/>
    <col min="3578" max="3578" width="14.453125" style="22" customWidth="1"/>
    <col min="3579" max="3579" width="7.36328125" style="22" customWidth="1"/>
    <col min="3580" max="3580" width="5.54296875" style="22" customWidth="1"/>
    <col min="3581" max="3581" width="9" style="22" customWidth="1"/>
    <col min="3582" max="3583" width="9.90625" style="22" customWidth="1"/>
    <col min="3584" max="3584" width="11.08984375" style="22" customWidth="1"/>
    <col min="3585" max="3585" width="2.90625" style="22" customWidth="1"/>
    <col min="3586" max="3586" width="3.54296875" style="22" customWidth="1"/>
    <col min="3587" max="3831" width="9.08984375" style="22"/>
    <col min="3832" max="3832" width="8.6328125" style="22" customWidth="1"/>
    <col min="3833" max="3833" width="9.90625" style="22" customWidth="1"/>
    <col min="3834" max="3834" width="14.453125" style="22" customWidth="1"/>
    <col min="3835" max="3835" width="7.36328125" style="22" customWidth="1"/>
    <col min="3836" max="3836" width="5.54296875" style="22" customWidth="1"/>
    <col min="3837" max="3837" width="9" style="22" customWidth="1"/>
    <col min="3838" max="3839" width="9.90625" style="22" customWidth="1"/>
    <col min="3840" max="3840" width="11.08984375" style="22" customWidth="1"/>
    <col min="3841" max="3841" width="2.90625" style="22" customWidth="1"/>
    <col min="3842" max="3842" width="3.54296875" style="22" customWidth="1"/>
    <col min="3843" max="4087" width="9.08984375" style="22"/>
    <col min="4088" max="4088" width="8.6328125" style="22" customWidth="1"/>
    <col min="4089" max="4089" width="9.90625" style="22" customWidth="1"/>
    <col min="4090" max="4090" width="14.453125" style="22" customWidth="1"/>
    <col min="4091" max="4091" width="7.36328125" style="22" customWidth="1"/>
    <col min="4092" max="4092" width="5.54296875" style="22" customWidth="1"/>
    <col min="4093" max="4093" width="9" style="22" customWidth="1"/>
    <col min="4094" max="4095" width="9.90625" style="22" customWidth="1"/>
    <col min="4096" max="4096" width="11.08984375" style="22" customWidth="1"/>
    <col min="4097" max="4097" width="2.90625" style="22" customWidth="1"/>
    <col min="4098" max="4098" width="3.54296875" style="22" customWidth="1"/>
    <col min="4099" max="4343" width="9.08984375" style="22"/>
    <col min="4344" max="4344" width="8.6328125" style="22" customWidth="1"/>
    <col min="4345" max="4345" width="9.90625" style="22" customWidth="1"/>
    <col min="4346" max="4346" width="14.453125" style="22" customWidth="1"/>
    <col min="4347" max="4347" width="7.36328125" style="22" customWidth="1"/>
    <col min="4348" max="4348" width="5.54296875" style="22" customWidth="1"/>
    <col min="4349" max="4349" width="9" style="22" customWidth="1"/>
    <col min="4350" max="4351" width="9.90625" style="22" customWidth="1"/>
    <col min="4352" max="4352" width="11.08984375" style="22" customWidth="1"/>
    <col min="4353" max="4353" width="2.90625" style="22" customWidth="1"/>
    <col min="4354" max="4354" width="3.54296875" style="22" customWidth="1"/>
    <col min="4355" max="4599" width="9.08984375" style="22"/>
    <col min="4600" max="4600" width="8.6328125" style="22" customWidth="1"/>
    <col min="4601" max="4601" width="9.90625" style="22" customWidth="1"/>
    <col min="4602" max="4602" width="14.453125" style="22" customWidth="1"/>
    <col min="4603" max="4603" width="7.36328125" style="22" customWidth="1"/>
    <col min="4604" max="4604" width="5.54296875" style="22" customWidth="1"/>
    <col min="4605" max="4605" width="9" style="22" customWidth="1"/>
    <col min="4606" max="4607" width="9.90625" style="22" customWidth="1"/>
    <col min="4608" max="4608" width="11.08984375" style="22" customWidth="1"/>
    <col min="4609" max="4609" width="2.90625" style="22" customWidth="1"/>
    <col min="4610" max="4610" width="3.54296875" style="22" customWidth="1"/>
    <col min="4611" max="4855" width="9.08984375" style="22"/>
    <col min="4856" max="4856" width="8.6328125" style="22" customWidth="1"/>
    <col min="4857" max="4857" width="9.90625" style="22" customWidth="1"/>
    <col min="4858" max="4858" width="14.453125" style="22" customWidth="1"/>
    <col min="4859" max="4859" width="7.36328125" style="22" customWidth="1"/>
    <col min="4860" max="4860" width="5.54296875" style="22" customWidth="1"/>
    <col min="4861" max="4861" width="9" style="22" customWidth="1"/>
    <col min="4862" max="4863" width="9.90625" style="22" customWidth="1"/>
    <col min="4864" max="4864" width="11.08984375" style="22" customWidth="1"/>
    <col min="4865" max="4865" width="2.90625" style="22" customWidth="1"/>
    <col min="4866" max="4866" width="3.54296875" style="22" customWidth="1"/>
    <col min="4867" max="5111" width="9.08984375" style="22"/>
    <col min="5112" max="5112" width="8.6328125" style="22" customWidth="1"/>
    <col min="5113" max="5113" width="9.90625" style="22" customWidth="1"/>
    <col min="5114" max="5114" width="14.453125" style="22" customWidth="1"/>
    <col min="5115" max="5115" width="7.36328125" style="22" customWidth="1"/>
    <col min="5116" max="5116" width="5.54296875" style="22" customWidth="1"/>
    <col min="5117" max="5117" width="9" style="22" customWidth="1"/>
    <col min="5118" max="5119" width="9.90625" style="22" customWidth="1"/>
    <col min="5120" max="5120" width="11.08984375" style="22" customWidth="1"/>
    <col min="5121" max="5121" width="2.90625" style="22" customWidth="1"/>
    <col min="5122" max="5122" width="3.54296875" style="22" customWidth="1"/>
    <col min="5123" max="5367" width="9.08984375" style="22"/>
    <col min="5368" max="5368" width="8.6328125" style="22" customWidth="1"/>
    <col min="5369" max="5369" width="9.90625" style="22" customWidth="1"/>
    <col min="5370" max="5370" width="14.453125" style="22" customWidth="1"/>
    <col min="5371" max="5371" width="7.36328125" style="22" customWidth="1"/>
    <col min="5372" max="5372" width="5.54296875" style="22" customWidth="1"/>
    <col min="5373" max="5373" width="9" style="22" customWidth="1"/>
    <col min="5374" max="5375" width="9.90625" style="22" customWidth="1"/>
    <col min="5376" max="5376" width="11.08984375" style="22" customWidth="1"/>
    <col min="5377" max="5377" width="2.90625" style="22" customWidth="1"/>
    <col min="5378" max="5378" width="3.54296875" style="22" customWidth="1"/>
    <col min="5379" max="5623" width="9.08984375" style="22"/>
    <col min="5624" max="5624" width="8.6328125" style="22" customWidth="1"/>
    <col min="5625" max="5625" width="9.90625" style="22" customWidth="1"/>
    <col min="5626" max="5626" width="14.453125" style="22" customWidth="1"/>
    <col min="5627" max="5627" width="7.36328125" style="22" customWidth="1"/>
    <col min="5628" max="5628" width="5.54296875" style="22" customWidth="1"/>
    <col min="5629" max="5629" width="9" style="22" customWidth="1"/>
    <col min="5630" max="5631" width="9.90625" style="22" customWidth="1"/>
    <col min="5632" max="5632" width="11.08984375" style="22" customWidth="1"/>
    <col min="5633" max="5633" width="2.90625" style="22" customWidth="1"/>
    <col min="5634" max="5634" width="3.54296875" style="22" customWidth="1"/>
    <col min="5635" max="5879" width="9.08984375" style="22"/>
    <col min="5880" max="5880" width="8.6328125" style="22" customWidth="1"/>
    <col min="5881" max="5881" width="9.90625" style="22" customWidth="1"/>
    <col min="5882" max="5882" width="14.453125" style="22" customWidth="1"/>
    <col min="5883" max="5883" width="7.36328125" style="22" customWidth="1"/>
    <col min="5884" max="5884" width="5.54296875" style="22" customWidth="1"/>
    <col min="5885" max="5885" width="9" style="22" customWidth="1"/>
    <col min="5886" max="5887" width="9.90625" style="22" customWidth="1"/>
    <col min="5888" max="5888" width="11.08984375" style="22" customWidth="1"/>
    <col min="5889" max="5889" width="2.90625" style="22" customWidth="1"/>
    <col min="5890" max="5890" width="3.54296875" style="22" customWidth="1"/>
    <col min="5891" max="6135" width="9.08984375" style="22"/>
    <col min="6136" max="6136" width="8.6328125" style="22" customWidth="1"/>
    <col min="6137" max="6137" width="9.90625" style="22" customWidth="1"/>
    <col min="6138" max="6138" width="14.453125" style="22" customWidth="1"/>
    <col min="6139" max="6139" width="7.36328125" style="22" customWidth="1"/>
    <col min="6140" max="6140" width="5.54296875" style="22" customWidth="1"/>
    <col min="6141" max="6141" width="9" style="22" customWidth="1"/>
    <col min="6142" max="6143" width="9.90625" style="22" customWidth="1"/>
    <col min="6144" max="6144" width="11.08984375" style="22" customWidth="1"/>
    <col min="6145" max="6145" width="2.90625" style="22" customWidth="1"/>
    <col min="6146" max="6146" width="3.54296875" style="22" customWidth="1"/>
    <col min="6147" max="6391" width="9.08984375" style="22"/>
    <col min="6392" max="6392" width="8.6328125" style="22" customWidth="1"/>
    <col min="6393" max="6393" width="9.90625" style="22" customWidth="1"/>
    <col min="6394" max="6394" width="14.453125" style="22" customWidth="1"/>
    <col min="6395" max="6395" width="7.36328125" style="22" customWidth="1"/>
    <col min="6396" max="6396" width="5.54296875" style="22" customWidth="1"/>
    <col min="6397" max="6397" width="9" style="22" customWidth="1"/>
    <col min="6398" max="6399" width="9.90625" style="22" customWidth="1"/>
    <col min="6400" max="6400" width="11.08984375" style="22" customWidth="1"/>
    <col min="6401" max="6401" width="2.90625" style="22" customWidth="1"/>
    <col min="6402" max="6402" width="3.54296875" style="22" customWidth="1"/>
    <col min="6403" max="6647" width="9.08984375" style="22"/>
    <col min="6648" max="6648" width="8.6328125" style="22" customWidth="1"/>
    <col min="6649" max="6649" width="9.90625" style="22" customWidth="1"/>
    <col min="6650" max="6650" width="14.453125" style="22" customWidth="1"/>
    <col min="6651" max="6651" width="7.36328125" style="22" customWidth="1"/>
    <col min="6652" max="6652" width="5.54296875" style="22" customWidth="1"/>
    <col min="6653" max="6653" width="9" style="22" customWidth="1"/>
    <col min="6654" max="6655" width="9.90625" style="22" customWidth="1"/>
    <col min="6656" max="6656" width="11.08984375" style="22" customWidth="1"/>
    <col min="6657" max="6657" width="2.90625" style="22" customWidth="1"/>
    <col min="6658" max="6658" width="3.54296875" style="22" customWidth="1"/>
    <col min="6659" max="6903" width="9.08984375" style="22"/>
    <col min="6904" max="6904" width="8.6328125" style="22" customWidth="1"/>
    <col min="6905" max="6905" width="9.90625" style="22" customWidth="1"/>
    <col min="6906" max="6906" width="14.453125" style="22" customWidth="1"/>
    <col min="6907" max="6907" width="7.36328125" style="22" customWidth="1"/>
    <col min="6908" max="6908" width="5.54296875" style="22" customWidth="1"/>
    <col min="6909" max="6909" width="9" style="22" customWidth="1"/>
    <col min="6910" max="6911" width="9.90625" style="22" customWidth="1"/>
    <col min="6912" max="6912" width="11.08984375" style="22" customWidth="1"/>
    <col min="6913" max="6913" width="2.90625" style="22" customWidth="1"/>
    <col min="6914" max="6914" width="3.54296875" style="22" customWidth="1"/>
    <col min="6915" max="7159" width="9.08984375" style="22"/>
    <col min="7160" max="7160" width="8.6328125" style="22" customWidth="1"/>
    <col min="7161" max="7161" width="9.90625" style="22" customWidth="1"/>
    <col min="7162" max="7162" width="14.453125" style="22" customWidth="1"/>
    <col min="7163" max="7163" width="7.36328125" style="22" customWidth="1"/>
    <col min="7164" max="7164" width="5.54296875" style="22" customWidth="1"/>
    <col min="7165" max="7165" width="9" style="22" customWidth="1"/>
    <col min="7166" max="7167" width="9.90625" style="22" customWidth="1"/>
    <col min="7168" max="7168" width="11.08984375" style="22" customWidth="1"/>
    <col min="7169" max="7169" width="2.90625" style="22" customWidth="1"/>
    <col min="7170" max="7170" width="3.54296875" style="22" customWidth="1"/>
    <col min="7171" max="7415" width="9.08984375" style="22"/>
    <col min="7416" max="7416" width="8.6328125" style="22" customWidth="1"/>
    <col min="7417" max="7417" width="9.90625" style="22" customWidth="1"/>
    <col min="7418" max="7418" width="14.453125" style="22" customWidth="1"/>
    <col min="7419" max="7419" width="7.36328125" style="22" customWidth="1"/>
    <col min="7420" max="7420" width="5.54296875" style="22" customWidth="1"/>
    <col min="7421" max="7421" width="9" style="22" customWidth="1"/>
    <col min="7422" max="7423" width="9.90625" style="22" customWidth="1"/>
    <col min="7424" max="7424" width="11.08984375" style="22" customWidth="1"/>
    <col min="7425" max="7425" width="2.90625" style="22" customWidth="1"/>
    <col min="7426" max="7426" width="3.54296875" style="22" customWidth="1"/>
    <col min="7427" max="7671" width="9.08984375" style="22"/>
    <col min="7672" max="7672" width="8.6328125" style="22" customWidth="1"/>
    <col min="7673" max="7673" width="9.90625" style="22" customWidth="1"/>
    <col min="7674" max="7674" width="14.453125" style="22" customWidth="1"/>
    <col min="7675" max="7675" width="7.36328125" style="22" customWidth="1"/>
    <col min="7676" max="7676" width="5.54296875" style="22" customWidth="1"/>
    <col min="7677" max="7677" width="9" style="22" customWidth="1"/>
    <col min="7678" max="7679" width="9.90625" style="22" customWidth="1"/>
    <col min="7680" max="7680" width="11.08984375" style="22" customWidth="1"/>
    <col min="7681" max="7681" width="2.90625" style="22" customWidth="1"/>
    <col min="7682" max="7682" width="3.54296875" style="22" customWidth="1"/>
    <col min="7683" max="7927" width="9.08984375" style="22"/>
    <col min="7928" max="7928" width="8.6328125" style="22" customWidth="1"/>
    <col min="7929" max="7929" width="9.90625" style="22" customWidth="1"/>
    <col min="7930" max="7930" width="14.453125" style="22" customWidth="1"/>
    <col min="7931" max="7931" width="7.36328125" style="22" customWidth="1"/>
    <col min="7932" max="7932" width="5.54296875" style="22" customWidth="1"/>
    <col min="7933" max="7933" width="9" style="22" customWidth="1"/>
    <col min="7934" max="7935" width="9.90625" style="22" customWidth="1"/>
    <col min="7936" max="7936" width="11.08984375" style="22" customWidth="1"/>
    <col min="7937" max="7937" width="2.90625" style="22" customWidth="1"/>
    <col min="7938" max="7938" width="3.54296875" style="22" customWidth="1"/>
    <col min="7939" max="8183" width="9.08984375" style="22"/>
    <col min="8184" max="8184" width="8.6328125" style="22" customWidth="1"/>
    <col min="8185" max="8185" width="9.90625" style="22" customWidth="1"/>
    <col min="8186" max="8186" width="14.453125" style="22" customWidth="1"/>
    <col min="8187" max="8187" width="7.36328125" style="22" customWidth="1"/>
    <col min="8188" max="8188" width="5.54296875" style="22" customWidth="1"/>
    <col min="8189" max="8189" width="9" style="22" customWidth="1"/>
    <col min="8190" max="8191" width="9.90625" style="22" customWidth="1"/>
    <col min="8192" max="8192" width="11.08984375" style="22" customWidth="1"/>
    <col min="8193" max="8193" width="2.90625" style="22" customWidth="1"/>
    <col min="8194" max="8194" width="3.54296875" style="22" customWidth="1"/>
    <col min="8195" max="8439" width="9.08984375" style="22"/>
    <col min="8440" max="8440" width="8.6328125" style="22" customWidth="1"/>
    <col min="8441" max="8441" width="9.90625" style="22" customWidth="1"/>
    <col min="8442" max="8442" width="14.453125" style="22" customWidth="1"/>
    <col min="8443" max="8443" width="7.36328125" style="22" customWidth="1"/>
    <col min="8444" max="8444" width="5.54296875" style="22" customWidth="1"/>
    <col min="8445" max="8445" width="9" style="22" customWidth="1"/>
    <col min="8446" max="8447" width="9.90625" style="22" customWidth="1"/>
    <col min="8448" max="8448" width="11.08984375" style="22" customWidth="1"/>
    <col min="8449" max="8449" width="2.90625" style="22" customWidth="1"/>
    <col min="8450" max="8450" width="3.54296875" style="22" customWidth="1"/>
    <col min="8451" max="8695" width="9.08984375" style="22"/>
    <col min="8696" max="8696" width="8.6328125" style="22" customWidth="1"/>
    <col min="8697" max="8697" width="9.90625" style="22" customWidth="1"/>
    <col min="8698" max="8698" width="14.453125" style="22" customWidth="1"/>
    <col min="8699" max="8699" width="7.36328125" style="22" customWidth="1"/>
    <col min="8700" max="8700" width="5.54296875" style="22" customWidth="1"/>
    <col min="8701" max="8701" width="9" style="22" customWidth="1"/>
    <col min="8702" max="8703" width="9.90625" style="22" customWidth="1"/>
    <col min="8704" max="8704" width="11.08984375" style="22" customWidth="1"/>
    <col min="8705" max="8705" width="2.90625" style="22" customWidth="1"/>
    <col min="8706" max="8706" width="3.54296875" style="22" customWidth="1"/>
    <col min="8707" max="8951" width="9.08984375" style="22"/>
    <col min="8952" max="8952" width="8.6328125" style="22" customWidth="1"/>
    <col min="8953" max="8953" width="9.90625" style="22" customWidth="1"/>
    <col min="8954" max="8954" width="14.453125" style="22" customWidth="1"/>
    <col min="8955" max="8955" width="7.36328125" style="22" customWidth="1"/>
    <col min="8956" max="8956" width="5.54296875" style="22" customWidth="1"/>
    <col min="8957" max="8957" width="9" style="22" customWidth="1"/>
    <col min="8958" max="8959" width="9.90625" style="22" customWidth="1"/>
    <col min="8960" max="8960" width="11.08984375" style="22" customWidth="1"/>
    <col min="8961" max="8961" width="2.90625" style="22" customWidth="1"/>
    <col min="8962" max="8962" width="3.54296875" style="22" customWidth="1"/>
    <col min="8963" max="9207" width="9.08984375" style="22"/>
    <col min="9208" max="9208" width="8.6328125" style="22" customWidth="1"/>
    <col min="9209" max="9209" width="9.90625" style="22" customWidth="1"/>
    <col min="9210" max="9210" width="14.453125" style="22" customWidth="1"/>
    <col min="9211" max="9211" width="7.36328125" style="22" customWidth="1"/>
    <col min="9212" max="9212" width="5.54296875" style="22" customWidth="1"/>
    <col min="9213" max="9213" width="9" style="22" customWidth="1"/>
    <col min="9214" max="9215" width="9.90625" style="22" customWidth="1"/>
    <col min="9216" max="9216" width="11.08984375" style="22" customWidth="1"/>
    <col min="9217" max="9217" width="2.90625" style="22" customWidth="1"/>
    <col min="9218" max="9218" width="3.54296875" style="22" customWidth="1"/>
    <col min="9219" max="9463" width="9.08984375" style="22"/>
    <col min="9464" max="9464" width="8.6328125" style="22" customWidth="1"/>
    <col min="9465" max="9465" width="9.90625" style="22" customWidth="1"/>
    <col min="9466" max="9466" width="14.453125" style="22" customWidth="1"/>
    <col min="9467" max="9467" width="7.36328125" style="22" customWidth="1"/>
    <col min="9468" max="9468" width="5.54296875" style="22" customWidth="1"/>
    <col min="9469" max="9469" width="9" style="22" customWidth="1"/>
    <col min="9470" max="9471" width="9.90625" style="22" customWidth="1"/>
    <col min="9472" max="9472" width="11.08984375" style="22" customWidth="1"/>
    <col min="9473" max="9473" width="2.90625" style="22" customWidth="1"/>
    <col min="9474" max="9474" width="3.54296875" style="22" customWidth="1"/>
    <col min="9475" max="9719" width="9.08984375" style="22"/>
    <col min="9720" max="9720" width="8.6328125" style="22" customWidth="1"/>
    <col min="9721" max="9721" width="9.90625" style="22" customWidth="1"/>
    <col min="9722" max="9722" width="14.453125" style="22" customWidth="1"/>
    <col min="9723" max="9723" width="7.36328125" style="22" customWidth="1"/>
    <col min="9724" max="9724" width="5.54296875" style="22" customWidth="1"/>
    <col min="9725" max="9725" width="9" style="22" customWidth="1"/>
    <col min="9726" max="9727" width="9.90625" style="22" customWidth="1"/>
    <col min="9728" max="9728" width="11.08984375" style="22" customWidth="1"/>
    <col min="9729" max="9729" width="2.90625" style="22" customWidth="1"/>
    <col min="9730" max="9730" width="3.54296875" style="22" customWidth="1"/>
    <col min="9731" max="9975" width="9.08984375" style="22"/>
    <col min="9976" max="9976" width="8.6328125" style="22" customWidth="1"/>
    <col min="9977" max="9977" width="9.90625" style="22" customWidth="1"/>
    <col min="9978" max="9978" width="14.453125" style="22" customWidth="1"/>
    <col min="9979" max="9979" width="7.36328125" style="22" customWidth="1"/>
    <col min="9980" max="9980" width="5.54296875" style="22" customWidth="1"/>
    <col min="9981" max="9981" width="9" style="22" customWidth="1"/>
    <col min="9982" max="9983" width="9.90625" style="22" customWidth="1"/>
    <col min="9984" max="9984" width="11.08984375" style="22" customWidth="1"/>
    <col min="9985" max="9985" width="2.90625" style="22" customWidth="1"/>
    <col min="9986" max="9986" width="3.54296875" style="22" customWidth="1"/>
    <col min="9987" max="10231" width="9.08984375" style="22"/>
    <col min="10232" max="10232" width="8.6328125" style="22" customWidth="1"/>
    <col min="10233" max="10233" width="9.90625" style="22" customWidth="1"/>
    <col min="10234" max="10234" width="14.453125" style="22" customWidth="1"/>
    <col min="10235" max="10235" width="7.36328125" style="22" customWidth="1"/>
    <col min="10236" max="10236" width="5.54296875" style="22" customWidth="1"/>
    <col min="10237" max="10237" width="9" style="22" customWidth="1"/>
    <col min="10238" max="10239" width="9.90625" style="22" customWidth="1"/>
    <col min="10240" max="10240" width="11.08984375" style="22" customWidth="1"/>
    <col min="10241" max="10241" width="2.90625" style="22" customWidth="1"/>
    <col min="10242" max="10242" width="3.54296875" style="22" customWidth="1"/>
    <col min="10243" max="10487" width="9.08984375" style="22"/>
    <col min="10488" max="10488" width="8.6328125" style="22" customWidth="1"/>
    <col min="10489" max="10489" width="9.90625" style="22" customWidth="1"/>
    <col min="10490" max="10490" width="14.453125" style="22" customWidth="1"/>
    <col min="10491" max="10491" width="7.36328125" style="22" customWidth="1"/>
    <col min="10492" max="10492" width="5.54296875" style="22" customWidth="1"/>
    <col min="10493" max="10493" width="9" style="22" customWidth="1"/>
    <col min="10494" max="10495" width="9.90625" style="22" customWidth="1"/>
    <col min="10496" max="10496" width="11.08984375" style="22" customWidth="1"/>
    <col min="10497" max="10497" width="2.90625" style="22" customWidth="1"/>
    <col min="10498" max="10498" width="3.54296875" style="22" customWidth="1"/>
    <col min="10499" max="10743" width="9.08984375" style="22"/>
    <col min="10744" max="10744" width="8.6328125" style="22" customWidth="1"/>
    <col min="10745" max="10745" width="9.90625" style="22" customWidth="1"/>
    <col min="10746" max="10746" width="14.453125" style="22" customWidth="1"/>
    <col min="10747" max="10747" width="7.36328125" style="22" customWidth="1"/>
    <col min="10748" max="10748" width="5.54296875" style="22" customWidth="1"/>
    <col min="10749" max="10749" width="9" style="22" customWidth="1"/>
    <col min="10750" max="10751" width="9.90625" style="22" customWidth="1"/>
    <col min="10752" max="10752" width="11.08984375" style="22" customWidth="1"/>
    <col min="10753" max="10753" width="2.90625" style="22" customWidth="1"/>
    <col min="10754" max="10754" width="3.54296875" style="22" customWidth="1"/>
    <col min="10755" max="10999" width="9.08984375" style="22"/>
    <col min="11000" max="11000" width="8.6328125" style="22" customWidth="1"/>
    <col min="11001" max="11001" width="9.90625" style="22" customWidth="1"/>
    <col min="11002" max="11002" width="14.453125" style="22" customWidth="1"/>
    <col min="11003" max="11003" width="7.36328125" style="22" customWidth="1"/>
    <col min="11004" max="11004" width="5.54296875" style="22" customWidth="1"/>
    <col min="11005" max="11005" width="9" style="22" customWidth="1"/>
    <col min="11006" max="11007" width="9.90625" style="22" customWidth="1"/>
    <col min="11008" max="11008" width="11.08984375" style="22" customWidth="1"/>
    <col min="11009" max="11009" width="2.90625" style="22" customWidth="1"/>
    <col min="11010" max="11010" width="3.54296875" style="22" customWidth="1"/>
    <col min="11011" max="11255" width="9.08984375" style="22"/>
    <col min="11256" max="11256" width="8.6328125" style="22" customWidth="1"/>
    <col min="11257" max="11257" width="9.90625" style="22" customWidth="1"/>
    <col min="11258" max="11258" width="14.453125" style="22" customWidth="1"/>
    <col min="11259" max="11259" width="7.36328125" style="22" customWidth="1"/>
    <col min="11260" max="11260" width="5.54296875" style="22" customWidth="1"/>
    <col min="11261" max="11261" width="9" style="22" customWidth="1"/>
    <col min="11262" max="11263" width="9.90625" style="22" customWidth="1"/>
    <col min="11264" max="11264" width="11.08984375" style="22" customWidth="1"/>
    <col min="11265" max="11265" width="2.90625" style="22" customWidth="1"/>
    <col min="11266" max="11266" width="3.54296875" style="22" customWidth="1"/>
    <col min="11267" max="11511" width="9.08984375" style="22"/>
    <col min="11512" max="11512" width="8.6328125" style="22" customWidth="1"/>
    <col min="11513" max="11513" width="9.90625" style="22" customWidth="1"/>
    <col min="11514" max="11514" width="14.453125" style="22" customWidth="1"/>
    <col min="11515" max="11515" width="7.36328125" style="22" customWidth="1"/>
    <col min="11516" max="11516" width="5.54296875" style="22" customWidth="1"/>
    <col min="11517" max="11517" width="9" style="22" customWidth="1"/>
    <col min="11518" max="11519" width="9.90625" style="22" customWidth="1"/>
    <col min="11520" max="11520" width="11.08984375" style="22" customWidth="1"/>
    <col min="11521" max="11521" width="2.90625" style="22" customWidth="1"/>
    <col min="11522" max="11522" width="3.54296875" style="22" customWidth="1"/>
    <col min="11523" max="11767" width="9.08984375" style="22"/>
    <col min="11768" max="11768" width="8.6328125" style="22" customWidth="1"/>
    <col min="11769" max="11769" width="9.90625" style="22" customWidth="1"/>
    <col min="11770" max="11770" width="14.453125" style="22" customWidth="1"/>
    <col min="11771" max="11771" width="7.36328125" style="22" customWidth="1"/>
    <col min="11772" max="11772" width="5.54296875" style="22" customWidth="1"/>
    <col min="11773" max="11773" width="9" style="22" customWidth="1"/>
    <col min="11774" max="11775" width="9.90625" style="22" customWidth="1"/>
    <col min="11776" max="11776" width="11.08984375" style="22" customWidth="1"/>
    <col min="11777" max="11777" width="2.90625" style="22" customWidth="1"/>
    <col min="11778" max="11778" width="3.54296875" style="22" customWidth="1"/>
    <col min="11779" max="12023" width="9.08984375" style="22"/>
    <col min="12024" max="12024" width="8.6328125" style="22" customWidth="1"/>
    <col min="12025" max="12025" width="9.90625" style="22" customWidth="1"/>
    <col min="12026" max="12026" width="14.453125" style="22" customWidth="1"/>
    <col min="12027" max="12027" width="7.36328125" style="22" customWidth="1"/>
    <col min="12028" max="12028" width="5.54296875" style="22" customWidth="1"/>
    <col min="12029" max="12029" width="9" style="22" customWidth="1"/>
    <col min="12030" max="12031" width="9.90625" style="22" customWidth="1"/>
    <col min="12032" max="12032" width="11.08984375" style="22" customWidth="1"/>
    <col min="12033" max="12033" width="2.90625" style="22" customWidth="1"/>
    <col min="12034" max="12034" width="3.54296875" style="22" customWidth="1"/>
    <col min="12035" max="12279" width="9.08984375" style="22"/>
    <col min="12280" max="12280" width="8.6328125" style="22" customWidth="1"/>
    <col min="12281" max="12281" width="9.90625" style="22" customWidth="1"/>
    <col min="12282" max="12282" width="14.453125" style="22" customWidth="1"/>
    <col min="12283" max="12283" width="7.36328125" style="22" customWidth="1"/>
    <col min="12284" max="12284" width="5.54296875" style="22" customWidth="1"/>
    <col min="12285" max="12285" width="9" style="22" customWidth="1"/>
    <col min="12286" max="12287" width="9.90625" style="22" customWidth="1"/>
    <col min="12288" max="12288" width="11.08984375" style="22" customWidth="1"/>
    <col min="12289" max="12289" width="2.90625" style="22" customWidth="1"/>
    <col min="12290" max="12290" width="3.54296875" style="22" customWidth="1"/>
    <col min="12291" max="12535" width="9.08984375" style="22"/>
    <col min="12536" max="12536" width="8.6328125" style="22" customWidth="1"/>
    <col min="12537" max="12537" width="9.90625" style="22" customWidth="1"/>
    <col min="12538" max="12538" width="14.453125" style="22" customWidth="1"/>
    <col min="12539" max="12539" width="7.36328125" style="22" customWidth="1"/>
    <col min="12540" max="12540" width="5.54296875" style="22" customWidth="1"/>
    <col min="12541" max="12541" width="9" style="22" customWidth="1"/>
    <col min="12542" max="12543" width="9.90625" style="22" customWidth="1"/>
    <col min="12544" max="12544" width="11.08984375" style="22" customWidth="1"/>
    <col min="12545" max="12545" width="2.90625" style="22" customWidth="1"/>
    <col min="12546" max="12546" width="3.54296875" style="22" customWidth="1"/>
    <col min="12547" max="12791" width="9.08984375" style="22"/>
    <col min="12792" max="12792" width="8.6328125" style="22" customWidth="1"/>
    <col min="12793" max="12793" width="9.90625" style="22" customWidth="1"/>
    <col min="12794" max="12794" width="14.453125" style="22" customWidth="1"/>
    <col min="12795" max="12795" width="7.36328125" style="22" customWidth="1"/>
    <col min="12796" max="12796" width="5.54296875" style="22" customWidth="1"/>
    <col min="12797" max="12797" width="9" style="22" customWidth="1"/>
    <col min="12798" max="12799" width="9.90625" style="22" customWidth="1"/>
    <col min="12800" max="12800" width="11.08984375" style="22" customWidth="1"/>
    <col min="12801" max="12801" width="2.90625" style="22" customWidth="1"/>
    <col min="12802" max="12802" width="3.54296875" style="22" customWidth="1"/>
    <col min="12803" max="13047" width="9.08984375" style="22"/>
    <col min="13048" max="13048" width="8.6328125" style="22" customWidth="1"/>
    <col min="13049" max="13049" width="9.90625" style="22" customWidth="1"/>
    <col min="13050" max="13050" width="14.453125" style="22" customWidth="1"/>
    <col min="13051" max="13051" width="7.36328125" style="22" customWidth="1"/>
    <col min="13052" max="13052" width="5.54296875" style="22" customWidth="1"/>
    <col min="13053" max="13053" width="9" style="22" customWidth="1"/>
    <col min="13054" max="13055" width="9.90625" style="22" customWidth="1"/>
    <col min="13056" max="13056" width="11.08984375" style="22" customWidth="1"/>
    <col min="13057" max="13057" width="2.90625" style="22" customWidth="1"/>
    <col min="13058" max="13058" width="3.54296875" style="22" customWidth="1"/>
    <col min="13059" max="13303" width="9.08984375" style="22"/>
    <col min="13304" max="13304" width="8.6328125" style="22" customWidth="1"/>
    <col min="13305" max="13305" width="9.90625" style="22" customWidth="1"/>
    <col min="13306" max="13306" width="14.453125" style="22" customWidth="1"/>
    <col min="13307" max="13307" width="7.36328125" style="22" customWidth="1"/>
    <col min="13308" max="13308" width="5.54296875" style="22" customWidth="1"/>
    <col min="13309" max="13309" width="9" style="22" customWidth="1"/>
    <col min="13310" max="13311" width="9.90625" style="22" customWidth="1"/>
    <col min="13312" max="13312" width="11.08984375" style="22" customWidth="1"/>
    <col min="13313" max="13313" width="2.90625" style="22" customWidth="1"/>
    <col min="13314" max="13314" width="3.54296875" style="22" customWidth="1"/>
    <col min="13315" max="13559" width="9.08984375" style="22"/>
    <col min="13560" max="13560" width="8.6328125" style="22" customWidth="1"/>
    <col min="13561" max="13561" width="9.90625" style="22" customWidth="1"/>
    <col min="13562" max="13562" width="14.453125" style="22" customWidth="1"/>
    <col min="13563" max="13563" width="7.36328125" style="22" customWidth="1"/>
    <col min="13564" max="13564" width="5.54296875" style="22" customWidth="1"/>
    <col min="13565" max="13565" width="9" style="22" customWidth="1"/>
    <col min="13566" max="13567" width="9.90625" style="22" customWidth="1"/>
    <col min="13568" max="13568" width="11.08984375" style="22" customWidth="1"/>
    <col min="13569" max="13569" width="2.90625" style="22" customWidth="1"/>
    <col min="13570" max="13570" width="3.54296875" style="22" customWidth="1"/>
    <col min="13571" max="13815" width="9.08984375" style="22"/>
    <col min="13816" max="13816" width="8.6328125" style="22" customWidth="1"/>
    <col min="13817" max="13817" width="9.90625" style="22" customWidth="1"/>
    <col min="13818" max="13818" width="14.453125" style="22" customWidth="1"/>
    <col min="13819" max="13819" width="7.36328125" style="22" customWidth="1"/>
    <col min="13820" max="13820" width="5.54296875" style="22" customWidth="1"/>
    <col min="13821" max="13821" width="9" style="22" customWidth="1"/>
    <col min="13822" max="13823" width="9.90625" style="22" customWidth="1"/>
    <col min="13824" max="13824" width="11.08984375" style="22" customWidth="1"/>
    <col min="13825" max="13825" width="2.90625" style="22" customWidth="1"/>
    <col min="13826" max="13826" width="3.54296875" style="22" customWidth="1"/>
    <col min="13827" max="14071" width="9.08984375" style="22"/>
    <col min="14072" max="14072" width="8.6328125" style="22" customWidth="1"/>
    <col min="14073" max="14073" width="9.90625" style="22" customWidth="1"/>
    <col min="14074" max="14074" width="14.453125" style="22" customWidth="1"/>
    <col min="14075" max="14075" width="7.36328125" style="22" customWidth="1"/>
    <col min="14076" max="14076" width="5.54296875" style="22" customWidth="1"/>
    <col min="14077" max="14077" width="9" style="22" customWidth="1"/>
    <col min="14078" max="14079" width="9.90625" style="22" customWidth="1"/>
    <col min="14080" max="14080" width="11.08984375" style="22" customWidth="1"/>
    <col min="14081" max="14081" width="2.90625" style="22" customWidth="1"/>
    <col min="14082" max="14082" width="3.54296875" style="22" customWidth="1"/>
    <col min="14083" max="14327" width="9.08984375" style="22"/>
    <col min="14328" max="14328" width="8.6328125" style="22" customWidth="1"/>
    <col min="14329" max="14329" width="9.90625" style="22" customWidth="1"/>
    <col min="14330" max="14330" width="14.453125" style="22" customWidth="1"/>
    <col min="14331" max="14331" width="7.36328125" style="22" customWidth="1"/>
    <col min="14332" max="14332" width="5.54296875" style="22" customWidth="1"/>
    <col min="14333" max="14333" width="9" style="22" customWidth="1"/>
    <col min="14334" max="14335" width="9.90625" style="22" customWidth="1"/>
    <col min="14336" max="14336" width="11.08984375" style="22" customWidth="1"/>
    <col min="14337" max="14337" width="2.90625" style="22" customWidth="1"/>
    <col min="14338" max="14338" width="3.54296875" style="22" customWidth="1"/>
    <col min="14339" max="14583" width="9.08984375" style="22"/>
    <col min="14584" max="14584" width="8.6328125" style="22" customWidth="1"/>
    <col min="14585" max="14585" width="9.90625" style="22" customWidth="1"/>
    <col min="14586" max="14586" width="14.453125" style="22" customWidth="1"/>
    <col min="14587" max="14587" width="7.36328125" style="22" customWidth="1"/>
    <col min="14588" max="14588" width="5.54296875" style="22" customWidth="1"/>
    <col min="14589" max="14589" width="9" style="22" customWidth="1"/>
    <col min="14590" max="14591" width="9.90625" style="22" customWidth="1"/>
    <col min="14592" max="14592" width="11.08984375" style="22" customWidth="1"/>
    <col min="14593" max="14593" width="2.90625" style="22" customWidth="1"/>
    <col min="14594" max="14594" width="3.54296875" style="22" customWidth="1"/>
    <col min="14595" max="14839" width="9.08984375" style="22"/>
    <col min="14840" max="14840" width="8.6328125" style="22" customWidth="1"/>
    <col min="14841" max="14841" width="9.90625" style="22" customWidth="1"/>
    <col min="14842" max="14842" width="14.453125" style="22" customWidth="1"/>
    <col min="14843" max="14843" width="7.36328125" style="22" customWidth="1"/>
    <col min="14844" max="14844" width="5.54296875" style="22" customWidth="1"/>
    <col min="14845" max="14845" width="9" style="22" customWidth="1"/>
    <col min="14846" max="14847" width="9.90625" style="22" customWidth="1"/>
    <col min="14848" max="14848" width="11.08984375" style="22" customWidth="1"/>
    <col min="14849" max="14849" width="2.90625" style="22" customWidth="1"/>
    <col min="14850" max="14850" width="3.54296875" style="22" customWidth="1"/>
    <col min="14851" max="15095" width="9.08984375" style="22"/>
    <col min="15096" max="15096" width="8.6328125" style="22" customWidth="1"/>
    <col min="15097" max="15097" width="9.90625" style="22" customWidth="1"/>
    <col min="15098" max="15098" width="14.453125" style="22" customWidth="1"/>
    <col min="15099" max="15099" width="7.36328125" style="22" customWidth="1"/>
    <col min="15100" max="15100" width="5.54296875" style="22" customWidth="1"/>
    <col min="15101" max="15101" width="9" style="22" customWidth="1"/>
    <col min="15102" max="15103" width="9.90625" style="22" customWidth="1"/>
    <col min="15104" max="15104" width="11.08984375" style="22" customWidth="1"/>
    <col min="15105" max="15105" width="2.90625" style="22" customWidth="1"/>
    <col min="15106" max="15106" width="3.54296875" style="22" customWidth="1"/>
    <col min="15107" max="15351" width="9.08984375" style="22"/>
    <col min="15352" max="15352" width="8.6328125" style="22" customWidth="1"/>
    <col min="15353" max="15353" width="9.90625" style="22" customWidth="1"/>
    <col min="15354" max="15354" width="14.453125" style="22" customWidth="1"/>
    <col min="15355" max="15355" width="7.36328125" style="22" customWidth="1"/>
    <col min="15356" max="15356" width="5.54296875" style="22" customWidth="1"/>
    <col min="15357" max="15357" width="9" style="22" customWidth="1"/>
    <col min="15358" max="15359" width="9.90625" style="22" customWidth="1"/>
    <col min="15360" max="15360" width="11.08984375" style="22" customWidth="1"/>
    <col min="15361" max="15361" width="2.90625" style="22" customWidth="1"/>
    <col min="15362" max="15362" width="3.54296875" style="22" customWidth="1"/>
    <col min="15363" max="15607" width="9.08984375" style="22"/>
    <col min="15608" max="15608" width="8.6328125" style="22" customWidth="1"/>
    <col min="15609" max="15609" width="9.90625" style="22" customWidth="1"/>
    <col min="15610" max="15610" width="14.453125" style="22" customWidth="1"/>
    <col min="15611" max="15611" width="7.36328125" style="22" customWidth="1"/>
    <col min="15612" max="15612" width="5.54296875" style="22" customWidth="1"/>
    <col min="15613" max="15613" width="9" style="22" customWidth="1"/>
    <col min="15614" max="15615" width="9.90625" style="22" customWidth="1"/>
    <col min="15616" max="15616" width="11.08984375" style="22" customWidth="1"/>
    <col min="15617" max="15617" width="2.90625" style="22" customWidth="1"/>
    <col min="15618" max="15618" width="3.54296875" style="22" customWidth="1"/>
    <col min="15619" max="15863" width="9.08984375" style="22"/>
    <col min="15864" max="15864" width="8.6328125" style="22" customWidth="1"/>
    <col min="15865" max="15865" width="9.90625" style="22" customWidth="1"/>
    <col min="15866" max="15866" width="14.453125" style="22" customWidth="1"/>
    <col min="15867" max="15867" width="7.36328125" style="22" customWidth="1"/>
    <col min="15868" max="15868" width="5.54296875" style="22" customWidth="1"/>
    <col min="15869" max="15869" width="9" style="22" customWidth="1"/>
    <col min="15870" max="15871" width="9.90625" style="22" customWidth="1"/>
    <col min="15872" max="15872" width="11.08984375" style="22" customWidth="1"/>
    <col min="15873" max="15873" width="2.90625" style="22" customWidth="1"/>
    <col min="15874" max="15874" width="3.54296875" style="22" customWidth="1"/>
    <col min="15875" max="16119" width="9.08984375" style="22"/>
    <col min="16120" max="16120" width="8.6328125" style="22" customWidth="1"/>
    <col min="16121" max="16121" width="9.90625" style="22" customWidth="1"/>
    <col min="16122" max="16122" width="14.453125" style="22" customWidth="1"/>
    <col min="16123" max="16123" width="7.36328125" style="22" customWidth="1"/>
    <col min="16124" max="16124" width="5.54296875" style="22" customWidth="1"/>
    <col min="16125" max="16125" width="9" style="22" customWidth="1"/>
    <col min="16126" max="16127" width="9.90625" style="22" customWidth="1"/>
    <col min="16128" max="16128" width="11.08984375" style="22" customWidth="1"/>
    <col min="16129" max="16129" width="2.90625" style="22" customWidth="1"/>
    <col min="16130" max="16130" width="3.54296875" style="22" customWidth="1"/>
    <col min="16131" max="16384" width="9.08984375" style="22"/>
  </cols>
  <sheetData>
    <row r="1" spans="1:8" ht="46.5" customHeight="1" x14ac:dyDescent="0.35">
      <c r="A1" s="125" t="s">
        <v>217</v>
      </c>
      <c r="B1" s="125"/>
      <c r="C1" s="125"/>
      <c r="D1" s="125"/>
      <c r="E1" s="125"/>
      <c r="F1" s="125"/>
      <c r="G1" s="125"/>
      <c r="H1" s="125"/>
    </row>
    <row r="2" spans="1:8" ht="16.5" customHeight="1" x14ac:dyDescent="0.35">
      <c r="A2" s="126" t="s">
        <v>0</v>
      </c>
      <c r="B2" s="126"/>
      <c r="C2" s="126"/>
      <c r="D2" s="126"/>
      <c r="E2" s="126"/>
      <c r="F2" s="126"/>
      <c r="G2" s="126"/>
      <c r="H2" s="126"/>
    </row>
    <row r="3" spans="1:8" x14ac:dyDescent="0.35">
      <c r="A3" s="88" t="s">
        <v>1</v>
      </c>
      <c r="B3" s="88"/>
      <c r="C3" s="88"/>
      <c r="D3" s="88"/>
      <c r="E3" s="89" t="str">
        <f ca="1">TEXT(TODAY(),"DD/MM/YYYY")</f>
        <v>29/07/2025</v>
      </c>
      <c r="F3" s="89"/>
      <c r="G3" s="89"/>
      <c r="H3" s="89"/>
    </row>
    <row r="4" spans="1:8" ht="15" customHeight="1" x14ac:dyDescent="0.35">
      <c r="A4" s="88" t="s">
        <v>2</v>
      </c>
      <c r="B4" s="88"/>
      <c r="C4" s="88"/>
      <c r="D4" s="88"/>
      <c r="E4" s="89" t="s">
        <v>175</v>
      </c>
      <c r="F4" s="89"/>
      <c r="G4" s="89"/>
      <c r="H4" s="89"/>
    </row>
    <row r="5" spans="1:8" x14ac:dyDescent="0.35">
      <c r="A5" s="88" t="s">
        <v>3</v>
      </c>
      <c r="B5" s="88"/>
      <c r="C5" s="88"/>
      <c r="D5" s="88"/>
      <c r="E5" s="127">
        <v>45863</v>
      </c>
      <c r="F5" s="88"/>
      <c r="G5" s="88"/>
      <c r="H5" s="88"/>
    </row>
    <row r="6" spans="1:8" ht="16.5" customHeight="1" x14ac:dyDescent="0.35">
      <c r="A6" s="88" t="s">
        <v>4</v>
      </c>
      <c r="B6" s="88"/>
      <c r="C6" s="88"/>
      <c r="D6" s="88"/>
      <c r="E6" s="88" t="s">
        <v>176</v>
      </c>
      <c r="F6" s="88"/>
      <c r="G6" s="88"/>
      <c r="H6" s="88"/>
    </row>
    <row r="7" spans="1:8" ht="15" customHeight="1" x14ac:dyDescent="0.35">
      <c r="A7" s="88" t="s">
        <v>5</v>
      </c>
      <c r="B7" s="88"/>
      <c r="C7" s="88"/>
      <c r="D7" s="88"/>
      <c r="E7" s="88" t="str">
        <f>E6</f>
        <v>Gajora Infra</v>
      </c>
      <c r="F7" s="88"/>
      <c r="G7" s="88"/>
      <c r="H7" s="88"/>
    </row>
    <row r="8" spans="1:8" x14ac:dyDescent="0.35">
      <c r="A8" s="88" t="s">
        <v>6</v>
      </c>
      <c r="B8" s="88"/>
      <c r="C8" s="88"/>
      <c r="D8" s="88"/>
      <c r="E8" s="110" t="s">
        <v>188</v>
      </c>
      <c r="F8" s="109"/>
      <c r="G8" s="109"/>
      <c r="H8" s="109"/>
    </row>
    <row r="9" spans="1:8" x14ac:dyDescent="0.35">
      <c r="A9" s="88" t="s">
        <v>172</v>
      </c>
      <c r="B9" s="88"/>
      <c r="C9" s="88"/>
      <c r="D9" s="88"/>
      <c r="E9" s="87" t="s">
        <v>177</v>
      </c>
      <c r="F9" s="88"/>
      <c r="G9" s="88"/>
      <c r="H9" s="88"/>
    </row>
    <row r="10" spans="1:8" hidden="1" x14ac:dyDescent="0.35">
      <c r="A10" s="88" t="s">
        <v>173</v>
      </c>
      <c r="B10" s="88"/>
      <c r="C10" s="88"/>
      <c r="D10" s="88"/>
      <c r="E10" s="87" t="s">
        <v>177</v>
      </c>
      <c r="F10" s="88"/>
      <c r="G10" s="88"/>
      <c r="H10" s="88"/>
    </row>
    <row r="11" spans="1:8" x14ac:dyDescent="0.35">
      <c r="A11" s="88" t="s">
        <v>7</v>
      </c>
      <c r="B11" s="88"/>
      <c r="C11" s="88"/>
      <c r="D11" s="88"/>
      <c r="E11" s="88" t="s">
        <v>125</v>
      </c>
      <c r="F11" s="88"/>
      <c r="G11" s="88"/>
      <c r="H11" s="88"/>
    </row>
    <row r="12" spans="1:8" x14ac:dyDescent="0.35">
      <c r="A12" s="77" t="s">
        <v>8</v>
      </c>
      <c r="B12" s="77"/>
      <c r="C12" s="77"/>
      <c r="D12" s="77"/>
      <c r="E12" s="128" t="s">
        <v>208</v>
      </c>
      <c r="F12" s="128"/>
      <c r="G12" s="128"/>
      <c r="H12" s="128"/>
    </row>
    <row r="13" spans="1:8" x14ac:dyDescent="0.35">
      <c r="A13" s="77" t="s">
        <v>9</v>
      </c>
      <c r="B13" s="77"/>
      <c r="C13" s="77"/>
      <c r="D13" s="77"/>
      <c r="E13" s="128" t="s">
        <v>178</v>
      </c>
      <c r="F13" s="89"/>
      <c r="G13" s="89"/>
      <c r="H13" s="89"/>
    </row>
    <row r="14" spans="1:8" ht="33.75" customHeight="1" x14ac:dyDescent="0.35">
      <c r="A14" s="128" t="s">
        <v>10</v>
      </c>
      <c r="B14" s="128"/>
      <c r="C14" s="128" t="str">
        <f>CONCATENATE((IF(OR(E8="",E8="NA"),"",E8)),", ",(IF(OR(A15="",A15="NA"),"",A15)),".",(IF(OR(C15="",C15="NA"),"",C15)),", near ",(IF(OR(C20="",C20="NA"),"",C20)),", ",(IF(OR(C17="",C17="NA"),"",C17)),", ",(IF(OR(C16="",C16="NA"),"",C16)),", ",(IF(OR(G17="",G17="NA"),"",G17)),", ",(IF(OR(C18="",C18="NA"),"",C18)),", ",(IF(OR(C19="",C19="NA"),"",C19)),", ",(IF(OR(G18="",G18="NA"),"",G18))," - ",(IF(OR(G19="",G19="NA"),"",G19)),".")</f>
        <v>Serenity Enclave, Sector No.R2, Plot No. 16, near ZP School Chinchpada, Internal Rd, Karanjade, Pushpak (New), Panvel, Panvel, Raigad - 410206.</v>
      </c>
      <c r="D14" s="128"/>
      <c r="E14" s="128"/>
      <c r="F14" s="128"/>
      <c r="G14" s="128"/>
      <c r="H14" s="128"/>
    </row>
    <row r="15" spans="1:8" x14ac:dyDescent="0.35">
      <c r="A15" s="128" t="s">
        <v>179</v>
      </c>
      <c r="B15" s="128"/>
      <c r="C15" s="128" t="s">
        <v>180</v>
      </c>
      <c r="D15" s="128"/>
      <c r="E15" s="128"/>
      <c r="F15" s="128"/>
      <c r="G15" s="128"/>
      <c r="H15" s="128"/>
    </row>
    <row r="16" spans="1:8" ht="15.75" customHeight="1" x14ac:dyDescent="0.35">
      <c r="A16" s="87" t="s">
        <v>171</v>
      </c>
      <c r="B16" s="87"/>
      <c r="C16" s="87" t="s">
        <v>183</v>
      </c>
      <c r="D16" s="87"/>
      <c r="E16" s="87"/>
      <c r="F16" s="87"/>
      <c r="G16" s="87"/>
      <c r="H16" s="87"/>
    </row>
    <row r="17" spans="1:8" ht="15.75" customHeight="1" x14ac:dyDescent="0.35">
      <c r="A17" s="86" t="s">
        <v>11</v>
      </c>
      <c r="B17" s="86"/>
      <c r="C17" s="88" t="s">
        <v>185</v>
      </c>
      <c r="D17" s="88"/>
      <c r="E17" s="86" t="s">
        <v>75</v>
      </c>
      <c r="F17" s="86"/>
      <c r="G17" s="87" t="s">
        <v>181</v>
      </c>
      <c r="H17" s="87"/>
    </row>
    <row r="18" spans="1:8" x14ac:dyDescent="0.35">
      <c r="A18" s="77" t="s">
        <v>13</v>
      </c>
      <c r="B18" s="77"/>
      <c r="C18" s="87" t="s">
        <v>184</v>
      </c>
      <c r="D18" s="87"/>
      <c r="E18" s="86" t="s">
        <v>12</v>
      </c>
      <c r="F18" s="86"/>
      <c r="G18" s="129" t="s">
        <v>186</v>
      </c>
      <c r="H18" s="129"/>
    </row>
    <row r="19" spans="1:8" x14ac:dyDescent="0.35">
      <c r="A19" s="77" t="s">
        <v>76</v>
      </c>
      <c r="B19" s="77"/>
      <c r="C19" s="87" t="s">
        <v>184</v>
      </c>
      <c r="D19" s="87"/>
      <c r="E19" s="86" t="s">
        <v>14</v>
      </c>
      <c r="F19" s="86"/>
      <c r="G19" s="87">
        <v>410206</v>
      </c>
      <c r="H19" s="87"/>
    </row>
    <row r="20" spans="1:8" ht="32.25" customHeight="1" x14ac:dyDescent="0.35">
      <c r="A20" s="77" t="s">
        <v>127</v>
      </c>
      <c r="B20" s="77"/>
      <c r="C20" s="87" t="s">
        <v>187</v>
      </c>
      <c r="D20" s="87"/>
      <c r="E20" s="86" t="s">
        <v>15</v>
      </c>
      <c r="F20" s="86"/>
      <c r="G20" s="128" t="s">
        <v>189</v>
      </c>
      <c r="H20" s="128"/>
    </row>
    <row r="21" spans="1:8" ht="15" customHeight="1" x14ac:dyDescent="0.35">
      <c r="A21" s="86" t="s">
        <v>79</v>
      </c>
      <c r="B21" s="86"/>
      <c r="C21" s="86"/>
      <c r="D21" s="86"/>
      <c r="E21" s="88" t="s">
        <v>16</v>
      </c>
      <c r="F21" s="88"/>
      <c r="G21" s="88"/>
      <c r="H21" s="88"/>
    </row>
    <row r="22" spans="1:8" ht="18.75" customHeight="1" x14ac:dyDescent="0.35">
      <c r="A22" s="86"/>
      <c r="B22" s="86"/>
      <c r="C22" s="86"/>
      <c r="D22" s="86"/>
      <c r="E22" s="88"/>
      <c r="F22" s="88"/>
      <c r="G22" s="88"/>
      <c r="H22" s="88"/>
    </row>
    <row r="23" spans="1:8" ht="15" customHeight="1" x14ac:dyDescent="0.35">
      <c r="A23" s="86" t="s">
        <v>17</v>
      </c>
      <c r="B23" s="86"/>
      <c r="C23" s="86"/>
      <c r="D23" s="86"/>
      <c r="E23" s="87" t="s">
        <v>18</v>
      </c>
      <c r="F23" s="87"/>
      <c r="G23" s="87"/>
      <c r="H23" s="87"/>
    </row>
    <row r="24" spans="1:8" ht="15" customHeight="1" x14ac:dyDescent="0.35">
      <c r="A24" s="77" t="s">
        <v>19</v>
      </c>
      <c r="B24" s="77"/>
      <c r="C24" s="77"/>
      <c r="D24" s="77"/>
      <c r="E24" s="87" t="str">
        <f>IF(AND(G18="Mumbai"),"Upper Class","Middle Class")</f>
        <v>Middle Class</v>
      </c>
      <c r="F24" s="87"/>
      <c r="G24" s="87"/>
      <c r="H24" s="87"/>
    </row>
    <row r="25" spans="1:8" x14ac:dyDescent="0.35">
      <c r="A25" s="77" t="s">
        <v>20</v>
      </c>
      <c r="B25" s="77"/>
      <c r="C25" s="77"/>
      <c r="D25" s="77"/>
      <c r="E25" s="87" t="s">
        <v>21</v>
      </c>
      <c r="F25" s="87"/>
      <c r="G25" s="87"/>
      <c r="H25" s="87"/>
    </row>
    <row r="26" spans="1:8" ht="15.75" customHeight="1" x14ac:dyDescent="0.35">
      <c r="A26" s="77" t="s">
        <v>22</v>
      </c>
      <c r="B26" s="77"/>
      <c r="C26" s="77"/>
      <c r="D26" s="77"/>
      <c r="E26" s="87" t="str">
        <f>IF(AND(G18="Mumbai"),"Developed","Developing")</f>
        <v>Developing</v>
      </c>
      <c r="F26" s="87"/>
      <c r="G26" s="87"/>
      <c r="H26" s="87"/>
    </row>
    <row r="27" spans="1:8" x14ac:dyDescent="0.35">
      <c r="A27" s="77" t="s">
        <v>23</v>
      </c>
      <c r="B27" s="77"/>
      <c r="C27" s="77"/>
      <c r="D27" s="77"/>
      <c r="E27" s="87" t="s">
        <v>24</v>
      </c>
      <c r="F27" s="87"/>
      <c r="G27" s="87"/>
      <c r="H27" s="87"/>
    </row>
    <row r="28" spans="1:8" ht="15.75" customHeight="1" x14ac:dyDescent="0.35">
      <c r="A28" s="77" t="s">
        <v>84</v>
      </c>
      <c r="B28" s="77"/>
      <c r="C28" s="77"/>
      <c r="D28" s="77"/>
      <c r="E28" s="87" t="s">
        <v>85</v>
      </c>
      <c r="F28" s="87"/>
      <c r="G28" s="87"/>
      <c r="H28" s="87"/>
    </row>
    <row r="29" spans="1:8" ht="15" customHeight="1" x14ac:dyDescent="0.35">
      <c r="A29" s="77" t="s">
        <v>33</v>
      </c>
      <c r="B29" s="77"/>
      <c r="C29" s="77"/>
      <c r="D29" s="77"/>
      <c r="E29" s="87" t="str">
        <f>IF(AND(ISNUMBER(SEARCH("Flat",D57)),ISNUMBER(SEARCH("Shop",D57)),ISNUMBER(SEARCH("Office",D57))),"Residential + Commercial",IF(AND(ISNUMBER(SEARCH("Flat",D57)),ISNUMBER(SEARCH("Shop",D57))),"Residential + Commercial",IF(AND(ISNUMBER(SEARCH("Flat",D57)),ISNUMBER(SEARCH("Office",D57))),"Residential + Commercial",IF(AND(ISNUMBER(SEARCH("Shop",D57)),ISNUMBER(SEARCH("Office",D57))),"Commercial",IF(ISNUMBER(SEARCH("Shop",D57)),"Commercial",IF(ISNUMBER(SEARCH("Office",D57)),"Commercial",IF(ISNUMBER(SEARCH("Flat",D57)),"Residential")))))))</f>
        <v>Residential + Commercial</v>
      </c>
      <c r="F29" s="87"/>
      <c r="G29" s="87"/>
      <c r="H29" s="87"/>
    </row>
    <row r="30" spans="1:8" ht="15.75" customHeight="1" x14ac:dyDescent="0.35">
      <c r="A30" s="77" t="s">
        <v>96</v>
      </c>
      <c r="B30" s="77"/>
      <c r="C30" s="77"/>
      <c r="D30" s="77"/>
      <c r="E30" s="87" t="s">
        <v>34</v>
      </c>
      <c r="F30" s="87"/>
      <c r="G30" s="87"/>
      <c r="H30" s="87"/>
    </row>
    <row r="31" spans="1:8" s="23" customFormat="1" x14ac:dyDescent="0.35">
      <c r="A31" s="133" t="s">
        <v>97</v>
      </c>
      <c r="B31" s="133"/>
      <c r="C31" s="130" t="s">
        <v>29</v>
      </c>
      <c r="D31" s="130"/>
      <c r="E31" s="130"/>
      <c r="F31" s="130" t="s">
        <v>31</v>
      </c>
      <c r="G31" s="130"/>
      <c r="H31" s="130"/>
    </row>
    <row r="32" spans="1:8" s="23" customFormat="1" x14ac:dyDescent="0.35">
      <c r="A32" s="132" t="s">
        <v>25</v>
      </c>
      <c r="B32" s="132" t="s">
        <v>30</v>
      </c>
      <c r="C32" s="131" t="s">
        <v>30</v>
      </c>
      <c r="D32" s="131"/>
      <c r="E32" s="131"/>
      <c r="F32" s="131" t="s">
        <v>190</v>
      </c>
      <c r="G32" s="131"/>
      <c r="H32" s="131"/>
    </row>
    <row r="33" spans="1:8" x14ac:dyDescent="0.35">
      <c r="A33" s="132" t="s">
        <v>26</v>
      </c>
      <c r="B33" s="132" t="s">
        <v>30</v>
      </c>
      <c r="C33" s="131" t="s">
        <v>30</v>
      </c>
      <c r="D33" s="131"/>
      <c r="E33" s="131"/>
      <c r="F33" s="131" t="s">
        <v>191</v>
      </c>
      <c r="G33" s="131"/>
      <c r="H33" s="131"/>
    </row>
    <row r="34" spans="1:8" s="23" customFormat="1" x14ac:dyDescent="0.35">
      <c r="A34" s="132" t="s">
        <v>28</v>
      </c>
      <c r="B34" s="132" t="s">
        <v>30</v>
      </c>
      <c r="C34" s="131" t="s">
        <v>30</v>
      </c>
      <c r="D34" s="131"/>
      <c r="E34" s="131"/>
      <c r="F34" s="131" t="s">
        <v>191</v>
      </c>
      <c r="G34" s="131"/>
      <c r="H34" s="131"/>
    </row>
    <row r="35" spans="1:8" x14ac:dyDescent="0.35">
      <c r="A35" s="132" t="s">
        <v>27</v>
      </c>
      <c r="B35" s="132" t="s">
        <v>30</v>
      </c>
      <c r="C35" s="131" t="s">
        <v>30</v>
      </c>
      <c r="D35" s="131"/>
      <c r="E35" s="131"/>
      <c r="F35" s="131" t="s">
        <v>192</v>
      </c>
      <c r="G35" s="131"/>
      <c r="H35" s="131"/>
    </row>
    <row r="36" spans="1:8" x14ac:dyDescent="0.35">
      <c r="A36" s="77" t="s">
        <v>32</v>
      </c>
      <c r="B36" s="77"/>
      <c r="C36" s="77"/>
      <c r="D36" s="77"/>
      <c r="E36" s="77"/>
      <c r="F36" s="77"/>
      <c r="G36" s="77"/>
      <c r="H36" s="77"/>
    </row>
    <row r="37" spans="1:8" ht="15.75" customHeight="1" x14ac:dyDescent="0.35">
      <c r="A37" s="77" t="s">
        <v>224</v>
      </c>
      <c r="B37" s="77"/>
      <c r="C37" s="190" t="s">
        <v>225</v>
      </c>
      <c r="D37" s="191"/>
      <c r="E37" s="191"/>
      <c r="F37" s="191"/>
      <c r="G37" s="191"/>
      <c r="H37" s="192"/>
    </row>
    <row r="38" spans="1:8" x14ac:dyDescent="0.35">
      <c r="A38" s="77" t="s">
        <v>170</v>
      </c>
      <c r="B38" s="77"/>
      <c r="C38" s="181" t="s">
        <v>182</v>
      </c>
      <c r="D38" s="87"/>
      <c r="E38" s="87"/>
      <c r="F38" s="87"/>
      <c r="G38" s="87"/>
      <c r="H38" s="87"/>
    </row>
    <row r="39" spans="1:8" x14ac:dyDescent="0.35">
      <c r="A39" s="121" t="s">
        <v>35</v>
      </c>
      <c r="B39" s="121"/>
      <c r="C39" s="121"/>
      <c r="D39" s="121"/>
      <c r="E39" s="121"/>
      <c r="F39" s="121"/>
      <c r="G39" s="121"/>
      <c r="H39" s="121"/>
    </row>
    <row r="40" spans="1:8" x14ac:dyDescent="0.35">
      <c r="A40" s="77" t="s">
        <v>36</v>
      </c>
      <c r="B40" s="77"/>
      <c r="C40" s="77"/>
      <c r="D40" s="77"/>
      <c r="E40" s="134">
        <v>649.85</v>
      </c>
      <c r="F40" s="134"/>
      <c r="G40" s="134"/>
      <c r="H40" s="134"/>
    </row>
    <row r="41" spans="1:8" x14ac:dyDescent="0.35">
      <c r="A41" s="77" t="s">
        <v>37</v>
      </c>
      <c r="B41" s="77"/>
      <c r="C41" s="77"/>
      <c r="D41" s="77"/>
      <c r="E41" s="76">
        <v>1.5</v>
      </c>
      <c r="F41" s="76"/>
      <c r="G41" s="76"/>
      <c r="H41" s="76"/>
    </row>
    <row r="42" spans="1:8" x14ac:dyDescent="0.35">
      <c r="A42" s="77" t="s">
        <v>38</v>
      </c>
      <c r="B42" s="77"/>
      <c r="C42" s="77"/>
      <c r="D42" s="77"/>
      <c r="E42" s="76">
        <f>E44/E40-E41</f>
        <v>-7.6940832500760337E-6</v>
      </c>
      <c r="F42" s="76"/>
      <c r="G42" s="76"/>
      <c r="H42" s="76"/>
    </row>
    <row r="43" spans="1:8" x14ac:dyDescent="0.35">
      <c r="A43" s="89" t="s">
        <v>39</v>
      </c>
      <c r="B43" s="89"/>
      <c r="C43" s="89"/>
      <c r="D43" s="89"/>
      <c r="E43" s="144">
        <f>E41+E42</f>
        <v>1.4999923059167499</v>
      </c>
      <c r="F43" s="144"/>
      <c r="G43" s="144"/>
      <c r="H43" s="144"/>
    </row>
    <row r="44" spans="1:8" x14ac:dyDescent="0.35">
      <c r="A44" s="89" t="s">
        <v>95</v>
      </c>
      <c r="B44" s="89"/>
      <c r="C44" s="89"/>
      <c r="D44" s="89"/>
      <c r="E44" s="145">
        <v>974.77</v>
      </c>
      <c r="F44" s="145"/>
      <c r="G44" s="145"/>
      <c r="H44" s="145"/>
    </row>
    <row r="45" spans="1:8" x14ac:dyDescent="0.35">
      <c r="A45" s="89" t="s">
        <v>40</v>
      </c>
      <c r="B45" s="89"/>
      <c r="C45" s="89"/>
      <c r="D45" s="89"/>
      <c r="E45" s="89" t="s">
        <v>125</v>
      </c>
      <c r="F45" s="89"/>
      <c r="G45" s="89"/>
      <c r="H45" s="89"/>
    </row>
    <row r="46" spans="1:8" x14ac:dyDescent="0.35">
      <c r="A46" s="135" t="s">
        <v>41</v>
      </c>
      <c r="B46" s="135"/>
      <c r="C46" s="135"/>
      <c r="D46" s="135"/>
      <c r="E46" s="135"/>
      <c r="F46" s="135"/>
      <c r="G46" s="135"/>
      <c r="H46" s="135"/>
    </row>
    <row r="47" spans="1:8" ht="33.75" customHeight="1" x14ac:dyDescent="0.35">
      <c r="A47" s="182" t="s">
        <v>158</v>
      </c>
      <c r="B47" s="183"/>
      <c r="C47" s="184" t="s">
        <v>193</v>
      </c>
      <c r="D47" s="185"/>
      <c r="E47" s="185"/>
      <c r="F47" s="185"/>
      <c r="G47" s="185"/>
      <c r="H47" s="186"/>
    </row>
    <row r="48" spans="1:8" ht="32.25" customHeight="1" x14ac:dyDescent="0.35">
      <c r="A48" s="73" t="s">
        <v>42</v>
      </c>
      <c r="B48" s="75"/>
      <c r="C48" s="73" t="s">
        <v>212</v>
      </c>
      <c r="D48" s="74"/>
      <c r="E48" s="75"/>
      <c r="F48" s="19" t="s">
        <v>43</v>
      </c>
      <c r="G48" s="84">
        <v>44998</v>
      </c>
      <c r="H48" s="75"/>
    </row>
    <row r="49" spans="1:14" ht="32.25" customHeight="1" x14ac:dyDescent="0.35">
      <c r="A49" s="73" t="s">
        <v>44</v>
      </c>
      <c r="B49" s="75"/>
      <c r="C49" s="73" t="str">
        <f>C48</f>
        <v>CIDCO/BP-16269/TPO(NM &amp; K)/2019/10466</v>
      </c>
      <c r="D49" s="74"/>
      <c r="E49" s="75"/>
      <c r="F49" s="19" t="s">
        <v>43</v>
      </c>
      <c r="G49" s="84">
        <f>G48</f>
        <v>44998</v>
      </c>
      <c r="H49" s="75"/>
    </row>
    <row r="50" spans="1:14" s="24" customFormat="1" ht="32.25" customHeight="1" x14ac:dyDescent="0.35">
      <c r="A50" s="92" t="s">
        <v>162</v>
      </c>
      <c r="B50" s="93"/>
      <c r="C50" s="73" t="s">
        <v>212</v>
      </c>
      <c r="D50" s="74"/>
      <c r="E50" s="75"/>
      <c r="F50" s="19" t="s">
        <v>43</v>
      </c>
      <c r="G50" s="84">
        <v>44998</v>
      </c>
      <c r="H50" s="75"/>
    </row>
    <row r="51" spans="1:14" s="24" customFormat="1" x14ac:dyDescent="0.35">
      <c r="A51" s="94"/>
      <c r="B51" s="95"/>
      <c r="C51" s="73" t="s">
        <v>194</v>
      </c>
      <c r="D51" s="74"/>
      <c r="E51" s="74"/>
      <c r="F51" s="74"/>
      <c r="G51" s="74"/>
      <c r="H51" s="75"/>
    </row>
    <row r="52" spans="1:14" s="24" customFormat="1" ht="15.75" customHeight="1" x14ac:dyDescent="0.35">
      <c r="A52" s="92" t="s">
        <v>206</v>
      </c>
      <c r="B52" s="93"/>
      <c r="C52" s="73" t="s">
        <v>207</v>
      </c>
      <c r="D52" s="74"/>
      <c r="E52" s="75"/>
      <c r="F52" s="19" t="s">
        <v>43</v>
      </c>
      <c r="G52" s="84">
        <v>43419</v>
      </c>
      <c r="H52" s="75"/>
    </row>
    <row r="53" spans="1:14" s="24" customFormat="1" ht="33.75" customHeight="1" x14ac:dyDescent="0.35">
      <c r="A53" s="94"/>
      <c r="B53" s="95"/>
      <c r="C53" s="73" t="s">
        <v>209</v>
      </c>
      <c r="D53" s="74"/>
      <c r="E53" s="75"/>
      <c r="F53" s="19" t="s">
        <v>126</v>
      </c>
      <c r="G53" s="84">
        <v>46340</v>
      </c>
      <c r="H53" s="75"/>
    </row>
    <row r="54" spans="1:14" ht="92.5" customHeight="1" x14ac:dyDescent="0.35">
      <c r="A54" s="141" t="s">
        <v>45</v>
      </c>
      <c r="B54" s="143"/>
      <c r="C54" s="141" t="s">
        <v>227</v>
      </c>
      <c r="D54" s="142"/>
      <c r="E54" s="143"/>
      <c r="F54" s="47" t="s">
        <v>43</v>
      </c>
      <c r="G54" s="90">
        <v>45394</v>
      </c>
      <c r="H54" s="91"/>
    </row>
    <row r="55" spans="1:14" x14ac:dyDescent="0.35">
      <c r="A55" s="85" t="s">
        <v>47</v>
      </c>
      <c r="B55" s="85"/>
      <c r="C55" s="85"/>
      <c r="D55" s="85"/>
      <c r="E55" s="85"/>
      <c r="F55" s="85"/>
      <c r="G55" s="85"/>
      <c r="H55" s="85"/>
    </row>
    <row r="56" spans="1:14" x14ac:dyDescent="0.35">
      <c r="A56" s="86" t="s">
        <v>94</v>
      </c>
      <c r="B56" s="86"/>
      <c r="C56" s="86"/>
      <c r="D56" s="77">
        <f>E44</f>
        <v>974.77</v>
      </c>
      <c r="E56" s="77"/>
      <c r="F56" s="77"/>
      <c r="G56" s="77"/>
      <c r="H56" s="77"/>
    </row>
    <row r="57" spans="1:14" x14ac:dyDescent="0.35">
      <c r="A57" s="87" t="s">
        <v>48</v>
      </c>
      <c r="B57" s="88"/>
      <c r="C57" s="88"/>
      <c r="D57" s="89" t="s">
        <v>215</v>
      </c>
      <c r="E57" s="89"/>
      <c r="F57" s="89"/>
      <c r="G57" s="89"/>
      <c r="H57" s="89"/>
      <c r="I57" s="25"/>
    </row>
    <row r="58" spans="1:14" x14ac:dyDescent="0.35">
      <c r="A58" s="138" t="s">
        <v>49</v>
      </c>
      <c r="B58" s="139"/>
      <c r="C58" s="140"/>
      <c r="D58" s="136" t="s">
        <v>194</v>
      </c>
      <c r="E58" s="137"/>
      <c r="F58" s="137"/>
      <c r="G58" s="137"/>
      <c r="H58" s="137"/>
    </row>
    <row r="59" spans="1:14" ht="15.75" customHeight="1" x14ac:dyDescent="0.35">
      <c r="A59" s="138" t="s">
        <v>92</v>
      </c>
      <c r="B59" s="139"/>
      <c r="C59" s="139"/>
      <c r="D59" s="89" t="s">
        <v>194</v>
      </c>
      <c r="E59" s="89"/>
      <c r="F59" s="89"/>
      <c r="G59" s="89"/>
      <c r="H59" s="89"/>
    </row>
    <row r="60" spans="1:14" ht="15.75" hidden="1" customHeight="1" x14ac:dyDescent="0.35">
      <c r="A60" s="147"/>
      <c r="B60" s="148"/>
      <c r="C60" s="148"/>
      <c r="D60" s="115" t="s">
        <v>153</v>
      </c>
      <c r="E60" s="115"/>
      <c r="F60" s="115"/>
      <c r="G60" s="115"/>
      <c r="H60" s="115"/>
    </row>
    <row r="61" spans="1:14" ht="15.75" hidden="1" customHeight="1" x14ac:dyDescent="0.35">
      <c r="A61" s="149"/>
      <c r="B61" s="150"/>
      <c r="C61" s="150"/>
      <c r="D61" s="115" t="s">
        <v>154</v>
      </c>
      <c r="E61" s="115"/>
      <c r="F61" s="115"/>
      <c r="G61" s="115"/>
      <c r="H61" s="115"/>
    </row>
    <row r="62" spans="1:14" ht="15.75" customHeight="1" x14ac:dyDescent="0.35">
      <c r="A62" s="77" t="s">
        <v>46</v>
      </c>
      <c r="B62" s="77"/>
      <c r="C62" s="77"/>
      <c r="D62" s="86" t="s">
        <v>226</v>
      </c>
      <c r="E62" s="86"/>
      <c r="F62" s="86"/>
      <c r="G62" s="86"/>
      <c r="H62" s="86"/>
      <c r="J62" s="26"/>
      <c r="K62" s="25"/>
      <c r="N62" s="25"/>
    </row>
    <row r="63" spans="1:14" ht="15.75" customHeight="1" x14ac:dyDescent="0.35">
      <c r="A63" s="77" t="s">
        <v>90</v>
      </c>
      <c r="B63" s="77"/>
      <c r="C63" s="77"/>
      <c r="D63" s="152" t="str">
        <f ca="1">(IF(G54="NA","60 Years After Completion",IF(G54&lt;&gt;"NA",""&amp;60-ROUNDDOWN((E3-G54)/360,0)&amp;" Years"," ")))</f>
        <v>59 Years</v>
      </c>
      <c r="E63" s="152"/>
      <c r="F63" s="152"/>
      <c r="G63" s="152"/>
      <c r="H63" s="152"/>
      <c r="I63" s="22" t="str">
        <f ca="1">(IF(G54="NA","60 Years After Completion",IF(G54&lt;&gt;"NA",""&amp;60-ROUNDDOWN((E3-G54)/360,0)&amp;" Years"," ")))</f>
        <v>59 Years</v>
      </c>
      <c r="N63" s="25"/>
    </row>
    <row r="64" spans="1:14" ht="15.75" customHeight="1" x14ac:dyDescent="0.35">
      <c r="A64" s="77" t="s">
        <v>91</v>
      </c>
      <c r="B64" s="77"/>
      <c r="C64" s="77"/>
      <c r="D64" s="86" t="s">
        <v>24</v>
      </c>
      <c r="E64" s="86"/>
      <c r="F64" s="86"/>
      <c r="G64" s="86"/>
      <c r="H64" s="86"/>
      <c r="J64" s="27"/>
      <c r="K64" s="27"/>
    </row>
    <row r="65" spans="1:14" ht="30" customHeight="1" x14ac:dyDescent="0.35">
      <c r="A65" s="77" t="s">
        <v>77</v>
      </c>
      <c r="B65" s="77"/>
      <c r="C65" s="77"/>
      <c r="D65" s="87" t="s">
        <v>211</v>
      </c>
      <c r="E65" s="86"/>
      <c r="F65" s="86"/>
      <c r="G65" s="86"/>
      <c r="H65" s="86"/>
    </row>
    <row r="66" spans="1:14" x14ac:dyDescent="0.35">
      <c r="A66" s="86" t="s">
        <v>155</v>
      </c>
      <c r="B66" s="86"/>
      <c r="C66" s="86"/>
      <c r="D66" s="86" t="s">
        <v>30</v>
      </c>
      <c r="E66" s="86"/>
      <c r="F66" s="86"/>
      <c r="G66" s="86"/>
      <c r="H66" s="86"/>
      <c r="I66" s="28"/>
      <c r="J66" s="28"/>
      <c r="K66" s="28"/>
      <c r="L66" s="28"/>
      <c r="M66" s="28"/>
      <c r="N66" s="28"/>
    </row>
    <row r="67" spans="1:14" ht="15.75" customHeight="1" x14ac:dyDescent="0.35">
      <c r="A67" s="116" t="s">
        <v>89</v>
      </c>
      <c r="B67" s="116"/>
      <c r="C67" s="116"/>
      <c r="D67" s="117" t="str">
        <f ca="1">(IF(G73&gt;95%,"Nothing",IF(G73&gt;0%,"Cement, Aggregate, Steel, etc",IF(G73=0%,"Work not yet Started"))))</f>
        <v>Nothing</v>
      </c>
      <c r="E67" s="117"/>
      <c r="F67" s="117"/>
      <c r="G67" s="117"/>
      <c r="H67" s="117"/>
      <c r="J67" s="27"/>
    </row>
    <row r="68" spans="1:14" ht="33.75" customHeight="1" thickBot="1" x14ac:dyDescent="0.4">
      <c r="A68" s="86" t="s">
        <v>120</v>
      </c>
      <c r="B68" s="86"/>
      <c r="C68" s="86"/>
      <c r="D68" s="87" t="str">
        <f ca="1">(IF(D67="Nothing","Yes",IF(D67="Cement, Aggregate, Steel, etc","Under Construction",IF(D67="Work not yet Started","Work not yet Started"))))</f>
        <v>Yes</v>
      </c>
      <c r="E68" s="87"/>
      <c r="F68" s="87" t="str">
        <f ca="1">(IF(D67="Nothing","Yes",IF(D67="Cement, Aggregate, Steel, etc","Under Construction",IF(D67="Work not yet Started","Work not yet Started"))))</f>
        <v>Yes</v>
      </c>
      <c r="G68" s="87"/>
      <c r="H68" s="87"/>
    </row>
    <row r="69" spans="1:14" ht="15.75" customHeight="1" x14ac:dyDescent="0.35">
      <c r="A69" s="146" t="s">
        <v>145</v>
      </c>
      <c r="B69" s="146"/>
      <c r="C69" s="146" t="str">
        <f>D59</f>
        <v>Gr + 1st to 6th Floor</v>
      </c>
      <c r="D69" s="146"/>
      <c r="E69" s="146"/>
      <c r="F69" s="146"/>
      <c r="G69" s="146"/>
      <c r="H69" s="146"/>
      <c r="I69" s="62" t="str">
        <f ca="1">IF(D82=100%,"All work Completed. Possession granted to the Building.",IF(D81=100%,"All work Completed, Waiting for OC",I70&amp;""&amp;I71&amp;""&amp;J70&amp;""&amp;J69&amp;" "&amp;J71))</f>
        <v>All work Completed. Possession granted to the Building.</v>
      </c>
      <c r="J69" s="52" t="str">
        <f ca="1">(IF(C75=(D70+F70+H70),"",IF(C75&gt;0,", RCC upto "&amp;C75&amp;" Slab","")))&amp;(IF(C76=H70,"",IF(C76&gt;0,", Brickwork upto "&amp;C76&amp;" Floor","")))&amp;(IF(C77=H70,"",IF(C77&gt;0,", Internal Plaster upto "&amp;C77&amp;" Floor","")))&amp;(IF(C78=H70,"",IF(C78&gt;0,", External Plaster upto "&amp;C78&amp;" Floor","")))&amp;(IF(C79=H70,"",IF(C79&gt;0,", Flooring upto "&amp;C79&amp;" Floor","")))&amp;(IF(C80=H70,"",IF(C80&gt;0,", Painting upto "&amp;C80&amp;" Floor","")))&amp;(IF(C81=H70,"",IF(C81&gt;0,", Finishing upto "&amp;C81&amp;" Floor","")))&amp;(IF(C82=H70,"",IF(C82&gt;0,", Possession upto "&amp;C82&amp;" Floor","")))</f>
        <v/>
      </c>
    </row>
    <row r="70" spans="1:14" x14ac:dyDescent="0.35">
      <c r="A70" s="56" t="s">
        <v>147</v>
      </c>
      <c r="B70" s="56">
        <v>0</v>
      </c>
      <c r="C70" s="56" t="s">
        <v>74</v>
      </c>
      <c r="D70" s="56">
        <v>1</v>
      </c>
      <c r="E70" s="56" t="s">
        <v>73</v>
      </c>
      <c r="F70" s="56">
        <v>0</v>
      </c>
      <c r="G70" s="56" t="s">
        <v>83</v>
      </c>
      <c r="H70" s="56">
        <f ca="1">--TRIM(RIGHT(SUBSTITUTE(LEFT(C69,_xlfn.AGGREGATE(16,6,FIND({0,1,2,3,4,5,6,7,8,9},C69,ROW(INDIRECT("1:"&amp;LEN(C69)))),1))," ",REPT(" ",LEN(C69))),LEN(C69)))</f>
        <v>6</v>
      </c>
      <c r="I70" s="63" t="str">
        <f ca="1">IF(D73=100%,"Excavation","")&amp;IF(D74=100%,", Plinth","")&amp;IF(D75=100%,", RCC Slab","")&amp;IF(D76=100%,", Brickwork","")&amp;IF(D77=100%,", Internal Plaster","")&amp;IF(D78=100%,", External Plaster","")&amp;IF(D79=100%,", Flooring","")&amp;IF(D80=100%,", Painting","")&amp;IF(D81=100%,", Building common Amenities","")</f>
        <v>Excavation, Plinth, RCC Slab, Brickwork, Internal Plaster, External Plaster, Flooring, Painting, Building common Amenities</v>
      </c>
      <c r="J70" s="54" t="str">
        <f ca="1">(IF(C73=0,"Work not yet Started.",IF(D73=25%,"Piling work in process",IF(D73=50%,"Excavation work in process",IF(D73=100%,"","0")))))&amp;(IF(C74=0%,"",IF(C74=J75,", Footing work is process",IF(C74=J76,", Footing work Completed",IF(C74=J77,", 1st Basement Completed",IF(C74=J78,", 1st &amp; 2nd Basement Completed",IF(C74=J79,", 1st to 3rd Basement Completed",IF(C74=J80,", 1st to 4th Basement Completed",IF(C74=J81,", Plinth work is process",IF(C74=J82,"","0"))))))))))</f>
        <v/>
      </c>
    </row>
    <row r="71" spans="1:14" x14ac:dyDescent="0.35">
      <c r="A71" s="135" t="s">
        <v>93</v>
      </c>
      <c r="B71" s="135"/>
      <c r="C71" s="146" t="str">
        <f ca="1">I69</f>
        <v>All work Completed. Possession granted to the Building.</v>
      </c>
      <c r="D71" s="146"/>
      <c r="E71" s="146"/>
      <c r="F71" s="146"/>
      <c r="G71" s="146"/>
      <c r="H71" s="146"/>
      <c r="I71" s="63" t="str">
        <f ca="1">IF(I70&lt;&gt;""," Completed","")</f>
        <v xml:space="preserve"> Completed</v>
      </c>
      <c r="J71" s="54" t="str">
        <f ca="1">IF(J69&lt;&gt;"","Completed","")</f>
        <v/>
      </c>
    </row>
    <row r="72" spans="1:14" ht="15.75" customHeight="1" x14ac:dyDescent="0.35">
      <c r="A72" s="83" t="s">
        <v>50</v>
      </c>
      <c r="B72" s="83"/>
      <c r="C72" s="61" t="s">
        <v>144</v>
      </c>
      <c r="D72" s="61" t="s">
        <v>86</v>
      </c>
      <c r="E72" s="83" t="s">
        <v>88</v>
      </c>
      <c r="F72" s="83"/>
      <c r="G72" s="83" t="s">
        <v>87</v>
      </c>
      <c r="H72" s="83"/>
      <c r="I72" s="14" t="s">
        <v>146</v>
      </c>
      <c r="J72" s="29">
        <f ca="1">H70*25%</f>
        <v>1.5</v>
      </c>
    </row>
    <row r="73" spans="1:14" x14ac:dyDescent="0.35">
      <c r="A73" s="83" t="s">
        <v>133</v>
      </c>
      <c r="B73" s="83"/>
      <c r="C73" s="61">
        <f ca="1">J74</f>
        <v>6</v>
      </c>
      <c r="D73" s="20">
        <f ca="1">((100/H70)*C73)/100</f>
        <v>1</v>
      </c>
      <c r="E73" s="151">
        <f ca="1">(((C74/H70*10)+(40/(D70+F70+H70)*C75)+(7.5/(H70)*C76)+(7.5/(H70)*C77)+(10/H70*C78)+(10/H70*C79)+(5/H70*C80)+(5/H70*C81)+(5/H70*C82))/100)</f>
        <v>1</v>
      </c>
      <c r="F73" s="151"/>
      <c r="G73" s="151">
        <f ca="1">((((C73/H70)*20)+((C74/H70)*25)+(30/(H70+F70+D70)*C75)+(5/H70*C76)+(5/H70*C77)+(5/H70*C78)+(5/H70*C79)+(0/H70*C80)+(0/H70*C81)+(5/H70*C82))/100)</f>
        <v>1</v>
      </c>
      <c r="H73" s="151"/>
      <c r="I73" s="14" t="s">
        <v>103</v>
      </c>
      <c r="J73" s="30">
        <f ca="1">H70*50%</f>
        <v>3</v>
      </c>
    </row>
    <row r="74" spans="1:14" x14ac:dyDescent="0.35">
      <c r="A74" s="83" t="s">
        <v>51</v>
      </c>
      <c r="B74" s="83"/>
      <c r="C74" s="61">
        <f ca="1">J82</f>
        <v>6</v>
      </c>
      <c r="D74" s="20">
        <f ca="1">((100/H70)*C74)/100</f>
        <v>1</v>
      </c>
      <c r="E74" s="151"/>
      <c r="F74" s="151"/>
      <c r="G74" s="151"/>
      <c r="H74" s="151"/>
      <c r="I74" s="14" t="s">
        <v>104</v>
      </c>
      <c r="J74" s="30">
        <f ca="1">H70</f>
        <v>6</v>
      </c>
    </row>
    <row r="75" spans="1:14" ht="15.75" customHeight="1" x14ac:dyDescent="0.35">
      <c r="A75" s="83" t="s">
        <v>134</v>
      </c>
      <c r="B75" s="83"/>
      <c r="C75" s="61">
        <v>7</v>
      </c>
      <c r="D75" s="20">
        <f ca="1">((100/(D70+F70+H70))*C75)/100</f>
        <v>1</v>
      </c>
      <c r="E75" s="151"/>
      <c r="F75" s="151"/>
      <c r="G75" s="151"/>
      <c r="H75" s="151"/>
      <c r="I75" s="14" t="s">
        <v>105</v>
      </c>
      <c r="J75" s="31">
        <f ca="1">(IF(B70&gt;1,(H70/(B70+2)),H70/4))</f>
        <v>1.5</v>
      </c>
    </row>
    <row r="76" spans="1:14" ht="15.75" customHeight="1" x14ac:dyDescent="0.35">
      <c r="A76" s="83" t="s">
        <v>141</v>
      </c>
      <c r="B76" s="83" t="s">
        <v>135</v>
      </c>
      <c r="C76" s="61">
        <v>6</v>
      </c>
      <c r="D76" s="20">
        <f ca="1">((100/H70)*C76)/100</f>
        <v>1</v>
      </c>
      <c r="E76" s="151"/>
      <c r="F76" s="151"/>
      <c r="G76" s="151"/>
      <c r="H76" s="151"/>
      <c r="I76" s="14" t="s">
        <v>106</v>
      </c>
      <c r="J76" s="31">
        <f ca="1">(IF(B70&gt;1,(H70/(B70+2)+J75),H70/4+J75))</f>
        <v>3</v>
      </c>
    </row>
    <row r="77" spans="1:14" ht="15.75" customHeight="1" x14ac:dyDescent="0.35">
      <c r="A77" s="83" t="s">
        <v>142</v>
      </c>
      <c r="B77" s="83" t="s">
        <v>135</v>
      </c>
      <c r="C77" s="61">
        <v>6</v>
      </c>
      <c r="D77" s="20">
        <f ca="1">((100/H70)*C77)/100</f>
        <v>1</v>
      </c>
      <c r="E77" s="151"/>
      <c r="F77" s="151"/>
      <c r="G77" s="151"/>
      <c r="H77" s="151"/>
      <c r="I77" s="14" t="s">
        <v>151</v>
      </c>
      <c r="J77" s="31">
        <f>(IF(B70&gt;1,(H70/(B70+2)+J76),0))</f>
        <v>0</v>
      </c>
    </row>
    <row r="78" spans="1:14" ht="15" customHeight="1" x14ac:dyDescent="0.35">
      <c r="A78" s="83" t="s">
        <v>140</v>
      </c>
      <c r="B78" s="83" t="s">
        <v>137</v>
      </c>
      <c r="C78" s="61">
        <v>6</v>
      </c>
      <c r="D78" s="20">
        <f ca="1">((100/(H70))*C78)/100</f>
        <v>1</v>
      </c>
      <c r="E78" s="151"/>
      <c r="F78" s="151"/>
      <c r="G78" s="151"/>
      <c r="H78" s="151"/>
      <c r="I78" s="14" t="s">
        <v>148</v>
      </c>
      <c r="J78" s="31">
        <f>(IF(B70&gt;2,(H70/(B70+2)+J77),0))</f>
        <v>0</v>
      </c>
    </row>
    <row r="79" spans="1:14" ht="15.75" customHeight="1" x14ac:dyDescent="0.35">
      <c r="A79" s="83" t="s">
        <v>136</v>
      </c>
      <c r="B79" s="83" t="s">
        <v>136</v>
      </c>
      <c r="C79" s="61">
        <v>6</v>
      </c>
      <c r="D79" s="20">
        <f ca="1">((100/H70)*C79)/100</f>
        <v>1</v>
      </c>
      <c r="E79" s="151"/>
      <c r="F79" s="151"/>
      <c r="G79" s="151"/>
      <c r="H79" s="151"/>
      <c r="I79" s="14" t="s">
        <v>149</v>
      </c>
      <c r="J79" s="32">
        <f>(IF(B70&gt;3,(H70/(B70+2)+J78),0))</f>
        <v>0</v>
      </c>
    </row>
    <row r="80" spans="1:14" ht="15.75" customHeight="1" x14ac:dyDescent="0.35">
      <c r="A80" s="83" t="s">
        <v>143</v>
      </c>
      <c r="B80" s="83"/>
      <c r="C80" s="61">
        <v>6</v>
      </c>
      <c r="D80" s="20">
        <f ca="1">((100/H70)*C80)/100</f>
        <v>1</v>
      </c>
      <c r="E80" s="151"/>
      <c r="F80" s="151"/>
      <c r="G80" s="151"/>
      <c r="H80" s="151"/>
      <c r="I80" s="14" t="s">
        <v>150</v>
      </c>
      <c r="J80" s="31">
        <f>(IF(B70&gt;4,(H70/(B70+2)+J79),0))</f>
        <v>0</v>
      </c>
    </row>
    <row r="81" spans="1:10" ht="15.75" customHeight="1" x14ac:dyDescent="0.35">
      <c r="A81" s="83" t="s">
        <v>138</v>
      </c>
      <c r="B81" s="83" t="s">
        <v>138</v>
      </c>
      <c r="C81" s="61">
        <v>6</v>
      </c>
      <c r="D81" s="20">
        <f ca="1">((100/(H70))*C81)/100</f>
        <v>1</v>
      </c>
      <c r="E81" s="151"/>
      <c r="F81" s="151"/>
      <c r="G81" s="151"/>
      <c r="H81" s="151"/>
      <c r="I81" s="14" t="s">
        <v>152</v>
      </c>
      <c r="J81" s="31">
        <f ca="1">(IF(B70=1,(H70/(B70+3)+J76),IF(B70=0,(H70/4+J76),IF(B70&gt;1,0))))</f>
        <v>4.5</v>
      </c>
    </row>
    <row r="82" spans="1:10" ht="16" thickBot="1" x14ac:dyDescent="0.4">
      <c r="A82" s="83" t="s">
        <v>139</v>
      </c>
      <c r="B82" s="83"/>
      <c r="C82" s="61">
        <v>6</v>
      </c>
      <c r="D82" s="20">
        <f ca="1">((100/(H70))*C82)/100</f>
        <v>1</v>
      </c>
      <c r="E82" s="151"/>
      <c r="F82" s="151"/>
      <c r="G82" s="151"/>
      <c r="H82" s="151"/>
      <c r="I82" s="16" t="s">
        <v>107</v>
      </c>
      <c r="J82" s="33">
        <f ca="1">(IF(B70&gt;1.5,(H70/(B70+2)+J76+MAX(0,J77-J76)+MAX(0,J78-J77)+MAX(0,J79-J78)+MAX(0,J80-J79)+MAX(0,J81-J80)),IF(B70=1,(H70/(B70+3)+J81),IF(B70=0,H70/4+J81))))</f>
        <v>6</v>
      </c>
    </row>
    <row r="83" spans="1:10" ht="15.75" hidden="1" customHeight="1" x14ac:dyDescent="0.35">
      <c r="A83" s="78" t="s">
        <v>145</v>
      </c>
      <c r="B83" s="79"/>
      <c r="C83" s="80" t="str">
        <f>D60</f>
        <v>B Wing = G + 1st to 20th Floor</v>
      </c>
      <c r="D83" s="81"/>
      <c r="E83" s="81"/>
      <c r="F83" s="81"/>
      <c r="G83" s="81"/>
      <c r="H83" s="82"/>
      <c r="I83" s="51" t="str">
        <f ca="1">IF(D96=100%,"All work Completed. Possession granted to the Building.",IF(D95=100%,"All work Completed, Waiting for OC",I84&amp;""&amp;I85&amp;""&amp;J84&amp;""&amp;J83&amp;" "&amp;J85))</f>
        <v xml:space="preserve">Excavation, Plinth, RCC Slab Completed </v>
      </c>
      <c r="J83" s="52" t="str">
        <f ca="1">(IF(C89=(D84+F84+H84),"",IF(C89&gt;0,", RCC upto "&amp;C89&amp;" Slab","")))&amp;(IF(C90=H84,"",IF(C90&gt;0,", Brickwork upto "&amp;C90&amp;" Floor","")))&amp;(IF(C91=H84,"",IF(C91&gt;0,", Internal Plaster upto "&amp;C91&amp;" Floor","")))&amp;(IF(C92=H84,"",IF(C92&gt;0,", External Plaster upto "&amp;C92&amp;" Floor","")))&amp;(IF(C93=H84,"",IF(C93&gt;0,", Flooring upto "&amp;C93&amp;" Floor","")))&amp;(IF(C94=H84,"",IF(C94&gt;0,", Painting upto "&amp;C94&amp;" Floor","")))&amp;(IF(C95=H84,"",IF(C95&gt;0,", Finishing upto "&amp;C95&amp;" Floor","")))&amp;(IF(C96=H84,"",IF(C96&gt;0,", Possession upto "&amp;C96&amp;" Floor","")))</f>
        <v/>
      </c>
    </row>
    <row r="84" spans="1:10" hidden="1" x14ac:dyDescent="0.35">
      <c r="A84" s="17" t="s">
        <v>147</v>
      </c>
      <c r="B84" s="15">
        <v>0</v>
      </c>
      <c r="C84" s="49" t="s">
        <v>74</v>
      </c>
      <c r="D84" s="49">
        <v>1</v>
      </c>
      <c r="E84" s="49" t="s">
        <v>73</v>
      </c>
      <c r="F84" s="15">
        <v>0</v>
      </c>
      <c r="G84" s="50" t="s">
        <v>83</v>
      </c>
      <c r="H84" s="18">
        <f ca="1">--TRIM(RIGHT(SUBSTITUTE(LEFT(C83,_xlfn.AGGREGATE(16,6,FIND({0,1,2,3,4,5,6,7,8,9},C83,ROW(INDIRECT("1:"&amp;LEN(C83)))),1))," ",REPT(" ",LEN(C83))),LEN(C83)))</f>
        <v>20</v>
      </c>
      <c r="I84" s="53" t="str">
        <f ca="1">IF(D87=100%,"Excavation","")&amp;IF(D88=100%,", Plinth","")&amp;IF(D89=100%,", RCC Slab","")&amp;IF(D90=100%,", Brickwork","")&amp;IF(D91=100%,", Internal Plaster","")&amp;IF(D92=100%,", External Plaster","")&amp;IF(D93=100%,", Flooring","")&amp;IF(D94=100%,", Painting","")&amp;IF(D95=100%,", Building common Amenities","")</f>
        <v>Excavation, Plinth, RCC Slab</v>
      </c>
      <c r="J84" s="54" t="str">
        <f ca="1">(IF(C87=0,"Work not yet Started.",IF(D87=25%,"Piling work in process",IF(D87=50%,"Excavation work in process",IF(D87=100%,"","0")))))&amp;(IF(C88=0%,"",IF(C88=J89,", Footing work is process",IF(C88=J90,", Footing work Completed",IF(C88=J91,", 1st Basement Completed",IF(C88=J92,", 1st &amp; 2nd Basement Completed",IF(C88=J93,", 1st to 3rd Basement Completed",IF(C88=J94,", 1st to 4th Basement Completed",IF(C88=J95,", Plinth work is process",IF(C88=J96,"","0"))))))))))</f>
        <v/>
      </c>
    </row>
    <row r="85" spans="1:10" ht="33.75" hidden="1" customHeight="1" x14ac:dyDescent="0.35">
      <c r="A85" s="108" t="s">
        <v>93</v>
      </c>
      <c r="B85" s="109"/>
      <c r="C85" s="110" t="str">
        <f>(IF($G$54="NA",I83,"All work Completed. OC Received."))</f>
        <v>All work Completed. OC Received.</v>
      </c>
      <c r="D85" s="110"/>
      <c r="E85" s="110"/>
      <c r="F85" s="110"/>
      <c r="G85" s="110"/>
      <c r="H85" s="111"/>
      <c r="I85" s="53" t="str">
        <f ca="1">IF(I84&lt;&gt;""," Completed","")</f>
        <v xml:space="preserve"> Completed</v>
      </c>
      <c r="J85" s="54" t="str">
        <f ca="1">IF(J83&lt;&gt;"","Completed","")</f>
        <v/>
      </c>
    </row>
    <row r="86" spans="1:10" ht="15.75" hidden="1" customHeight="1" x14ac:dyDescent="0.35">
      <c r="A86" s="101" t="s">
        <v>50</v>
      </c>
      <c r="B86" s="83"/>
      <c r="C86" s="45" t="s">
        <v>144</v>
      </c>
      <c r="D86" s="45" t="s">
        <v>86</v>
      </c>
      <c r="E86" s="83" t="s">
        <v>88</v>
      </c>
      <c r="F86" s="83"/>
      <c r="G86" s="83" t="s">
        <v>87</v>
      </c>
      <c r="H86" s="112"/>
      <c r="I86" s="14" t="s">
        <v>146</v>
      </c>
      <c r="J86" s="29">
        <f ca="1">H84*25%</f>
        <v>5</v>
      </c>
    </row>
    <row r="87" spans="1:10" hidden="1" x14ac:dyDescent="0.35">
      <c r="A87" s="101" t="s">
        <v>133</v>
      </c>
      <c r="B87" s="83"/>
      <c r="C87" s="45">
        <f ca="1">J88</f>
        <v>20</v>
      </c>
      <c r="D87" s="20">
        <f ca="1">((100/H84)*C87)/100</f>
        <v>1</v>
      </c>
      <c r="E87" s="168">
        <f ca="1">(((C88/H84*10)+(40/(D84+F84+H84)*C89)+(7.5/(H84)*C90)+(7.5/(H84)*C91)+(10/H84*C92)+(10/H84*C93)+(5/H84*C94)+(5/H84*C95)+(5/H84*C96))/100)</f>
        <v>0.5</v>
      </c>
      <c r="F87" s="169"/>
      <c r="G87" s="168">
        <f ca="1">((((C87/H84)*20)+((C88/H84)*25)+(30/(H84+F84+D84)*C89)+(5/H84*C90)+(5/H84*C91)+(5/H84*C92)+(5/H84*C93)+(0/H84*C94)+(0/H84*C95)+(5/H84*C96))/100)</f>
        <v>0.75</v>
      </c>
      <c r="H87" s="176"/>
      <c r="I87" s="14" t="s">
        <v>103</v>
      </c>
      <c r="J87" s="30">
        <f ca="1">H84*50%</f>
        <v>10</v>
      </c>
    </row>
    <row r="88" spans="1:10" hidden="1" x14ac:dyDescent="0.35">
      <c r="A88" s="101" t="s">
        <v>51</v>
      </c>
      <c r="B88" s="83"/>
      <c r="C88" s="45">
        <f ca="1">J96</f>
        <v>20</v>
      </c>
      <c r="D88" s="20">
        <f ca="1">((100/H84)*C88)/100</f>
        <v>1</v>
      </c>
      <c r="E88" s="170"/>
      <c r="F88" s="171"/>
      <c r="G88" s="170"/>
      <c r="H88" s="177"/>
      <c r="I88" s="14" t="s">
        <v>104</v>
      </c>
      <c r="J88" s="30">
        <f ca="1">H84</f>
        <v>20</v>
      </c>
    </row>
    <row r="89" spans="1:10" ht="15.75" hidden="1" customHeight="1" x14ac:dyDescent="0.35">
      <c r="A89" s="101" t="s">
        <v>134</v>
      </c>
      <c r="B89" s="83"/>
      <c r="C89" s="45">
        <f ca="1">D84+H84</f>
        <v>21</v>
      </c>
      <c r="D89" s="20">
        <f ca="1">((100/(D84+F84+H84))*C89)/100</f>
        <v>1</v>
      </c>
      <c r="E89" s="170"/>
      <c r="F89" s="171"/>
      <c r="G89" s="170"/>
      <c r="H89" s="177"/>
      <c r="I89" s="14" t="s">
        <v>105</v>
      </c>
      <c r="J89" s="31">
        <f ca="1">(IF(B84&gt;1,(H84/(B84+2)),H84/4))</f>
        <v>5</v>
      </c>
    </row>
    <row r="90" spans="1:10" ht="15.75" hidden="1" customHeight="1" x14ac:dyDescent="0.35">
      <c r="A90" s="101" t="s">
        <v>141</v>
      </c>
      <c r="B90" s="83" t="s">
        <v>135</v>
      </c>
      <c r="C90" s="45">
        <v>0</v>
      </c>
      <c r="D90" s="20">
        <f ca="1">((100/H84)*C90)/100</f>
        <v>0</v>
      </c>
      <c r="E90" s="170"/>
      <c r="F90" s="171"/>
      <c r="G90" s="170"/>
      <c r="H90" s="177"/>
      <c r="I90" s="14" t="s">
        <v>106</v>
      </c>
      <c r="J90" s="31">
        <f ca="1">(IF(B84&gt;1,(H84/(B84+2)+J89),H84/4+J89))</f>
        <v>10</v>
      </c>
    </row>
    <row r="91" spans="1:10" ht="15.75" hidden="1" customHeight="1" x14ac:dyDescent="0.35">
      <c r="A91" s="101" t="s">
        <v>142</v>
      </c>
      <c r="B91" s="83" t="s">
        <v>135</v>
      </c>
      <c r="C91" s="45">
        <v>0</v>
      </c>
      <c r="D91" s="20">
        <f ca="1">((100/H84)*C91)/100</f>
        <v>0</v>
      </c>
      <c r="E91" s="170"/>
      <c r="F91" s="171"/>
      <c r="G91" s="170"/>
      <c r="H91" s="177"/>
      <c r="I91" s="14" t="s">
        <v>151</v>
      </c>
      <c r="J91" s="31">
        <f>(IF(B84&gt;1,(H84/(B84+2)+J90),0))</f>
        <v>0</v>
      </c>
    </row>
    <row r="92" spans="1:10" ht="15" hidden="1" customHeight="1" x14ac:dyDescent="0.35">
      <c r="A92" s="101" t="s">
        <v>140</v>
      </c>
      <c r="B92" s="83" t="s">
        <v>137</v>
      </c>
      <c r="C92" s="45">
        <v>0</v>
      </c>
      <c r="D92" s="20">
        <f ca="1">((100/(H84))*C92)/100</f>
        <v>0</v>
      </c>
      <c r="E92" s="170"/>
      <c r="F92" s="171"/>
      <c r="G92" s="170"/>
      <c r="H92" s="177"/>
      <c r="I92" s="14" t="s">
        <v>148</v>
      </c>
      <c r="J92" s="31">
        <f>(IF(B84&gt;2,(H84/(B84+2)+J91),0))</f>
        <v>0</v>
      </c>
    </row>
    <row r="93" spans="1:10" ht="15.75" hidden="1" customHeight="1" x14ac:dyDescent="0.35">
      <c r="A93" s="101" t="s">
        <v>136</v>
      </c>
      <c r="B93" s="83" t="s">
        <v>136</v>
      </c>
      <c r="C93" s="45">
        <v>0</v>
      </c>
      <c r="D93" s="20">
        <f ca="1">((100/H84)*C93)/100</f>
        <v>0</v>
      </c>
      <c r="E93" s="170"/>
      <c r="F93" s="171"/>
      <c r="G93" s="170"/>
      <c r="H93" s="177"/>
      <c r="I93" s="14" t="s">
        <v>149</v>
      </c>
      <c r="J93" s="32">
        <f>(IF(B84&gt;3,(H84/(B84+2)+J92),0))</f>
        <v>0</v>
      </c>
    </row>
    <row r="94" spans="1:10" ht="15.75" hidden="1" customHeight="1" x14ac:dyDescent="0.35">
      <c r="A94" s="101" t="s">
        <v>143</v>
      </c>
      <c r="B94" s="83"/>
      <c r="C94" s="45">
        <v>0</v>
      </c>
      <c r="D94" s="20">
        <f ca="1">((100/H84)*C94)/100</f>
        <v>0</v>
      </c>
      <c r="E94" s="170"/>
      <c r="F94" s="171"/>
      <c r="G94" s="170"/>
      <c r="H94" s="177"/>
      <c r="I94" s="14" t="s">
        <v>150</v>
      </c>
      <c r="J94" s="31">
        <f>(IF(B84&gt;4,(H84/(B84+2)+J93),0))</f>
        <v>0</v>
      </c>
    </row>
    <row r="95" spans="1:10" ht="15.75" hidden="1" customHeight="1" x14ac:dyDescent="0.35">
      <c r="A95" s="101" t="s">
        <v>138</v>
      </c>
      <c r="B95" s="83" t="s">
        <v>138</v>
      </c>
      <c r="C95" s="45">
        <v>0</v>
      </c>
      <c r="D95" s="20">
        <f ca="1">((100/(H84))*C95)/100</f>
        <v>0</v>
      </c>
      <c r="E95" s="170"/>
      <c r="F95" s="171"/>
      <c r="G95" s="170"/>
      <c r="H95" s="177"/>
      <c r="I95" s="14" t="s">
        <v>152</v>
      </c>
      <c r="J95" s="31">
        <f ca="1">(IF(B84=1,(H84/(B84+3)+J90),IF(B84=0,(H84/4+J90),IF(B84&gt;1,0))))</f>
        <v>15</v>
      </c>
    </row>
    <row r="96" spans="1:10" ht="16" hidden="1" thickBot="1" x14ac:dyDescent="0.4">
      <c r="A96" s="105" t="s">
        <v>139</v>
      </c>
      <c r="B96" s="106"/>
      <c r="C96" s="46">
        <v>0</v>
      </c>
      <c r="D96" s="21">
        <f ca="1">((100/(H84))*C96)/100</f>
        <v>0</v>
      </c>
      <c r="E96" s="172"/>
      <c r="F96" s="173"/>
      <c r="G96" s="172"/>
      <c r="H96" s="178"/>
      <c r="I96" s="16" t="s">
        <v>107</v>
      </c>
      <c r="J96" s="33">
        <f ca="1">(IF(B84&gt;1.5,(H84/(B84+2)+J90+MAX(0,J91-J90)+MAX(0,J92-J91)+MAX(0,J93-J92)+MAX(0,J94-J93)+MAX(0,J95-J94)),IF(B84=1,(H84/(B84+3)+J95),IF(B84=0,H84/4+J95))))</f>
        <v>20</v>
      </c>
    </row>
    <row r="97" spans="1:10" ht="15.75" hidden="1" customHeight="1" x14ac:dyDescent="0.35">
      <c r="A97" s="157" t="s">
        <v>145</v>
      </c>
      <c r="B97" s="158"/>
      <c r="C97" s="159" t="str">
        <f>D61</f>
        <v>C Wing = G + 1st to 20th Floor</v>
      </c>
      <c r="D97" s="160"/>
      <c r="E97" s="160"/>
      <c r="F97" s="160"/>
      <c r="G97" s="160"/>
      <c r="H97" s="161"/>
      <c r="I97" s="51" t="str">
        <f ca="1">IF(D110=100%,"All work Completed. Possession granted to the Building.",IF(D109=100%,"All work Completed, Waiting for OC",I98&amp;""&amp;I99&amp;""&amp;J98&amp;""&amp;J97&amp;" "&amp;J99))</f>
        <v xml:space="preserve">Excavation, Plinth, RCC Slab Completed </v>
      </c>
      <c r="J97" s="52" t="str">
        <f ca="1">(IF(C103=(D98+F98+H98),"",IF(C103&gt;0,", RCC upto "&amp;C103&amp;" Slab","")))&amp;(IF(C104=H98,"",IF(C104&gt;0,", Brickwork upto "&amp;C104&amp;" Floor","")))&amp;(IF(C105=H98,"",IF(C105&gt;0,", Internal Plaster upto "&amp;C105&amp;" Floor","")))&amp;(IF(C106=H98,"",IF(C106&gt;0,", External Plaster upto "&amp;C106&amp;" Floor","")))&amp;(IF(C107=H98,"",IF(C107&gt;0,", Flooring upto "&amp;C107&amp;" Floor","")))&amp;(IF(C108=H98,"",IF(C108&gt;0,", Painting upto "&amp;C108&amp;" Floor","")))&amp;(IF(C109=H98,"",IF(C109&gt;0,", Finishing upto "&amp;C109&amp;" Floor","")))&amp;(IF(C110=H98,"",IF(C110&gt;0,", Possession upto "&amp;C110&amp;" Floor","")))</f>
        <v/>
      </c>
    </row>
    <row r="98" spans="1:10" hidden="1" x14ac:dyDescent="0.35">
      <c r="A98" s="17" t="s">
        <v>147</v>
      </c>
      <c r="B98" s="15">
        <v>0</v>
      </c>
      <c r="C98" s="49" t="s">
        <v>74</v>
      </c>
      <c r="D98" s="49">
        <v>1</v>
      </c>
      <c r="E98" s="49" t="s">
        <v>73</v>
      </c>
      <c r="F98" s="15">
        <v>0</v>
      </c>
      <c r="G98" s="50" t="s">
        <v>83</v>
      </c>
      <c r="H98" s="18">
        <f ca="1">--TRIM(RIGHT(SUBSTITUTE(LEFT(C97,_xlfn.AGGREGATE(16,6,FIND({0,1,2,3,4,5,6,7,8,9},C97,ROW(INDIRECT("1:"&amp;LEN(C97)))),1))," ",REPT(" ",LEN(C97))),LEN(C97)))</f>
        <v>20</v>
      </c>
      <c r="I98" s="53" t="str">
        <f ca="1">IF(D101=100%,"Excavation","")&amp;IF(D102=100%,", Plinth","")&amp;IF(D103=100%,", RCC Slab","")&amp;IF(D104=100%,", Brickwork","")&amp;IF(D105=100%,", Internal Plaster","")&amp;IF(D106=100%,", External Plaster","")&amp;IF(D107=100%,", Flooring","")&amp;IF(D108=100%,", Painting","")&amp;IF(D109=100%,", Building common Amenities","")</f>
        <v>Excavation, Plinth, RCC Slab</v>
      </c>
      <c r="J98" s="54" t="str">
        <f ca="1">(IF(C101=0,"Work not yet Started.",IF(D101=25%,"Piling work in process",IF(D101=50%,"Excavation work in process",IF(D101=100%,"","0")))))&amp;(IF(C102=0%,"",IF(C102=J103,", Footing work is process",IF(C102=J104,", Footing work Completed",IF(C102=J105,", 1st Basement Completed",IF(C102=J106,", 1st &amp; 2nd Basement Completed",IF(C102=J107,", 1st to 3rd Basement Completed",IF(C102=J108,", 1st to 4th Basement Completed",IF(C102=J109,", Plinth work is process",IF(C102=J110,"","0"))))))))))</f>
        <v/>
      </c>
    </row>
    <row r="99" spans="1:10" ht="33" hidden="1" customHeight="1" x14ac:dyDescent="0.35">
      <c r="A99" s="108" t="s">
        <v>93</v>
      </c>
      <c r="B99" s="109"/>
      <c r="C99" s="110" t="str">
        <f>(IF($G$54="NA",I97,"All work Completed. OC Received."))</f>
        <v>All work Completed. OC Received.</v>
      </c>
      <c r="D99" s="110"/>
      <c r="E99" s="110"/>
      <c r="F99" s="110"/>
      <c r="G99" s="110"/>
      <c r="H99" s="111"/>
      <c r="I99" s="53" t="str">
        <f ca="1">IF(I98&lt;&gt;""," Completed","")</f>
        <v xml:space="preserve"> Completed</v>
      </c>
      <c r="J99" s="54" t="str">
        <f ca="1">IF(J97&lt;&gt;"","Completed","")</f>
        <v/>
      </c>
    </row>
    <row r="100" spans="1:10" ht="15.75" hidden="1" customHeight="1" x14ac:dyDescent="0.35">
      <c r="A100" s="101" t="s">
        <v>50</v>
      </c>
      <c r="B100" s="83"/>
      <c r="C100" s="45" t="s">
        <v>144</v>
      </c>
      <c r="D100" s="45" t="s">
        <v>86</v>
      </c>
      <c r="E100" s="83" t="s">
        <v>88</v>
      </c>
      <c r="F100" s="83"/>
      <c r="G100" s="83" t="s">
        <v>87</v>
      </c>
      <c r="H100" s="112"/>
      <c r="I100" s="14" t="s">
        <v>146</v>
      </c>
      <c r="J100" s="29">
        <f ca="1">H98*25%</f>
        <v>5</v>
      </c>
    </row>
    <row r="101" spans="1:10" hidden="1" x14ac:dyDescent="0.35">
      <c r="A101" s="101" t="s">
        <v>133</v>
      </c>
      <c r="B101" s="83"/>
      <c r="C101" s="45">
        <f ca="1">J102</f>
        <v>20</v>
      </c>
      <c r="D101" s="20">
        <f ca="1">((100/H98)*C101)/100</f>
        <v>1</v>
      </c>
      <c r="E101" s="168">
        <f ca="1">(((C102/H98*10)+(40/(D98+F98+H98)*C103)+(7.5/(H98)*C104)+(7.5/(H98)*C105)+(10/H98*C106)+(10/H98*C107)+(5/H98*C108)+(5/H98*C109)+(5/H98*C110))/100)</f>
        <v>0.5</v>
      </c>
      <c r="F101" s="169"/>
      <c r="G101" s="168">
        <f ca="1">((((C101/H98)*20)+((C102/H98)*25)+(30/(H98+F98+D98)*C103)+(5/H98*C104)+(5/H98*C105)+(5/H98*C106)+(5/H98*C107)+(0/H98*C108)+(0/H98*C109)+(5/H98*C110))/100)</f>
        <v>0.75</v>
      </c>
      <c r="H101" s="176"/>
      <c r="I101" s="14" t="s">
        <v>103</v>
      </c>
      <c r="J101" s="30">
        <f ca="1">H98*50%</f>
        <v>10</v>
      </c>
    </row>
    <row r="102" spans="1:10" hidden="1" x14ac:dyDescent="0.35">
      <c r="A102" s="101" t="s">
        <v>51</v>
      </c>
      <c r="B102" s="83"/>
      <c r="C102" s="45">
        <f ca="1">J110</f>
        <v>20</v>
      </c>
      <c r="D102" s="20">
        <f ca="1">((100/H98)*C102)/100</f>
        <v>1</v>
      </c>
      <c r="E102" s="170"/>
      <c r="F102" s="171"/>
      <c r="G102" s="170"/>
      <c r="H102" s="177"/>
      <c r="I102" s="14" t="s">
        <v>104</v>
      </c>
      <c r="J102" s="30">
        <f ca="1">H98</f>
        <v>20</v>
      </c>
    </row>
    <row r="103" spans="1:10" ht="15.75" hidden="1" customHeight="1" x14ac:dyDescent="0.35">
      <c r="A103" s="101" t="s">
        <v>134</v>
      </c>
      <c r="B103" s="83"/>
      <c r="C103" s="45">
        <f ca="1">D98+H98</f>
        <v>21</v>
      </c>
      <c r="D103" s="20">
        <f ca="1">((100/(D98+F98+H98))*C103)/100</f>
        <v>1</v>
      </c>
      <c r="E103" s="170"/>
      <c r="F103" s="171"/>
      <c r="G103" s="170"/>
      <c r="H103" s="177"/>
      <c r="I103" s="14" t="s">
        <v>105</v>
      </c>
      <c r="J103" s="31">
        <f ca="1">(IF(B98&gt;1,(H98/(B98+2)),H98/4))</f>
        <v>5</v>
      </c>
    </row>
    <row r="104" spans="1:10" ht="15.75" hidden="1" customHeight="1" x14ac:dyDescent="0.35">
      <c r="A104" s="101" t="s">
        <v>141</v>
      </c>
      <c r="B104" s="83" t="s">
        <v>135</v>
      </c>
      <c r="C104" s="45">
        <v>0</v>
      </c>
      <c r="D104" s="20">
        <f ca="1">((100/H98)*C104)/100</f>
        <v>0</v>
      </c>
      <c r="E104" s="170"/>
      <c r="F104" s="171"/>
      <c r="G104" s="170"/>
      <c r="H104" s="177"/>
      <c r="I104" s="14" t="s">
        <v>106</v>
      </c>
      <c r="J104" s="31">
        <f ca="1">(IF(B98&gt;1,(H98/(B98+2)+J103),H98/4+J103))</f>
        <v>10</v>
      </c>
    </row>
    <row r="105" spans="1:10" ht="15.75" hidden="1" customHeight="1" x14ac:dyDescent="0.35">
      <c r="A105" s="101" t="s">
        <v>142</v>
      </c>
      <c r="B105" s="83" t="s">
        <v>135</v>
      </c>
      <c r="C105" s="45">
        <v>0</v>
      </c>
      <c r="D105" s="20">
        <f ca="1">((100/H98)*C105)/100</f>
        <v>0</v>
      </c>
      <c r="E105" s="170"/>
      <c r="F105" s="171"/>
      <c r="G105" s="170"/>
      <c r="H105" s="177"/>
      <c r="I105" s="14" t="s">
        <v>151</v>
      </c>
      <c r="J105" s="31">
        <f>(IF(B98&gt;1,(H98/(B98+2)+J104),0))</f>
        <v>0</v>
      </c>
    </row>
    <row r="106" spans="1:10" ht="15" hidden="1" customHeight="1" x14ac:dyDescent="0.35">
      <c r="A106" s="101" t="s">
        <v>140</v>
      </c>
      <c r="B106" s="83" t="s">
        <v>137</v>
      </c>
      <c r="C106" s="45">
        <v>0</v>
      </c>
      <c r="D106" s="20">
        <f ca="1">((100/(H98))*C106)/100</f>
        <v>0</v>
      </c>
      <c r="E106" s="170"/>
      <c r="F106" s="171"/>
      <c r="G106" s="170"/>
      <c r="H106" s="177"/>
      <c r="I106" s="14" t="s">
        <v>148</v>
      </c>
      <c r="J106" s="31">
        <f>(IF(B98&gt;2,(H98/(B98+2)+J105),0))</f>
        <v>0</v>
      </c>
    </row>
    <row r="107" spans="1:10" ht="15.75" hidden="1" customHeight="1" x14ac:dyDescent="0.35">
      <c r="A107" s="101" t="s">
        <v>136</v>
      </c>
      <c r="B107" s="83" t="s">
        <v>136</v>
      </c>
      <c r="C107" s="45">
        <v>0</v>
      </c>
      <c r="D107" s="20">
        <f ca="1">((100/H98)*C107)/100</f>
        <v>0</v>
      </c>
      <c r="E107" s="170"/>
      <c r="F107" s="171"/>
      <c r="G107" s="170"/>
      <c r="H107" s="177"/>
      <c r="I107" s="14" t="s">
        <v>149</v>
      </c>
      <c r="J107" s="32">
        <f>(IF(B98&gt;3,(H98/(B98+2)+J106),0))</f>
        <v>0</v>
      </c>
    </row>
    <row r="108" spans="1:10" ht="15.75" hidden="1" customHeight="1" x14ac:dyDescent="0.35">
      <c r="A108" s="101" t="s">
        <v>143</v>
      </c>
      <c r="B108" s="83"/>
      <c r="C108" s="45">
        <v>0</v>
      </c>
      <c r="D108" s="20">
        <f ca="1">((100/H98)*C108)/100</f>
        <v>0</v>
      </c>
      <c r="E108" s="170"/>
      <c r="F108" s="171"/>
      <c r="G108" s="170"/>
      <c r="H108" s="177"/>
      <c r="I108" s="14" t="s">
        <v>150</v>
      </c>
      <c r="J108" s="31">
        <f>(IF(B98&gt;4,(H98/(B98+2)+J107),0))</f>
        <v>0</v>
      </c>
    </row>
    <row r="109" spans="1:10" ht="15.75" hidden="1" customHeight="1" x14ac:dyDescent="0.35">
      <c r="A109" s="101" t="s">
        <v>138</v>
      </c>
      <c r="B109" s="83" t="s">
        <v>138</v>
      </c>
      <c r="C109" s="45">
        <v>0</v>
      </c>
      <c r="D109" s="20">
        <f ca="1">((100/(H98))*C109)/100</f>
        <v>0</v>
      </c>
      <c r="E109" s="170"/>
      <c r="F109" s="171"/>
      <c r="G109" s="170"/>
      <c r="H109" s="177"/>
      <c r="I109" s="14" t="s">
        <v>152</v>
      </c>
      <c r="J109" s="31">
        <f ca="1">(IF(B98=1,(H98/(B98+3)+J104),IF(B98=0,(H98/4+J104),IF(B98&gt;1,0))))</f>
        <v>15</v>
      </c>
    </row>
    <row r="110" spans="1:10" ht="16" hidden="1" thickBot="1" x14ac:dyDescent="0.4">
      <c r="A110" s="105" t="s">
        <v>139</v>
      </c>
      <c r="B110" s="106"/>
      <c r="C110" s="46">
        <v>0</v>
      </c>
      <c r="D110" s="21">
        <f ca="1">((100/(H98))*C110)/100</f>
        <v>0</v>
      </c>
      <c r="E110" s="172"/>
      <c r="F110" s="173"/>
      <c r="G110" s="172"/>
      <c r="H110" s="178"/>
      <c r="I110" s="16" t="s">
        <v>107</v>
      </c>
      <c r="J110" s="33">
        <f ca="1">(IF(B98&gt;1.5,(H98/(B98+2)+J104+MAX(0,J105-J104)+MAX(0,J106-J105)+MAX(0,J107-J106)+MAX(0,J108-J107)+MAX(0,J109-J108)),IF(B98=1,(H98/(B98+3)+J109),IF(B98=0,H98/4+J109))))</f>
        <v>20</v>
      </c>
    </row>
    <row r="111" spans="1:10" x14ac:dyDescent="0.35">
      <c r="A111" s="179" t="s">
        <v>164</v>
      </c>
      <c r="B111" s="179"/>
      <c r="C111" s="179"/>
      <c r="D111" s="179"/>
      <c r="E111" s="179"/>
      <c r="F111" s="180" t="s">
        <v>168</v>
      </c>
      <c r="G111" s="180"/>
      <c r="H111" s="180"/>
      <c r="I111" s="22" t="s">
        <v>223</v>
      </c>
    </row>
    <row r="112" spans="1:10" x14ac:dyDescent="0.35">
      <c r="A112" s="77" t="s">
        <v>167</v>
      </c>
      <c r="B112" s="77"/>
      <c r="C112" s="77"/>
      <c r="D112" s="77"/>
      <c r="E112" s="77"/>
      <c r="F112" s="102">
        <v>7100</v>
      </c>
      <c r="G112" s="102"/>
      <c r="H112" s="102"/>
    </row>
    <row r="113" spans="1:11" x14ac:dyDescent="0.35">
      <c r="A113" s="77" t="s">
        <v>166</v>
      </c>
      <c r="B113" s="77"/>
      <c r="C113" s="77"/>
      <c r="D113" s="77"/>
      <c r="E113" s="77"/>
      <c r="F113" s="102">
        <v>10000</v>
      </c>
      <c r="G113" s="102"/>
      <c r="H113" s="102"/>
    </row>
    <row r="114" spans="1:11" s="34" customFormat="1" hidden="1" x14ac:dyDescent="0.3">
      <c r="A114" s="77" t="s">
        <v>165</v>
      </c>
      <c r="B114" s="77"/>
      <c r="C114" s="77"/>
      <c r="D114" s="77"/>
      <c r="E114" s="77"/>
      <c r="F114" s="102"/>
      <c r="G114" s="102"/>
      <c r="H114" s="102"/>
    </row>
    <row r="115" spans="1:11" s="34" customFormat="1" hidden="1" x14ac:dyDescent="0.3">
      <c r="A115" s="77" t="s">
        <v>98</v>
      </c>
      <c r="B115" s="77"/>
      <c r="C115" s="77"/>
      <c r="D115" s="77"/>
      <c r="E115" s="77"/>
      <c r="F115" s="102"/>
      <c r="G115" s="102"/>
      <c r="H115" s="102"/>
    </row>
    <row r="116" spans="1:11" s="34" customFormat="1" hidden="1" x14ac:dyDescent="0.3">
      <c r="A116" s="77" t="s">
        <v>99</v>
      </c>
      <c r="B116" s="77"/>
      <c r="C116" s="77"/>
      <c r="D116" s="77"/>
      <c r="E116" s="77"/>
      <c r="F116" s="102"/>
      <c r="G116" s="102"/>
      <c r="H116" s="102"/>
    </row>
    <row r="117" spans="1:11" s="34" customFormat="1" hidden="1" x14ac:dyDescent="0.3">
      <c r="A117" s="77" t="s">
        <v>169</v>
      </c>
      <c r="B117" s="77"/>
      <c r="C117" s="77"/>
      <c r="D117" s="77"/>
      <c r="E117" s="77"/>
      <c r="F117" s="102"/>
      <c r="G117" s="102"/>
      <c r="H117" s="102"/>
    </row>
    <row r="118" spans="1:11" s="34" customFormat="1" hidden="1" x14ac:dyDescent="0.3">
      <c r="A118" s="77" t="s">
        <v>100</v>
      </c>
      <c r="B118" s="77"/>
      <c r="C118" s="77"/>
      <c r="D118" s="77"/>
      <c r="E118" s="77"/>
      <c r="F118" s="102"/>
      <c r="G118" s="102"/>
      <c r="H118" s="102"/>
    </row>
    <row r="119" spans="1:11" s="34" customFormat="1" x14ac:dyDescent="0.3">
      <c r="A119" s="77" t="s">
        <v>205</v>
      </c>
      <c r="B119" s="77"/>
      <c r="C119" s="77"/>
      <c r="D119" s="77"/>
      <c r="E119" s="77"/>
      <c r="F119" s="102">
        <v>400000</v>
      </c>
      <c r="G119" s="102"/>
      <c r="H119" s="102"/>
    </row>
    <row r="120" spans="1:11" s="34" customFormat="1" x14ac:dyDescent="0.3">
      <c r="A120" s="77" t="s">
        <v>101</v>
      </c>
      <c r="B120" s="77"/>
      <c r="C120" s="77"/>
      <c r="D120" s="77"/>
      <c r="E120" s="77"/>
      <c r="F120" s="102">
        <v>100000</v>
      </c>
      <c r="G120" s="102"/>
      <c r="H120" s="102"/>
    </row>
    <row r="121" spans="1:11" s="34" customFormat="1" hidden="1" x14ac:dyDescent="0.3">
      <c r="A121" s="77" t="s">
        <v>102</v>
      </c>
      <c r="B121" s="77"/>
      <c r="C121" s="77"/>
      <c r="D121" s="77"/>
      <c r="E121" s="77"/>
      <c r="F121" s="102"/>
      <c r="G121" s="102"/>
      <c r="H121" s="102"/>
    </row>
    <row r="122" spans="1:11" x14ac:dyDescent="0.35">
      <c r="A122" s="77" t="s">
        <v>52</v>
      </c>
      <c r="B122" s="77"/>
      <c r="C122" s="77"/>
      <c r="D122" s="77"/>
      <c r="E122" s="77"/>
      <c r="F122" s="102">
        <v>200000</v>
      </c>
      <c r="G122" s="102"/>
      <c r="H122" s="102"/>
    </row>
    <row r="123" spans="1:11" s="35" customFormat="1" x14ac:dyDescent="0.35">
      <c r="A123" s="121" t="s">
        <v>53</v>
      </c>
      <c r="B123" s="121"/>
      <c r="C123" s="121"/>
      <c r="D123" s="121"/>
      <c r="E123" s="121"/>
      <c r="F123" s="102">
        <f>F112*0.8</f>
        <v>5680</v>
      </c>
      <c r="G123" s="102"/>
      <c r="H123" s="102"/>
    </row>
    <row r="124" spans="1:11" s="36" customFormat="1" ht="15.75" customHeight="1" x14ac:dyDescent="0.35">
      <c r="A124" s="120" t="s">
        <v>78</v>
      </c>
      <c r="B124" s="120"/>
      <c r="C124" s="120"/>
      <c r="D124" s="120"/>
      <c r="E124" s="120"/>
      <c r="F124" s="120"/>
      <c r="G124" s="120"/>
      <c r="H124" s="120"/>
    </row>
    <row r="125" spans="1:11" s="36" customFormat="1" ht="15.75" customHeight="1" x14ac:dyDescent="0.35">
      <c r="A125" s="98" t="s">
        <v>54</v>
      </c>
      <c r="B125" s="98"/>
      <c r="C125" s="107" t="s">
        <v>81</v>
      </c>
      <c r="D125" s="107"/>
      <c r="E125" s="113" t="s">
        <v>55</v>
      </c>
      <c r="F125" s="113"/>
      <c r="G125" s="98" t="s">
        <v>56</v>
      </c>
      <c r="H125" s="98"/>
    </row>
    <row r="126" spans="1:11" s="36" customFormat="1" x14ac:dyDescent="0.35">
      <c r="A126" s="114" t="s">
        <v>204</v>
      </c>
      <c r="B126" s="114"/>
      <c r="C126" s="123">
        <f>COUNT(D139:D144)</f>
        <v>6</v>
      </c>
      <c r="D126" s="124"/>
      <c r="E126" s="103">
        <f>SUM(D139:D144)</f>
        <v>1356.2640000000001</v>
      </c>
      <c r="F126" s="104"/>
      <c r="G126" s="103">
        <f>SUM(F139:F144)</f>
        <v>2783.5273440000001</v>
      </c>
      <c r="H126" s="104"/>
      <c r="J126" s="57"/>
      <c r="K126" s="57"/>
    </row>
    <row r="127" spans="1:11" s="36" customFormat="1" hidden="1" x14ac:dyDescent="0.35">
      <c r="A127" s="114"/>
      <c r="B127" s="114"/>
      <c r="C127" s="124"/>
      <c r="D127" s="124"/>
      <c r="E127" s="104"/>
      <c r="F127" s="104"/>
      <c r="G127" s="153"/>
      <c r="H127" s="153"/>
    </row>
    <row r="128" spans="1:11" s="36" customFormat="1" hidden="1" x14ac:dyDescent="0.35">
      <c r="A128" s="120" t="s">
        <v>157</v>
      </c>
      <c r="B128" s="120"/>
      <c r="C128" s="107"/>
      <c r="D128" s="107"/>
      <c r="E128" s="113"/>
      <c r="F128" s="113"/>
      <c r="G128" s="98"/>
      <c r="H128" s="98"/>
    </row>
    <row r="129" spans="1:14" s="36" customFormat="1" x14ac:dyDescent="0.35">
      <c r="A129" s="120" t="s">
        <v>72</v>
      </c>
      <c r="B129" s="120"/>
      <c r="C129" s="120"/>
      <c r="D129" s="120"/>
      <c r="E129" s="120"/>
      <c r="F129" s="120"/>
      <c r="G129" s="120"/>
      <c r="H129" s="120"/>
    </row>
    <row r="130" spans="1:14" s="36" customFormat="1" ht="15.75" customHeight="1" x14ac:dyDescent="0.35">
      <c r="A130" s="98" t="s">
        <v>54</v>
      </c>
      <c r="B130" s="98"/>
      <c r="C130" s="107" t="s">
        <v>81</v>
      </c>
      <c r="D130" s="107"/>
      <c r="E130" s="113" t="s">
        <v>55</v>
      </c>
      <c r="F130" s="113"/>
      <c r="G130" s="98" t="s">
        <v>56</v>
      </c>
      <c r="H130" s="98"/>
    </row>
    <row r="131" spans="1:14" s="36" customFormat="1" x14ac:dyDescent="0.35">
      <c r="A131" s="114" t="s">
        <v>203</v>
      </c>
      <c r="B131" s="114"/>
      <c r="C131" s="123">
        <f>COUNT(D149:D153)+COUNT(D155:D159)*4+COUNT(D173:D176)</f>
        <v>29</v>
      </c>
      <c r="D131" s="123"/>
      <c r="E131" s="103">
        <f t="shared" ref="E131" si="0">SUM(D149:D153)+SUM(D155:D159)*4+SUM(D173:D176)</f>
        <v>12496.896359999999</v>
      </c>
      <c r="F131" s="103"/>
      <c r="G131" s="103">
        <f>SUM(F149:F153)+SUM(F155:F159)*4+SUM(F173:F176)</f>
        <v>19131.44025</v>
      </c>
      <c r="H131" s="103"/>
    </row>
    <row r="132" spans="1:14" s="36" customFormat="1" hidden="1" x14ac:dyDescent="0.35">
      <c r="A132" s="114"/>
      <c r="B132" s="114"/>
      <c r="C132" s="124"/>
      <c r="D132" s="124"/>
      <c r="E132" s="104"/>
      <c r="F132" s="104"/>
      <c r="G132" s="153"/>
      <c r="H132" s="153"/>
    </row>
    <row r="133" spans="1:14" s="36" customFormat="1" hidden="1" x14ac:dyDescent="0.35">
      <c r="A133" s="120" t="s">
        <v>157</v>
      </c>
      <c r="B133" s="120"/>
      <c r="C133" s="107"/>
      <c r="D133" s="107"/>
      <c r="E133" s="113"/>
      <c r="F133" s="113"/>
      <c r="G133" s="98"/>
      <c r="H133" s="98"/>
    </row>
    <row r="134" spans="1:14" s="35" customFormat="1" x14ac:dyDescent="0.35">
      <c r="A134" s="126" t="s">
        <v>57</v>
      </c>
      <c r="B134" s="126"/>
      <c r="C134" s="126"/>
      <c r="D134" s="126"/>
      <c r="E134" s="126"/>
      <c r="F134" s="126"/>
      <c r="G134" s="126"/>
      <c r="H134" s="126"/>
    </row>
    <row r="135" spans="1:14" x14ac:dyDescent="0.35">
      <c r="A135" s="126" t="s">
        <v>58</v>
      </c>
      <c r="B135" s="126"/>
      <c r="C135" s="126"/>
      <c r="D135" s="126"/>
      <c r="E135" s="126"/>
      <c r="F135" s="126"/>
      <c r="G135" s="126"/>
      <c r="H135" s="126"/>
    </row>
    <row r="136" spans="1:14" ht="47.25" customHeight="1" x14ac:dyDescent="0.35">
      <c r="A136" s="174" t="s">
        <v>122</v>
      </c>
      <c r="B136" s="174" t="s">
        <v>121</v>
      </c>
      <c r="C136" s="174" t="s">
        <v>59</v>
      </c>
      <c r="D136" s="174" t="s">
        <v>60</v>
      </c>
      <c r="E136" s="162" t="s">
        <v>163</v>
      </c>
      <c r="F136" s="44" t="s">
        <v>156</v>
      </c>
      <c r="G136" s="164" t="s">
        <v>62</v>
      </c>
      <c r="H136" s="165"/>
    </row>
    <row r="137" spans="1:14" s="38" customFormat="1" x14ac:dyDescent="0.35">
      <c r="A137" s="175"/>
      <c r="B137" s="175"/>
      <c r="C137" s="175"/>
      <c r="D137" s="175"/>
      <c r="E137" s="163"/>
      <c r="F137" s="13">
        <v>0.6</v>
      </c>
      <c r="G137" s="166"/>
      <c r="H137" s="167"/>
      <c r="K137" s="55">
        <v>10.763999999999999</v>
      </c>
    </row>
    <row r="138" spans="1:14" s="38" customFormat="1" x14ac:dyDescent="0.35">
      <c r="A138" s="154" t="s">
        <v>195</v>
      </c>
      <c r="B138" s="155"/>
      <c r="C138" s="155"/>
      <c r="D138" s="155"/>
      <c r="E138" s="155"/>
      <c r="F138" s="155"/>
      <c r="G138" s="155"/>
      <c r="H138" s="156"/>
      <c r="J138" s="37"/>
    </row>
    <row r="139" spans="1:14" s="38" customFormat="1" ht="15.75" customHeight="1" x14ac:dyDescent="0.35">
      <c r="A139" s="70">
        <v>1</v>
      </c>
      <c r="B139" s="71"/>
      <c r="C139" s="43" t="s">
        <v>196</v>
      </c>
      <c r="D139" s="55">
        <f>(17.27)*10.764</f>
        <v>185.89427999999998</v>
      </c>
      <c r="E139" s="55">
        <f>(2.3*2.2)*10.764</f>
        <v>54.465839999999993</v>
      </c>
      <c r="F139" s="43">
        <f>(D139+E139)*(($F$137)+1)</f>
        <v>384.57619199999999</v>
      </c>
      <c r="G139" s="193" t="str">
        <f>A138</f>
        <v>Ground Floor For Commercial &amp; Parking</v>
      </c>
      <c r="H139" s="194"/>
      <c r="I139" s="37">
        <f>7.2*2.3</f>
        <v>16.559999999999999</v>
      </c>
      <c r="J139" s="38">
        <f>1.3*7.3+1*6.01</f>
        <v>15.5</v>
      </c>
      <c r="L139" s="72"/>
      <c r="M139" s="72"/>
      <c r="N139" s="37"/>
    </row>
    <row r="140" spans="1:14" s="38" customFormat="1" ht="15.75" customHeight="1" x14ac:dyDescent="0.35">
      <c r="A140" s="70">
        <f t="shared" ref="A140:A144" si="1">A139+1</f>
        <v>2</v>
      </c>
      <c r="B140" s="71"/>
      <c r="C140" s="43" t="s">
        <v>196</v>
      </c>
      <c r="D140" s="55">
        <f>(18.37)*10.764</f>
        <v>197.73468</v>
      </c>
      <c r="E140" s="55">
        <f>(2.4*2.2)*10.764</f>
        <v>56.833919999999999</v>
      </c>
      <c r="F140" s="43">
        <f t="shared" ref="F140:F142" si="2">(D140+E140)*(($F$137)+1)</f>
        <v>407.30976000000004</v>
      </c>
      <c r="G140" s="195"/>
      <c r="H140" s="196"/>
      <c r="I140" s="37"/>
      <c r="L140" s="72"/>
      <c r="M140" s="72"/>
      <c r="N140" s="37"/>
    </row>
    <row r="141" spans="1:14" s="38" customFormat="1" ht="15.75" customHeight="1" x14ac:dyDescent="0.35">
      <c r="A141" s="70">
        <f t="shared" si="1"/>
        <v>3</v>
      </c>
      <c r="B141" s="71"/>
      <c r="C141" s="43" t="s">
        <v>196</v>
      </c>
      <c r="D141" s="55">
        <f>(20.21)*10.764</f>
        <v>217.54043999999999</v>
      </c>
      <c r="E141" s="55">
        <f>(2.75*2.2)*10.764</f>
        <v>65.122200000000007</v>
      </c>
      <c r="F141" s="43">
        <f t="shared" si="2"/>
        <v>452.26022400000005</v>
      </c>
      <c r="G141" s="195"/>
      <c r="H141" s="196"/>
      <c r="I141" s="37"/>
      <c r="L141" s="72"/>
      <c r="M141" s="72"/>
      <c r="N141" s="37"/>
    </row>
    <row r="142" spans="1:14" s="38" customFormat="1" ht="15.75" customHeight="1" x14ac:dyDescent="0.35">
      <c r="A142" s="70">
        <f t="shared" si="1"/>
        <v>4</v>
      </c>
      <c r="B142" s="71"/>
      <c r="C142" s="43" t="s">
        <v>196</v>
      </c>
      <c r="D142" s="55">
        <f>(24.24)*10.764</f>
        <v>260.91935999999998</v>
      </c>
      <c r="E142" s="55">
        <f>(2.7*2.45)*10.764</f>
        <v>71.203860000000006</v>
      </c>
      <c r="F142" s="43">
        <f t="shared" si="2"/>
        <v>531.39715200000001</v>
      </c>
      <c r="G142" s="195"/>
      <c r="H142" s="196"/>
      <c r="I142" s="37"/>
      <c r="L142" s="72"/>
      <c r="M142" s="72"/>
      <c r="N142" s="37"/>
    </row>
    <row r="143" spans="1:14" s="38" customFormat="1" ht="15.75" customHeight="1" x14ac:dyDescent="0.35">
      <c r="A143" s="70">
        <f t="shared" si="1"/>
        <v>5</v>
      </c>
      <c r="B143" s="71"/>
      <c r="C143" s="43" t="s">
        <v>196</v>
      </c>
      <c r="D143" s="55">
        <f>(21.19)*10.764</f>
        <v>228.08915999999999</v>
      </c>
      <c r="E143" s="55">
        <f>(2.4*2.45)*10.764</f>
        <v>63.292319999999997</v>
      </c>
      <c r="F143" s="43">
        <f t="shared" ref="F143:F144" si="3">(D143+E143)*(($F$137)+1)</f>
        <v>466.21036800000002</v>
      </c>
      <c r="G143" s="195"/>
      <c r="H143" s="196"/>
      <c r="I143" s="37"/>
      <c r="L143" s="72"/>
      <c r="M143" s="72"/>
      <c r="N143" s="37"/>
    </row>
    <row r="144" spans="1:14" s="38" customFormat="1" ht="15.75" customHeight="1" x14ac:dyDescent="0.35">
      <c r="A144" s="70">
        <f t="shared" si="1"/>
        <v>6</v>
      </c>
      <c r="B144" s="71"/>
      <c r="C144" s="43" t="s">
        <v>196</v>
      </c>
      <c r="D144" s="55">
        <f>(24.72)*10.764</f>
        <v>266.08607999999998</v>
      </c>
      <c r="E144" s="55">
        <f>(2.75*2.45)*10.764</f>
        <v>72.522450000000006</v>
      </c>
      <c r="F144" s="43">
        <f t="shared" si="3"/>
        <v>541.77364799999998</v>
      </c>
      <c r="G144" s="197"/>
      <c r="H144" s="198"/>
      <c r="I144" s="37"/>
      <c r="L144" s="72"/>
      <c r="M144" s="72"/>
      <c r="N144" s="37"/>
    </row>
    <row r="145" spans="1:14" s="38" customFormat="1" x14ac:dyDescent="0.35">
      <c r="A145" s="97"/>
      <c r="B145" s="97"/>
      <c r="C145" s="97"/>
      <c r="D145" s="97"/>
      <c r="E145" s="97"/>
      <c r="F145" s="97"/>
      <c r="G145" s="97"/>
      <c r="H145" s="97"/>
      <c r="I145" s="37"/>
      <c r="N145" s="37"/>
    </row>
    <row r="146" spans="1:14" ht="47.25" customHeight="1" x14ac:dyDescent="0.35">
      <c r="A146" s="99" t="s">
        <v>123</v>
      </c>
      <c r="B146" s="99" t="s">
        <v>124</v>
      </c>
      <c r="C146" s="99" t="s">
        <v>59</v>
      </c>
      <c r="D146" s="99" t="s">
        <v>60</v>
      </c>
      <c r="E146" s="100" t="s">
        <v>61</v>
      </c>
      <c r="F146" s="64" t="s">
        <v>156</v>
      </c>
      <c r="G146" s="99" t="s">
        <v>62</v>
      </c>
      <c r="H146" s="99"/>
      <c r="I146" s="37"/>
    </row>
    <row r="147" spans="1:14" s="38" customFormat="1" x14ac:dyDescent="0.35">
      <c r="A147" s="99"/>
      <c r="B147" s="99"/>
      <c r="C147" s="99"/>
      <c r="D147" s="99"/>
      <c r="E147" s="100"/>
      <c r="F147" s="65">
        <v>0.5</v>
      </c>
      <c r="G147" s="99"/>
      <c r="H147" s="99"/>
      <c r="I147" s="37"/>
    </row>
    <row r="148" spans="1:14" s="38" customFormat="1" x14ac:dyDescent="0.35">
      <c r="A148" s="122" t="s">
        <v>198</v>
      </c>
      <c r="B148" s="122"/>
      <c r="C148" s="122"/>
      <c r="D148" s="122"/>
      <c r="E148" s="122"/>
      <c r="F148" s="122"/>
      <c r="G148" s="122"/>
      <c r="H148" s="122"/>
      <c r="J148" s="37"/>
    </row>
    <row r="149" spans="1:14" s="38" customFormat="1" ht="15.75" customHeight="1" x14ac:dyDescent="0.35">
      <c r="A149" s="97">
        <v>1</v>
      </c>
      <c r="B149" s="97"/>
      <c r="C149" s="59" t="s">
        <v>200</v>
      </c>
      <c r="D149" s="55">
        <f>(44.02+8.74)*10.764</f>
        <v>567.90863999999999</v>
      </c>
      <c r="E149" s="55">
        <f>(20.63)*10.764</f>
        <v>222.06131999999997</v>
      </c>
      <c r="F149" s="59">
        <f>D149*(($F$147)+1)+(IF(E149&lt;101,E149,IF(E149&lt;201,E149/2,IF(E149&lt;=301,E149/3,E149/4))))</f>
        <v>925.88339999999994</v>
      </c>
      <c r="G149" s="97" t="str">
        <f>A148</f>
        <v>1st Floor For Residential</v>
      </c>
      <c r="H149" s="97"/>
      <c r="I149" s="37">
        <f>2.75*4.2+2.4*2.6+2.8*2.6+2.8*2.35+1.97*1.2+1.8*1.2+(2.75+2.4+2.8)*1.1</f>
        <v>44.918999999999997</v>
      </c>
      <c r="J149" s="38">
        <f>2.1*1.8+4.65*3.5+0.65*0.65+1.8*0.9</f>
        <v>22.097500000000004</v>
      </c>
      <c r="K149" s="38">
        <f>7.12*4.68</f>
        <v>33.321599999999997</v>
      </c>
      <c r="L149" s="72"/>
      <c r="M149" s="72"/>
      <c r="N149" s="37"/>
    </row>
    <row r="150" spans="1:14" s="38" customFormat="1" ht="15.75" customHeight="1" x14ac:dyDescent="0.35">
      <c r="A150" s="97">
        <f t="shared" ref="A150:A153" si="4">A149+1</f>
        <v>2</v>
      </c>
      <c r="B150" s="97"/>
      <c r="C150" s="59" t="s">
        <v>197</v>
      </c>
      <c r="D150" s="55">
        <f>(29.61+8.36)*10.764</f>
        <v>408.70907999999997</v>
      </c>
      <c r="E150" s="55">
        <f>(4.2)*10.764</f>
        <v>45.208799999999997</v>
      </c>
      <c r="F150" s="59">
        <f>D150*(($F$147)+1)+(IF(E150&lt;101,E150,IF(E150&lt;201,E150/2,IF(E150&lt;=301,E150/3,E150/4))))</f>
        <v>658.2724199999999</v>
      </c>
      <c r="G150" s="97"/>
      <c r="H150" s="97"/>
      <c r="I150" s="37"/>
      <c r="L150" s="72"/>
      <c r="M150" s="72"/>
      <c r="N150" s="37"/>
    </row>
    <row r="151" spans="1:14" s="38" customFormat="1" ht="15.75" customHeight="1" x14ac:dyDescent="0.35">
      <c r="A151" s="97">
        <f t="shared" si="4"/>
        <v>3</v>
      </c>
      <c r="B151" s="97"/>
      <c r="C151" s="59" t="s">
        <v>197</v>
      </c>
      <c r="D151" s="55">
        <f>(32.25+5.89)*10.764</f>
        <v>410.53895999999997</v>
      </c>
      <c r="E151" s="55">
        <f>(2.5)*10.764</f>
        <v>26.909999999999997</v>
      </c>
      <c r="F151" s="59">
        <f>D151*(($F$147)+1)+(IF(E151&lt;101,E151,IF(E151&lt;201,E151/2,IF(E151&lt;=301,E151/3,E151/4))))</f>
        <v>642.71843999999999</v>
      </c>
      <c r="G151" s="97"/>
      <c r="H151" s="97"/>
      <c r="I151" s="37"/>
      <c r="L151" s="72"/>
      <c r="M151" s="72"/>
      <c r="N151" s="37"/>
    </row>
    <row r="152" spans="1:14" s="38" customFormat="1" ht="15.75" customHeight="1" x14ac:dyDescent="0.35">
      <c r="A152" s="97">
        <f t="shared" si="4"/>
        <v>4</v>
      </c>
      <c r="B152" s="97"/>
      <c r="C152" s="59" t="s">
        <v>197</v>
      </c>
      <c r="D152" s="55">
        <f>(29.46+7.77)*10.764</f>
        <v>400.74372</v>
      </c>
      <c r="E152" s="55">
        <v>0</v>
      </c>
      <c r="F152" s="59">
        <f>D152*(($F$147)+1)+(IF(E152&lt;101,E152,IF(E152&lt;201,E152/2,IF(E152&lt;=301,E152/3,E152/4))))</f>
        <v>601.11558000000002</v>
      </c>
      <c r="G152" s="97"/>
      <c r="H152" s="97"/>
      <c r="I152" s="37"/>
      <c r="L152" s="72"/>
      <c r="M152" s="72"/>
      <c r="N152" s="37"/>
    </row>
    <row r="153" spans="1:14" s="38" customFormat="1" x14ac:dyDescent="0.35">
      <c r="A153" s="97">
        <f t="shared" si="4"/>
        <v>5</v>
      </c>
      <c r="B153" s="97"/>
      <c r="C153" s="59" t="s">
        <v>197</v>
      </c>
      <c r="D153" s="55">
        <f>(29.46+7.77)*10.764</f>
        <v>400.74372</v>
      </c>
      <c r="E153" s="55">
        <v>0</v>
      </c>
      <c r="F153" s="59">
        <f>D153*(($F$147)+1)+(IF(E153&lt;101,E153,IF(E153&lt;201,E153/2,IF(E153&lt;=301,E153/3,E153/4))))</f>
        <v>601.11558000000002</v>
      </c>
      <c r="G153" s="97"/>
      <c r="H153" s="97"/>
      <c r="I153" s="37"/>
      <c r="L153" s="72"/>
      <c r="M153" s="72"/>
      <c r="N153" s="37"/>
    </row>
    <row r="154" spans="1:14" s="38" customFormat="1" x14ac:dyDescent="0.35">
      <c r="A154" s="154" t="s">
        <v>218</v>
      </c>
      <c r="B154" s="155"/>
      <c r="C154" s="155"/>
      <c r="D154" s="155"/>
      <c r="E154" s="155"/>
      <c r="F154" s="155"/>
      <c r="G154" s="155"/>
      <c r="H154" s="156"/>
      <c r="J154" s="37"/>
    </row>
    <row r="155" spans="1:14" s="38" customFormat="1" ht="15.75" customHeight="1" x14ac:dyDescent="0.35">
      <c r="A155" s="70">
        <v>1</v>
      </c>
      <c r="B155" s="71"/>
      <c r="C155" s="43" t="s">
        <v>200</v>
      </c>
      <c r="D155" s="55">
        <f>(44.02+8.74)*10.764</f>
        <v>567.90863999999999</v>
      </c>
      <c r="E155" s="55">
        <v>0</v>
      </c>
      <c r="F155" s="43">
        <f>D155*(($F$147)+1)+(IF(E155&lt;101,E155,IF(E155&lt;201,E155/2,IF(E155&lt;=301,E155/3,E155/4))))</f>
        <v>851.86295999999993</v>
      </c>
      <c r="G155" s="193" t="str">
        <f>A154</f>
        <v>2nd Floor</v>
      </c>
      <c r="H155" s="194"/>
      <c r="I155" s="37"/>
      <c r="L155" s="72"/>
      <c r="M155" s="72"/>
      <c r="N155" s="37"/>
    </row>
    <row r="156" spans="1:14" s="38" customFormat="1" ht="15.75" customHeight="1" x14ac:dyDescent="0.35">
      <c r="A156" s="70">
        <f t="shared" ref="A156:A159" si="5">A155+1</f>
        <v>2</v>
      </c>
      <c r="B156" s="71"/>
      <c r="C156" s="43" t="s">
        <v>197</v>
      </c>
      <c r="D156" s="55">
        <f>(29.61+8.36)*10.764</f>
        <v>408.70907999999997</v>
      </c>
      <c r="E156" s="55">
        <v>0</v>
      </c>
      <c r="F156" s="43">
        <f>D156*(($F$147)+1)+(IF(E156&lt;101,E156,IF(E156&lt;201,E156/2,IF(E156&lt;=301,E156/3,E156/4))))</f>
        <v>613.0636199999999</v>
      </c>
      <c r="G156" s="195"/>
      <c r="H156" s="196"/>
      <c r="I156" s="37"/>
      <c r="L156" s="72"/>
      <c r="M156" s="72"/>
      <c r="N156" s="37"/>
    </row>
    <row r="157" spans="1:14" s="38" customFormat="1" ht="15.75" customHeight="1" x14ac:dyDescent="0.35">
      <c r="A157" s="70">
        <f t="shared" si="5"/>
        <v>3</v>
      </c>
      <c r="B157" s="71"/>
      <c r="C157" s="43" t="s">
        <v>197</v>
      </c>
      <c r="D157" s="55">
        <f>(29.92+8.5)*10.764</f>
        <v>413.55288000000002</v>
      </c>
      <c r="E157" s="55">
        <v>0</v>
      </c>
      <c r="F157" s="43">
        <f>D157*(($F$147)+1)+(IF(E157&lt;101,E157,IF(E157&lt;201,E157/2,IF(E157&lt;=301,E157/3,E157/4))))</f>
        <v>620.32932000000005</v>
      </c>
      <c r="G157" s="195"/>
      <c r="H157" s="196"/>
      <c r="I157" s="37"/>
      <c r="L157" s="72"/>
      <c r="M157" s="72"/>
      <c r="N157" s="37"/>
    </row>
    <row r="158" spans="1:14" s="38" customFormat="1" ht="15.75" customHeight="1" x14ac:dyDescent="0.35">
      <c r="A158" s="70">
        <f t="shared" si="5"/>
        <v>4</v>
      </c>
      <c r="B158" s="71"/>
      <c r="C158" s="43" t="s">
        <v>197</v>
      </c>
      <c r="D158" s="55">
        <f>(29.46+7.77)*10.764</f>
        <v>400.74372</v>
      </c>
      <c r="E158" s="55">
        <v>0</v>
      </c>
      <c r="F158" s="43">
        <f>D158*(($F$147)+1)+(IF(E158&lt;101,E158,IF(E158&lt;201,E158/2,IF(E158&lt;=301,E158/3,E158/4))))</f>
        <v>601.11558000000002</v>
      </c>
      <c r="G158" s="195"/>
      <c r="H158" s="196"/>
      <c r="I158" s="37"/>
      <c r="L158" s="72"/>
      <c r="M158" s="72"/>
      <c r="N158" s="37"/>
    </row>
    <row r="159" spans="1:14" s="38" customFormat="1" ht="15.75" customHeight="1" x14ac:dyDescent="0.35">
      <c r="A159" s="70">
        <f t="shared" si="5"/>
        <v>5</v>
      </c>
      <c r="B159" s="71"/>
      <c r="C159" s="43" t="s">
        <v>197</v>
      </c>
      <c r="D159" s="55">
        <f>(29.46+7.77)*10.764</f>
        <v>400.74372</v>
      </c>
      <c r="E159" s="55">
        <v>0</v>
      </c>
      <c r="F159" s="43">
        <f>D159*(($F$147)+1)+(IF(E159&lt;101,E159,IF(E159&lt;201,E159/2,IF(E159&lt;=301,E159/3,E159/4))))</f>
        <v>601.11558000000002</v>
      </c>
      <c r="G159" s="197"/>
      <c r="H159" s="198"/>
      <c r="I159" s="37"/>
      <c r="L159" s="72"/>
      <c r="M159" s="72"/>
      <c r="N159" s="37"/>
    </row>
    <row r="160" spans="1:14" s="38" customFormat="1" x14ac:dyDescent="0.35">
      <c r="A160" s="154" t="s">
        <v>219</v>
      </c>
      <c r="B160" s="155"/>
      <c r="C160" s="155"/>
      <c r="D160" s="155"/>
      <c r="E160" s="155"/>
      <c r="F160" s="155"/>
      <c r="G160" s="155"/>
      <c r="H160" s="156"/>
      <c r="J160" s="37"/>
    </row>
    <row r="161" spans="1:14" s="38" customFormat="1" ht="15.75" customHeight="1" x14ac:dyDescent="0.35">
      <c r="A161" s="70">
        <v>1</v>
      </c>
      <c r="B161" s="71"/>
      <c r="C161" s="43" t="s">
        <v>200</v>
      </c>
      <c r="D161" s="55">
        <f>(44.02+8.74)*10.764</f>
        <v>567.90863999999999</v>
      </c>
      <c r="E161" s="55">
        <v>0</v>
      </c>
      <c r="F161" s="43">
        <f>D161*(($F$147)+1)+(IF(E161&lt;101,E161,IF(E161&lt;201,E161/2,IF(E161&lt;=301,E161/3,E161/4))))</f>
        <v>851.86295999999993</v>
      </c>
      <c r="G161" s="193" t="str">
        <f>A160</f>
        <v>3rd Floor</v>
      </c>
      <c r="H161" s="194"/>
      <c r="I161" s="37"/>
      <c r="L161" s="72"/>
      <c r="M161" s="72"/>
      <c r="N161" s="37"/>
    </row>
    <row r="162" spans="1:14" s="38" customFormat="1" ht="15.75" customHeight="1" x14ac:dyDescent="0.35">
      <c r="A162" s="70">
        <f t="shared" ref="A162:A165" si="6">A161+1</f>
        <v>2</v>
      </c>
      <c r="B162" s="71"/>
      <c r="C162" s="43" t="s">
        <v>197</v>
      </c>
      <c r="D162" s="55">
        <f>(29.61+8.36)*10.764</f>
        <v>408.70907999999997</v>
      </c>
      <c r="E162" s="55">
        <v>0</v>
      </c>
      <c r="F162" s="43">
        <f>D162*(($F$147)+1)+(IF(E162&lt;101,E162,IF(E162&lt;201,E162/2,IF(E162&lt;=301,E162/3,E162/4))))</f>
        <v>613.0636199999999</v>
      </c>
      <c r="G162" s="195"/>
      <c r="H162" s="196"/>
      <c r="I162" s="37"/>
      <c r="L162" s="72"/>
      <c r="M162" s="72"/>
      <c r="N162" s="37"/>
    </row>
    <row r="163" spans="1:14" s="38" customFormat="1" ht="15.75" customHeight="1" x14ac:dyDescent="0.35">
      <c r="A163" s="70">
        <f t="shared" si="6"/>
        <v>3</v>
      </c>
      <c r="B163" s="71"/>
      <c r="C163" s="43" t="s">
        <v>197</v>
      </c>
      <c r="D163" s="55">
        <f>(29.92+8.5)*10.764</f>
        <v>413.55288000000002</v>
      </c>
      <c r="E163" s="55">
        <v>0</v>
      </c>
      <c r="F163" s="43">
        <v>650</v>
      </c>
      <c r="G163" s="195"/>
      <c r="H163" s="196"/>
      <c r="I163" s="37" t="s">
        <v>221</v>
      </c>
      <c r="L163" s="72"/>
      <c r="M163" s="72"/>
      <c r="N163" s="37"/>
    </row>
    <row r="164" spans="1:14" s="38" customFormat="1" ht="15.75" customHeight="1" x14ac:dyDescent="0.35">
      <c r="A164" s="70">
        <f t="shared" si="6"/>
        <v>4</v>
      </c>
      <c r="B164" s="71"/>
      <c r="C164" s="43" t="s">
        <v>197</v>
      </c>
      <c r="D164" s="55">
        <f>(29.46+7.77)*10.764</f>
        <v>400.74372</v>
      </c>
      <c r="E164" s="55">
        <v>0</v>
      </c>
      <c r="F164" s="43">
        <f>D164*(($F$147)+1)+(IF(E164&lt;101,E164,IF(E164&lt;201,E164/2,IF(E164&lt;=301,E164/3,E164/4))))</f>
        <v>601.11558000000002</v>
      </c>
      <c r="G164" s="195"/>
      <c r="H164" s="196"/>
      <c r="I164" s="37"/>
      <c r="L164" s="72"/>
      <c r="M164" s="72"/>
      <c r="N164" s="37"/>
    </row>
    <row r="165" spans="1:14" s="38" customFormat="1" ht="15.75" customHeight="1" x14ac:dyDescent="0.35">
      <c r="A165" s="70">
        <f t="shared" si="6"/>
        <v>5</v>
      </c>
      <c r="B165" s="71"/>
      <c r="C165" s="43" t="s">
        <v>197</v>
      </c>
      <c r="D165" s="55">
        <f>(29.46+7.77)*10.764</f>
        <v>400.74372</v>
      </c>
      <c r="E165" s="55">
        <v>0</v>
      </c>
      <c r="F165" s="43">
        <f>D165*(($F$147)+1)+(IF(E165&lt;101,E165,IF(E165&lt;201,E165/2,IF(E165&lt;=301,E165/3,E165/4))))</f>
        <v>601.11558000000002</v>
      </c>
      <c r="G165" s="197"/>
      <c r="H165" s="198"/>
      <c r="I165" s="37"/>
      <c r="L165" s="72"/>
      <c r="M165" s="72"/>
      <c r="N165" s="37"/>
    </row>
    <row r="166" spans="1:14" s="38" customFormat="1" x14ac:dyDescent="0.35">
      <c r="A166" s="154" t="s">
        <v>220</v>
      </c>
      <c r="B166" s="155"/>
      <c r="C166" s="155"/>
      <c r="D166" s="155"/>
      <c r="E166" s="155"/>
      <c r="F166" s="155"/>
      <c r="G166" s="155"/>
      <c r="H166" s="156"/>
      <c r="J166" s="37"/>
    </row>
    <row r="167" spans="1:14" s="38" customFormat="1" ht="15.75" customHeight="1" x14ac:dyDescent="0.35">
      <c r="A167" s="70">
        <v>1</v>
      </c>
      <c r="B167" s="71"/>
      <c r="C167" s="43" t="s">
        <v>200</v>
      </c>
      <c r="D167" s="55">
        <f>(44.02+8.74)*10.764</f>
        <v>567.90863999999999</v>
      </c>
      <c r="E167" s="55">
        <v>0</v>
      </c>
      <c r="F167" s="43">
        <f>D167*(($F$147)+1)+(IF(E167&lt;101,E167,IF(E167&lt;201,E167/2,IF(E167&lt;=301,E167/3,E167/4))))</f>
        <v>851.86295999999993</v>
      </c>
      <c r="G167" s="193" t="str">
        <f>A166</f>
        <v>4th &amp; 5th Floor</v>
      </c>
      <c r="H167" s="194"/>
      <c r="I167" s="37"/>
      <c r="L167" s="72"/>
      <c r="M167" s="72"/>
      <c r="N167" s="37"/>
    </row>
    <row r="168" spans="1:14" s="38" customFormat="1" ht="15.75" customHeight="1" x14ac:dyDescent="0.35">
      <c r="A168" s="70">
        <f t="shared" ref="A168:A171" si="7">A167+1</f>
        <v>2</v>
      </c>
      <c r="B168" s="71"/>
      <c r="C168" s="43" t="s">
        <v>197</v>
      </c>
      <c r="D168" s="55">
        <f>(29.61+8.36)*10.764</f>
        <v>408.70907999999997</v>
      </c>
      <c r="E168" s="55">
        <v>0</v>
      </c>
      <c r="F168" s="43">
        <f>D168*(($F$147)+1)+(IF(E168&lt;101,E168,IF(E168&lt;201,E168/2,IF(E168&lt;=301,E168/3,E168/4))))</f>
        <v>613.0636199999999</v>
      </c>
      <c r="G168" s="195"/>
      <c r="H168" s="196"/>
      <c r="I168" s="37"/>
      <c r="L168" s="72"/>
      <c r="M168" s="72"/>
      <c r="N168" s="37"/>
    </row>
    <row r="169" spans="1:14" s="38" customFormat="1" ht="15.75" customHeight="1" x14ac:dyDescent="0.35">
      <c r="A169" s="70">
        <f t="shared" si="7"/>
        <v>3</v>
      </c>
      <c r="B169" s="71"/>
      <c r="C169" s="43" t="s">
        <v>197</v>
      </c>
      <c r="D169" s="55">
        <f>(29.92+8.5)*10.764</f>
        <v>413.55288000000002</v>
      </c>
      <c r="E169" s="55">
        <v>0</v>
      </c>
      <c r="F169" s="43">
        <f>D169*(($F$147)+1)+(IF(E169&lt;101,E169,IF(E169&lt;201,E169/2,IF(E169&lt;=301,E169/3,E169/4))))</f>
        <v>620.32932000000005</v>
      </c>
      <c r="G169" s="195"/>
      <c r="H169" s="196"/>
      <c r="I169" s="37"/>
      <c r="L169" s="72"/>
      <c r="M169" s="72"/>
      <c r="N169" s="37"/>
    </row>
    <row r="170" spans="1:14" s="38" customFormat="1" ht="15.75" customHeight="1" x14ac:dyDescent="0.35">
      <c r="A170" s="70">
        <f t="shared" si="7"/>
        <v>4</v>
      </c>
      <c r="B170" s="71"/>
      <c r="C170" s="43" t="s">
        <v>197</v>
      </c>
      <c r="D170" s="55">
        <f>(29.46+7.77)*10.764</f>
        <v>400.74372</v>
      </c>
      <c r="E170" s="55">
        <v>0</v>
      </c>
      <c r="F170" s="43">
        <f>D170*(($F$147)+1)+(IF(E170&lt;101,E170,IF(E170&lt;201,E170/2,IF(E170&lt;=301,E170/3,E170/4))))</f>
        <v>601.11558000000002</v>
      </c>
      <c r="G170" s="195"/>
      <c r="H170" s="196"/>
      <c r="I170" s="37"/>
      <c r="L170" s="72"/>
      <c r="M170" s="72"/>
      <c r="N170" s="37"/>
    </row>
    <row r="171" spans="1:14" s="38" customFormat="1" ht="15.75" customHeight="1" x14ac:dyDescent="0.35">
      <c r="A171" s="70">
        <f t="shared" si="7"/>
        <v>5</v>
      </c>
      <c r="B171" s="71"/>
      <c r="C171" s="43" t="s">
        <v>197</v>
      </c>
      <c r="D171" s="55">
        <f>(29.46+7.77)*10.764</f>
        <v>400.74372</v>
      </c>
      <c r="E171" s="55">
        <v>0</v>
      </c>
      <c r="F171" s="43">
        <f>D171*(($F$147)+1)+(IF(E171&lt;101,E171,IF(E171&lt;201,E171/2,IF(E171&lt;=301,E171/3,E171/4))))</f>
        <v>601.11558000000002</v>
      </c>
      <c r="G171" s="197"/>
      <c r="H171" s="198"/>
      <c r="I171" s="37"/>
      <c r="L171" s="72"/>
      <c r="M171" s="72"/>
      <c r="N171" s="37"/>
    </row>
    <row r="172" spans="1:14" s="38" customFormat="1" x14ac:dyDescent="0.35">
      <c r="A172" s="122" t="s">
        <v>202</v>
      </c>
      <c r="B172" s="122"/>
      <c r="C172" s="122"/>
      <c r="D172" s="122"/>
      <c r="E172" s="122"/>
      <c r="F172" s="122"/>
      <c r="G172" s="122"/>
      <c r="H172" s="122"/>
      <c r="I172" s="37"/>
      <c r="L172" s="72"/>
      <c r="M172" s="72"/>
    </row>
    <row r="173" spans="1:14" s="38" customFormat="1" x14ac:dyDescent="0.35">
      <c r="A173" s="97" t="s">
        <v>213</v>
      </c>
      <c r="B173" s="97"/>
      <c r="C173" s="43" t="s">
        <v>200</v>
      </c>
      <c r="D173" s="55">
        <f>(58.94)*10.764</f>
        <v>634.43015999999989</v>
      </c>
      <c r="E173" s="55">
        <f>(31.81)*10.764</f>
        <v>342.40283999999997</v>
      </c>
      <c r="F173" s="43">
        <f t="shared" ref="F173:F174" si="8">D173*(($F$147)+1)+(IF(E173&lt;101,E173,IF(E173&lt;201,E173/2,IF(E173&lt;=301,E173/3,E173/4))))</f>
        <v>1037.2459499999998</v>
      </c>
      <c r="G173" s="193" t="str">
        <f>A172</f>
        <v>6th Floor</v>
      </c>
      <c r="H173" s="194"/>
      <c r="I173" s="37"/>
      <c r="N173" s="37"/>
    </row>
    <row r="174" spans="1:14" s="38" customFormat="1" x14ac:dyDescent="0.35">
      <c r="A174" s="97">
        <v>3</v>
      </c>
      <c r="B174" s="97"/>
      <c r="C174" s="43" t="s">
        <v>197</v>
      </c>
      <c r="D174" s="55">
        <f>(29.92+8.5)*10.764</f>
        <v>413.55288000000002</v>
      </c>
      <c r="E174" s="55">
        <v>0</v>
      </c>
      <c r="F174" s="43">
        <f t="shared" si="8"/>
        <v>620.32932000000005</v>
      </c>
      <c r="G174" s="195"/>
      <c r="H174" s="196"/>
      <c r="I174" s="37"/>
      <c r="N174" s="37"/>
    </row>
    <row r="175" spans="1:14" s="38" customFormat="1" x14ac:dyDescent="0.35">
      <c r="A175" s="97">
        <v>4</v>
      </c>
      <c r="B175" s="97"/>
      <c r="C175" s="43" t="s">
        <v>199</v>
      </c>
      <c r="D175" s="55">
        <f>(20.83+2.1)*10.764</f>
        <v>246.81851999999998</v>
      </c>
      <c r="E175" s="55">
        <f>(14.34)*10.764</f>
        <v>154.35575999999998</v>
      </c>
      <c r="F175" s="43">
        <f>D175*(($F$147)+1)+(IF(E175&lt;101,E175,IF(E175&lt;201,E175/2,IF(E175&lt;=301,E175/3,E175/4))))</f>
        <v>447.4056599999999</v>
      </c>
      <c r="G175" s="195"/>
      <c r="H175" s="196"/>
      <c r="I175" s="37">
        <f>6800*F175</f>
        <v>3042358.4879999994</v>
      </c>
      <c r="N175" s="37"/>
    </row>
    <row r="176" spans="1:14" s="38" customFormat="1" x14ac:dyDescent="0.35">
      <c r="A176" s="97">
        <v>5</v>
      </c>
      <c r="B176" s="97"/>
      <c r="C176" s="43" t="s">
        <v>199</v>
      </c>
      <c r="D176" s="55">
        <f>(20.83+2.1)*10.764</f>
        <v>246.81851999999998</v>
      </c>
      <c r="E176" s="55">
        <f>(14.34)*10.764</f>
        <v>154.35575999999998</v>
      </c>
      <c r="F176" s="43">
        <f>D176*(($F$147)+1)+(IF(E176&lt;101,E176,IF(E176&lt;201,E176/2,IF(E176&lt;=301,E176/3,E176/4))))</f>
        <v>447.4056599999999</v>
      </c>
      <c r="G176" s="197"/>
      <c r="H176" s="198"/>
      <c r="I176" s="37"/>
      <c r="N176" s="37"/>
    </row>
    <row r="177" spans="1:11" s="36" customFormat="1" x14ac:dyDescent="0.35">
      <c r="A177" s="205" t="s">
        <v>70</v>
      </c>
      <c r="B177" s="205"/>
      <c r="C177" s="205"/>
      <c r="D177" s="205"/>
      <c r="E177" s="205"/>
      <c r="F177" s="205"/>
      <c r="G177" s="205"/>
      <c r="H177" s="205"/>
    </row>
    <row r="178" spans="1:11" s="36" customFormat="1" x14ac:dyDescent="0.35">
      <c r="A178" s="48" t="s">
        <v>160</v>
      </c>
      <c r="B178" s="199" t="s">
        <v>228</v>
      </c>
      <c r="C178" s="200"/>
      <c r="D178" s="200"/>
      <c r="E178" s="200"/>
      <c r="F178" s="200"/>
      <c r="G178" s="200"/>
      <c r="H178" s="201"/>
    </row>
    <row r="179" spans="1:11" s="36" customFormat="1" x14ac:dyDescent="0.35">
      <c r="A179" s="48" t="s">
        <v>160</v>
      </c>
      <c r="B179" s="202" t="str">
        <f>(IF(F146="Saleable area Loading :","We have considered Saleable area of Flats as per our Calculation.","We considered Saleable area of Flat as per Builder area Sheet."))</f>
        <v>We have considered Saleable area of Flats as per our Calculation.</v>
      </c>
      <c r="C179" s="203"/>
      <c r="D179" s="203"/>
      <c r="E179" s="203"/>
      <c r="F179" s="203"/>
      <c r="G179" s="203"/>
      <c r="H179" s="204"/>
    </row>
    <row r="180" spans="1:11" s="36" customFormat="1" x14ac:dyDescent="0.35">
      <c r="A180" s="48" t="s">
        <v>160</v>
      </c>
      <c r="B180" s="202" t="str">
        <f>(IF(F136="Saleable area Loading :","We have considered Saleable area of Commercial as per our Calculation.","We considered Saleable area of Commercial as per Builder area Sheet."))</f>
        <v>We have considered Saleable area of Commercial as per our Calculation.</v>
      </c>
      <c r="C180" s="203"/>
      <c r="D180" s="203"/>
      <c r="E180" s="203"/>
      <c r="F180" s="203"/>
      <c r="G180" s="203"/>
      <c r="H180" s="204"/>
    </row>
    <row r="181" spans="1:11" s="36" customFormat="1" x14ac:dyDescent="0.35">
      <c r="A181" s="48" t="s">
        <v>160</v>
      </c>
      <c r="B181" s="67" t="s">
        <v>128</v>
      </c>
      <c r="C181" s="68"/>
      <c r="D181" s="68"/>
      <c r="E181" s="68"/>
      <c r="F181" s="68"/>
      <c r="G181" s="68"/>
      <c r="H181" s="69"/>
    </row>
    <row r="182" spans="1:11" s="36" customFormat="1" x14ac:dyDescent="0.35">
      <c r="A182" s="48" t="s">
        <v>160</v>
      </c>
      <c r="B182" s="67" t="s">
        <v>201</v>
      </c>
      <c r="C182" s="68"/>
      <c r="D182" s="68"/>
      <c r="E182" s="68"/>
      <c r="F182" s="68"/>
      <c r="G182" s="68"/>
      <c r="H182" s="69"/>
    </row>
    <row r="183" spans="1:11" s="36" customFormat="1" x14ac:dyDescent="0.35">
      <c r="A183" s="48" t="s">
        <v>160</v>
      </c>
      <c r="B183" s="67" t="s">
        <v>159</v>
      </c>
      <c r="C183" s="68"/>
      <c r="D183" s="68"/>
      <c r="E183" s="68"/>
      <c r="F183" s="68"/>
      <c r="G183" s="68"/>
      <c r="H183" s="69"/>
    </row>
    <row r="184" spans="1:11" s="36" customFormat="1" x14ac:dyDescent="0.35">
      <c r="A184" s="48" t="s">
        <v>160</v>
      </c>
      <c r="B184" s="67" t="s">
        <v>129</v>
      </c>
      <c r="C184" s="68"/>
      <c r="D184" s="68"/>
      <c r="E184" s="68"/>
      <c r="F184" s="68"/>
      <c r="G184" s="68"/>
      <c r="H184" s="69"/>
    </row>
    <row r="185" spans="1:11" s="36" customFormat="1" ht="34.5" hidden="1" customHeight="1" x14ac:dyDescent="0.35">
      <c r="A185" s="48" t="s">
        <v>160</v>
      </c>
      <c r="B185" s="67" t="s">
        <v>161</v>
      </c>
      <c r="C185" s="68"/>
      <c r="D185" s="68"/>
      <c r="E185" s="68"/>
      <c r="F185" s="68"/>
      <c r="G185" s="68"/>
      <c r="H185" s="69"/>
    </row>
    <row r="186" spans="1:11" s="36" customFormat="1" ht="34.5" hidden="1" customHeight="1" x14ac:dyDescent="0.35">
      <c r="A186" s="48" t="s">
        <v>160</v>
      </c>
      <c r="B186" s="67" t="s">
        <v>210</v>
      </c>
      <c r="C186" s="68"/>
      <c r="D186" s="68"/>
      <c r="E186" s="68"/>
      <c r="F186" s="68"/>
      <c r="G186" s="68"/>
      <c r="H186" s="69"/>
    </row>
    <row r="187" spans="1:11" s="36" customFormat="1" x14ac:dyDescent="0.35">
      <c r="A187" s="48" t="s">
        <v>160</v>
      </c>
      <c r="B187" s="67" t="s">
        <v>130</v>
      </c>
      <c r="C187" s="68"/>
      <c r="D187" s="68"/>
      <c r="E187" s="68"/>
      <c r="F187" s="68"/>
      <c r="G187" s="68"/>
      <c r="H187" s="69"/>
    </row>
    <row r="188" spans="1:11" s="36" customFormat="1" x14ac:dyDescent="0.35">
      <c r="A188" s="48" t="s">
        <v>160</v>
      </c>
      <c r="B188" s="67" t="s">
        <v>214</v>
      </c>
      <c r="C188" s="68"/>
      <c r="D188" s="68"/>
      <c r="E188" s="68"/>
      <c r="F188" s="68"/>
      <c r="G188" s="68"/>
      <c r="H188" s="69"/>
      <c r="K188" s="36" t="s">
        <v>210</v>
      </c>
    </row>
    <row r="189" spans="1:11" s="36" customFormat="1" x14ac:dyDescent="0.35">
      <c r="A189" s="48" t="s">
        <v>160</v>
      </c>
      <c r="B189" s="67" t="s">
        <v>216</v>
      </c>
      <c r="C189" s="68"/>
      <c r="D189" s="68"/>
      <c r="E189" s="68"/>
      <c r="F189" s="68"/>
      <c r="G189" s="68"/>
      <c r="H189" s="69"/>
    </row>
    <row r="190" spans="1:11" s="36" customFormat="1" x14ac:dyDescent="0.35">
      <c r="A190" s="60" t="s">
        <v>160</v>
      </c>
      <c r="B190" s="67" t="s">
        <v>229</v>
      </c>
      <c r="C190" s="68"/>
      <c r="D190" s="68"/>
      <c r="E190" s="68"/>
      <c r="F190" s="68"/>
      <c r="G190" s="68"/>
      <c r="H190" s="69"/>
    </row>
    <row r="191" spans="1:11" s="36" customFormat="1" ht="31" hidden="1" customHeight="1" x14ac:dyDescent="0.35">
      <c r="A191" s="60" t="s">
        <v>160</v>
      </c>
      <c r="B191" s="187" t="s">
        <v>232</v>
      </c>
      <c r="C191" s="188"/>
      <c r="D191" s="188"/>
      <c r="E191" s="188"/>
      <c r="F191" s="188"/>
      <c r="G191" s="188"/>
      <c r="H191" s="189"/>
    </row>
    <row r="192" spans="1:11" s="36" customFormat="1" x14ac:dyDescent="0.35">
      <c r="A192" s="66" t="s">
        <v>160</v>
      </c>
      <c r="B192" s="67" t="s">
        <v>233</v>
      </c>
      <c r="C192" s="68"/>
      <c r="D192" s="68"/>
      <c r="E192" s="68"/>
      <c r="F192" s="68"/>
      <c r="G192" s="68"/>
      <c r="H192" s="69"/>
    </row>
    <row r="193" spans="1:8" x14ac:dyDescent="0.35">
      <c r="A193" s="85" t="s">
        <v>63</v>
      </c>
      <c r="B193" s="85"/>
      <c r="C193" s="85"/>
      <c r="D193" s="85"/>
      <c r="E193" s="85"/>
      <c r="F193" s="85"/>
      <c r="G193" s="85"/>
      <c r="H193" s="85"/>
    </row>
    <row r="194" spans="1:8" x14ac:dyDescent="0.35">
      <c r="A194" s="77" t="s">
        <v>64</v>
      </c>
      <c r="B194" s="77"/>
      <c r="C194" s="77"/>
      <c r="D194" s="77"/>
      <c r="E194" s="77"/>
      <c r="F194" s="77"/>
      <c r="G194" s="77"/>
      <c r="H194" s="77"/>
    </row>
    <row r="195" spans="1:8" ht="15.75" customHeight="1" x14ac:dyDescent="0.35">
      <c r="A195" s="96" t="s">
        <v>65</v>
      </c>
      <c r="B195" s="96"/>
      <c r="C195" s="96"/>
      <c r="D195" s="96"/>
      <c r="E195" s="96"/>
      <c r="F195" s="96"/>
      <c r="G195" s="96"/>
      <c r="H195" s="96"/>
    </row>
    <row r="196" spans="1:8" x14ac:dyDescent="0.35">
      <c r="A196" s="77" t="s">
        <v>66</v>
      </c>
      <c r="B196" s="77"/>
      <c r="C196" s="77"/>
      <c r="D196" s="77"/>
      <c r="E196" s="77"/>
      <c r="F196" s="77"/>
      <c r="G196" s="77"/>
      <c r="H196" s="77"/>
    </row>
    <row r="197" spans="1:8" x14ac:dyDescent="0.35">
      <c r="A197" s="77" t="s">
        <v>67</v>
      </c>
      <c r="B197" s="77"/>
      <c r="C197" s="77"/>
      <c r="D197" s="77"/>
      <c r="E197" s="77"/>
      <c r="F197" s="77"/>
      <c r="G197" s="77"/>
      <c r="H197" s="77"/>
    </row>
    <row r="198" spans="1:8" x14ac:dyDescent="0.35">
      <c r="A198" s="77" t="s">
        <v>131</v>
      </c>
      <c r="B198" s="77"/>
      <c r="C198" s="77"/>
      <c r="D198" s="77"/>
      <c r="E198" s="77"/>
      <c r="F198" s="77"/>
      <c r="G198" s="77"/>
      <c r="H198" s="77"/>
    </row>
    <row r="199" spans="1:8" x14ac:dyDescent="0.35">
      <c r="A199" s="86" t="s">
        <v>132</v>
      </c>
      <c r="B199" s="86"/>
      <c r="C199" s="86"/>
      <c r="D199" s="86"/>
      <c r="E199" s="86"/>
      <c r="F199" s="86"/>
      <c r="G199" s="86"/>
      <c r="H199" s="86"/>
    </row>
    <row r="200" spans="1:8" x14ac:dyDescent="0.35">
      <c r="A200" s="119" t="s">
        <v>80</v>
      </c>
      <c r="B200" s="119"/>
      <c r="C200" s="119" t="s">
        <v>231</v>
      </c>
      <c r="D200" s="119"/>
      <c r="E200" s="119" t="s">
        <v>108</v>
      </c>
      <c r="F200" s="119"/>
      <c r="G200" s="119" t="s">
        <v>230</v>
      </c>
      <c r="H200" s="119"/>
    </row>
    <row r="201" spans="1:8" x14ac:dyDescent="0.35">
      <c r="A201" s="118" t="s">
        <v>82</v>
      </c>
      <c r="B201" s="118"/>
      <c r="C201" s="118"/>
      <c r="D201" s="118"/>
      <c r="E201" s="118"/>
      <c r="F201" s="118"/>
      <c r="G201" s="118"/>
      <c r="H201" s="118"/>
    </row>
    <row r="202" spans="1:8" x14ac:dyDescent="0.35">
      <c r="A202" s="118"/>
      <c r="B202" s="118"/>
      <c r="C202" s="118"/>
      <c r="D202" s="118"/>
      <c r="E202" s="118"/>
      <c r="F202" s="118"/>
      <c r="G202" s="118"/>
      <c r="H202" s="118"/>
    </row>
    <row r="203" spans="1:8" x14ac:dyDescent="0.35">
      <c r="A203" s="118"/>
      <c r="B203" s="118"/>
      <c r="C203" s="118"/>
      <c r="D203" s="118"/>
      <c r="E203" s="118"/>
      <c r="F203" s="118"/>
      <c r="G203" s="118"/>
      <c r="H203" s="118"/>
    </row>
    <row r="204" spans="1:8" x14ac:dyDescent="0.35">
      <c r="A204" s="118"/>
      <c r="B204" s="118"/>
      <c r="C204" s="118"/>
      <c r="D204" s="118"/>
      <c r="E204" s="118"/>
      <c r="F204" s="118"/>
      <c r="G204" s="118"/>
      <c r="H204" s="118"/>
    </row>
    <row r="205" spans="1:8" x14ac:dyDescent="0.35">
      <c r="A205" s="39" t="s">
        <v>68</v>
      </c>
      <c r="B205" s="40"/>
      <c r="C205" s="40"/>
      <c r="D205" s="39" t="str">
        <f>E8</f>
        <v>Serenity Enclave</v>
      </c>
      <c r="F205" s="40"/>
      <c r="G205" s="40"/>
      <c r="H205" s="40"/>
    </row>
    <row r="206" spans="1:8" x14ac:dyDescent="0.35">
      <c r="A206" s="40"/>
      <c r="B206" s="40"/>
      <c r="C206" s="40"/>
      <c r="D206" s="40"/>
      <c r="E206" s="40"/>
      <c r="F206" s="40"/>
      <c r="G206" s="40"/>
      <c r="H206" s="40"/>
    </row>
    <row r="207" spans="1:8" x14ac:dyDescent="0.35">
      <c r="A207" s="40"/>
      <c r="B207" s="40"/>
      <c r="C207" s="40"/>
      <c r="D207" s="40"/>
      <c r="E207" s="40"/>
      <c r="F207" s="40"/>
      <c r="G207" s="40"/>
      <c r="H207" s="40"/>
    </row>
    <row r="208" spans="1:8" ht="15" customHeight="1" x14ac:dyDescent="0.35"/>
    <row r="249" spans="1:1" x14ac:dyDescent="0.35">
      <c r="A249" s="42" t="s">
        <v>174</v>
      </c>
    </row>
    <row r="288" spans="1:1" x14ac:dyDescent="0.35">
      <c r="A288" s="42" t="s">
        <v>69</v>
      </c>
    </row>
  </sheetData>
  <mergeCells count="372">
    <mergeCell ref="B190:H190"/>
    <mergeCell ref="B191:H191"/>
    <mergeCell ref="C37:H37"/>
    <mergeCell ref="B189:H189"/>
    <mergeCell ref="G149:H153"/>
    <mergeCell ref="G155:H159"/>
    <mergeCell ref="G173:H176"/>
    <mergeCell ref="B178:H178"/>
    <mergeCell ref="B179:H179"/>
    <mergeCell ref="B181:H181"/>
    <mergeCell ref="B182:H182"/>
    <mergeCell ref="A177:H177"/>
    <mergeCell ref="A153:B153"/>
    <mergeCell ref="A166:H166"/>
    <mergeCell ref="A167:B167"/>
    <mergeCell ref="G167:H171"/>
    <mergeCell ref="A160:H160"/>
    <mergeCell ref="A161:B161"/>
    <mergeCell ref="G161:H165"/>
    <mergeCell ref="G139:H144"/>
    <mergeCell ref="B188:H188"/>
    <mergeCell ref="B187:H187"/>
    <mergeCell ref="B184:H184"/>
    <mergeCell ref="B180:H180"/>
    <mergeCell ref="A176:B176"/>
    <mergeCell ref="A143:B143"/>
    <mergeCell ref="A140:B140"/>
    <mergeCell ref="A141:B141"/>
    <mergeCell ref="A142:B142"/>
    <mergeCell ref="L143:M143"/>
    <mergeCell ref="A144:B144"/>
    <mergeCell ref="L144:M144"/>
    <mergeCell ref="A170:B170"/>
    <mergeCell ref="L170:M170"/>
    <mergeCell ref="A171:B171"/>
    <mergeCell ref="L171:M171"/>
    <mergeCell ref="L140:M140"/>
    <mergeCell ref="L172:M172"/>
    <mergeCell ref="A174:B174"/>
    <mergeCell ref="A175:B175"/>
    <mergeCell ref="L152:M152"/>
    <mergeCell ref="L149:M149"/>
    <mergeCell ref="A150:B150"/>
    <mergeCell ref="L150:M150"/>
    <mergeCell ref="A151:B151"/>
    <mergeCell ref="L151:M151"/>
    <mergeCell ref="A152:B152"/>
    <mergeCell ref="A149:B149"/>
    <mergeCell ref="L153:M153"/>
    <mergeCell ref="E132:F132"/>
    <mergeCell ref="G132:H132"/>
    <mergeCell ref="L167:M167"/>
    <mergeCell ref="A168:B168"/>
    <mergeCell ref="L168:M168"/>
    <mergeCell ref="A169:B169"/>
    <mergeCell ref="L169:M169"/>
    <mergeCell ref="L161:M161"/>
    <mergeCell ref="A162:B162"/>
    <mergeCell ref="L162:M162"/>
    <mergeCell ref="G133:H133"/>
    <mergeCell ref="A132:B132"/>
    <mergeCell ref="C132:D132"/>
    <mergeCell ref="L142:M142"/>
    <mergeCell ref="L141:M141"/>
    <mergeCell ref="L139:M139"/>
    <mergeCell ref="C146:C147"/>
    <mergeCell ref="A148:H148"/>
    <mergeCell ref="L155:M155"/>
    <mergeCell ref="L156:M156"/>
    <mergeCell ref="A157:B157"/>
    <mergeCell ref="L157:M157"/>
    <mergeCell ref="A158:B158"/>
    <mergeCell ref="A38:B38"/>
    <mergeCell ref="C38:H38"/>
    <mergeCell ref="B185:H185"/>
    <mergeCell ref="A47:B47"/>
    <mergeCell ref="C47:H47"/>
    <mergeCell ref="B183:H183"/>
    <mergeCell ref="A102:B102"/>
    <mergeCell ref="A103:B103"/>
    <mergeCell ref="G87:H96"/>
    <mergeCell ref="A88:B88"/>
    <mergeCell ref="A89:B89"/>
    <mergeCell ref="A90:B90"/>
    <mergeCell ref="F113:H113"/>
    <mergeCell ref="A113:E113"/>
    <mergeCell ref="D136:D137"/>
    <mergeCell ref="A114:E114"/>
    <mergeCell ref="A139:B139"/>
    <mergeCell ref="A85:B85"/>
    <mergeCell ref="C85:H85"/>
    <mergeCell ref="A86:B86"/>
    <mergeCell ref="E86:F86"/>
    <mergeCell ref="G86:H86"/>
    <mergeCell ref="A104:B104"/>
    <mergeCell ref="A105:B105"/>
    <mergeCell ref="A106:B106"/>
    <mergeCell ref="A108:B108"/>
    <mergeCell ref="A109:B109"/>
    <mergeCell ref="G101:H110"/>
    <mergeCell ref="F118:H118"/>
    <mergeCell ref="A111:E111"/>
    <mergeCell ref="F114:H114"/>
    <mergeCell ref="A115:E115"/>
    <mergeCell ref="A116:E116"/>
    <mergeCell ref="F116:H116"/>
    <mergeCell ref="A117:E117"/>
    <mergeCell ref="F111:H111"/>
    <mergeCell ref="F115:H115"/>
    <mergeCell ref="F121:H121"/>
    <mergeCell ref="F119:H119"/>
    <mergeCell ref="A135:H135"/>
    <mergeCell ref="G125:H125"/>
    <mergeCell ref="A120:E120"/>
    <mergeCell ref="A145:H145"/>
    <mergeCell ref="A146:A147"/>
    <mergeCell ref="B146:B147"/>
    <mergeCell ref="A134:H134"/>
    <mergeCell ref="B136:B137"/>
    <mergeCell ref="A136:A137"/>
    <mergeCell ref="C136:C137"/>
    <mergeCell ref="A133:B133"/>
    <mergeCell ref="E133:F133"/>
    <mergeCell ref="L158:M158"/>
    <mergeCell ref="A159:B159"/>
    <mergeCell ref="L159:M159"/>
    <mergeCell ref="A156:B156"/>
    <mergeCell ref="A154:H154"/>
    <mergeCell ref="A155:B155"/>
    <mergeCell ref="A80:B80"/>
    <mergeCell ref="C131:D131"/>
    <mergeCell ref="E131:F131"/>
    <mergeCell ref="G131:H131"/>
    <mergeCell ref="F117:H117"/>
    <mergeCell ref="A112:E112"/>
    <mergeCell ref="A97:B97"/>
    <mergeCell ref="C97:H97"/>
    <mergeCell ref="A138:H138"/>
    <mergeCell ref="E136:E137"/>
    <mergeCell ref="G136:H137"/>
    <mergeCell ref="A87:B87"/>
    <mergeCell ref="E87:F96"/>
    <mergeCell ref="A94:B94"/>
    <mergeCell ref="A95:B95"/>
    <mergeCell ref="A96:B96"/>
    <mergeCell ref="A101:B101"/>
    <mergeCell ref="E101:F110"/>
    <mergeCell ref="G130:H130"/>
    <mergeCell ref="C125:D125"/>
    <mergeCell ref="C127:D127"/>
    <mergeCell ref="E127:F127"/>
    <mergeCell ref="G127:H127"/>
    <mergeCell ref="A128:B128"/>
    <mergeCell ref="C128:D128"/>
    <mergeCell ref="E128:F128"/>
    <mergeCell ref="G128:H128"/>
    <mergeCell ref="A42:D42"/>
    <mergeCell ref="E42:H42"/>
    <mergeCell ref="E43:H43"/>
    <mergeCell ref="E44:H44"/>
    <mergeCell ref="E45:H45"/>
    <mergeCell ref="A43:D43"/>
    <mergeCell ref="A79:B79"/>
    <mergeCell ref="A72:B72"/>
    <mergeCell ref="A75:B75"/>
    <mergeCell ref="A71:B71"/>
    <mergeCell ref="A69:B69"/>
    <mergeCell ref="C69:H69"/>
    <mergeCell ref="A77:B77"/>
    <mergeCell ref="A64:C64"/>
    <mergeCell ref="D64:H64"/>
    <mergeCell ref="C71:H71"/>
    <mergeCell ref="A74:B74"/>
    <mergeCell ref="G72:H72"/>
    <mergeCell ref="G52:H52"/>
    <mergeCell ref="C53:E53"/>
    <mergeCell ref="G53:H53"/>
    <mergeCell ref="A54:B54"/>
    <mergeCell ref="A59:C61"/>
    <mergeCell ref="D59:H59"/>
    <mergeCell ref="A36:H36"/>
    <mergeCell ref="A35:B35"/>
    <mergeCell ref="C35:E35"/>
    <mergeCell ref="A40:D40"/>
    <mergeCell ref="E40:H40"/>
    <mergeCell ref="F32:H32"/>
    <mergeCell ref="F33:H33"/>
    <mergeCell ref="A39:H39"/>
    <mergeCell ref="A62:C62"/>
    <mergeCell ref="F35:H35"/>
    <mergeCell ref="A37:B37"/>
    <mergeCell ref="A44:D44"/>
    <mergeCell ref="A45:D45"/>
    <mergeCell ref="A46:H46"/>
    <mergeCell ref="D58:H58"/>
    <mergeCell ref="A58:C58"/>
    <mergeCell ref="G49:H49"/>
    <mergeCell ref="A50:B51"/>
    <mergeCell ref="G50:H50"/>
    <mergeCell ref="D56:H56"/>
    <mergeCell ref="A34:B34"/>
    <mergeCell ref="C34:E34"/>
    <mergeCell ref="C54:E54"/>
    <mergeCell ref="A49:B49"/>
    <mergeCell ref="A29:D29"/>
    <mergeCell ref="E29:H29"/>
    <mergeCell ref="A30:D30"/>
    <mergeCell ref="E30:H30"/>
    <mergeCell ref="A26:D26"/>
    <mergeCell ref="E26:H26"/>
    <mergeCell ref="C31:E31"/>
    <mergeCell ref="F34:H34"/>
    <mergeCell ref="F31:H31"/>
    <mergeCell ref="A32:B32"/>
    <mergeCell ref="A31:B31"/>
    <mergeCell ref="C32:E32"/>
    <mergeCell ref="A33:B33"/>
    <mergeCell ref="C33:E33"/>
    <mergeCell ref="E20:F20"/>
    <mergeCell ref="G20:H20"/>
    <mergeCell ref="E25:H25"/>
    <mergeCell ref="A27:D27"/>
    <mergeCell ref="E27:H27"/>
    <mergeCell ref="A24:D24"/>
    <mergeCell ref="E24:H24"/>
    <mergeCell ref="A28:D28"/>
    <mergeCell ref="E28:H28"/>
    <mergeCell ref="A25:D25"/>
    <mergeCell ref="A10:D10"/>
    <mergeCell ref="E10:H10"/>
    <mergeCell ref="A21:D22"/>
    <mergeCell ref="E21:H22"/>
    <mergeCell ref="E13:H13"/>
    <mergeCell ref="A14:B14"/>
    <mergeCell ref="C14:H14"/>
    <mergeCell ref="C15:H15"/>
    <mergeCell ref="A23:D23"/>
    <mergeCell ref="E23:H23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A16:B16"/>
    <mergeCell ref="C16:H16"/>
    <mergeCell ref="A1:H1"/>
    <mergeCell ref="A2:H2"/>
    <mergeCell ref="A3:D3"/>
    <mergeCell ref="E3:H3"/>
    <mergeCell ref="A4:D4"/>
    <mergeCell ref="A8:D8"/>
    <mergeCell ref="E8:H8"/>
    <mergeCell ref="A9:D9"/>
    <mergeCell ref="E9:H9"/>
    <mergeCell ref="E4:H4"/>
    <mergeCell ref="A11:D11"/>
    <mergeCell ref="E11:H11"/>
    <mergeCell ref="A5:D5"/>
    <mergeCell ref="E5:H5"/>
    <mergeCell ref="A6:D6"/>
    <mergeCell ref="E6:H6"/>
    <mergeCell ref="A7:D7"/>
    <mergeCell ref="E7:H7"/>
    <mergeCell ref="A15:B15"/>
    <mergeCell ref="A12:D12"/>
    <mergeCell ref="E12:H12"/>
    <mergeCell ref="A13:D13"/>
    <mergeCell ref="A201:H204"/>
    <mergeCell ref="A200:B200"/>
    <mergeCell ref="E200:F200"/>
    <mergeCell ref="C200:D200"/>
    <mergeCell ref="G200:H200"/>
    <mergeCell ref="A124:H124"/>
    <mergeCell ref="A122:E122"/>
    <mergeCell ref="F122:H122"/>
    <mergeCell ref="A123:E123"/>
    <mergeCell ref="F123:H123"/>
    <mergeCell ref="A172:H172"/>
    <mergeCell ref="A131:B131"/>
    <mergeCell ref="A126:B126"/>
    <mergeCell ref="A196:H196"/>
    <mergeCell ref="A129:H129"/>
    <mergeCell ref="A199:H199"/>
    <mergeCell ref="A197:H197"/>
    <mergeCell ref="A193:H193"/>
    <mergeCell ref="A194:H194"/>
    <mergeCell ref="E130:F130"/>
    <mergeCell ref="B186:H186"/>
    <mergeCell ref="C126:D126"/>
    <mergeCell ref="E126:F126"/>
    <mergeCell ref="C130:D130"/>
    <mergeCell ref="A127:B127"/>
    <mergeCell ref="D60:H60"/>
    <mergeCell ref="D61:H61"/>
    <mergeCell ref="A76:B76"/>
    <mergeCell ref="E72:F72"/>
    <mergeCell ref="A65:C65"/>
    <mergeCell ref="D65:H65"/>
    <mergeCell ref="A68:C68"/>
    <mergeCell ref="D68:H68"/>
    <mergeCell ref="A66:C66"/>
    <mergeCell ref="D66:H66"/>
    <mergeCell ref="A67:C67"/>
    <mergeCell ref="D67:H67"/>
    <mergeCell ref="A73:B73"/>
    <mergeCell ref="A63:C63"/>
    <mergeCell ref="D62:H62"/>
    <mergeCell ref="E73:F82"/>
    <mergeCell ref="G73:H82"/>
    <mergeCell ref="A81:B81"/>
    <mergeCell ref="A82:B82"/>
    <mergeCell ref="D63:H63"/>
    <mergeCell ref="A121:E121"/>
    <mergeCell ref="A119:E119"/>
    <mergeCell ref="A118:E118"/>
    <mergeCell ref="C52:E52"/>
    <mergeCell ref="A198:H198"/>
    <mergeCell ref="A195:H195"/>
    <mergeCell ref="A173:B173"/>
    <mergeCell ref="A130:B130"/>
    <mergeCell ref="D146:D147"/>
    <mergeCell ref="E146:E147"/>
    <mergeCell ref="G146:H147"/>
    <mergeCell ref="A91:B91"/>
    <mergeCell ref="A92:B92"/>
    <mergeCell ref="A93:B93"/>
    <mergeCell ref="A107:B107"/>
    <mergeCell ref="F112:H112"/>
    <mergeCell ref="G126:H126"/>
    <mergeCell ref="A110:B110"/>
    <mergeCell ref="C133:D133"/>
    <mergeCell ref="A99:B99"/>
    <mergeCell ref="C99:H99"/>
    <mergeCell ref="A100:B100"/>
    <mergeCell ref="E100:F100"/>
    <mergeCell ref="G100:H100"/>
    <mergeCell ref="F120:H120"/>
    <mergeCell ref="E125:F125"/>
    <mergeCell ref="A125:B125"/>
    <mergeCell ref="B192:H192"/>
    <mergeCell ref="A163:B163"/>
    <mergeCell ref="L163:M163"/>
    <mergeCell ref="A164:B164"/>
    <mergeCell ref="L164:M164"/>
    <mergeCell ref="A165:B165"/>
    <mergeCell ref="L165:M165"/>
    <mergeCell ref="C50:E50"/>
    <mergeCell ref="E41:H41"/>
    <mergeCell ref="A41:D41"/>
    <mergeCell ref="A83:B83"/>
    <mergeCell ref="C83:H83"/>
    <mergeCell ref="A78:B78"/>
    <mergeCell ref="A48:B48"/>
    <mergeCell ref="C48:E48"/>
    <mergeCell ref="G48:H48"/>
    <mergeCell ref="C49:E49"/>
    <mergeCell ref="A55:H55"/>
    <mergeCell ref="A56:C56"/>
    <mergeCell ref="A57:C57"/>
    <mergeCell ref="D57:H57"/>
    <mergeCell ref="G54:H54"/>
    <mergeCell ref="C51:H51"/>
    <mergeCell ref="A52:B53"/>
  </mergeCells>
  <hyperlinks>
    <hyperlink ref="C38" r:id="rId1"/>
  </hyperlinks>
  <printOptions horizontalCentered="1"/>
  <pageMargins left="0.39370078740157483" right="0.39370078740157483" top="0.82677165354330717" bottom="0.78740157480314965" header="0.15748031496062992" footer="0.19685039370078741"/>
  <pageSetup paperSize="2" scale="96" fitToHeight="0" orientation="portrait" r:id="rId2"/>
  <headerFooter>
    <oddHeader>&amp;C&amp;G</oddHeader>
    <oddFooter>&amp;L&amp;"Times New Roman,Bold"&amp;12Ref No: &amp;F&amp;C&amp;G&amp;R&amp;"Times New Roman,Bold"&amp;12&amp;P</oddFooter>
  </headerFooter>
  <rowBreaks count="4" manualBreakCount="4">
    <brk id="68" max="16383" man="1"/>
    <brk id="204" max="16383" man="1"/>
    <brk id="248" max="16383" man="1"/>
    <brk id="287" max="16383" man="1"/>
  </rowBreaks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6"/>
  <sheetViews>
    <sheetView zoomScale="85" zoomScaleNormal="85" workbookViewId="0">
      <selection activeCell="E19" sqref="E19"/>
    </sheetView>
  </sheetViews>
  <sheetFormatPr defaultColWidth="8.6328125" defaultRowHeight="14.5" x14ac:dyDescent="0.35"/>
  <cols>
    <col min="1" max="1" width="8.6328125" style="1"/>
    <col min="2" max="2" width="22.08984375" style="1" customWidth="1"/>
    <col min="3" max="3" width="37" style="1" customWidth="1"/>
    <col min="4" max="5" width="11.453125" style="1" customWidth="1"/>
    <col min="6" max="6" width="14" style="1" customWidth="1"/>
    <col min="7" max="7" width="20" style="1" customWidth="1"/>
    <col min="8" max="8" width="16.453125" style="1" customWidth="1"/>
    <col min="9" max="16384" width="8.6328125" style="1"/>
  </cols>
  <sheetData>
    <row r="1" spans="1:9" ht="15" customHeight="1" x14ac:dyDescent="0.35"/>
    <row r="2" spans="1:9" ht="15" customHeight="1" x14ac:dyDescent="0.35">
      <c r="A2" s="2"/>
      <c r="B2" s="2"/>
      <c r="C2" s="2"/>
      <c r="D2" s="2"/>
      <c r="E2" s="2"/>
      <c r="F2" s="2"/>
      <c r="G2" s="2"/>
      <c r="H2" s="2"/>
    </row>
    <row r="3" spans="1:9" ht="15.75" customHeight="1" x14ac:dyDescent="0.35">
      <c r="A3" s="2"/>
      <c r="B3" s="206" t="s">
        <v>109</v>
      </c>
      <c r="C3" s="206"/>
      <c r="D3" s="206"/>
      <c r="E3" s="206"/>
      <c r="F3" s="206"/>
      <c r="G3" s="206"/>
      <c r="H3" s="206"/>
    </row>
    <row r="4" spans="1:9" x14ac:dyDescent="0.35">
      <c r="A4" s="2"/>
      <c r="B4" s="3" t="s">
        <v>110</v>
      </c>
      <c r="C4" s="3" t="s">
        <v>111</v>
      </c>
      <c r="D4" s="3" t="s">
        <v>71</v>
      </c>
      <c r="E4" s="3" t="s">
        <v>112</v>
      </c>
      <c r="F4" s="3" t="s">
        <v>118</v>
      </c>
      <c r="G4" s="3" t="s">
        <v>119</v>
      </c>
      <c r="H4" s="3" t="s">
        <v>113</v>
      </c>
    </row>
    <row r="5" spans="1:9" ht="15" customHeight="1" x14ac:dyDescent="0.35">
      <c r="A5" s="2"/>
      <c r="B5" s="5" t="s">
        <v>114</v>
      </c>
      <c r="C5" s="6"/>
      <c r="D5" s="5"/>
      <c r="E5" s="5"/>
      <c r="F5" s="7">
        <f>E5*1.6</f>
        <v>0</v>
      </c>
      <c r="G5" s="7" t="e">
        <f>H5/F5</f>
        <v>#DIV/0!</v>
      </c>
      <c r="H5" s="8"/>
    </row>
    <row r="6" spans="1:9" x14ac:dyDescent="0.35">
      <c r="A6" s="2"/>
      <c r="B6" s="5" t="s">
        <v>114</v>
      </c>
      <c r="C6" s="9"/>
      <c r="D6" s="5"/>
      <c r="E6" s="5"/>
      <c r="F6" s="7">
        <f t="shared" ref="F6:F11" si="0">E6*1.6</f>
        <v>0</v>
      </c>
      <c r="G6" s="7" t="e">
        <f t="shared" ref="G6:G11" si="1">H6/F6</f>
        <v>#DIV/0!</v>
      </c>
      <c r="H6" s="8"/>
    </row>
    <row r="7" spans="1:9" ht="15" customHeight="1" x14ac:dyDescent="0.35">
      <c r="A7" s="2"/>
      <c r="B7" s="5" t="s">
        <v>114</v>
      </c>
      <c r="C7" s="6"/>
      <c r="D7" s="5"/>
      <c r="E7" s="5"/>
      <c r="F7" s="7">
        <f t="shared" si="0"/>
        <v>0</v>
      </c>
      <c r="G7" s="7" t="e">
        <f t="shared" si="1"/>
        <v>#DIV/0!</v>
      </c>
      <c r="H7" s="8"/>
    </row>
    <row r="8" spans="1:9" x14ac:dyDescent="0.35">
      <c r="A8" s="2"/>
      <c r="B8" s="5" t="s">
        <v>114</v>
      </c>
      <c r="C8" s="9"/>
      <c r="D8" s="5"/>
      <c r="E8" s="5"/>
      <c r="F8" s="7">
        <f t="shared" si="0"/>
        <v>0</v>
      </c>
      <c r="G8" s="7" t="e">
        <f t="shared" si="1"/>
        <v>#DIV/0!</v>
      </c>
      <c r="H8" s="8"/>
    </row>
    <row r="9" spans="1:9" ht="15" customHeight="1" x14ac:dyDescent="0.35">
      <c r="A9" s="2"/>
      <c r="B9" s="5" t="s">
        <v>114</v>
      </c>
      <c r="C9" s="9"/>
      <c r="D9" s="5"/>
      <c r="E9" s="5"/>
      <c r="F9" s="7">
        <f t="shared" si="0"/>
        <v>0</v>
      </c>
      <c r="G9" s="7" t="e">
        <f t="shared" si="1"/>
        <v>#DIV/0!</v>
      </c>
      <c r="H9" s="8"/>
    </row>
    <row r="10" spans="1:9" ht="15" customHeight="1" x14ac:dyDescent="0.35">
      <c r="A10" s="2"/>
      <c r="B10" s="5" t="s">
        <v>115</v>
      </c>
      <c r="C10" s="6"/>
      <c r="D10" s="5"/>
      <c r="E10" s="5"/>
      <c r="F10" s="7">
        <f t="shared" si="0"/>
        <v>0</v>
      </c>
      <c r="G10" s="7" t="e">
        <f t="shared" si="1"/>
        <v>#DIV/0!</v>
      </c>
      <c r="H10" s="8"/>
    </row>
    <row r="11" spans="1:9" ht="15" customHeight="1" x14ac:dyDescent="0.35">
      <c r="A11" s="2"/>
      <c r="B11" s="5" t="s">
        <v>115</v>
      </c>
      <c r="C11" s="6"/>
      <c r="D11" s="5"/>
      <c r="E11" s="5"/>
      <c r="F11" s="7">
        <f t="shared" si="0"/>
        <v>0</v>
      </c>
      <c r="G11" s="7" t="e">
        <f t="shared" si="1"/>
        <v>#DIV/0!</v>
      </c>
      <c r="H11" s="8"/>
    </row>
    <row r="12" spans="1:9" ht="15" customHeight="1" x14ac:dyDescent="0.35">
      <c r="A12" s="2"/>
      <c r="B12" s="10" t="s">
        <v>116</v>
      </c>
      <c r="C12" s="5"/>
      <c r="D12" s="5"/>
      <c r="E12" s="5"/>
      <c r="F12" s="5"/>
      <c r="G12" s="11" t="e">
        <f>AVERAGE(G5:G11)</f>
        <v>#DIV/0!</v>
      </c>
      <c r="H12" s="5"/>
    </row>
    <row r="13" spans="1:9" ht="15" customHeight="1" x14ac:dyDescent="0.35">
      <c r="B13" s="10" t="s">
        <v>117</v>
      </c>
      <c r="C13" s="5"/>
      <c r="D13" s="5"/>
      <c r="E13" s="5"/>
      <c r="F13" s="12"/>
      <c r="G13" s="10"/>
      <c r="H13" s="10"/>
      <c r="I13" s="4"/>
    </row>
    <row r="14" spans="1:9" ht="15" customHeight="1" x14ac:dyDescent="0.35"/>
    <row r="15" spans="1:9" ht="15" customHeight="1" x14ac:dyDescent="0.35"/>
    <row r="16" spans="1:9" ht="15" customHeight="1" x14ac:dyDescent="0.35"/>
  </sheetData>
  <mergeCells count="1">
    <mergeCell ref="B3:H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3:G4"/>
  <sheetViews>
    <sheetView zoomScale="70" zoomScaleNormal="70" workbookViewId="0">
      <selection activeCell="R18" sqref="R18"/>
    </sheetView>
  </sheetViews>
  <sheetFormatPr defaultRowHeight="14.5" x14ac:dyDescent="0.35"/>
  <sheetData>
    <row r="3" spans="2:7" x14ac:dyDescent="0.35">
      <c r="B3" t="s">
        <v>223</v>
      </c>
    </row>
    <row r="4" spans="2:7" x14ac:dyDescent="0.35">
      <c r="B4" s="58" t="s">
        <v>222</v>
      </c>
      <c r="C4" s="58"/>
      <c r="D4" s="58"/>
      <c r="E4" s="58"/>
      <c r="F4" s="58" t="s">
        <v>221</v>
      </c>
      <c r="G4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</vt:lpstr>
      <vt:lpstr>valuation</vt:lpstr>
      <vt:lpstr>Note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 Elitebook 840 G6</cp:lastModifiedBy>
  <cp:lastPrinted>2025-07-29T13:24:46Z</cp:lastPrinted>
  <dcterms:created xsi:type="dcterms:W3CDTF">2019-07-16T09:29:46Z</dcterms:created>
  <dcterms:modified xsi:type="dcterms:W3CDTF">2025-07-29T13:28:52Z</dcterms:modified>
</cp:coreProperties>
</file>