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25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8" i="1" l="1"/>
  <c r="J97" i="1"/>
  <c r="J96" i="1"/>
  <c r="J95" i="1"/>
  <c r="J84" i="1"/>
  <c r="J83" i="1"/>
  <c r="J82" i="1"/>
  <c r="J81" i="1"/>
  <c r="H74" i="1"/>
  <c r="H88" i="1"/>
  <c r="J77" i="1" l="1"/>
  <c r="J73" i="1"/>
  <c r="J75" i="1" s="1"/>
  <c r="J78" i="1"/>
  <c r="C77" i="1" s="1"/>
  <c r="D77" i="1" s="1"/>
  <c r="J76" i="1"/>
  <c r="D86" i="1"/>
  <c r="D84" i="1"/>
  <c r="D82" i="1"/>
  <c r="D80" i="1"/>
  <c r="J79" i="1"/>
  <c r="J80" i="1" s="1"/>
  <c r="D85" i="1"/>
  <c r="D83" i="1"/>
  <c r="D81" i="1"/>
  <c r="D79" i="1"/>
  <c r="D100" i="1"/>
  <c r="D98" i="1"/>
  <c r="D96" i="1"/>
  <c r="D94" i="1"/>
  <c r="J93" i="1"/>
  <c r="C92" i="1" s="1"/>
  <c r="D99" i="1"/>
  <c r="D97" i="1"/>
  <c r="D95" i="1"/>
  <c r="D93" i="1"/>
  <c r="J91" i="1"/>
  <c r="J87" i="1"/>
  <c r="J89" i="1" s="1"/>
  <c r="J92" i="1"/>
  <c r="C91" i="1" s="1"/>
  <c r="J90" i="1"/>
  <c r="J94" i="1" l="1"/>
  <c r="J99" i="1" s="1"/>
  <c r="J100" i="1" s="1"/>
  <c r="E91" i="1" s="1"/>
  <c r="J85" i="1"/>
  <c r="J86" i="1" s="1"/>
  <c r="D91" i="1"/>
  <c r="G77" i="1"/>
  <c r="J113" i="1"/>
  <c r="J112" i="1"/>
  <c r="J111" i="1"/>
  <c r="J110" i="1"/>
  <c r="H103" i="1"/>
  <c r="G91" i="1" l="1"/>
  <c r="H101" i="1" s="1"/>
  <c r="D92" i="1"/>
  <c r="I88" i="1" s="1"/>
  <c r="I89" i="1" s="1"/>
  <c r="D71" i="1"/>
  <c r="D72" i="1" s="1"/>
  <c r="J74" i="1"/>
  <c r="E77" i="1"/>
  <c r="D78" i="1"/>
  <c r="I74" i="1" s="1"/>
  <c r="J88" i="1"/>
  <c r="J108" i="1"/>
  <c r="J107" i="1"/>
  <c r="J106" i="1"/>
  <c r="J105" i="1"/>
  <c r="D115" i="1"/>
  <c r="D114" i="1"/>
  <c r="D113" i="1"/>
  <c r="D112" i="1"/>
  <c r="D111" i="1"/>
  <c r="D110" i="1"/>
  <c r="D109" i="1"/>
  <c r="D108" i="1"/>
  <c r="D106" i="1"/>
  <c r="J102" i="1"/>
  <c r="J104" i="1" s="1"/>
  <c r="K164" i="1"/>
  <c r="E101" i="1" l="1"/>
  <c r="J109" i="1"/>
  <c r="I87" i="1"/>
  <c r="C89" i="1" s="1"/>
  <c r="I75" i="1"/>
  <c r="I73" i="1" s="1"/>
  <c r="C75" i="1" s="1"/>
  <c r="I307" i="1"/>
  <c r="I297" i="1"/>
  <c r="I295" i="1"/>
  <c r="I286" i="1"/>
  <c r="I285" i="1"/>
  <c r="I283" i="1"/>
  <c r="I271" i="1"/>
  <c r="I260" i="1"/>
  <c r="I259" i="1"/>
  <c r="I254" i="1"/>
  <c r="I253" i="1"/>
  <c r="I252" i="1"/>
  <c r="I248" i="1"/>
  <c r="I243" i="1"/>
  <c r="I238" i="1"/>
  <c r="I237" i="1"/>
  <c r="I236" i="1"/>
  <c r="I233" i="1"/>
  <c r="I231" i="1"/>
  <c r="I226" i="1"/>
  <c r="I221" i="1"/>
  <c r="I220" i="1"/>
  <c r="I219" i="1"/>
  <c r="I214" i="1"/>
  <c r="I211" i="1"/>
  <c r="I210" i="1"/>
  <c r="I209" i="1"/>
  <c r="I204" i="1"/>
  <c r="L164" i="1"/>
  <c r="J114" i="1" l="1"/>
  <c r="J115" i="1" s="1"/>
  <c r="C107" i="1" s="1"/>
  <c r="J103" i="1" s="1"/>
  <c r="C130" i="1"/>
  <c r="J141" i="1"/>
  <c r="J140" i="1"/>
  <c r="J139" i="1"/>
  <c r="J138" i="1"/>
  <c r="D318" i="1"/>
  <c r="F318" i="1" s="1"/>
  <c r="I318" i="1" s="1"/>
  <c r="D317" i="1"/>
  <c r="F317" i="1" s="1"/>
  <c r="I317" i="1" s="1"/>
  <c r="D316" i="1"/>
  <c r="F316" i="1" s="1"/>
  <c r="I316" i="1" s="1"/>
  <c r="D315" i="1"/>
  <c r="F315" i="1" s="1"/>
  <c r="I315" i="1" s="1"/>
  <c r="D314" i="1"/>
  <c r="F314" i="1" s="1"/>
  <c r="I314" i="1" s="1"/>
  <c r="D313" i="1"/>
  <c r="F313" i="1" s="1"/>
  <c r="I313" i="1" s="1"/>
  <c r="D312" i="1"/>
  <c r="F312" i="1" s="1"/>
  <c r="I312" i="1" s="1"/>
  <c r="D311" i="1"/>
  <c r="F311" i="1" s="1"/>
  <c r="I311" i="1" s="1"/>
  <c r="D310" i="1"/>
  <c r="F310" i="1" s="1"/>
  <c r="I310" i="1" s="1"/>
  <c r="D309" i="1"/>
  <c r="F309" i="1" s="1"/>
  <c r="I309" i="1" s="1"/>
  <c r="A309" i="1"/>
  <c r="A310" i="1" s="1"/>
  <c r="A311" i="1" s="1"/>
  <c r="A312" i="1" s="1"/>
  <c r="A313" i="1" s="1"/>
  <c r="A314" i="1" s="1"/>
  <c r="A315" i="1" s="1"/>
  <c r="A316" i="1" s="1"/>
  <c r="A317" i="1" s="1"/>
  <c r="A318" i="1" s="1"/>
  <c r="G308" i="1"/>
  <c r="D308" i="1"/>
  <c r="F308" i="1" s="1"/>
  <c r="I308" i="1" s="1"/>
  <c r="D306" i="1"/>
  <c r="F306" i="1" s="1"/>
  <c r="I306" i="1" s="1"/>
  <c r="D305" i="1"/>
  <c r="F305" i="1" s="1"/>
  <c r="I305" i="1" s="1"/>
  <c r="D304" i="1"/>
  <c r="F304" i="1" s="1"/>
  <c r="I304" i="1" s="1"/>
  <c r="D303" i="1"/>
  <c r="F303" i="1" s="1"/>
  <c r="I303" i="1" s="1"/>
  <c r="D302" i="1"/>
  <c r="F302" i="1" s="1"/>
  <c r="I302" i="1" s="1"/>
  <c r="D301" i="1"/>
  <c r="F301" i="1" s="1"/>
  <c r="I301" i="1" s="1"/>
  <c r="D300" i="1"/>
  <c r="F300" i="1" s="1"/>
  <c r="I300" i="1" s="1"/>
  <c r="D299" i="1"/>
  <c r="F299" i="1" s="1"/>
  <c r="I299" i="1" s="1"/>
  <c r="D298" i="1"/>
  <c r="F298" i="1" s="1"/>
  <c r="I298" i="1" s="1"/>
  <c r="D296" i="1"/>
  <c r="F296" i="1" s="1"/>
  <c r="I296" i="1" s="1"/>
  <c r="D294" i="1"/>
  <c r="F294" i="1" s="1"/>
  <c r="I294" i="1" s="1"/>
  <c r="D293" i="1"/>
  <c r="F293" i="1" s="1"/>
  <c r="I293" i="1" s="1"/>
  <c r="D292" i="1"/>
  <c r="F292" i="1" s="1"/>
  <c r="I292" i="1" s="1"/>
  <c r="D291" i="1"/>
  <c r="F291" i="1" s="1"/>
  <c r="I291" i="1" s="1"/>
  <c r="D290" i="1"/>
  <c r="F290" i="1" s="1"/>
  <c r="I290" i="1" s="1"/>
  <c r="D289" i="1"/>
  <c r="F289" i="1" s="1"/>
  <c r="I289" i="1" s="1"/>
  <c r="D288" i="1"/>
  <c r="F288" i="1" s="1"/>
  <c r="I288" i="1" s="1"/>
  <c r="D287" i="1"/>
  <c r="F287" i="1" s="1"/>
  <c r="I287" i="1" s="1"/>
  <c r="D284" i="1"/>
  <c r="F284" i="1" s="1"/>
  <c r="I284" i="1" s="1"/>
  <c r="D282" i="1"/>
  <c r="F282" i="1" s="1"/>
  <c r="I282" i="1" s="1"/>
  <c r="D281" i="1"/>
  <c r="F281" i="1" s="1"/>
  <c r="I281" i="1" s="1"/>
  <c r="D280" i="1"/>
  <c r="F280" i="1" s="1"/>
  <c r="I280" i="1" s="1"/>
  <c r="D279" i="1"/>
  <c r="F279" i="1" s="1"/>
  <c r="I279" i="1" s="1"/>
  <c r="D278" i="1"/>
  <c r="F278" i="1" s="1"/>
  <c r="I278" i="1" s="1"/>
  <c r="D277" i="1"/>
  <c r="F277" i="1" s="1"/>
  <c r="I277" i="1" s="1"/>
  <c r="D276" i="1"/>
  <c r="F276" i="1" s="1"/>
  <c r="I276" i="1" s="1"/>
  <c r="D275" i="1"/>
  <c r="F275" i="1" s="1"/>
  <c r="I275" i="1" s="1"/>
  <c r="D274" i="1"/>
  <c r="F274" i="1" s="1"/>
  <c r="I274" i="1" s="1"/>
  <c r="D273" i="1"/>
  <c r="F273" i="1" s="1"/>
  <c r="I273" i="1" s="1"/>
  <c r="D272" i="1"/>
  <c r="D270" i="1"/>
  <c r="F270" i="1" s="1"/>
  <c r="I270" i="1" s="1"/>
  <c r="D269" i="1"/>
  <c r="D268" i="1"/>
  <c r="F268" i="1" s="1"/>
  <c r="I268" i="1" s="1"/>
  <c r="D267" i="1"/>
  <c r="F267" i="1" s="1"/>
  <c r="I267" i="1" s="1"/>
  <c r="D266" i="1"/>
  <c r="F266" i="1" s="1"/>
  <c r="I266" i="1" s="1"/>
  <c r="D258" i="1"/>
  <c r="F258" i="1" s="1"/>
  <c r="I258" i="1" s="1"/>
  <c r="D257" i="1"/>
  <c r="D256" i="1"/>
  <c r="F256" i="1" s="1"/>
  <c r="I256" i="1" s="1"/>
  <c r="D255" i="1"/>
  <c r="F269" i="1"/>
  <c r="I269" i="1" s="1"/>
  <c r="A297" i="1"/>
  <c r="A298" i="1" s="1"/>
  <c r="A299" i="1" s="1"/>
  <c r="A300" i="1" s="1"/>
  <c r="A301" i="1" s="1"/>
  <c r="A302" i="1" s="1"/>
  <c r="A303" i="1" s="1"/>
  <c r="A304" i="1" s="1"/>
  <c r="A305" i="1" s="1"/>
  <c r="A306" i="1" s="1"/>
  <c r="G296" i="1"/>
  <c r="A285" i="1"/>
  <c r="A286" i="1" s="1"/>
  <c r="A287" i="1" s="1"/>
  <c r="A288" i="1" s="1"/>
  <c r="A289" i="1" s="1"/>
  <c r="A290" i="1" s="1"/>
  <c r="A291" i="1" s="1"/>
  <c r="A292" i="1" s="1"/>
  <c r="A293" i="1" s="1"/>
  <c r="A294" i="1" s="1"/>
  <c r="G284" i="1"/>
  <c r="F272" i="1"/>
  <c r="I272" i="1" s="1"/>
  <c r="A273" i="1"/>
  <c r="A274" i="1" s="1"/>
  <c r="A275" i="1" s="1"/>
  <c r="A276" i="1" s="1"/>
  <c r="A277" i="1" s="1"/>
  <c r="A278" i="1" s="1"/>
  <c r="A279" i="1" s="1"/>
  <c r="A280" i="1" s="1"/>
  <c r="A281" i="1" s="1"/>
  <c r="A282" i="1" s="1"/>
  <c r="G272" i="1"/>
  <c r="F262" i="1"/>
  <c r="F265" i="1"/>
  <c r="I265" i="1" s="1"/>
  <c r="F264" i="1"/>
  <c r="I264" i="1" s="1"/>
  <c r="F263" i="1"/>
  <c r="I263" i="1" s="1"/>
  <c r="F261" i="1"/>
  <c r="I261" i="1" s="1"/>
  <c r="A261" i="1"/>
  <c r="A262" i="1" s="1"/>
  <c r="A263" i="1" s="1"/>
  <c r="A264" i="1" s="1"/>
  <c r="A265" i="1" s="1"/>
  <c r="A266" i="1" s="1"/>
  <c r="A267" i="1" s="1"/>
  <c r="A268" i="1" s="1"/>
  <c r="A269" i="1" s="1"/>
  <c r="A270" i="1" s="1"/>
  <c r="G260" i="1"/>
  <c r="A257" i="1"/>
  <c r="A258" i="1" s="1"/>
  <c r="G255" i="1"/>
  <c r="D194" i="1"/>
  <c r="F194" i="1" s="1"/>
  <c r="D193" i="1"/>
  <c r="F193" i="1" s="1"/>
  <c r="D192" i="1"/>
  <c r="F192" i="1" s="1"/>
  <c r="D191" i="1"/>
  <c r="D190" i="1"/>
  <c r="D189" i="1"/>
  <c r="D188" i="1"/>
  <c r="G106" i="1" l="1"/>
  <c r="D107" i="1"/>
  <c r="I103" i="1" s="1"/>
  <c r="I104" i="1" s="1"/>
  <c r="E106" i="1"/>
  <c r="E175" i="1"/>
  <c r="C175" i="1"/>
  <c r="C174" i="1"/>
  <c r="J164" i="1" s="1"/>
  <c r="E174" i="1"/>
  <c r="E171" i="1"/>
  <c r="C171" i="1"/>
  <c r="J166" i="1" s="1"/>
  <c r="F255" i="1"/>
  <c r="I255" i="1" s="1"/>
  <c r="F257" i="1"/>
  <c r="D251" i="1"/>
  <c r="F251" i="1" s="1"/>
  <c r="I251" i="1" s="1"/>
  <c r="D250" i="1"/>
  <c r="D249" i="1"/>
  <c r="F249" i="1" s="1"/>
  <c r="I249" i="1" s="1"/>
  <c r="D247" i="1"/>
  <c r="F247" i="1" s="1"/>
  <c r="I247" i="1" s="1"/>
  <c r="D246" i="1"/>
  <c r="D245" i="1"/>
  <c r="D244" i="1"/>
  <c r="F244" i="1" s="1"/>
  <c r="I244" i="1" s="1"/>
  <c r="D242" i="1"/>
  <c r="F242" i="1" s="1"/>
  <c r="I242" i="1" s="1"/>
  <c r="D241" i="1"/>
  <c r="D240" i="1"/>
  <c r="D239" i="1"/>
  <c r="D235" i="1"/>
  <c r="F235" i="1" s="1"/>
  <c r="I235" i="1" s="1"/>
  <c r="D234" i="1"/>
  <c r="D232" i="1"/>
  <c r="F232" i="1" s="1"/>
  <c r="I232" i="1" s="1"/>
  <c r="D230" i="1"/>
  <c r="F230" i="1" s="1"/>
  <c r="I230" i="1" s="1"/>
  <c r="D229" i="1"/>
  <c r="F229" i="1" s="1"/>
  <c r="I229" i="1" s="1"/>
  <c r="D228" i="1"/>
  <c r="F228" i="1" s="1"/>
  <c r="I228" i="1" s="1"/>
  <c r="D227" i="1"/>
  <c r="F227" i="1" s="1"/>
  <c r="I227" i="1" s="1"/>
  <c r="D225" i="1"/>
  <c r="F225" i="1" s="1"/>
  <c r="I225" i="1" s="1"/>
  <c r="D224" i="1"/>
  <c r="F224" i="1" s="1"/>
  <c r="D223" i="1"/>
  <c r="F223" i="1" s="1"/>
  <c r="I223" i="1" s="1"/>
  <c r="D222" i="1"/>
  <c r="D218" i="1"/>
  <c r="F218" i="1" s="1"/>
  <c r="I218" i="1" s="1"/>
  <c r="D217" i="1"/>
  <c r="F217" i="1" s="1"/>
  <c r="I217" i="1" s="1"/>
  <c r="D216" i="1"/>
  <c r="F216" i="1" s="1"/>
  <c r="I216" i="1" s="1"/>
  <c r="D215" i="1"/>
  <c r="F215" i="1" s="1"/>
  <c r="I215" i="1" s="1"/>
  <c r="D213" i="1"/>
  <c r="F213" i="1" s="1"/>
  <c r="I213" i="1" s="1"/>
  <c r="D212" i="1"/>
  <c r="D208" i="1"/>
  <c r="F208" i="1" s="1"/>
  <c r="I208" i="1" s="1"/>
  <c r="D207" i="1"/>
  <c r="F207" i="1" s="1"/>
  <c r="D206" i="1"/>
  <c r="F206" i="1" s="1"/>
  <c r="I206" i="1" s="1"/>
  <c r="D205" i="1"/>
  <c r="F205" i="1" s="1"/>
  <c r="I205" i="1" s="1"/>
  <c r="E203" i="1"/>
  <c r="E202" i="1"/>
  <c r="D203" i="1"/>
  <c r="D202" i="1"/>
  <c r="D201" i="1"/>
  <c r="D200" i="1"/>
  <c r="E161" i="1"/>
  <c r="D184" i="1"/>
  <c r="D183" i="1"/>
  <c r="J182" i="1"/>
  <c r="A250" i="1"/>
  <c r="A251" i="1" s="1"/>
  <c r="A252" i="1" s="1"/>
  <c r="G249" i="1"/>
  <c r="F246" i="1"/>
  <c r="I246" i="1" s="1"/>
  <c r="F245" i="1"/>
  <c r="I245" i="1" s="1"/>
  <c r="A245" i="1"/>
  <c r="A246" i="1" s="1"/>
  <c r="A247" i="1" s="1"/>
  <c r="G244" i="1"/>
  <c r="F241" i="1"/>
  <c r="I241" i="1" s="1"/>
  <c r="F240" i="1"/>
  <c r="I240" i="1" s="1"/>
  <c r="A240" i="1"/>
  <c r="A241" i="1" s="1"/>
  <c r="A242" i="1" s="1"/>
  <c r="G239" i="1"/>
  <c r="F234" i="1"/>
  <c r="I234" i="1" s="1"/>
  <c r="A233" i="1"/>
  <c r="A234" i="1" s="1"/>
  <c r="A235" i="1" s="1"/>
  <c r="G232" i="1"/>
  <c r="A228" i="1"/>
  <c r="A229" i="1" s="1"/>
  <c r="A230" i="1" s="1"/>
  <c r="G227" i="1"/>
  <c r="J222" i="1"/>
  <c r="A223" i="1"/>
  <c r="A224" i="1" s="1"/>
  <c r="A225" i="1" s="1"/>
  <c r="G222" i="1"/>
  <c r="A211" i="1"/>
  <c r="A212" i="1" s="1"/>
  <c r="A213" i="1" s="1"/>
  <c r="G210" i="1"/>
  <c r="A216" i="1"/>
  <c r="A217" i="1" s="1"/>
  <c r="A218" i="1" s="1"/>
  <c r="G215" i="1"/>
  <c r="A206" i="1"/>
  <c r="A207" i="1" s="1"/>
  <c r="A208" i="1" s="1"/>
  <c r="G205" i="1"/>
  <c r="J202" i="1"/>
  <c r="J199" i="1"/>
  <c r="E176" i="1" l="1"/>
  <c r="I102" i="1"/>
  <c r="C104" i="1" s="1"/>
  <c r="C176" i="1"/>
  <c r="E160" i="1"/>
  <c r="E162" i="1" s="1"/>
  <c r="M164" i="1"/>
  <c r="I224" i="1"/>
  <c r="F239" i="1"/>
  <c r="I239" i="1" s="1"/>
  <c r="E167" i="1"/>
  <c r="G175" i="1"/>
  <c r="I257" i="1"/>
  <c r="E165" i="1"/>
  <c r="I207" i="1"/>
  <c r="M165" i="1"/>
  <c r="E166" i="1"/>
  <c r="G174" i="1"/>
  <c r="C165" i="1"/>
  <c r="C166" i="1"/>
  <c r="C167" i="1"/>
  <c r="F250" i="1"/>
  <c r="F212" i="1"/>
  <c r="I212" i="1" s="1"/>
  <c r="C161" i="1"/>
  <c r="C160" i="1"/>
  <c r="J165" i="1" s="1"/>
  <c r="F222" i="1"/>
  <c r="F203" i="1"/>
  <c r="I203" i="1" s="1"/>
  <c r="F202" i="1"/>
  <c r="I202" i="1" s="1"/>
  <c r="F201" i="1"/>
  <c r="I201" i="1" s="1"/>
  <c r="A201" i="1"/>
  <c r="A202" i="1" s="1"/>
  <c r="A203" i="1" s="1"/>
  <c r="G200" i="1"/>
  <c r="F200" i="1"/>
  <c r="I200" i="1" s="1"/>
  <c r="G161" i="1"/>
  <c r="F184" i="1"/>
  <c r="F183" i="1"/>
  <c r="A184" i="1"/>
  <c r="A185" i="1" s="1"/>
  <c r="G183" i="1"/>
  <c r="G176" i="1" l="1"/>
  <c r="G166" i="1"/>
  <c r="I222" i="1"/>
  <c r="G167" i="1"/>
  <c r="I250" i="1"/>
  <c r="C162" i="1"/>
  <c r="C168" i="1"/>
  <c r="J163" i="1" s="1"/>
  <c r="J168" i="1" s="1"/>
  <c r="G160" i="1"/>
  <c r="G162" i="1" s="1"/>
  <c r="E168" i="1"/>
  <c r="G165" i="1"/>
  <c r="C14" i="1"/>
  <c r="G168" i="1" l="1"/>
  <c r="E29" i="1"/>
  <c r="F321" i="1" l="1"/>
  <c r="F322" i="1"/>
  <c r="F323" i="1"/>
  <c r="F320" i="1"/>
  <c r="A321" i="1"/>
  <c r="A322" i="1" s="1"/>
  <c r="A323" i="1" s="1"/>
  <c r="G320" i="1"/>
  <c r="F157" i="1" l="1"/>
  <c r="F189" i="1" l="1"/>
  <c r="F190" i="1"/>
  <c r="F191" i="1"/>
  <c r="F188" i="1"/>
  <c r="G171" i="1" l="1"/>
  <c r="B350" i="1"/>
  <c r="A337" i="1"/>
  <c r="A343" i="1"/>
  <c r="A331" i="1"/>
  <c r="F347" i="1" l="1"/>
  <c r="F346" i="1"/>
  <c r="F345" i="1"/>
  <c r="F344" i="1"/>
  <c r="F343" i="1"/>
  <c r="F341" i="1"/>
  <c r="F340" i="1"/>
  <c r="F339" i="1"/>
  <c r="F338" i="1"/>
  <c r="F337" i="1"/>
  <c r="F335" i="1"/>
  <c r="F334" i="1"/>
  <c r="F333" i="1"/>
  <c r="F332" i="1"/>
  <c r="F331" i="1"/>
  <c r="F329" i="1"/>
  <c r="F328" i="1"/>
  <c r="F326" i="1"/>
  <c r="F325" i="1"/>
  <c r="F327" i="1"/>
  <c r="A344" i="1"/>
  <c r="A338" i="1"/>
  <c r="A332" i="1"/>
  <c r="B351" i="1" l="1"/>
  <c r="A339" i="1"/>
  <c r="A333" i="1"/>
  <c r="A34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73" i="1"/>
  <c r="G343" i="1"/>
  <c r="G337" i="1"/>
  <c r="G331" i="1"/>
  <c r="G325" i="1"/>
  <c r="A325" i="1"/>
  <c r="A326" i="1" s="1"/>
  <c r="A327" i="1" s="1"/>
  <c r="A328" i="1" s="1"/>
  <c r="A329" i="1" s="1"/>
  <c r="A189" i="1"/>
  <c r="A190" i="1" s="1"/>
  <c r="A191" i="1" s="1"/>
  <c r="A192" i="1" s="1"/>
  <c r="A194" i="1" s="1"/>
  <c r="G188" i="1"/>
  <c r="J127" i="1"/>
  <c r="J126" i="1"/>
  <c r="J125" i="1"/>
  <c r="J124" i="1"/>
  <c r="D60" i="1"/>
  <c r="G49" i="1"/>
  <c r="C49" i="1"/>
  <c r="E42" i="1"/>
  <c r="E43" i="1" s="1"/>
  <c r="E26" i="1"/>
  <c r="E24" i="1"/>
  <c r="E7" i="1"/>
  <c r="E3" i="1"/>
  <c r="A334" i="1"/>
  <c r="A346" i="1"/>
  <c r="H117" i="1"/>
  <c r="A340" i="1"/>
  <c r="D67" i="1" l="1"/>
  <c r="D127" i="1"/>
  <c r="D128" i="1"/>
  <c r="D129" i="1"/>
  <c r="D123" i="1"/>
  <c r="D124" i="1"/>
  <c r="D125" i="1"/>
  <c r="D126" i="1"/>
  <c r="J116" i="1"/>
  <c r="J118" i="1" s="1"/>
  <c r="J122" i="1"/>
  <c r="J120" i="1"/>
  <c r="J121" i="1"/>
  <c r="C120" i="1" s="1"/>
  <c r="J119" i="1"/>
  <c r="A341" i="1"/>
  <c r="A347" i="1"/>
  <c r="A335" i="1"/>
  <c r="J123" i="1" l="1"/>
  <c r="D122" i="1"/>
  <c r="D120" i="1"/>
  <c r="H131" i="1"/>
  <c r="D136" i="1" l="1"/>
  <c r="J128" i="1"/>
  <c r="J135" i="1"/>
  <c r="C134" i="1" s="1"/>
  <c r="D140" i="1"/>
  <c r="D143" i="1"/>
  <c r="D141" i="1"/>
  <c r="D139" i="1"/>
  <c r="D137" i="1"/>
  <c r="J130" i="1"/>
  <c r="J132" i="1" s="1"/>
  <c r="D142" i="1"/>
  <c r="J136" i="1"/>
  <c r="J137" i="1" s="1"/>
  <c r="J142" i="1" s="1"/>
  <c r="J143" i="1" s="1"/>
  <c r="C135" i="1" s="1"/>
  <c r="E134" i="1" s="1"/>
  <c r="J134" i="1"/>
  <c r="J133" i="1"/>
  <c r="D138" i="1"/>
  <c r="J129" i="1" l="1"/>
  <c r="C121" i="1" s="1"/>
  <c r="D121" i="1" s="1"/>
  <c r="I117" i="1" s="1"/>
  <c r="I118" i="1" s="1"/>
  <c r="I101" i="1"/>
  <c r="G134" i="1"/>
  <c r="D135" i="1"/>
  <c r="D134" i="1"/>
  <c r="E120" i="1" l="1"/>
  <c r="J117" i="1"/>
  <c r="I116" i="1" s="1"/>
  <c r="C118" i="1" s="1"/>
  <c r="G120" i="1"/>
  <c r="J101" i="1"/>
  <c r="F72" i="1"/>
  <c r="I131" i="1"/>
  <c r="I132" i="1" s="1"/>
  <c r="J131" i="1"/>
  <c r="I130" i="1" l="1"/>
  <c r="C132" i="1" s="1"/>
</calcChain>
</file>

<file path=xl/sharedStrings.xml><?xml version="1.0" encoding="utf-8"?>
<sst xmlns="http://schemas.openxmlformats.org/spreadsheetml/2006/main" count="610" uniqueCount="274">
  <si>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</si>
  <si>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</si>
  <si>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</si>
  <si>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</si>
  <si>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</si>
  <si>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</si>
  <si>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</si>
  <si>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</si>
  <si>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</si>
  <si>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</si>
  <si>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</si>
  <si>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</si>
  <si>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</si>
  <si>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</si>
  <si>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</si>
  <si>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</si>
  <si>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</si>
  <si>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</si>
  <si>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</si>
  <si>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</si>
  <si>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</si>
  <si>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</si>
  <si>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</si>
  <si>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</si>
  <si>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</si>
  <si>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</si>
  <si>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</si>
  <si>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</si>
  <si>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</si>
  <si>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</si>
  <si>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</si>
  <si>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</si>
  <si>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</si>
  <si>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</si>
  <si>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</si>
  <si>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</si>
  <si>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</si>
  <si>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</si>
  <si>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</si>
  <si>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</si>
  <si>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</si>
  <si>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</si>
  <si>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</si>
  <si>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</si>
  <si>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</si>
  <si>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</si>
  <si>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</si>
  <si>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</si>
  <si>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</si>
  <si>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</si>
  <si>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</si>
  <si>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</si>
  <si>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</si>
  <si>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</si>
  <si>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</si>
  <si>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</si>
  <si>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</si>
  <si>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</si>
  <si>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</si>
  <si>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</si>
  <si>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</si>
  <si>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</si>
  <si>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</si>
  <si>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</si>
  <si>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</si>
  <si>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</si>
  <si>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</si>
  <si>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</si>
  <si>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</si>
  <si>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</si>
  <si>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</si>
  <si>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</si>
  <si>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</si>
  <si>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</si>
  <si>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</si>
  <si>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</si>
  <si>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</si>
  <si>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</si>
  <si>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</si>
  <si>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</si>
  <si>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</si>
  <si>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</si>
  <si>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</si>
  <si>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</si>
  <si>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</si>
  <si>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</si>
  <si>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</si>
  <si>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</si>
  <si>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</si>
  <si>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</si>
  <si>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</si>
  <si>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</si>
  <si>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</si>
  <si>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</si>
  <si>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</si>
  <si>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</si>
  <si>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</si>
  <si>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</si>
  <si>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</si>
  <si>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</si>
  <si>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</si>
  <si>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</si>
  <si>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</si>
  <si>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</si>
  <si>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</si>
  <si>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</si>
  <si>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</si>
  <si>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</si>
  <si>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</si>
  <si>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</si>
  <si>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</si>
  <si>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</si>
  <si>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</si>
  <si>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</si>
  <si>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</si>
  <si>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</si>
  <si>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</si>
  <si>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</si>
  <si>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</si>
  <si>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</si>
  <si>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</si>
  <si>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</si>
  <si>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</si>
  <si>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</si>
  <si>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</si>
  <si>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</si>
  <si>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</si>
  <si>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</si>
  <si>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</si>
  <si>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</si>
  <si>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</si>
  <si>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</si>
  <si>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</si>
  <si>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</si>
  <si>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</si>
  <si>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</si>
  <si>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</si>
  <si>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</si>
  <si>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</si>
  <si>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</si>
  <si>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</si>
  <si>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</si>
  <si>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</si>
  <si>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</si>
  <si>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</si>
  <si>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</si>
  <si>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</si>
  <si>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</si>
  <si>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</si>
  <si>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</si>
  <si>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</si>
  <si>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</si>
  <si>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</si>
  <si>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</si>
  <si>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</si>
  <si>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</si>
  <si>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</si>
  <si>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</si>
  <si>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</si>
  <si>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</si>
  <si>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</si>
  <si>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</si>
  <si>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</si>
  <si>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</si>
  <si>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</si>
  <si>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</si>
  <si>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</si>
  <si>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</si>
  <si>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</si>
  <si>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</si>
  <si>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</si>
  <si>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</si>
  <si>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</si>
  <si>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</si>
  <si>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</si>
  <si>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</si>
  <si>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</si>
  <si>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</si>
  <si>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Goregaon</t>
  </si>
  <si>
    <t>Sardar Realty</t>
  </si>
  <si>
    <t>Inspire Residency</t>
  </si>
  <si>
    <t>9820925611/ 9821058174</t>
  </si>
  <si>
    <t>P51800046897</t>
  </si>
  <si>
    <t>380, 380/1 to 96 &amp; Existing Building Name - Kantilal Compound</t>
  </si>
  <si>
    <t>Survey No</t>
  </si>
  <si>
    <t>https://goo.gl/maps/pkohLbTycKeDJvwT6</t>
  </si>
  <si>
    <t>Slum Rehabilitation Authority</t>
  </si>
  <si>
    <t>Approved Plans, CC</t>
  </si>
  <si>
    <t>Mogra</t>
  </si>
  <si>
    <t>Rajmata Jijabai Marg</t>
  </si>
  <si>
    <t>Andheri</t>
  </si>
  <si>
    <t>Mumbai</t>
  </si>
  <si>
    <t>Nirman Residency</t>
  </si>
  <si>
    <t>New Sai Saran Building</t>
  </si>
  <si>
    <t>Patel Terrace</t>
  </si>
  <si>
    <t>SRA/ENG/K-E/PVT/0128/20060509/
Composite Building</t>
  </si>
  <si>
    <t>As per RERA - 30/06/2028</t>
  </si>
  <si>
    <t>Ground Floor For Commercial</t>
  </si>
  <si>
    <t>Shop</t>
  </si>
  <si>
    <t>Bank</t>
  </si>
  <si>
    <t>1st Floor For Residential</t>
  </si>
  <si>
    <t>2nd to 7th &amp; 9th to 12th Floor</t>
  </si>
  <si>
    <t>13th Floor</t>
  </si>
  <si>
    <t>Refuge Area</t>
  </si>
  <si>
    <t>8th Floor (Part Refuge Area)</t>
  </si>
  <si>
    <t>Ground Floor For Parking</t>
  </si>
  <si>
    <t>We considered Gross carpet area = Net carpet</t>
  </si>
  <si>
    <t>1.8KM from Andheri Railway Station</t>
  </si>
  <si>
    <t>K-E/PVT/0128/20060509/
Composite Building</t>
  </si>
  <si>
    <t>This CC is now further extended for entire construction work for rehab wing D &amp; E upto 16th Floor (Top of 16th Floor) + L.M.R + O.H.T as per amended plans dated.26/04/2022.</t>
  </si>
  <si>
    <t>Wing A (Sale Wing)</t>
  </si>
  <si>
    <t>Wing B (Sale Wing)</t>
  </si>
  <si>
    <t>Wing C (Sale Wing)</t>
  </si>
  <si>
    <t>Wing D + E (Rehab Wing)</t>
  </si>
  <si>
    <t>6th shop nt there</t>
  </si>
  <si>
    <t>Ground Floor For Part Residential</t>
  </si>
  <si>
    <t>Ground Floor For Part Commercial</t>
  </si>
  <si>
    <t>1st Floor</t>
  </si>
  <si>
    <t>Library</t>
  </si>
  <si>
    <t>Society Office - 1</t>
  </si>
  <si>
    <t>Society Office - 2</t>
  </si>
  <si>
    <t>Balwadi</t>
  </si>
  <si>
    <t>Welfare Center</t>
  </si>
  <si>
    <t>Health Post</t>
  </si>
  <si>
    <t>Rehab</t>
  </si>
  <si>
    <t>2nd to 7th &amp; 9th to 14th Floor</t>
  </si>
  <si>
    <t>15th Floor (Part Refuge Area)</t>
  </si>
  <si>
    <t>Sale</t>
  </si>
  <si>
    <t>Commercial Area Details (Rehab Wing D + E) :</t>
  </si>
  <si>
    <t>Residential Area Details (Rehab Wing D + E) :</t>
  </si>
  <si>
    <t>Rehab Flats</t>
  </si>
  <si>
    <t>Sale Flats</t>
  </si>
  <si>
    <t>16th Floor</t>
  </si>
  <si>
    <t>05 Wings</t>
  </si>
  <si>
    <t>The existing Nalla is on the north side of the project.</t>
  </si>
  <si>
    <t>Andheri (East)</t>
  </si>
  <si>
    <t>Sale Wing A - G + 1st to 13th Floor
Sale Wing (B &amp; C) - G + 1st to 12th Floor
Rehab Wing (D &amp; E) - G + 1st to 16th Floor</t>
  </si>
  <si>
    <t>Sale Wing A - G + 1st to 18th Floor</t>
  </si>
  <si>
    <t>Sale Wing (B &amp; C) - G + 1st to 18th Floor</t>
  </si>
  <si>
    <t>-</t>
  </si>
  <si>
    <t>Society Office</t>
  </si>
  <si>
    <t>Sale Wing A</t>
  </si>
  <si>
    <t>Sale Wing B</t>
  </si>
  <si>
    <t>Sale Wing C</t>
  </si>
  <si>
    <t>Sale Wing A (Bank)</t>
  </si>
  <si>
    <t>Rehab Shop</t>
  </si>
  <si>
    <t>Sale Shops</t>
  </si>
  <si>
    <t>Rehab Shops</t>
  </si>
  <si>
    <t>Sheet</t>
  </si>
  <si>
    <t>Parsi colony</t>
  </si>
  <si>
    <t xml:space="preserve">Commencement-CC No
Valid Up to: </t>
  </si>
  <si>
    <t>Commercial Area Details : Sale Wing (A, B &amp; C)</t>
  </si>
  <si>
    <t>Residential Area Details : Sale Wing (A, B &amp; C)</t>
  </si>
  <si>
    <t>Sale Wing (A, B &amp; C)
Rehab Wing (D &amp; E)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</si>
  <si>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</si>
  <si>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>Sale Flats - 150, Sale Shops - 2, Rehab Flats - 166, Rehab Shops - 7 Bank - 1</t>
  </si>
  <si>
    <t>6) Fungible Area= Enclosed Balcony + Flower Bed + Covered Balcony + Service Slab + Duct + Chajja +
Wheather Shed area.</t>
  </si>
  <si>
    <t>Part II Sale Wing (A) - G + 1st to 18th Floor</t>
  </si>
  <si>
    <t>Sale Wing (B ) - G + 1st to 18th Floor</t>
  </si>
  <si>
    <t xml:space="preserve">Sale Wing (C) - G + 1st to 18th Floor </t>
  </si>
  <si>
    <t>Wing A Average of Part I &amp; Part II</t>
  </si>
  <si>
    <t>K-E/PVT/0128/20060509/Composite Building</t>
  </si>
  <si>
    <t>This CC is re-endorsed &amp; further extended from 17th to 18th floor for Rehab Wing D &amp; E (Top slab of 18th floor) + LMR + OHT as per approved amended plans dtd.15/02/2024.</t>
  </si>
  <si>
    <t>This CC is now further extended for Sale Wing A, B &amp; C in form of entire construction work upto 8th floor &amp; in form of of RCC work from 9th to 11th floor only, as per amended plans dtd.15/02/2024.</t>
  </si>
  <si>
    <t>Sale Wing (A, B &amp; C) - G + 1st to 18th Floor</t>
  </si>
  <si>
    <t>Rehab Wing (D &amp; E) - G + 1st to 18th Floor</t>
  </si>
  <si>
    <t>This CC is re-endorsed as per amended plans dated 24/01/2025</t>
  </si>
  <si>
    <t>We have updated latest CC from Rera (On 16/05/2025).</t>
  </si>
  <si>
    <t>As per site person OC received but OC not found on RERA hence finishing given 16/05/2025</t>
  </si>
  <si>
    <t>Provide revised approved plans dtd. 24/01/2025</t>
  </si>
  <si>
    <t>Mr. Firoz : 9821654468</t>
  </si>
  <si>
    <t>Wing A, B, C = Construction work is in process at the time of Visit.
Wing D &amp; E = All work Completed. Please provide OC.
Internal Visit not allowed</t>
  </si>
  <si>
    <t>Pooja</t>
  </si>
  <si>
    <t>Ganesh Wadkar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</si>
</sst>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24" fillId="0" borderId="30" xfId="0" applyFont="1" applyBorder="1"/>
    <xf numFmtId="168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9" fontId="12" fillId="3" borderId="1" xfId="1" applyNumberFormat="1" applyFont="1" applyFill="1" applyBorder="1" applyAlignment="1" applyProtection="1">
      <alignment horizontal="center" vertical="center"/>
      <protection locked="0"/>
    </xf>
    <xf numFmtId="9" fontId="12" fillId="3" borderId="5" xfId="1" applyNumberFormat="1" applyFont="1" applyFill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left" vertical="center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21" xfId="1" applyNumberFormat="1" applyFont="1" applyBorder="1" applyAlignment="1" applyProtection="1">
      <alignment horizontal="center" vertical="center" wrapText="1"/>
      <protection locked="0"/>
    </xf>
    <xf numFmtId="168" fontId="6" fillId="0" borderId="9" xfId="1" applyNumberFormat="1" applyFont="1" applyBorder="1" applyAlignment="1" applyProtection="1">
      <alignment horizontal="center" vertical="center" wrapText="1"/>
      <protection locked="0"/>
    </xf>
    <xf numFmtId="168" fontId="6" fillId="0" borderId="17" xfId="1" applyNumberFormat="1" applyFont="1" applyBorder="1" applyAlignment="1" applyProtection="1">
      <alignment horizontal="center" vertical="center" wrapText="1"/>
      <protection locked="0"/>
    </xf>
    <xf numFmtId="168" fontId="6" fillId="0" borderId="24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19" xfId="1" applyNumberFormat="1" applyFont="1" applyBorder="1" applyAlignment="1" applyProtection="1">
      <alignment horizontal="center" vertical="center" wrapText="1"/>
      <protection locked="0"/>
    </xf>
    <xf numFmtId="168" fontId="6" fillId="0" borderId="2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6" fillId="0" borderId="25" xfId="1" applyFont="1" applyBorder="1" applyAlignment="1" applyProtection="1">
      <alignment horizontal="left" vertical="top" wrapText="1"/>
      <protection locked="0"/>
    </xf>
    <xf numFmtId="0" fontId="6" fillId="0" borderId="26" xfId="1" applyFont="1" applyBorder="1" applyAlignment="1" applyProtection="1">
      <alignment horizontal="left" vertical="top" wrapText="1"/>
      <protection locked="0"/>
    </xf>
    <xf numFmtId="0" fontId="13" fillId="4" borderId="22" xfId="1" applyFont="1" applyFill="1" applyBorder="1" applyAlignment="1" applyProtection="1">
      <alignment horizontal="left" vertical="top" wrapText="1"/>
      <protection locked="0"/>
    </xf>
    <xf numFmtId="0" fontId="13" fillId="4" borderId="15" xfId="1" applyFont="1" applyFill="1" applyBorder="1" applyAlignment="1" applyProtection="1">
      <alignment horizontal="left" vertical="top" wrapText="1"/>
      <protection locked="0"/>
    </xf>
    <xf numFmtId="0" fontId="13" fillId="4" borderId="13" xfId="1" applyFont="1" applyFill="1" applyBorder="1" applyAlignment="1" applyProtection="1">
      <alignment horizontal="left" vertical="top" wrapText="1"/>
      <protection locked="0"/>
    </xf>
    <xf numFmtId="0" fontId="13" fillId="4" borderId="14" xfId="1" applyFont="1" applyFill="1" applyBorder="1" applyAlignment="1" applyProtection="1">
      <alignment horizontal="left" vertical="top" wrapText="1"/>
      <protection locked="0"/>
    </xf>
    <xf numFmtId="0" fontId="13" fillId="4" borderId="23" xfId="1" applyFont="1" applyFill="1" applyBorder="1" applyAlignment="1" applyProtection="1">
      <alignment horizontal="left" vertical="top" wrapText="1"/>
      <protection locked="0"/>
    </xf>
    <xf numFmtId="0" fontId="12" fillId="3" borderId="32" xfId="1" applyFont="1" applyFill="1" applyBorder="1" applyAlignment="1" applyProtection="1">
      <alignment horizontal="center" vertical="center" wrapText="1"/>
      <protection locked="0"/>
    </xf>
    <xf numFmtId="0" fontId="12" fillId="3" borderId="33" xfId="1" applyFont="1" applyFill="1" applyBorder="1" applyAlignment="1" applyProtection="1">
      <alignment horizontal="center" vertical="center" wrapText="1"/>
      <protection locked="0"/>
    </xf>
    <xf numFmtId="0" fontId="12" fillId="3" borderId="34" xfId="1" applyFont="1" applyFill="1" applyBorder="1" applyAlignment="1" applyProtection="1">
      <alignment horizontal="center" vertical="center"/>
      <protection locked="0"/>
    </xf>
    <xf numFmtId="0" fontId="12" fillId="3" borderId="33" xfId="1" applyFont="1" applyFill="1" applyBorder="1" applyAlignment="1" applyProtection="1">
      <alignment horizontal="center" vertical="center"/>
      <protection locked="0"/>
    </xf>
    <xf numFmtId="0" fontId="12" fillId="3" borderId="28" xfId="1" applyFont="1" applyFill="1" applyBorder="1" applyAlignment="1" applyProtection="1">
      <alignment horizontal="center" vertical="center"/>
      <protection locked="0"/>
    </xf>
    <xf numFmtId="0" fontId="12" fillId="3" borderId="29" xfId="1" applyFont="1" applyFill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280151</xdr:colOff>
      <xdr:row>475</xdr:row>
      <xdr:rowOff>174812</xdr:rowOff>
    </xdr:from>
    <xdr:to>
      <xdr:col>7</xdr:col>
      <xdr:colOff>630533</xdr:colOff>
      <xdr:row>497</xdr:row>
      <xdr:rowOff>31260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0151" y="87726371"/>
          <a:ext cx="6480000" cy="429397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291356</xdr:colOff>
      <xdr:row>460</xdr:row>
      <xdr:rowOff>89648</xdr:rowOff>
    </xdr:from>
    <xdr:to>
      <xdr:col>7</xdr:col>
      <xdr:colOff>641738</xdr:colOff>
      <xdr:row>475</xdr:row>
      <xdr:rowOff>108877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1356" y="62248677"/>
          <a:ext cx="6480000" cy="304481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660736</xdr:colOff>
      <xdr:row>48</xdr:row>
      <xdr:rowOff>175983</xdr:rowOff>
    </xdr:from>
    <xdr:to>
      <xdr:col>16</xdr:col>
      <xdr:colOff>342291</xdr:colOff>
      <xdr:row>54</xdr:row>
      <xdr:rowOff>202465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78016" y="11362143"/>
          <a:ext cx="4276415" cy="298304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201708</xdr:colOff>
      <xdr:row>416</xdr:row>
      <xdr:rowOff>112058</xdr:rowOff>
    </xdr:from>
    <xdr:to>
      <xdr:col>7</xdr:col>
      <xdr:colOff>732090</xdr:colOff>
      <xdr:row>439</xdr:row>
      <xdr:rowOff>190323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1708" y="54684705"/>
          <a:ext cx="6660000" cy="47175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4</xdr:col>
      <xdr:colOff>336177</xdr:colOff>
      <xdr:row>421</xdr:row>
      <xdr:rowOff>134471</xdr:rowOff>
    </xdr:from>
    <xdr:ext cx="607089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944471" y="55715647"/>
          <a:ext cx="60708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</a:t>
          </a:r>
          <a:r>
            <a:rPr lang="en-IN" sz="1100" b="1" baseline="0"/>
            <a:t> A</a:t>
          </a:r>
          <a:endParaRPr lang="en-IN" sz="1100" b="1"/>
        </a:p>
      </xdr:txBody>
    </xdr:sp>
    <xdr:clientData/>
  </xdr:oneCellAnchor>
  <xdr:oneCellAnchor>
    <xdr:from>
      <xdr:col>3</xdr:col>
      <xdr:colOff>235326</xdr:colOff>
      <xdr:row>420</xdr:row>
      <xdr:rowOff>179293</xdr:rowOff>
    </xdr:from>
    <xdr:ext cx="600677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835091" y="55558764"/>
          <a:ext cx="600677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</a:t>
          </a:r>
          <a:r>
            <a:rPr lang="en-IN" sz="1100" b="1" baseline="0"/>
            <a:t> B</a:t>
          </a:r>
          <a:endParaRPr lang="en-IN" sz="1100" b="1"/>
        </a:p>
      </xdr:txBody>
    </xdr:sp>
    <xdr:clientData/>
  </xdr:oneCellAnchor>
  <xdr:oneCellAnchor>
    <xdr:from>
      <xdr:col>2</xdr:col>
      <xdr:colOff>96374</xdr:colOff>
      <xdr:row>421</xdr:row>
      <xdr:rowOff>118782</xdr:rowOff>
    </xdr:from>
    <xdr:ext cx="596253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777256" y="55699958"/>
          <a:ext cx="596253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</a:t>
          </a:r>
          <a:r>
            <a:rPr lang="en-IN" sz="1100" b="1" baseline="0"/>
            <a:t> C</a:t>
          </a:r>
          <a:endParaRPr lang="en-IN" sz="1100" b="1"/>
        </a:p>
      </xdr:txBody>
    </xdr:sp>
    <xdr:clientData/>
  </xdr:oneCellAnchor>
  <xdr:twoCellAnchor>
    <xdr:from>
      <xdr:col>1</xdr:col>
      <xdr:colOff>805460</xdr:colOff>
      <xdr:row>483</xdr:row>
      <xdr:rowOff>168260</xdr:rowOff>
    </xdr:from>
    <xdr:to>
      <xdr:col>3</xdr:col>
      <xdr:colOff>863234</xdr:colOff>
      <xdr:row>491</xdr:row>
      <xdr:rowOff>76279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1311712">
          <a:off x="1623489" y="89333466"/>
          <a:ext cx="1839510" cy="1521666"/>
        </a:xfrm>
        <a:prstGeom prst="rect">
          <a:avLst/>
        </a:prstGeom>
        <a:noFill/>
        <a:ln w="381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2</xdr:col>
      <xdr:colOff>593912</xdr:colOff>
      <xdr:row>429</xdr:row>
      <xdr:rowOff>168089</xdr:rowOff>
    </xdr:from>
    <xdr:ext cx="842475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274794" y="78441177"/>
          <a:ext cx="842475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D &amp; E</a:t>
          </a:r>
        </a:p>
      </xdr:txBody>
    </xdr:sp>
    <xdr:clientData/>
  </xdr:oneCellAnchor>
  <xdr:twoCellAnchor>
    <xdr:from>
      <xdr:col>5</xdr:col>
      <xdr:colOff>549089</xdr:colOff>
      <xdr:row>477</xdr:row>
      <xdr:rowOff>123264</xdr:rowOff>
    </xdr:from>
    <xdr:to>
      <xdr:col>6</xdr:col>
      <xdr:colOff>123265</xdr:colOff>
      <xdr:row>484</xdr:row>
      <xdr:rowOff>89647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flipH="1">
          <a:off x="4997824" y="88078235"/>
          <a:ext cx="414617" cy="1378324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896471</xdr:colOff>
      <xdr:row>484</xdr:row>
      <xdr:rowOff>67235</xdr:rowOff>
    </xdr:from>
    <xdr:to>
      <xdr:col>5</xdr:col>
      <xdr:colOff>582707</xdr:colOff>
      <xdr:row>484</xdr:row>
      <xdr:rowOff>179294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H="1">
          <a:off x="3496236" y="89434147"/>
          <a:ext cx="1535206" cy="112059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448236</xdr:colOff>
      <xdr:row>482</xdr:row>
      <xdr:rowOff>44824</xdr:rowOff>
    </xdr:from>
    <xdr:to>
      <xdr:col>3</xdr:col>
      <xdr:colOff>941294</xdr:colOff>
      <xdr:row>484</xdr:row>
      <xdr:rowOff>179294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2129118" y="89008324"/>
          <a:ext cx="1411941" cy="537882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4</xdr:col>
      <xdr:colOff>100853</xdr:colOff>
      <xdr:row>482</xdr:row>
      <xdr:rowOff>89647</xdr:rowOff>
    </xdr:from>
    <xdr:ext cx="486095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709147" y="89053147"/>
          <a:ext cx="486095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ysClr val="windowText" lastClr="000000"/>
              </a:solidFill>
            </a:rPr>
            <a:t>Nalla</a:t>
          </a:r>
        </a:p>
      </xdr:txBody>
    </xdr:sp>
    <xdr:clientData/>
  </xdr:oneCellAnchor>
  <xdr:twoCellAnchor editAs="oneCell">
    <xdr:from>
      <xdr:col>8</xdr:col>
      <xdr:colOff>124654</xdr:colOff>
      <xdr:row>58</xdr:row>
      <xdr:rowOff>152400</xdr:rowOff>
    </xdr:from>
    <xdr:to>
      <xdr:col>9</xdr:col>
      <xdr:colOff>619747</xdr:colOff>
      <xdr:row>64</xdr:row>
      <xdr:rowOff>10782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6758" y="15133983"/>
          <a:ext cx="1694415" cy="1660677"/>
        </a:xfrm>
        <a:prstGeom prst="rect">
          <a:avLst/>
        </a:prstGeom>
      </xdr:spPr>
    </xdr:pic>
    <xdr:clientData/>
  </xdr:twoCellAnchor>
  <xdr:twoCellAnchor>
    <xdr:from>
      <xdr:col>10</xdr:col>
      <xdr:colOff>55706</xdr:colOff>
      <xdr:row>385</xdr:row>
      <xdr:rowOff>170660</xdr:rowOff>
    </xdr:from>
    <xdr:to>
      <xdr:col>11</xdr:col>
      <xdr:colOff>610542</xdr:colOff>
      <xdr:row>387</xdr:row>
      <xdr:rowOff>144338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8504381" y="72703535"/>
          <a:ext cx="1259686" cy="37372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D &amp; E Wing</a:t>
          </a:r>
        </a:p>
      </xdr:txBody>
    </xdr:sp>
    <xdr:clientData/>
  </xdr:twoCellAnchor>
  <xdr:twoCellAnchor>
    <xdr:from>
      <xdr:col>9</xdr:col>
      <xdr:colOff>361536</xdr:colOff>
      <xdr:row>389</xdr:row>
      <xdr:rowOff>142272</xdr:rowOff>
    </xdr:from>
    <xdr:to>
      <xdr:col>11</xdr:col>
      <xdr:colOff>383784</xdr:colOff>
      <xdr:row>391</xdr:row>
      <xdr:rowOff>113752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8048211" y="73475247"/>
          <a:ext cx="1489098" cy="37153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Wing Part  I</a:t>
          </a:r>
        </a:p>
      </xdr:txBody>
    </xdr:sp>
    <xdr:clientData/>
  </xdr:twoCellAnchor>
  <xdr:twoCellAnchor>
    <xdr:from>
      <xdr:col>10</xdr:col>
      <xdr:colOff>77717</xdr:colOff>
      <xdr:row>387</xdr:row>
      <xdr:rowOff>196939</xdr:rowOff>
    </xdr:from>
    <xdr:to>
      <xdr:col>12</xdr:col>
      <xdr:colOff>212902</xdr:colOff>
      <xdr:row>389</xdr:row>
      <xdr:rowOff>168419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8526392" y="73129864"/>
          <a:ext cx="1544885" cy="37153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Wing Part II </a:t>
          </a:r>
        </a:p>
      </xdr:txBody>
    </xdr:sp>
    <xdr:clientData/>
  </xdr:twoCellAnchor>
  <xdr:twoCellAnchor>
    <xdr:from>
      <xdr:col>8</xdr:col>
      <xdr:colOff>1000667</xdr:colOff>
      <xdr:row>385</xdr:row>
      <xdr:rowOff>126965</xdr:rowOff>
    </xdr:from>
    <xdr:to>
      <xdr:col>10</xdr:col>
      <xdr:colOff>6541</xdr:colOff>
      <xdr:row>387</xdr:row>
      <xdr:rowOff>100643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7525292" y="72659840"/>
          <a:ext cx="929924" cy="37372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 Wing </a:t>
          </a:r>
        </a:p>
      </xdr:txBody>
    </xdr:sp>
    <xdr:clientData/>
  </xdr:twoCellAnchor>
  <xdr:twoCellAnchor>
    <xdr:from>
      <xdr:col>8</xdr:col>
      <xdr:colOff>984890</xdr:colOff>
      <xdr:row>387</xdr:row>
      <xdr:rowOff>171624</xdr:rowOff>
    </xdr:from>
    <xdr:to>
      <xdr:col>9</xdr:col>
      <xdr:colOff>771228</xdr:colOff>
      <xdr:row>389</xdr:row>
      <xdr:rowOff>145302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7720970" y="65520744"/>
          <a:ext cx="982678" cy="36991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C Wing </a:t>
          </a:r>
        </a:p>
      </xdr:txBody>
    </xdr:sp>
    <xdr:clientData/>
  </xdr:twoCellAnchor>
  <xdr:oneCellAnchor>
    <xdr:from>
      <xdr:col>8</xdr:col>
      <xdr:colOff>675640</xdr:colOff>
      <xdr:row>368</xdr:row>
      <xdr:rowOff>78740</xdr:rowOff>
    </xdr:from>
    <xdr:ext cx="607089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411720" y="61671200"/>
          <a:ext cx="60708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A</a:t>
          </a:r>
        </a:p>
      </xdr:txBody>
    </xdr:sp>
    <xdr:clientData/>
  </xdr:oneCellAnchor>
  <xdr:twoCellAnchor>
    <xdr:from>
      <xdr:col>9</xdr:col>
      <xdr:colOff>76201</xdr:colOff>
      <xdr:row>372</xdr:row>
      <xdr:rowOff>182880</xdr:rowOff>
    </xdr:from>
    <xdr:to>
      <xdr:col>18</xdr:col>
      <xdr:colOff>45721</xdr:colOff>
      <xdr:row>409</xdr:row>
      <xdr:rowOff>95732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AA30EB8C-5099-4E8C-58C1-E867B5959ECF}"/>
            </a:ext>
          </a:extLst>
        </xdr:cNvPr>
        <xdr:cNvGrpSpPr/>
      </xdr:nvGrpSpPr>
      <xdr:grpSpPr>
        <a:xfrm>
          <a:off x="8166101" y="63339980"/>
          <a:ext cx="6738620" cy="7189952"/>
          <a:chOff x="134146" y="157495"/>
          <a:chExt cx="7847209" cy="7289012"/>
        </a:xfrm>
      </xdr:grpSpPr>
      <xdr:grpSp>
        <xdr:nvGrpSpPr>
          <xdr:cNvPr id="21" name="Group 20">
            <a:extLst>
              <a:ext uri="{FF2B5EF4-FFF2-40B4-BE49-F238E27FC236}">
                <a16:creationId xmlns:a16="http://schemas.microsoft.com/office/drawing/2014/main" id="{F5D3C78E-9FE5-6317-FA7C-93360AE634BE}"/>
              </a:ext>
            </a:extLst>
          </xdr:cNvPr>
          <xdr:cNvGrpSpPr/>
        </xdr:nvGrpSpPr>
        <xdr:grpSpPr>
          <a:xfrm>
            <a:off x="1890567" y="5646507"/>
            <a:ext cx="4334367" cy="1800000"/>
            <a:chOff x="262883" y="5646507"/>
            <a:chExt cx="4334367" cy="1800000"/>
          </a:xfrm>
        </xdr:grpSpPr>
        <xdr:pic>
          <xdr:nvPicPr>
            <xdr:cNvPr id="40" name="Picture 39">
              <a:extLst>
                <a:ext uri="{FF2B5EF4-FFF2-40B4-BE49-F238E27FC236}">
                  <a16:creationId xmlns:a16="http://schemas.microsoft.com/office/drawing/2014/main" id="{DC1A512A-BE3E-319D-9771-C4996FEB576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98916" y="5646507"/>
              <a:ext cx="179833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1" name="Picture 40">
              <a:extLst>
                <a:ext uri="{FF2B5EF4-FFF2-40B4-BE49-F238E27FC236}">
                  <a16:creationId xmlns:a16="http://schemas.microsoft.com/office/drawing/2014/main" id="{532C9B43-CD20-89C9-8C5F-359909488FB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2883" y="5646507"/>
              <a:ext cx="238893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5" name="Group 24">
            <a:extLst>
              <a:ext uri="{FF2B5EF4-FFF2-40B4-BE49-F238E27FC236}">
                <a16:creationId xmlns:a16="http://schemas.microsoft.com/office/drawing/2014/main" id="{3FB083A0-1814-873D-F753-2B6FE7810E5A}"/>
              </a:ext>
            </a:extLst>
          </xdr:cNvPr>
          <xdr:cNvGrpSpPr/>
        </xdr:nvGrpSpPr>
        <xdr:grpSpPr>
          <a:xfrm>
            <a:off x="134146" y="212359"/>
            <a:ext cx="7847209" cy="5237074"/>
            <a:chOff x="134146" y="212359"/>
            <a:chExt cx="7847209" cy="5237074"/>
          </a:xfrm>
        </xdr:grpSpPr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E7BB697A-0D04-6EDD-0167-CFE4D9D1AB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34146" y="2929433"/>
              <a:ext cx="251766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422E0775-408F-1435-F42C-FBB3E79BA2D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98917" y="212359"/>
              <a:ext cx="251766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A09AD7AF-8798-2B77-0201-7A0A26624FD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98916" y="2929433"/>
              <a:ext cx="251766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581887FC-7F4E-520C-351D-72C56AFBCB1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463688" y="212359"/>
              <a:ext cx="251766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8" name="Picture 37">
              <a:extLst>
                <a:ext uri="{FF2B5EF4-FFF2-40B4-BE49-F238E27FC236}">
                  <a16:creationId xmlns:a16="http://schemas.microsoft.com/office/drawing/2014/main" id="{9C49C618-A351-6017-0660-0301F824FC9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34146" y="212359"/>
              <a:ext cx="251766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9" name="Picture 38">
              <a:extLst>
                <a:ext uri="{FF2B5EF4-FFF2-40B4-BE49-F238E27FC236}">
                  <a16:creationId xmlns:a16="http://schemas.microsoft.com/office/drawing/2014/main" id="{D3E8E15B-B19F-E05A-693C-1271E90BA1C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463686" y="2929433"/>
              <a:ext cx="251766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26" name="TextBox 28">
            <a:extLst>
              <a:ext uri="{FF2B5EF4-FFF2-40B4-BE49-F238E27FC236}">
                <a16:creationId xmlns:a16="http://schemas.microsoft.com/office/drawing/2014/main" id="{85C67B43-4831-7EA2-92B9-F6C3603041E1}"/>
              </a:ext>
            </a:extLst>
          </xdr:cNvPr>
          <xdr:cNvSpPr txBox="1"/>
        </xdr:nvSpPr>
        <xdr:spPr>
          <a:xfrm>
            <a:off x="3579223" y="2929433"/>
            <a:ext cx="33054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D</a:t>
            </a:r>
          </a:p>
        </xdr:txBody>
      </xdr:sp>
      <xdr:sp macro="" textlink="">
        <xdr:nvSpPr>
          <xdr:cNvPr id="27" name="TextBox 29">
            <a:extLst>
              <a:ext uri="{FF2B5EF4-FFF2-40B4-BE49-F238E27FC236}">
                <a16:creationId xmlns:a16="http://schemas.microsoft.com/office/drawing/2014/main" id="{090876BD-FC73-00E4-E1FB-9911DC41F8C6}"/>
              </a:ext>
            </a:extLst>
          </xdr:cNvPr>
          <xdr:cNvSpPr txBox="1"/>
        </xdr:nvSpPr>
        <xdr:spPr>
          <a:xfrm>
            <a:off x="4264536" y="157495"/>
            <a:ext cx="3241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B</a:t>
            </a:r>
          </a:p>
        </xdr:txBody>
      </xdr:sp>
      <xdr:sp macro="" textlink="">
        <xdr:nvSpPr>
          <xdr:cNvPr id="28" name="TextBox 30">
            <a:extLst>
              <a:ext uri="{FF2B5EF4-FFF2-40B4-BE49-F238E27FC236}">
                <a16:creationId xmlns:a16="http://schemas.microsoft.com/office/drawing/2014/main" id="{2B5C3D80-B8EF-7863-77DD-8CAC4984C47A}"/>
              </a:ext>
            </a:extLst>
          </xdr:cNvPr>
          <xdr:cNvSpPr txBox="1"/>
        </xdr:nvSpPr>
        <xdr:spPr>
          <a:xfrm>
            <a:off x="567029" y="465908"/>
            <a:ext cx="3241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A</a:t>
            </a:r>
          </a:p>
        </xdr:txBody>
      </xdr:sp>
      <xdr:sp macro="" textlink="">
        <xdr:nvSpPr>
          <xdr:cNvPr id="30" name="TextBox 31">
            <a:extLst>
              <a:ext uri="{FF2B5EF4-FFF2-40B4-BE49-F238E27FC236}">
                <a16:creationId xmlns:a16="http://schemas.microsoft.com/office/drawing/2014/main" id="{BFBB8E82-8AE7-1EFD-3228-CB2F8D2F8F2F}"/>
              </a:ext>
            </a:extLst>
          </xdr:cNvPr>
          <xdr:cNvSpPr txBox="1"/>
        </xdr:nvSpPr>
        <xdr:spPr>
          <a:xfrm>
            <a:off x="5066008" y="247412"/>
            <a:ext cx="3064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C</a:t>
            </a:r>
          </a:p>
        </xdr:txBody>
      </xdr:sp>
      <xdr:sp macro="" textlink="">
        <xdr:nvSpPr>
          <xdr:cNvPr id="31" name="TextBox 32">
            <a:extLst>
              <a:ext uri="{FF2B5EF4-FFF2-40B4-BE49-F238E27FC236}">
                <a16:creationId xmlns:a16="http://schemas.microsoft.com/office/drawing/2014/main" id="{00EE1C65-FCA2-8741-7896-60B652F693C6}"/>
              </a:ext>
            </a:extLst>
          </xdr:cNvPr>
          <xdr:cNvSpPr txBox="1"/>
        </xdr:nvSpPr>
        <xdr:spPr>
          <a:xfrm>
            <a:off x="6929307" y="157495"/>
            <a:ext cx="3241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A</a:t>
            </a:r>
          </a:p>
        </xdr:txBody>
      </xdr:sp>
      <xdr:sp macro="" textlink="">
        <xdr:nvSpPr>
          <xdr:cNvPr id="32" name="TextBox 33">
            <a:extLst>
              <a:ext uri="{FF2B5EF4-FFF2-40B4-BE49-F238E27FC236}">
                <a16:creationId xmlns:a16="http://schemas.microsoft.com/office/drawing/2014/main" id="{B950ED76-95AD-FD38-E2FB-985429896B15}"/>
              </a:ext>
            </a:extLst>
          </xdr:cNvPr>
          <xdr:cNvSpPr txBox="1"/>
        </xdr:nvSpPr>
        <xdr:spPr>
          <a:xfrm>
            <a:off x="5716203" y="918361"/>
            <a:ext cx="3064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C</a:t>
            </a:r>
          </a:p>
        </xdr:txBody>
      </xdr:sp>
    </xdr:grpSp>
    <xdr:clientData/>
  </xdr:twoCellAnchor>
  <xdr:twoCellAnchor>
    <xdr:from>
      <xdr:col>1</xdr:col>
      <xdr:colOff>95250</xdr:colOff>
      <xdr:row>373</xdr:row>
      <xdr:rowOff>158750</xdr:rowOff>
    </xdr:from>
    <xdr:to>
      <xdr:col>7</xdr:col>
      <xdr:colOff>67849</xdr:colOff>
      <xdr:row>411</xdr:row>
      <xdr:rowOff>145882</xdr:rowOff>
    </xdr:to>
    <xdr:grpSp>
      <xdr:nvGrpSpPr>
        <xdr:cNvPr id="4" name="Group 3"/>
        <xdr:cNvGrpSpPr/>
      </xdr:nvGrpSpPr>
      <xdr:grpSpPr>
        <a:xfrm>
          <a:off x="895350" y="63512700"/>
          <a:ext cx="5173249" cy="7461082"/>
          <a:chOff x="895350" y="63512700"/>
          <a:chExt cx="5173249" cy="7461082"/>
        </a:xfrm>
      </xdr:grpSpPr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5351" y="63512700"/>
            <a:ext cx="2517667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50931" y="66163241"/>
            <a:ext cx="2517667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50932" y="63512700"/>
            <a:ext cx="2517667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01882" y="68813782"/>
            <a:ext cx="2866716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3021" y="68813782"/>
            <a:ext cx="2158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5350" y="66163241"/>
            <a:ext cx="2517667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9" name="TextBox 30">
            <a:extLst>
              <a:ext uri="{FF2B5EF4-FFF2-40B4-BE49-F238E27FC236}">
                <a16:creationId xmlns:a16="http://schemas.microsoft.com/office/drawing/2014/main" id="{2B5C3D80-B8EF-7863-77DD-8CAC4984C47A}"/>
              </a:ext>
            </a:extLst>
          </xdr:cNvPr>
          <xdr:cNvSpPr txBox="1"/>
        </xdr:nvSpPr>
        <xdr:spPr>
          <a:xfrm>
            <a:off x="908051" y="63538100"/>
            <a:ext cx="1187450" cy="36431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A, B &amp; C</a:t>
            </a:r>
          </a:p>
        </xdr:txBody>
      </xdr:sp>
      <xdr:sp macro="" textlink="">
        <xdr:nvSpPr>
          <xdr:cNvPr id="60" name="TextBox 30">
            <a:extLst>
              <a:ext uri="{FF2B5EF4-FFF2-40B4-BE49-F238E27FC236}">
                <a16:creationId xmlns:a16="http://schemas.microsoft.com/office/drawing/2014/main" id="{2B5C3D80-B8EF-7863-77DD-8CAC4984C47A}"/>
              </a:ext>
            </a:extLst>
          </xdr:cNvPr>
          <xdr:cNvSpPr txBox="1"/>
        </xdr:nvSpPr>
        <xdr:spPr>
          <a:xfrm>
            <a:off x="1616121" y="69582132"/>
            <a:ext cx="1187450" cy="36431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D &amp; 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kohLbTycKeDJvwT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59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81640625" style="40" customWidth="1"/>
    <col min="4" max="4" width="14.1796875" style="40" customWidth="1"/>
    <col min="5" max="7" width="11.81640625" style="40" customWidth="1"/>
    <col min="8" max="8" width="12.45312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81640625" style="21" customWidth="1"/>
    <col min="17" max="247" width="9.1796875" style="21"/>
    <col min="248" max="248" width="8.81640625" style="21" customWidth="1"/>
    <col min="249" max="249" width="9.81640625" style="21" customWidth="1"/>
    <col min="250" max="250" width="14.453125" style="21" customWidth="1"/>
    <col min="251" max="251" width="7.179687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81640625" style="21" customWidth="1"/>
    <col min="505" max="505" width="9.81640625" style="21" customWidth="1"/>
    <col min="506" max="506" width="14.453125" style="21" customWidth="1"/>
    <col min="507" max="507" width="7.179687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81640625" style="21" customWidth="1"/>
    <col min="761" max="761" width="9.81640625" style="21" customWidth="1"/>
    <col min="762" max="762" width="14.453125" style="21" customWidth="1"/>
    <col min="763" max="763" width="7.179687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81640625" style="21" customWidth="1"/>
    <col min="1017" max="1017" width="9.81640625" style="21" customWidth="1"/>
    <col min="1018" max="1018" width="14.453125" style="21" customWidth="1"/>
    <col min="1019" max="1019" width="7.179687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81640625" style="21" customWidth="1"/>
    <col min="1273" max="1273" width="9.81640625" style="21" customWidth="1"/>
    <col min="1274" max="1274" width="14.453125" style="21" customWidth="1"/>
    <col min="1275" max="1275" width="7.179687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81640625" style="21" customWidth="1"/>
    <col min="1529" max="1529" width="9.81640625" style="21" customWidth="1"/>
    <col min="1530" max="1530" width="14.453125" style="21" customWidth="1"/>
    <col min="1531" max="1531" width="7.179687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81640625" style="21" customWidth="1"/>
    <col min="1785" max="1785" width="9.81640625" style="21" customWidth="1"/>
    <col min="1786" max="1786" width="14.453125" style="21" customWidth="1"/>
    <col min="1787" max="1787" width="7.179687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81640625" style="21" customWidth="1"/>
    <col min="2041" max="2041" width="9.81640625" style="21" customWidth="1"/>
    <col min="2042" max="2042" width="14.453125" style="21" customWidth="1"/>
    <col min="2043" max="2043" width="7.179687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81640625" style="21" customWidth="1"/>
    <col min="2297" max="2297" width="9.81640625" style="21" customWidth="1"/>
    <col min="2298" max="2298" width="14.453125" style="21" customWidth="1"/>
    <col min="2299" max="2299" width="7.179687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81640625" style="21" customWidth="1"/>
    <col min="2553" max="2553" width="9.81640625" style="21" customWidth="1"/>
    <col min="2554" max="2554" width="14.453125" style="21" customWidth="1"/>
    <col min="2555" max="2555" width="7.179687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81640625" style="21" customWidth="1"/>
    <col min="2809" max="2809" width="9.81640625" style="21" customWidth="1"/>
    <col min="2810" max="2810" width="14.453125" style="21" customWidth="1"/>
    <col min="2811" max="2811" width="7.179687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81640625" style="21" customWidth="1"/>
    <col min="3065" max="3065" width="9.81640625" style="21" customWidth="1"/>
    <col min="3066" max="3066" width="14.453125" style="21" customWidth="1"/>
    <col min="3067" max="3067" width="7.179687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81640625" style="21" customWidth="1"/>
    <col min="3321" max="3321" width="9.81640625" style="21" customWidth="1"/>
    <col min="3322" max="3322" width="14.453125" style="21" customWidth="1"/>
    <col min="3323" max="3323" width="7.179687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81640625" style="21" customWidth="1"/>
    <col min="3577" max="3577" width="9.81640625" style="21" customWidth="1"/>
    <col min="3578" max="3578" width="14.453125" style="21" customWidth="1"/>
    <col min="3579" max="3579" width="7.179687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81640625" style="21" customWidth="1"/>
    <col min="3833" max="3833" width="9.81640625" style="21" customWidth="1"/>
    <col min="3834" max="3834" width="14.453125" style="21" customWidth="1"/>
    <col min="3835" max="3835" width="7.179687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81640625" style="21" customWidth="1"/>
    <col min="4089" max="4089" width="9.81640625" style="21" customWidth="1"/>
    <col min="4090" max="4090" width="14.453125" style="21" customWidth="1"/>
    <col min="4091" max="4091" width="7.179687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81640625" style="21" customWidth="1"/>
    <col min="4345" max="4345" width="9.81640625" style="21" customWidth="1"/>
    <col min="4346" max="4346" width="14.453125" style="21" customWidth="1"/>
    <col min="4347" max="4347" width="7.179687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81640625" style="21" customWidth="1"/>
    <col min="4601" max="4601" width="9.81640625" style="21" customWidth="1"/>
    <col min="4602" max="4602" width="14.453125" style="21" customWidth="1"/>
    <col min="4603" max="4603" width="7.179687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81640625" style="21" customWidth="1"/>
    <col min="4857" max="4857" width="9.81640625" style="21" customWidth="1"/>
    <col min="4858" max="4858" width="14.453125" style="21" customWidth="1"/>
    <col min="4859" max="4859" width="7.179687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81640625" style="21" customWidth="1"/>
    <col min="5113" max="5113" width="9.81640625" style="21" customWidth="1"/>
    <col min="5114" max="5114" width="14.453125" style="21" customWidth="1"/>
    <col min="5115" max="5115" width="7.179687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81640625" style="21" customWidth="1"/>
    <col min="5369" max="5369" width="9.81640625" style="21" customWidth="1"/>
    <col min="5370" max="5370" width="14.453125" style="21" customWidth="1"/>
    <col min="5371" max="5371" width="7.179687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81640625" style="21" customWidth="1"/>
    <col min="5625" max="5625" width="9.81640625" style="21" customWidth="1"/>
    <col min="5626" max="5626" width="14.453125" style="21" customWidth="1"/>
    <col min="5627" max="5627" width="7.179687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81640625" style="21" customWidth="1"/>
    <col min="5881" max="5881" width="9.81640625" style="21" customWidth="1"/>
    <col min="5882" max="5882" width="14.453125" style="21" customWidth="1"/>
    <col min="5883" max="5883" width="7.179687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81640625" style="21" customWidth="1"/>
    <col min="6137" max="6137" width="9.81640625" style="21" customWidth="1"/>
    <col min="6138" max="6138" width="14.453125" style="21" customWidth="1"/>
    <col min="6139" max="6139" width="7.179687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81640625" style="21" customWidth="1"/>
    <col min="6393" max="6393" width="9.81640625" style="21" customWidth="1"/>
    <col min="6394" max="6394" width="14.453125" style="21" customWidth="1"/>
    <col min="6395" max="6395" width="7.179687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81640625" style="21" customWidth="1"/>
    <col min="6649" max="6649" width="9.81640625" style="21" customWidth="1"/>
    <col min="6650" max="6650" width="14.453125" style="21" customWidth="1"/>
    <col min="6651" max="6651" width="7.179687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81640625" style="21" customWidth="1"/>
    <col min="6905" max="6905" width="9.81640625" style="21" customWidth="1"/>
    <col min="6906" max="6906" width="14.453125" style="21" customWidth="1"/>
    <col min="6907" max="6907" width="7.179687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81640625" style="21" customWidth="1"/>
    <col min="7161" max="7161" width="9.81640625" style="21" customWidth="1"/>
    <col min="7162" max="7162" width="14.453125" style="21" customWidth="1"/>
    <col min="7163" max="7163" width="7.179687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81640625" style="21" customWidth="1"/>
    <col min="7417" max="7417" width="9.81640625" style="21" customWidth="1"/>
    <col min="7418" max="7418" width="14.453125" style="21" customWidth="1"/>
    <col min="7419" max="7419" width="7.179687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81640625" style="21" customWidth="1"/>
    <col min="7673" max="7673" width="9.81640625" style="21" customWidth="1"/>
    <col min="7674" max="7674" width="14.453125" style="21" customWidth="1"/>
    <col min="7675" max="7675" width="7.179687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81640625" style="21" customWidth="1"/>
    <col min="7929" max="7929" width="9.81640625" style="21" customWidth="1"/>
    <col min="7930" max="7930" width="14.453125" style="21" customWidth="1"/>
    <col min="7931" max="7931" width="7.179687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81640625" style="21" customWidth="1"/>
    <col min="8185" max="8185" width="9.81640625" style="21" customWidth="1"/>
    <col min="8186" max="8186" width="14.453125" style="21" customWidth="1"/>
    <col min="8187" max="8187" width="7.179687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81640625" style="21" customWidth="1"/>
    <col min="8441" max="8441" width="9.81640625" style="21" customWidth="1"/>
    <col min="8442" max="8442" width="14.453125" style="21" customWidth="1"/>
    <col min="8443" max="8443" width="7.179687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81640625" style="21" customWidth="1"/>
    <col min="8697" max="8697" width="9.81640625" style="21" customWidth="1"/>
    <col min="8698" max="8698" width="14.453125" style="21" customWidth="1"/>
    <col min="8699" max="8699" width="7.179687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81640625" style="21" customWidth="1"/>
    <col min="8953" max="8953" width="9.81640625" style="21" customWidth="1"/>
    <col min="8954" max="8954" width="14.453125" style="21" customWidth="1"/>
    <col min="8955" max="8955" width="7.179687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81640625" style="21" customWidth="1"/>
    <col min="9209" max="9209" width="9.81640625" style="21" customWidth="1"/>
    <col min="9210" max="9210" width="14.453125" style="21" customWidth="1"/>
    <col min="9211" max="9211" width="7.179687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81640625" style="21" customWidth="1"/>
    <col min="9465" max="9465" width="9.81640625" style="21" customWidth="1"/>
    <col min="9466" max="9466" width="14.453125" style="21" customWidth="1"/>
    <col min="9467" max="9467" width="7.179687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81640625" style="21" customWidth="1"/>
    <col min="9721" max="9721" width="9.81640625" style="21" customWidth="1"/>
    <col min="9722" max="9722" width="14.453125" style="21" customWidth="1"/>
    <col min="9723" max="9723" width="7.179687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81640625" style="21" customWidth="1"/>
    <col min="9977" max="9977" width="9.81640625" style="21" customWidth="1"/>
    <col min="9978" max="9978" width="14.453125" style="21" customWidth="1"/>
    <col min="9979" max="9979" width="7.179687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81640625" style="21" customWidth="1"/>
    <col min="10233" max="10233" width="9.81640625" style="21" customWidth="1"/>
    <col min="10234" max="10234" width="14.453125" style="21" customWidth="1"/>
    <col min="10235" max="10235" width="7.179687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81640625" style="21" customWidth="1"/>
    <col min="10489" max="10489" width="9.81640625" style="21" customWidth="1"/>
    <col min="10490" max="10490" width="14.453125" style="21" customWidth="1"/>
    <col min="10491" max="10491" width="7.179687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81640625" style="21" customWidth="1"/>
    <col min="10745" max="10745" width="9.81640625" style="21" customWidth="1"/>
    <col min="10746" max="10746" width="14.453125" style="21" customWidth="1"/>
    <col min="10747" max="10747" width="7.179687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81640625" style="21" customWidth="1"/>
    <col min="11001" max="11001" width="9.81640625" style="21" customWidth="1"/>
    <col min="11002" max="11002" width="14.453125" style="21" customWidth="1"/>
    <col min="11003" max="11003" width="7.179687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81640625" style="21" customWidth="1"/>
    <col min="11257" max="11257" width="9.81640625" style="21" customWidth="1"/>
    <col min="11258" max="11258" width="14.453125" style="21" customWidth="1"/>
    <col min="11259" max="11259" width="7.179687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81640625" style="21" customWidth="1"/>
    <col min="11513" max="11513" width="9.81640625" style="21" customWidth="1"/>
    <col min="11514" max="11514" width="14.453125" style="21" customWidth="1"/>
    <col min="11515" max="11515" width="7.179687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81640625" style="21" customWidth="1"/>
    <col min="11769" max="11769" width="9.81640625" style="21" customWidth="1"/>
    <col min="11770" max="11770" width="14.453125" style="21" customWidth="1"/>
    <col min="11771" max="11771" width="7.179687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81640625" style="21" customWidth="1"/>
    <col min="12025" max="12025" width="9.81640625" style="21" customWidth="1"/>
    <col min="12026" max="12026" width="14.453125" style="21" customWidth="1"/>
    <col min="12027" max="12027" width="7.179687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81640625" style="21" customWidth="1"/>
    <col min="12281" max="12281" width="9.81640625" style="21" customWidth="1"/>
    <col min="12282" max="12282" width="14.453125" style="21" customWidth="1"/>
    <col min="12283" max="12283" width="7.179687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81640625" style="21" customWidth="1"/>
    <col min="12537" max="12537" width="9.81640625" style="21" customWidth="1"/>
    <col min="12538" max="12538" width="14.453125" style="21" customWidth="1"/>
    <col min="12539" max="12539" width="7.179687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81640625" style="21" customWidth="1"/>
    <col min="12793" max="12793" width="9.81640625" style="21" customWidth="1"/>
    <col min="12794" max="12794" width="14.453125" style="21" customWidth="1"/>
    <col min="12795" max="12795" width="7.179687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81640625" style="21" customWidth="1"/>
    <col min="13049" max="13049" width="9.81640625" style="21" customWidth="1"/>
    <col min="13050" max="13050" width="14.453125" style="21" customWidth="1"/>
    <col min="13051" max="13051" width="7.179687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81640625" style="21" customWidth="1"/>
    <col min="13305" max="13305" width="9.81640625" style="21" customWidth="1"/>
    <col min="13306" max="13306" width="14.453125" style="21" customWidth="1"/>
    <col min="13307" max="13307" width="7.179687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81640625" style="21" customWidth="1"/>
    <col min="13561" max="13561" width="9.81640625" style="21" customWidth="1"/>
    <col min="13562" max="13562" width="14.453125" style="21" customWidth="1"/>
    <col min="13563" max="13563" width="7.179687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81640625" style="21" customWidth="1"/>
    <col min="13817" max="13817" width="9.81640625" style="21" customWidth="1"/>
    <col min="13818" max="13818" width="14.453125" style="21" customWidth="1"/>
    <col min="13819" max="13819" width="7.179687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81640625" style="21" customWidth="1"/>
    <col min="14073" max="14073" width="9.81640625" style="21" customWidth="1"/>
    <col min="14074" max="14074" width="14.453125" style="21" customWidth="1"/>
    <col min="14075" max="14075" width="7.179687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81640625" style="21" customWidth="1"/>
    <col min="14329" max="14329" width="9.81640625" style="21" customWidth="1"/>
    <col min="14330" max="14330" width="14.453125" style="21" customWidth="1"/>
    <col min="14331" max="14331" width="7.179687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81640625" style="21" customWidth="1"/>
    <col min="14585" max="14585" width="9.81640625" style="21" customWidth="1"/>
    <col min="14586" max="14586" width="14.453125" style="21" customWidth="1"/>
    <col min="14587" max="14587" width="7.179687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81640625" style="21" customWidth="1"/>
    <col min="14841" max="14841" width="9.81640625" style="21" customWidth="1"/>
    <col min="14842" max="14842" width="14.453125" style="21" customWidth="1"/>
    <col min="14843" max="14843" width="7.179687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81640625" style="21" customWidth="1"/>
    <col min="15097" max="15097" width="9.81640625" style="21" customWidth="1"/>
    <col min="15098" max="15098" width="14.453125" style="21" customWidth="1"/>
    <col min="15099" max="15099" width="7.179687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81640625" style="21" customWidth="1"/>
    <col min="15353" max="15353" width="9.81640625" style="21" customWidth="1"/>
    <col min="15354" max="15354" width="14.453125" style="21" customWidth="1"/>
    <col min="15355" max="15355" width="7.179687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81640625" style="21" customWidth="1"/>
    <col min="15609" max="15609" width="9.81640625" style="21" customWidth="1"/>
    <col min="15610" max="15610" width="14.453125" style="21" customWidth="1"/>
    <col min="15611" max="15611" width="7.179687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81640625" style="21" customWidth="1"/>
    <col min="15865" max="15865" width="9.81640625" style="21" customWidth="1"/>
    <col min="15866" max="15866" width="14.453125" style="21" customWidth="1"/>
    <col min="15867" max="15867" width="7.179687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81640625" style="21" customWidth="1"/>
    <col min="16121" max="16121" width="9.81640625" style="21" customWidth="1"/>
    <col min="16122" max="16122" width="14.453125" style="21" customWidth="1"/>
    <col min="16123" max="16123" width="7.179687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8" ht="46.5" customHeight="1" x14ac:dyDescent="0.35">
      <c r="A1" s="172" t="s">
        <v>254</v>
      </c>
      <c r="B1" s="172"/>
      <c r="C1" s="172"/>
      <c r="D1" s="172"/>
      <c r="E1" s="172"/>
      <c r="F1" s="172"/>
      <c r="G1" s="172"/>
      <c r="H1" s="172"/>
    </row>
    <row r="2" spans="1:8" ht="16.5" customHeight="1" x14ac:dyDescent="0.35">
      <c r="A2" s="132" t="s">
        <v>0</v>
      </c>
      <c r="B2" s="132"/>
      <c r="C2" s="132"/>
      <c r="D2" s="132"/>
      <c r="E2" s="132"/>
      <c r="F2" s="132"/>
      <c r="G2" s="132"/>
      <c r="H2" s="132"/>
    </row>
    <row r="3" spans="1:8" x14ac:dyDescent="0.35">
      <c r="A3" s="148" t="s">
        <v>1</v>
      </c>
      <c r="B3" s="148"/>
      <c r="C3" s="148"/>
      <c r="D3" s="148"/>
      <c r="E3" s="148" t="str">
        <f ca="1">TEXT(TODAY(),"DD/MM/YYYY")</f>
        <v>26/07/2025</v>
      </c>
      <c r="F3" s="148"/>
      <c r="G3" s="148"/>
      <c r="H3" s="148"/>
    </row>
    <row r="4" spans="1:8" ht="15" customHeight="1" x14ac:dyDescent="0.35">
      <c r="A4" s="148" t="s">
        <v>2</v>
      </c>
      <c r="B4" s="148"/>
      <c r="C4" s="148"/>
      <c r="D4" s="148"/>
      <c r="E4" s="148" t="s">
        <v>178</v>
      </c>
      <c r="F4" s="148"/>
      <c r="G4" s="148"/>
      <c r="H4" s="148"/>
    </row>
    <row r="5" spans="1:8" x14ac:dyDescent="0.35">
      <c r="A5" s="148" t="s">
        <v>3</v>
      </c>
      <c r="B5" s="148"/>
      <c r="C5" s="148"/>
      <c r="D5" s="148"/>
      <c r="E5" s="171">
        <v>45864</v>
      </c>
      <c r="F5" s="148"/>
      <c r="G5" s="148"/>
      <c r="H5" s="148"/>
    </row>
    <row r="6" spans="1:8" ht="16.5" customHeight="1" x14ac:dyDescent="0.35">
      <c r="A6" s="148" t="s">
        <v>4</v>
      </c>
      <c r="B6" s="148"/>
      <c r="C6" s="148"/>
      <c r="D6" s="148"/>
      <c r="E6" s="148" t="s">
        <v>179</v>
      </c>
      <c r="F6" s="148"/>
      <c r="G6" s="148"/>
      <c r="H6" s="148"/>
    </row>
    <row r="7" spans="1:8" ht="15" customHeight="1" x14ac:dyDescent="0.35">
      <c r="A7" s="148" t="s">
        <v>5</v>
      </c>
      <c r="B7" s="148"/>
      <c r="C7" s="148"/>
      <c r="D7" s="148"/>
      <c r="E7" s="148" t="str">
        <f>E6</f>
        <v>Sardar Realty</v>
      </c>
      <c r="F7" s="148"/>
      <c r="G7" s="148"/>
      <c r="H7" s="148"/>
    </row>
    <row r="8" spans="1:8" x14ac:dyDescent="0.35">
      <c r="A8" s="148" t="s">
        <v>6</v>
      </c>
      <c r="B8" s="148"/>
      <c r="C8" s="148"/>
      <c r="D8" s="148"/>
      <c r="E8" s="84" t="s">
        <v>180</v>
      </c>
      <c r="F8" s="84"/>
      <c r="G8" s="84"/>
      <c r="H8" s="84"/>
    </row>
    <row r="9" spans="1:8" x14ac:dyDescent="0.35">
      <c r="A9" s="148" t="s">
        <v>175</v>
      </c>
      <c r="B9" s="148"/>
      <c r="C9" s="148"/>
      <c r="D9" s="148"/>
      <c r="E9" s="148" t="s">
        <v>181</v>
      </c>
      <c r="F9" s="148"/>
      <c r="G9" s="148"/>
      <c r="H9" s="148"/>
    </row>
    <row r="10" spans="1:8" x14ac:dyDescent="0.35">
      <c r="A10" s="148" t="s">
        <v>176</v>
      </c>
      <c r="B10" s="148"/>
      <c r="C10" s="148"/>
      <c r="D10" s="148"/>
      <c r="E10" s="148" t="s">
        <v>270</v>
      </c>
      <c r="F10" s="148"/>
      <c r="G10" s="148"/>
      <c r="H10" s="148"/>
    </row>
    <row r="11" spans="1:8" ht="31.5" customHeight="1" x14ac:dyDescent="0.35">
      <c r="A11" s="148" t="s">
        <v>7</v>
      </c>
      <c r="B11" s="148"/>
      <c r="C11" s="148"/>
      <c r="D11" s="148"/>
      <c r="E11" s="153" t="s">
        <v>253</v>
      </c>
      <c r="F11" s="148"/>
      <c r="G11" s="148"/>
      <c r="H11" s="148"/>
    </row>
    <row r="12" spans="1:8" x14ac:dyDescent="0.35">
      <c r="A12" s="99" t="s">
        <v>8</v>
      </c>
      <c r="B12" s="99"/>
      <c r="C12" s="99"/>
      <c r="D12" s="99"/>
      <c r="E12" s="153" t="s">
        <v>187</v>
      </c>
      <c r="F12" s="153"/>
      <c r="G12" s="153"/>
      <c r="H12" s="153"/>
    </row>
    <row r="13" spans="1:8" x14ac:dyDescent="0.35">
      <c r="A13" s="99" t="s">
        <v>9</v>
      </c>
      <c r="B13" s="99"/>
      <c r="C13" s="99"/>
      <c r="D13" s="99"/>
      <c r="E13" s="153" t="s">
        <v>182</v>
      </c>
      <c r="F13" s="148"/>
      <c r="G13" s="148"/>
      <c r="H13" s="148"/>
    </row>
    <row r="14" spans="1:8" ht="48.75" customHeight="1" x14ac:dyDescent="0.35">
      <c r="A14" s="153" t="s">
        <v>10</v>
      </c>
      <c r="B14" s="153"/>
      <c r="C14" s="15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Inspire Residency, Survey No.380, 380/1 to 96 &amp; Existing Building Name - Kantilal Compound, near Nirman Residency, Rajmata Jijabai Marg, Parsi colony, Mogra, Andheri (East), Andheri, Mumbai - 400093.</v>
      </c>
      <c r="D14" s="153"/>
      <c r="E14" s="153"/>
      <c r="F14" s="153"/>
      <c r="G14" s="153"/>
      <c r="H14" s="153"/>
    </row>
    <row r="15" spans="1:8" x14ac:dyDescent="0.35">
      <c r="A15" s="153" t="s">
        <v>184</v>
      </c>
      <c r="B15" s="153"/>
      <c r="C15" s="153" t="s">
        <v>183</v>
      </c>
      <c r="D15" s="153"/>
      <c r="E15" s="153"/>
      <c r="F15" s="153"/>
      <c r="G15" s="153"/>
      <c r="H15" s="153"/>
    </row>
    <row r="16" spans="1:8" ht="15.75" customHeight="1" x14ac:dyDescent="0.35">
      <c r="A16" s="153" t="s">
        <v>174</v>
      </c>
      <c r="B16" s="153"/>
      <c r="C16" s="153" t="s">
        <v>249</v>
      </c>
      <c r="D16" s="153"/>
      <c r="E16" s="153"/>
      <c r="F16" s="153"/>
      <c r="G16" s="153"/>
      <c r="H16" s="153"/>
    </row>
    <row r="17" spans="1:8" ht="15.75" customHeight="1" x14ac:dyDescent="0.35">
      <c r="A17" s="139" t="s">
        <v>11</v>
      </c>
      <c r="B17" s="139"/>
      <c r="C17" s="148" t="s">
        <v>189</v>
      </c>
      <c r="D17" s="148"/>
      <c r="E17" s="139" t="s">
        <v>76</v>
      </c>
      <c r="F17" s="139"/>
      <c r="G17" s="153" t="s">
        <v>188</v>
      </c>
      <c r="H17" s="153"/>
    </row>
    <row r="18" spans="1:8" x14ac:dyDescent="0.35">
      <c r="A18" s="99" t="s">
        <v>13</v>
      </c>
      <c r="B18" s="99"/>
      <c r="C18" s="153" t="s">
        <v>235</v>
      </c>
      <c r="D18" s="153"/>
      <c r="E18" s="139" t="s">
        <v>12</v>
      </c>
      <c r="F18" s="139"/>
      <c r="G18" s="169" t="s">
        <v>191</v>
      </c>
      <c r="H18" s="169"/>
    </row>
    <row r="19" spans="1:8" x14ac:dyDescent="0.35">
      <c r="A19" s="99" t="s">
        <v>77</v>
      </c>
      <c r="B19" s="99"/>
      <c r="C19" s="153" t="s">
        <v>190</v>
      </c>
      <c r="D19" s="153"/>
      <c r="E19" s="139" t="s">
        <v>14</v>
      </c>
      <c r="F19" s="139"/>
      <c r="G19" s="153">
        <v>400093</v>
      </c>
      <c r="H19" s="153"/>
    </row>
    <row r="20" spans="1:8" ht="32.25" customHeight="1" x14ac:dyDescent="0.35">
      <c r="A20" s="99" t="s">
        <v>129</v>
      </c>
      <c r="B20" s="99"/>
      <c r="C20" s="153" t="s">
        <v>192</v>
      </c>
      <c r="D20" s="153"/>
      <c r="E20" s="139" t="s">
        <v>15</v>
      </c>
      <c r="F20" s="139"/>
      <c r="G20" s="170" t="s">
        <v>207</v>
      </c>
      <c r="H20" s="170"/>
    </row>
    <row r="21" spans="1:8" ht="15" customHeight="1" x14ac:dyDescent="0.35">
      <c r="A21" s="139" t="s">
        <v>79</v>
      </c>
      <c r="B21" s="139"/>
      <c r="C21" s="139"/>
      <c r="D21" s="139"/>
      <c r="E21" s="148" t="s">
        <v>16</v>
      </c>
      <c r="F21" s="148"/>
      <c r="G21" s="148"/>
      <c r="H21" s="148"/>
    </row>
    <row r="22" spans="1:8" ht="18.75" customHeight="1" x14ac:dyDescent="0.35">
      <c r="A22" s="139"/>
      <c r="B22" s="139"/>
      <c r="C22" s="139"/>
      <c r="D22" s="139"/>
      <c r="E22" s="148"/>
      <c r="F22" s="148"/>
      <c r="G22" s="148"/>
      <c r="H22" s="148"/>
    </row>
    <row r="23" spans="1:8" ht="15" customHeight="1" x14ac:dyDescent="0.35">
      <c r="A23" s="139" t="s">
        <v>17</v>
      </c>
      <c r="B23" s="139"/>
      <c r="C23" s="139"/>
      <c r="D23" s="139"/>
      <c r="E23" s="153" t="s">
        <v>18</v>
      </c>
      <c r="F23" s="153"/>
      <c r="G23" s="153"/>
      <c r="H23" s="153"/>
    </row>
    <row r="24" spans="1:8" ht="15" customHeight="1" x14ac:dyDescent="0.35">
      <c r="A24" s="99" t="s">
        <v>19</v>
      </c>
      <c r="B24" s="99"/>
      <c r="C24" s="99"/>
      <c r="D24" s="99"/>
      <c r="E24" s="153" t="str">
        <f>IF(AND(G18="Mumbai"),"Upper Class","Middle Class")</f>
        <v>Upper Class</v>
      </c>
      <c r="F24" s="153"/>
      <c r="G24" s="153"/>
      <c r="H24" s="153"/>
    </row>
    <row r="25" spans="1:8" x14ac:dyDescent="0.35">
      <c r="A25" s="99" t="s">
        <v>20</v>
      </c>
      <c r="B25" s="99"/>
      <c r="C25" s="99"/>
      <c r="D25" s="99"/>
      <c r="E25" s="153" t="s">
        <v>21</v>
      </c>
      <c r="F25" s="153"/>
      <c r="G25" s="153"/>
      <c r="H25" s="153"/>
    </row>
    <row r="26" spans="1:8" ht="15.75" customHeight="1" x14ac:dyDescent="0.35">
      <c r="A26" s="99" t="s">
        <v>22</v>
      </c>
      <c r="B26" s="99"/>
      <c r="C26" s="99"/>
      <c r="D26" s="99"/>
      <c r="E26" s="153" t="str">
        <f>IF(AND(G18="Mumbai"),"Developed","Developing")</f>
        <v>Developed</v>
      </c>
      <c r="F26" s="153"/>
      <c r="G26" s="153"/>
      <c r="H26" s="153"/>
    </row>
    <row r="27" spans="1:8" x14ac:dyDescent="0.35">
      <c r="A27" s="99" t="s">
        <v>23</v>
      </c>
      <c r="B27" s="99"/>
      <c r="C27" s="99"/>
      <c r="D27" s="99"/>
      <c r="E27" s="153" t="s">
        <v>24</v>
      </c>
      <c r="F27" s="153"/>
      <c r="G27" s="153"/>
      <c r="H27" s="153"/>
    </row>
    <row r="28" spans="1:8" ht="15.75" customHeight="1" x14ac:dyDescent="0.35">
      <c r="A28" s="99" t="s">
        <v>84</v>
      </c>
      <c r="B28" s="99"/>
      <c r="C28" s="99"/>
      <c r="D28" s="99"/>
      <c r="E28" s="153" t="s">
        <v>85</v>
      </c>
      <c r="F28" s="153"/>
      <c r="G28" s="153"/>
      <c r="H28" s="153"/>
    </row>
    <row r="29" spans="1:8" ht="15" customHeight="1" x14ac:dyDescent="0.35">
      <c r="A29" s="99" t="s">
        <v>35</v>
      </c>
      <c r="B29" s="99"/>
      <c r="C29" s="99"/>
      <c r="D29" s="99"/>
      <c r="E29" s="153" t="str">
        <f>IF(AND(ISNUMBER(SEARCH("Flat",D61)),ISNUMBER(SEARCH("Shop",D61)),ISNUMBER(SEARCH("Office",D61))),"Residential + Commercial",IF(AND(ISNUMBER(SEARCH("Flat",D61)),ISNUMBER(SEARCH("Shop",D61))),"Residential + Commercial",IF(AND(ISNUMBER(SEARCH("Flat",D61)),ISNUMBER(SEARCH("Office",D61))),"Residential + Commercial",IF(AND(ISNUMBER(SEARCH("Shop",D61)),ISNUMBER(SEARCH("Office",D61))),"Commercial",IF(ISNUMBER(SEARCH("Shop",D61)),"Commercial",IF(ISNUMBER(SEARCH("Office",D61)),"Commercial",IF(ISNUMBER(SEARCH("Flat",D61)),"Residential")))))))</f>
        <v>Residential + Commercial</v>
      </c>
      <c r="F29" s="153"/>
      <c r="G29" s="153"/>
      <c r="H29" s="153"/>
    </row>
    <row r="30" spans="1:8" ht="15.75" customHeight="1" x14ac:dyDescent="0.35">
      <c r="A30" s="99" t="s">
        <v>96</v>
      </c>
      <c r="B30" s="99"/>
      <c r="C30" s="99"/>
      <c r="D30" s="99"/>
      <c r="E30" s="153" t="s">
        <v>36</v>
      </c>
      <c r="F30" s="153"/>
      <c r="G30" s="153"/>
      <c r="H30" s="153"/>
    </row>
    <row r="31" spans="1:8" s="22" customFormat="1" x14ac:dyDescent="0.35">
      <c r="A31" s="168" t="s">
        <v>97</v>
      </c>
      <c r="B31" s="168"/>
      <c r="C31" s="167" t="s">
        <v>29</v>
      </c>
      <c r="D31" s="167"/>
      <c r="E31" s="167"/>
      <c r="F31" s="167" t="s">
        <v>31</v>
      </c>
      <c r="G31" s="167"/>
      <c r="H31" s="167"/>
    </row>
    <row r="32" spans="1:8" s="22" customFormat="1" x14ac:dyDescent="0.35">
      <c r="A32" s="156" t="s">
        <v>25</v>
      </c>
      <c r="B32" s="156" t="s">
        <v>30</v>
      </c>
      <c r="C32" s="157" t="s">
        <v>30</v>
      </c>
      <c r="D32" s="157"/>
      <c r="E32" s="157"/>
      <c r="F32" s="157" t="s">
        <v>189</v>
      </c>
      <c r="G32" s="157"/>
      <c r="H32" s="157"/>
    </row>
    <row r="33" spans="1:8" x14ac:dyDescent="0.35">
      <c r="A33" s="156" t="s">
        <v>26</v>
      </c>
      <c r="B33" s="156" t="s">
        <v>30</v>
      </c>
      <c r="C33" s="157" t="s">
        <v>30</v>
      </c>
      <c r="D33" s="157"/>
      <c r="E33" s="157"/>
      <c r="F33" s="157" t="s">
        <v>193</v>
      </c>
      <c r="G33" s="157"/>
      <c r="H33" s="157"/>
    </row>
    <row r="34" spans="1:8" s="22" customFormat="1" x14ac:dyDescent="0.35">
      <c r="A34" s="156" t="s">
        <v>28</v>
      </c>
      <c r="B34" s="156" t="s">
        <v>30</v>
      </c>
      <c r="C34" s="157" t="s">
        <v>30</v>
      </c>
      <c r="D34" s="157"/>
      <c r="E34" s="157"/>
      <c r="F34" s="157" t="s">
        <v>192</v>
      </c>
      <c r="G34" s="157"/>
      <c r="H34" s="157"/>
    </row>
    <row r="35" spans="1:8" x14ac:dyDescent="0.35">
      <c r="A35" s="156" t="s">
        <v>27</v>
      </c>
      <c r="B35" s="156" t="s">
        <v>30</v>
      </c>
      <c r="C35" s="157" t="s">
        <v>30</v>
      </c>
      <c r="D35" s="157"/>
      <c r="E35" s="157"/>
      <c r="F35" s="157" t="s">
        <v>194</v>
      </c>
      <c r="G35" s="157"/>
      <c r="H35" s="157"/>
    </row>
    <row r="36" spans="1:8" x14ac:dyDescent="0.35">
      <c r="A36" s="99" t="s">
        <v>32</v>
      </c>
      <c r="B36" s="99"/>
      <c r="C36" s="99"/>
      <c r="D36" s="99"/>
      <c r="E36" s="99"/>
      <c r="F36" s="99"/>
      <c r="G36" s="99"/>
      <c r="H36" s="99"/>
    </row>
    <row r="37" spans="1:8" ht="15.75" customHeight="1" x14ac:dyDescent="0.35">
      <c r="A37" s="132" t="s">
        <v>33</v>
      </c>
      <c r="B37" s="132"/>
      <c r="C37" s="160">
        <v>19.128218</v>
      </c>
      <c r="D37" s="160"/>
      <c r="E37" s="132" t="s">
        <v>34</v>
      </c>
      <c r="F37" s="132"/>
      <c r="G37" s="161">
        <v>72.859210000000004</v>
      </c>
      <c r="H37" s="161"/>
    </row>
    <row r="38" spans="1:8" x14ac:dyDescent="0.35">
      <c r="A38" s="132" t="s">
        <v>173</v>
      </c>
      <c r="B38" s="132"/>
      <c r="C38" s="162" t="s">
        <v>185</v>
      </c>
      <c r="D38" s="153"/>
      <c r="E38" s="153"/>
      <c r="F38" s="153"/>
      <c r="G38" s="153"/>
      <c r="H38" s="153"/>
    </row>
    <row r="39" spans="1:8" x14ac:dyDescent="0.35">
      <c r="A39" s="159" t="s">
        <v>37</v>
      </c>
      <c r="B39" s="159"/>
      <c r="C39" s="159"/>
      <c r="D39" s="159"/>
      <c r="E39" s="159"/>
      <c r="F39" s="159"/>
      <c r="G39" s="159"/>
      <c r="H39" s="159"/>
    </row>
    <row r="40" spans="1:8" x14ac:dyDescent="0.35">
      <c r="A40" s="99" t="s">
        <v>38</v>
      </c>
      <c r="B40" s="99"/>
      <c r="C40" s="99"/>
      <c r="D40" s="99"/>
      <c r="E40" s="158">
        <v>2779.7</v>
      </c>
      <c r="F40" s="158"/>
      <c r="G40" s="158"/>
      <c r="H40" s="158"/>
    </row>
    <row r="41" spans="1:8" x14ac:dyDescent="0.35">
      <c r="A41" s="99" t="s">
        <v>39</v>
      </c>
      <c r="B41" s="99"/>
      <c r="C41" s="99"/>
      <c r="D41" s="99"/>
      <c r="E41" s="146">
        <v>4</v>
      </c>
      <c r="F41" s="146"/>
      <c r="G41" s="146"/>
      <c r="H41" s="146"/>
    </row>
    <row r="42" spans="1:8" x14ac:dyDescent="0.35">
      <c r="A42" s="99" t="s">
        <v>40</v>
      </c>
      <c r="B42" s="99"/>
      <c r="C42" s="99"/>
      <c r="D42" s="99"/>
      <c r="E42" s="146">
        <f>E44/E40-E41</f>
        <v>-4.0903694643306565E-2</v>
      </c>
      <c r="F42" s="146"/>
      <c r="G42" s="146"/>
      <c r="H42" s="146"/>
    </row>
    <row r="43" spans="1:8" x14ac:dyDescent="0.35">
      <c r="A43" s="99" t="s">
        <v>41</v>
      </c>
      <c r="B43" s="99"/>
      <c r="C43" s="99"/>
      <c r="D43" s="99"/>
      <c r="E43" s="146">
        <f>E41+E42</f>
        <v>3.9590963053566934</v>
      </c>
      <c r="F43" s="146"/>
      <c r="G43" s="146"/>
      <c r="H43" s="146"/>
    </row>
    <row r="44" spans="1:8" x14ac:dyDescent="0.35">
      <c r="A44" s="99" t="s">
        <v>95</v>
      </c>
      <c r="B44" s="99"/>
      <c r="C44" s="99"/>
      <c r="D44" s="99"/>
      <c r="E44" s="147">
        <v>11005.1</v>
      </c>
      <c r="F44" s="147"/>
      <c r="G44" s="147"/>
      <c r="H44" s="147"/>
    </row>
    <row r="45" spans="1:8" x14ac:dyDescent="0.35">
      <c r="A45" s="148" t="s">
        <v>42</v>
      </c>
      <c r="B45" s="148"/>
      <c r="C45" s="148"/>
      <c r="D45" s="148"/>
      <c r="E45" s="148" t="s">
        <v>233</v>
      </c>
      <c r="F45" s="148"/>
      <c r="G45" s="148"/>
      <c r="H45" s="148"/>
    </row>
    <row r="46" spans="1:8" x14ac:dyDescent="0.35">
      <c r="A46" s="159" t="s">
        <v>43</v>
      </c>
      <c r="B46" s="159"/>
      <c r="C46" s="159"/>
      <c r="D46" s="159"/>
      <c r="E46" s="159"/>
      <c r="F46" s="159"/>
      <c r="G46" s="159"/>
      <c r="H46" s="159"/>
    </row>
    <row r="47" spans="1:8" ht="33.75" customHeight="1" x14ac:dyDescent="0.35">
      <c r="A47" s="69" t="s">
        <v>161</v>
      </c>
      <c r="B47" s="71"/>
      <c r="C47" s="163" t="s">
        <v>186</v>
      </c>
      <c r="D47" s="164"/>
      <c r="E47" s="164"/>
      <c r="F47" s="164"/>
      <c r="G47" s="164"/>
      <c r="H47" s="165"/>
    </row>
    <row r="48" spans="1:8" ht="33.75" customHeight="1" x14ac:dyDescent="0.35">
      <c r="A48" s="69" t="s">
        <v>44</v>
      </c>
      <c r="B48" s="71"/>
      <c r="C48" s="69" t="s">
        <v>195</v>
      </c>
      <c r="D48" s="70"/>
      <c r="E48" s="71"/>
      <c r="F48" s="18" t="s">
        <v>45</v>
      </c>
      <c r="G48" s="72">
        <v>44677</v>
      </c>
      <c r="H48" s="71"/>
    </row>
    <row r="49" spans="1:9" ht="33.75" customHeight="1" x14ac:dyDescent="0.35">
      <c r="A49" s="69" t="s">
        <v>46</v>
      </c>
      <c r="B49" s="71"/>
      <c r="C49" s="69" t="str">
        <f>C48</f>
        <v>SRA/ENG/K-E/PVT/0128/20060509/
Composite Building</v>
      </c>
      <c r="D49" s="70"/>
      <c r="E49" s="71"/>
      <c r="F49" s="18" t="s">
        <v>45</v>
      </c>
      <c r="G49" s="72">
        <f>G48</f>
        <v>44677</v>
      </c>
      <c r="H49" s="73"/>
    </row>
    <row r="50" spans="1:9" s="23" customFormat="1" ht="33.75" customHeight="1" x14ac:dyDescent="0.35">
      <c r="A50" s="74" t="s">
        <v>250</v>
      </c>
      <c r="B50" s="75"/>
      <c r="C50" s="69" t="s">
        <v>261</v>
      </c>
      <c r="D50" s="70"/>
      <c r="E50" s="71"/>
      <c r="F50" s="18" t="s">
        <v>45</v>
      </c>
      <c r="G50" s="72">
        <v>45436</v>
      </c>
      <c r="H50" s="73"/>
    </row>
    <row r="51" spans="1:9" s="23" customFormat="1" ht="49.5" customHeight="1" x14ac:dyDescent="0.35">
      <c r="A51" s="76"/>
      <c r="B51" s="77"/>
      <c r="C51" s="69" t="s">
        <v>263</v>
      </c>
      <c r="D51" s="70"/>
      <c r="E51" s="70"/>
      <c r="F51" s="70"/>
      <c r="G51" s="70"/>
      <c r="H51" s="71"/>
    </row>
    <row r="52" spans="1:9" s="23" customFormat="1" ht="33.75" customHeight="1" x14ac:dyDescent="0.35">
      <c r="A52" s="74" t="s">
        <v>250</v>
      </c>
      <c r="B52" s="75"/>
      <c r="C52" s="69" t="s">
        <v>208</v>
      </c>
      <c r="D52" s="70"/>
      <c r="E52" s="71"/>
      <c r="F52" s="18" t="s">
        <v>45</v>
      </c>
      <c r="G52" s="72">
        <v>44679</v>
      </c>
      <c r="H52" s="73"/>
    </row>
    <row r="53" spans="1:9" s="23" customFormat="1" ht="49.5" customHeight="1" x14ac:dyDescent="0.35">
      <c r="A53" s="187"/>
      <c r="B53" s="188"/>
      <c r="C53" s="69" t="s">
        <v>209</v>
      </c>
      <c r="D53" s="70"/>
      <c r="E53" s="70"/>
      <c r="F53" s="70"/>
      <c r="G53" s="70"/>
      <c r="H53" s="71"/>
    </row>
    <row r="54" spans="1:9" s="23" customFormat="1" ht="33.75" customHeight="1" x14ac:dyDescent="0.35">
      <c r="A54" s="187"/>
      <c r="B54" s="188"/>
      <c r="C54" s="69" t="s">
        <v>261</v>
      </c>
      <c r="D54" s="70"/>
      <c r="E54" s="71"/>
      <c r="F54" s="18" t="s">
        <v>45</v>
      </c>
      <c r="G54" s="72">
        <v>45345</v>
      </c>
      <c r="H54" s="73"/>
    </row>
    <row r="55" spans="1:9" s="23" customFormat="1" ht="49.5" customHeight="1" x14ac:dyDescent="0.35">
      <c r="A55" s="76"/>
      <c r="B55" s="77"/>
      <c r="C55" s="69" t="s">
        <v>262</v>
      </c>
      <c r="D55" s="70"/>
      <c r="E55" s="70"/>
      <c r="F55" s="70"/>
      <c r="G55" s="70"/>
      <c r="H55" s="71"/>
    </row>
    <row r="56" spans="1:9" s="23" customFormat="1" ht="33.75" customHeight="1" x14ac:dyDescent="0.35">
      <c r="A56" s="74" t="s">
        <v>250</v>
      </c>
      <c r="B56" s="75"/>
      <c r="C56" s="69" t="s">
        <v>208</v>
      </c>
      <c r="D56" s="70"/>
      <c r="E56" s="71"/>
      <c r="F56" s="18" t="s">
        <v>45</v>
      </c>
      <c r="G56" s="72">
        <v>45681</v>
      </c>
      <c r="H56" s="73"/>
    </row>
    <row r="57" spans="1:9" s="23" customFormat="1" x14ac:dyDescent="0.35">
      <c r="A57" s="76"/>
      <c r="B57" s="77"/>
      <c r="C57" s="69" t="s">
        <v>266</v>
      </c>
      <c r="D57" s="70"/>
      <c r="E57" s="70"/>
      <c r="F57" s="70"/>
      <c r="G57" s="70"/>
      <c r="H57" s="71"/>
    </row>
    <row r="58" spans="1:9" x14ac:dyDescent="0.35">
      <c r="A58" s="149" t="s">
        <v>47</v>
      </c>
      <c r="B58" s="150"/>
      <c r="C58" s="149" t="s">
        <v>109</v>
      </c>
      <c r="D58" s="151"/>
      <c r="E58" s="150"/>
      <c r="F58" s="46" t="s">
        <v>45</v>
      </c>
      <c r="G58" s="154" t="s">
        <v>30</v>
      </c>
      <c r="H58" s="155"/>
    </row>
    <row r="59" spans="1:9" x14ac:dyDescent="0.35">
      <c r="A59" s="152" t="s">
        <v>49</v>
      </c>
      <c r="B59" s="152"/>
      <c r="C59" s="152"/>
      <c r="D59" s="152"/>
      <c r="E59" s="152"/>
      <c r="F59" s="152"/>
      <c r="G59" s="152"/>
      <c r="H59" s="152"/>
    </row>
    <row r="60" spans="1:9" x14ac:dyDescent="0.35">
      <c r="A60" s="139" t="s">
        <v>94</v>
      </c>
      <c r="B60" s="139"/>
      <c r="C60" s="139"/>
      <c r="D60" s="99">
        <f>E44</f>
        <v>11005.1</v>
      </c>
      <c r="E60" s="99"/>
      <c r="F60" s="99"/>
      <c r="G60" s="99"/>
      <c r="H60" s="99"/>
    </row>
    <row r="61" spans="1:9" ht="30.75" customHeight="1" x14ac:dyDescent="0.35">
      <c r="A61" s="153" t="s">
        <v>50</v>
      </c>
      <c r="B61" s="148"/>
      <c r="C61" s="148"/>
      <c r="D61" s="153" t="s">
        <v>255</v>
      </c>
      <c r="E61" s="153"/>
      <c r="F61" s="153"/>
      <c r="G61" s="153"/>
      <c r="H61" s="153"/>
      <c r="I61" s="24"/>
    </row>
    <row r="62" spans="1:9" ht="48.75" customHeight="1" x14ac:dyDescent="0.35">
      <c r="A62" s="153" t="s">
        <v>51</v>
      </c>
      <c r="B62" s="153"/>
      <c r="C62" s="153"/>
      <c r="D62" s="153" t="s">
        <v>236</v>
      </c>
      <c r="E62" s="148"/>
      <c r="F62" s="148"/>
      <c r="G62" s="148"/>
      <c r="H62" s="148"/>
    </row>
    <row r="63" spans="1:9" ht="15.75" customHeight="1" x14ac:dyDescent="0.35">
      <c r="A63" s="153" t="s">
        <v>92</v>
      </c>
      <c r="B63" s="153"/>
      <c r="C63" s="153"/>
      <c r="D63" s="148" t="s">
        <v>237</v>
      </c>
      <c r="E63" s="148"/>
      <c r="F63" s="148"/>
      <c r="G63" s="148"/>
      <c r="H63" s="148"/>
    </row>
    <row r="64" spans="1:9" ht="15.75" customHeight="1" x14ac:dyDescent="0.35">
      <c r="A64" s="153"/>
      <c r="B64" s="153"/>
      <c r="C64" s="153"/>
      <c r="D64" s="148" t="s">
        <v>238</v>
      </c>
      <c r="E64" s="148"/>
      <c r="F64" s="148"/>
      <c r="G64" s="148"/>
      <c r="H64" s="148"/>
    </row>
    <row r="65" spans="1:14" ht="15.75" customHeight="1" x14ac:dyDescent="0.35">
      <c r="A65" s="153"/>
      <c r="B65" s="153"/>
      <c r="C65" s="153"/>
      <c r="D65" s="148" t="s">
        <v>265</v>
      </c>
      <c r="E65" s="148"/>
      <c r="F65" s="148"/>
      <c r="G65" s="148"/>
      <c r="H65" s="148"/>
    </row>
    <row r="66" spans="1:14" ht="15.75" customHeight="1" x14ac:dyDescent="0.35">
      <c r="A66" s="99" t="s">
        <v>48</v>
      </c>
      <c r="B66" s="99"/>
      <c r="C66" s="99"/>
      <c r="D66" s="139" t="s">
        <v>196</v>
      </c>
      <c r="E66" s="139"/>
      <c r="F66" s="139"/>
      <c r="G66" s="139"/>
      <c r="H66" s="139"/>
      <c r="J66" s="25"/>
      <c r="K66" s="24"/>
      <c r="N66" s="24"/>
    </row>
    <row r="67" spans="1:14" ht="15.75" customHeight="1" x14ac:dyDescent="0.35">
      <c r="A67" s="99" t="s">
        <v>90</v>
      </c>
      <c r="B67" s="99"/>
      <c r="C67" s="99"/>
      <c r="D67" s="145" t="str">
        <f>(IF(G58="NA","60 Years After Completion",IF(G58&lt;&gt;"NA",""&amp;60-ROUNDDOWN((E3-G58)/360,0)&amp;" Years"," ")))</f>
        <v>60 Years After Completion</v>
      </c>
      <c r="E67" s="145"/>
      <c r="F67" s="145"/>
      <c r="G67" s="145"/>
      <c r="H67" s="145"/>
      <c r="N67" s="24"/>
    </row>
    <row r="68" spans="1:14" ht="15.75" customHeight="1" x14ac:dyDescent="0.35">
      <c r="A68" s="99" t="s">
        <v>91</v>
      </c>
      <c r="B68" s="99"/>
      <c r="C68" s="99"/>
      <c r="D68" s="139" t="s">
        <v>24</v>
      </c>
      <c r="E68" s="139"/>
      <c r="F68" s="139"/>
      <c r="G68" s="139"/>
      <c r="H68" s="139"/>
      <c r="J68" s="26"/>
      <c r="K68" s="26"/>
    </row>
    <row r="69" spans="1:14" ht="15" hidden="1" customHeight="1" x14ac:dyDescent="0.35">
      <c r="A69" s="99" t="s">
        <v>78</v>
      </c>
      <c r="B69" s="99"/>
      <c r="C69" s="99"/>
      <c r="D69" s="173" t="s">
        <v>156</v>
      </c>
      <c r="E69" s="173"/>
      <c r="F69" s="173"/>
      <c r="G69" s="173"/>
      <c r="H69" s="173"/>
    </row>
    <row r="70" spans="1:14" x14ac:dyDescent="0.35">
      <c r="A70" s="139" t="s">
        <v>157</v>
      </c>
      <c r="B70" s="139"/>
      <c r="C70" s="139"/>
      <c r="D70" s="139" t="s">
        <v>30</v>
      </c>
      <c r="E70" s="139"/>
      <c r="F70" s="139"/>
      <c r="G70" s="139"/>
      <c r="H70" s="139"/>
      <c r="I70" s="27"/>
      <c r="J70" s="27"/>
      <c r="K70" s="27"/>
      <c r="L70" s="27"/>
      <c r="M70" s="27"/>
      <c r="N70" s="27"/>
    </row>
    <row r="71" spans="1:14" ht="15.75" customHeight="1" x14ac:dyDescent="0.35">
      <c r="A71" s="175" t="s">
        <v>89</v>
      </c>
      <c r="B71" s="175"/>
      <c r="C71" s="175"/>
      <c r="D71" s="166" t="str">
        <f ca="1">(IF(G77&gt;95%,"Nothing",IF(G77&gt;0%,"Cement, Aggregate, Steel, etc",IF(G77=0%,"Work not yet Started"))))</f>
        <v>Cement, Aggregate, Steel, etc</v>
      </c>
      <c r="E71" s="166"/>
      <c r="F71" s="166"/>
      <c r="G71" s="166"/>
      <c r="H71" s="166"/>
      <c r="J71" s="26"/>
    </row>
    <row r="72" spans="1:14" ht="33.75" customHeight="1" thickBot="1" x14ac:dyDescent="0.4">
      <c r="A72" s="174" t="s">
        <v>122</v>
      </c>
      <c r="B72" s="174"/>
      <c r="C72" s="174"/>
      <c r="D72" s="166" t="str">
        <f ca="1">(IF(D71="Nothing","Yes",IF(D71="Cement, Aggregate, Steel, etc","Under Construction",IF(D71="Work not yet Started","Work not yet Started"))))</f>
        <v>Under Construction</v>
      </c>
      <c r="E72" s="166"/>
      <c r="F72" s="166" t="str">
        <f ca="1">(IF(D71="Nothing","Yes",IF(D71="Cement, Aggregate, Steel, etc","Under Construction",IF(D71="Work not yet Started","Work not yet Started"))))</f>
        <v>Under Construction</v>
      </c>
      <c r="G72" s="166"/>
      <c r="H72" s="166"/>
    </row>
    <row r="73" spans="1:14" ht="15.75" customHeight="1" x14ac:dyDescent="0.35">
      <c r="A73" s="78" t="s">
        <v>146</v>
      </c>
      <c r="B73" s="79"/>
      <c r="C73" s="80" t="s">
        <v>264</v>
      </c>
      <c r="D73" s="81"/>
      <c r="E73" s="81"/>
      <c r="F73" s="81"/>
      <c r="G73" s="81"/>
      <c r="H73" s="82"/>
      <c r="I73" s="48" t="str">
        <f ca="1">IF(D86=100%,"All work Completed. Possession granted to the Building.",IF(D85=100%,"All work Completed, Waiting for OC",I74&amp;""&amp;I75&amp;""&amp;J74&amp;""&amp;J73&amp;" "&amp;J75))</f>
        <v>Excavation, Plinth Completed, RCC upto 16 Slab, Brickwork upto 11 Floor, Internal Plaster upto 6 Floor, External Plaster upto 3 Floor Completed</v>
      </c>
      <c r="J73" s="49" t="str">
        <f ca="1">(IF(C79=(D74+F74+H74),"",IF(C79&gt;0,", RCC upto "&amp;C79&amp;" Slab","")))&amp;(IF(C80=H74,"",IF(C80&gt;0,", Brickwork upto "&amp;C80&amp;" Floor","")))&amp;(IF(C81=H74,"",IF(C81&gt;0,", Internal Plaster upto "&amp;C81&amp;" Floor","")))&amp;(IF(C82=H74,"",IF(C82&gt;0,", External Plaster upto "&amp;C82&amp;" Floor","")))&amp;(IF(C83=H74,"",IF(C83&gt;0,", Flooring upto "&amp;C83&amp;" Floor","")))&amp;(IF(C84=H74,"",IF(C84&gt;0,", Painting upto "&amp;C84&amp;" Floor","")))&amp;(IF(C85=H74,"",IF(C85&gt;0,", Finishing upto "&amp;C85&amp;" Floor","")))&amp;(IF(C86=H74,"",IF(C86&gt;0,", Possession upto "&amp;C86&amp;" Floor","")))</f>
        <v>, RCC upto 16 Slab, Brickwork upto 11 Floor, Internal Plaster upto 6 Floor, External Plaster upto 3 Floor</v>
      </c>
    </row>
    <row r="74" spans="1:14" x14ac:dyDescent="0.35">
      <c r="A74" s="16" t="s">
        <v>148</v>
      </c>
      <c r="B74" s="53">
        <v>0</v>
      </c>
      <c r="C74" s="53" t="s">
        <v>75</v>
      </c>
      <c r="D74" s="53">
        <v>1</v>
      </c>
      <c r="E74" s="53" t="s">
        <v>74</v>
      </c>
      <c r="F74" s="53">
        <v>0</v>
      </c>
      <c r="G74" s="53" t="s">
        <v>83</v>
      </c>
      <c r="H74" s="17">
        <f ca="1">--TRIM(RIGHT(SUBSTITUTE(LEFT(C73,_xlfn.AGGREGATE(16,6,FIND({0,1,2,3,4,5,6,7,8,9},C73,ROW(INDIRECT("1:"&amp;LEN(C73)))),1))," ",REPT(" ",LEN(C73))),LEN(C73)))</f>
        <v>18</v>
      </c>
      <c r="I74" s="50" t="str">
        <f ca="1">IF(D77=100%,"Excavation","")&amp;IF(D78=100%,", Plinth","")&amp;IF(D79=100%,", RCC Slab","")&amp;IF(D80=100%,", Brickwork","")&amp;IF(D81=100%,", Internal Plaster","")&amp;IF(D82=100%,", External Plaster","")&amp;IF(D83=100%,", Flooring","")&amp;IF(D84=100%,", Painting","")&amp;IF(D85=100%,", Building common Amenities","")</f>
        <v>Excavation, Plinth</v>
      </c>
      <c r="J74" s="51" t="str">
        <f ca="1">(IF(C77=0,"Work not yet Started.",IF(D77=25%,"Piling work in process",IF(D77=50%,"Excavation work in process",IF(D77=100%,"","0")))))&amp;(IF(C78=0%,"",IF(C78=J79,", Footing work is process",IF(C78=J80,", Footing work Completed",IF(C78=J81,", 1st Basement Completed",IF(C78=J82,", 1st &amp; 2nd Basement Completed",IF(C78=J83,", 1st to 3rd Basement Completed",IF(C78=J84,", 1st to 4th Basement Completed",IF(C78=J85,", Plinth work is process",IF(C78=J86,"","0"))))))))))</f>
        <v/>
      </c>
    </row>
    <row r="75" spans="1:14" ht="36" customHeight="1" x14ac:dyDescent="0.35">
      <c r="A75" s="83" t="s">
        <v>93</v>
      </c>
      <c r="B75" s="84"/>
      <c r="C75" s="85" t="str">
        <f ca="1">(IF($G$58="NA",I73,"All work Completed. OC Received."))</f>
        <v>Excavation, Plinth Completed, RCC upto 16 Slab, Brickwork upto 11 Floor, Internal Plaster upto 6 Floor, External Plaster upto 3 Floor Completed</v>
      </c>
      <c r="D75" s="85"/>
      <c r="E75" s="85"/>
      <c r="F75" s="85"/>
      <c r="G75" s="85"/>
      <c r="H75" s="86"/>
      <c r="I75" s="50" t="str">
        <f ca="1">IF(I74&lt;&gt;""," Completed","")</f>
        <v xml:space="preserve"> Completed</v>
      </c>
      <c r="J75" s="51" t="str">
        <f ca="1">IF(J73&lt;&gt;"","Completed","")</f>
        <v>Completed</v>
      </c>
    </row>
    <row r="76" spans="1:14" ht="15.75" customHeight="1" x14ac:dyDescent="0.35">
      <c r="A76" s="87" t="s">
        <v>52</v>
      </c>
      <c r="B76" s="88"/>
      <c r="C76" s="44" t="s">
        <v>145</v>
      </c>
      <c r="D76" s="44" t="s">
        <v>86</v>
      </c>
      <c r="E76" s="88" t="s">
        <v>88</v>
      </c>
      <c r="F76" s="88"/>
      <c r="G76" s="88" t="s">
        <v>87</v>
      </c>
      <c r="H76" s="89"/>
      <c r="I76" s="14" t="s">
        <v>147</v>
      </c>
      <c r="J76" s="28">
        <f ca="1">H74*25%</f>
        <v>4.5</v>
      </c>
    </row>
    <row r="77" spans="1:14" x14ac:dyDescent="0.35">
      <c r="A77" s="87" t="s">
        <v>134</v>
      </c>
      <c r="B77" s="88"/>
      <c r="C77" s="44">
        <f ca="1">J78</f>
        <v>18</v>
      </c>
      <c r="D77" s="19">
        <f ca="1">((100/H74)*C77)/100</f>
        <v>1</v>
      </c>
      <c r="E77" s="90">
        <f ca="1">(((C78/H74*10)+(40/(D74+F74+H74)*C79)+(7.5/(H74)*C80)+(7.5/(H74)*C81)+(10/H74*C82)+(10/H74*C83)+(5/H74*C84)+(5/H74*C85)+(5/H74*C86))/100)</f>
        <v>0.52434210526315783</v>
      </c>
      <c r="F77" s="90"/>
      <c r="G77" s="91">
        <f ca="1">((((C77/H74)*20)+((C78/H74)*25)+(30/(H74+F74+D74)*C79)+(5/H74*C80)+(5/H74*C81)+(5/H74*C82)+(5/H74*C83)+(0/H74*C84)+(0/H74*C85)+(5/H74*C86))/100)</f>
        <v>0.75818713450292408</v>
      </c>
      <c r="H77" s="92"/>
      <c r="I77" s="14" t="s">
        <v>104</v>
      </c>
      <c r="J77" s="29">
        <f ca="1">H74*50%</f>
        <v>9</v>
      </c>
    </row>
    <row r="78" spans="1:14" x14ac:dyDescent="0.35">
      <c r="A78" s="87" t="s">
        <v>53</v>
      </c>
      <c r="B78" s="88"/>
      <c r="C78" s="54">
        <v>18</v>
      </c>
      <c r="D78" s="19">
        <f ca="1">((100/H74)*C78)/100</f>
        <v>1</v>
      </c>
      <c r="E78" s="90"/>
      <c r="F78" s="90"/>
      <c r="G78" s="93"/>
      <c r="H78" s="94"/>
      <c r="I78" s="14" t="s">
        <v>105</v>
      </c>
      <c r="J78" s="29">
        <f ca="1">H74</f>
        <v>18</v>
      </c>
    </row>
    <row r="79" spans="1:14" ht="15.75" customHeight="1" x14ac:dyDescent="0.35">
      <c r="A79" s="87" t="s">
        <v>135</v>
      </c>
      <c r="B79" s="88"/>
      <c r="C79" s="44">
        <v>16</v>
      </c>
      <c r="D79" s="19">
        <f ca="1">((100/(D74+F74+H74))*C79)/100</f>
        <v>0.8421052631578948</v>
      </c>
      <c r="E79" s="90"/>
      <c r="F79" s="90"/>
      <c r="G79" s="93"/>
      <c r="H79" s="94"/>
      <c r="I79" s="14" t="s">
        <v>106</v>
      </c>
      <c r="J79" s="30">
        <f ca="1">(IF(B74&gt;1,(H74/(B74+2)),H74/4))</f>
        <v>4.5</v>
      </c>
    </row>
    <row r="80" spans="1:14" ht="15.75" customHeight="1" x14ac:dyDescent="0.35">
      <c r="A80" s="87" t="s">
        <v>142</v>
      </c>
      <c r="B80" s="88" t="s">
        <v>136</v>
      </c>
      <c r="C80" s="44">
        <v>11</v>
      </c>
      <c r="D80" s="19">
        <f ca="1">((100/H74)*C80)/100</f>
        <v>0.61111111111111105</v>
      </c>
      <c r="E80" s="90"/>
      <c r="F80" s="90"/>
      <c r="G80" s="93"/>
      <c r="H80" s="94"/>
      <c r="I80" s="14" t="s">
        <v>107</v>
      </c>
      <c r="J80" s="30">
        <f ca="1">(IF(B74&gt;1,(H74/(B74+2)+J79),H74/4+J79))</f>
        <v>9</v>
      </c>
    </row>
    <row r="81" spans="1:10" ht="15.75" customHeight="1" x14ac:dyDescent="0.35">
      <c r="A81" s="87" t="s">
        <v>143</v>
      </c>
      <c r="B81" s="88" t="s">
        <v>136</v>
      </c>
      <c r="C81" s="44">
        <v>6</v>
      </c>
      <c r="D81" s="19">
        <f ca="1">((100/H74)*C81)/100</f>
        <v>0.33333333333333326</v>
      </c>
      <c r="E81" s="90"/>
      <c r="F81" s="90"/>
      <c r="G81" s="93"/>
      <c r="H81" s="94"/>
      <c r="I81" s="14" t="s">
        <v>154</v>
      </c>
      <c r="J81" s="30">
        <f>(IF(B74&gt;1,(H74/(B74+2)+J80),0))</f>
        <v>0</v>
      </c>
    </row>
    <row r="82" spans="1:10" ht="15" customHeight="1" x14ac:dyDescent="0.35">
      <c r="A82" s="87" t="s">
        <v>141</v>
      </c>
      <c r="B82" s="88" t="s">
        <v>138</v>
      </c>
      <c r="C82" s="44">
        <v>3</v>
      </c>
      <c r="D82" s="19">
        <f ca="1">((100/(H74))*C82)/100</f>
        <v>0.16666666666666663</v>
      </c>
      <c r="E82" s="90"/>
      <c r="F82" s="90"/>
      <c r="G82" s="93"/>
      <c r="H82" s="94"/>
      <c r="I82" s="14" t="s">
        <v>149</v>
      </c>
      <c r="J82" s="30">
        <f>(IF(B74&gt;2,(H74/(B74+2)+J81),0))</f>
        <v>0</v>
      </c>
    </row>
    <row r="83" spans="1:10" ht="15.75" customHeight="1" x14ac:dyDescent="0.35">
      <c r="A83" s="87" t="s">
        <v>137</v>
      </c>
      <c r="B83" s="88" t="s">
        <v>137</v>
      </c>
      <c r="C83" s="44">
        <v>0</v>
      </c>
      <c r="D83" s="19">
        <f ca="1">((100/H74)*C83)/100</f>
        <v>0</v>
      </c>
      <c r="E83" s="90"/>
      <c r="F83" s="90"/>
      <c r="G83" s="93"/>
      <c r="H83" s="94"/>
      <c r="I83" s="14" t="s">
        <v>150</v>
      </c>
      <c r="J83" s="31">
        <f>(IF(B74&gt;3,(H74/(B74+2)+J82),0))</f>
        <v>0</v>
      </c>
    </row>
    <row r="84" spans="1:10" ht="15.75" customHeight="1" x14ac:dyDescent="0.35">
      <c r="A84" s="87" t="s">
        <v>144</v>
      </c>
      <c r="B84" s="88"/>
      <c r="C84" s="44">
        <v>0</v>
      </c>
      <c r="D84" s="19">
        <f ca="1">((100/H74)*C84)/100</f>
        <v>0</v>
      </c>
      <c r="E84" s="90"/>
      <c r="F84" s="90"/>
      <c r="G84" s="93"/>
      <c r="H84" s="94"/>
      <c r="I84" s="14" t="s">
        <v>151</v>
      </c>
      <c r="J84" s="30">
        <f>(IF(B74&gt;4,(H74/(B74+2)+J83),0))</f>
        <v>0</v>
      </c>
    </row>
    <row r="85" spans="1:10" ht="15.75" customHeight="1" x14ac:dyDescent="0.35">
      <c r="A85" s="87" t="s">
        <v>139</v>
      </c>
      <c r="B85" s="88" t="s">
        <v>139</v>
      </c>
      <c r="C85" s="44">
        <v>0</v>
      </c>
      <c r="D85" s="19">
        <f ca="1">((100/(H74))*C85)/100</f>
        <v>0</v>
      </c>
      <c r="E85" s="90"/>
      <c r="F85" s="90"/>
      <c r="G85" s="93"/>
      <c r="H85" s="94"/>
      <c r="I85" s="14" t="s">
        <v>155</v>
      </c>
      <c r="J85" s="30">
        <f ca="1">(IF(B74=1,(H74/(B74+3)+J80),IF(B74=0,(H74/4+J80),IF(B74&gt;1,0))))</f>
        <v>13.5</v>
      </c>
    </row>
    <row r="86" spans="1:10" ht="16" thickBot="1" x14ac:dyDescent="0.4">
      <c r="A86" s="97" t="s">
        <v>140</v>
      </c>
      <c r="B86" s="98"/>
      <c r="C86" s="45">
        <v>0</v>
      </c>
      <c r="D86" s="20">
        <f ca="1">((100/(H74))*C86)/100</f>
        <v>0</v>
      </c>
      <c r="E86" s="90"/>
      <c r="F86" s="90"/>
      <c r="G86" s="95"/>
      <c r="H86" s="96"/>
      <c r="I86" s="15" t="s">
        <v>108</v>
      </c>
      <c r="J86" s="32">
        <f ca="1">(IF(B74&gt;1.5,(H74/(B74+2)+J80+MAX(0,J81-J80)+MAX(0,J82-J81)+MAX(0,J83-J82)+MAX(0,J84-J83)+MAX(0,J85-J84)),IF(B74=1,(H74/(B74+3)+J85),IF(B74=0,H74/4+J85))))</f>
        <v>18</v>
      </c>
    </row>
    <row r="87" spans="1:10" hidden="1" x14ac:dyDescent="0.35">
      <c r="A87" s="189" t="s">
        <v>146</v>
      </c>
      <c r="B87" s="190"/>
      <c r="C87" s="191" t="s">
        <v>257</v>
      </c>
      <c r="D87" s="192"/>
      <c r="E87" s="192"/>
      <c r="F87" s="192"/>
      <c r="G87" s="192"/>
      <c r="H87" s="193"/>
      <c r="I87" s="48" t="str">
        <f ca="1">IF(D100=100%,"All work Completed. Possession granted to the Building.",IF(D99=100%,"All work Completed, Waiting for OC",I88&amp;""&amp;I89&amp;""&amp;J88&amp;""&amp;J87&amp;" "&amp;J89))</f>
        <v xml:space="preserve">Excavation Completed, Footing work is process </v>
      </c>
      <c r="J87" s="49" t="str">
        <f ca="1">(IF(C93=(D88+F88+H88),"",IF(C93&gt;0,", RCC upto "&amp;C93&amp;" Slab","")))&amp;(IF(C94=H88,"",IF(C94&gt;0,", Brickwork upto "&amp;C94&amp;" Floor","")))&amp;(IF(C95=H88,"",IF(C95&gt;0,", Internal Plaster upto "&amp;C95&amp;" Floor","")))&amp;(IF(C96=H88,"",IF(C96&gt;0,", External Plaster upto "&amp;C96&amp;" Floor","")))&amp;(IF(C97=H88,"",IF(C97&gt;0,", Flooring upto "&amp;C97&amp;" Floor","")))&amp;(IF(C98=H88,"",IF(C98&gt;0,", Painting upto "&amp;C98&amp;" Floor","")))&amp;(IF(C99=H88,"",IF(C99&gt;0,", Finishing upto "&amp;C99&amp;" Floor","")))&amp;(IF(C100=H88,"",IF(C100&gt;0,", Possession upto "&amp;C100&amp;" Floor","")))</f>
        <v/>
      </c>
    </row>
    <row r="88" spans="1:10" hidden="1" x14ac:dyDescent="0.35">
      <c r="A88" s="16" t="s">
        <v>148</v>
      </c>
      <c r="B88" s="53">
        <v>0</v>
      </c>
      <c r="C88" s="53" t="s">
        <v>75</v>
      </c>
      <c r="D88" s="53">
        <v>1</v>
      </c>
      <c r="E88" s="53" t="s">
        <v>74</v>
      </c>
      <c r="F88" s="53">
        <v>0</v>
      </c>
      <c r="G88" s="53" t="s">
        <v>83</v>
      </c>
      <c r="H88" s="17">
        <f ca="1">--TRIM(RIGHT(SUBSTITUTE(LEFT(C87,_xlfn.AGGREGATE(16,6,FIND({0,1,2,3,4,5,6,7,8,9},C87,ROW(INDIRECT("1:"&amp;LEN(C87)))),1))," ",REPT(" ",LEN(C87))),LEN(C87)))</f>
        <v>18</v>
      </c>
      <c r="I88" s="50" t="str">
        <f ca="1">IF(D91=100%,"Excavation","")&amp;IF(D92=100%,", Plinth","")&amp;IF(D93=100%,", RCC Slab","")&amp;IF(D94=100%,", Brickwork","")&amp;IF(D95=100%,", Internal Plaster","")&amp;IF(D96=100%,", External Plaster","")&amp;IF(D97=100%,", Flooring","")&amp;IF(D98=100%,", Painting","")&amp;IF(D99=100%,", Building common Amenities","")</f>
        <v>Excavation</v>
      </c>
      <c r="J88" s="51" t="str">
        <f ca="1">(IF(C91=0,"Work not yet Started.",IF(D91=25%,"Piling work in process",IF(D91=50%,"Excavation work in process",IF(D91=100%,"","0")))))&amp;(IF(C92=0%,"",IF(C92=J93,", Footing work is process",IF(C92=J94,", Footing work Completed",IF(C92=J95,", 1st Basement Completed",IF(C92=J96,", 1st &amp; 2nd Basement Completed",IF(C92=J97,", 1st to 3rd Basement Completed",IF(C92=J98,", 1st to 4th Basement Completed",IF(C92=J99,", Plinth work is process",IF(C92=J100,"","0"))))))))))</f>
        <v>, Footing work is process</v>
      </c>
    </row>
    <row r="89" spans="1:10" hidden="1" x14ac:dyDescent="0.35">
      <c r="A89" s="83" t="s">
        <v>93</v>
      </c>
      <c r="B89" s="84"/>
      <c r="C89" s="85" t="str">
        <f ca="1">(IF($G$58="NA",I87,"All work Completed. OC Received."))</f>
        <v xml:space="preserve">Excavation Completed, Footing work is process </v>
      </c>
      <c r="D89" s="85"/>
      <c r="E89" s="85"/>
      <c r="F89" s="85"/>
      <c r="G89" s="85"/>
      <c r="H89" s="86"/>
      <c r="I89" s="50" t="str">
        <f ca="1">IF(I88&lt;&gt;""," Completed","")</f>
        <v xml:space="preserve"> Completed</v>
      </c>
      <c r="J89" s="51" t="str">
        <f ca="1">IF(J87&lt;&gt;"","Completed","")</f>
        <v/>
      </c>
    </row>
    <row r="90" spans="1:10" ht="15.75" hidden="1" customHeight="1" x14ac:dyDescent="0.35">
      <c r="A90" s="87" t="s">
        <v>52</v>
      </c>
      <c r="B90" s="88"/>
      <c r="C90" s="44" t="s">
        <v>145</v>
      </c>
      <c r="D90" s="44" t="s">
        <v>86</v>
      </c>
      <c r="E90" s="88" t="s">
        <v>88</v>
      </c>
      <c r="F90" s="88"/>
      <c r="G90" s="88" t="s">
        <v>87</v>
      </c>
      <c r="H90" s="89"/>
      <c r="I90" s="14" t="s">
        <v>147</v>
      </c>
      <c r="J90" s="28">
        <f ca="1">H88*25%</f>
        <v>4.5</v>
      </c>
    </row>
    <row r="91" spans="1:10" hidden="1" x14ac:dyDescent="0.35">
      <c r="A91" s="87" t="s">
        <v>134</v>
      </c>
      <c r="B91" s="88"/>
      <c r="C91" s="44">
        <f ca="1">J92</f>
        <v>18</v>
      </c>
      <c r="D91" s="19">
        <f ca="1">((100/H88)*C91)/100</f>
        <v>1</v>
      </c>
      <c r="E91" s="90">
        <f ca="1">(((C92/H88*10)+(40/(D88+F88+H88)*C93)+(7.5/(H88)*C94)+(7.5/(H88)*C95)+(10/H88*C96)+(10/H88*C97)+(5/H88*C98)+(5/H88*C99)+(5/H88*C100))/100)</f>
        <v>2.5000000000000001E-2</v>
      </c>
      <c r="F91" s="90"/>
      <c r="G91" s="91">
        <f ca="1">((((C91/H88)*20)+((C92/H88)*25)+(30/(H88+F88+D88)*C93)+(5/H88*C94)+(5/H88*C95)+(5/H88*C96)+(5/H88*C97)+(0/H88*C98)+(0/H88*C99)+(5/H88*C100))/100)</f>
        <v>0.26250000000000001</v>
      </c>
      <c r="H91" s="92"/>
      <c r="I91" s="14" t="s">
        <v>104</v>
      </c>
      <c r="J91" s="29">
        <f ca="1">H88*50%</f>
        <v>9</v>
      </c>
    </row>
    <row r="92" spans="1:10" hidden="1" x14ac:dyDescent="0.35">
      <c r="A92" s="87" t="s">
        <v>53</v>
      </c>
      <c r="B92" s="88"/>
      <c r="C92" s="54">
        <f ca="1">J93</f>
        <v>4.5</v>
      </c>
      <c r="D92" s="19">
        <f ca="1">((100/H88)*C92)/100</f>
        <v>0.25</v>
      </c>
      <c r="E92" s="90"/>
      <c r="F92" s="90"/>
      <c r="G92" s="93"/>
      <c r="H92" s="94"/>
      <c r="I92" s="14" t="s">
        <v>105</v>
      </c>
      <c r="J92" s="29">
        <f ca="1">H88</f>
        <v>18</v>
      </c>
    </row>
    <row r="93" spans="1:10" ht="15.75" hidden="1" customHeight="1" x14ac:dyDescent="0.35">
      <c r="A93" s="87" t="s">
        <v>135</v>
      </c>
      <c r="B93" s="88"/>
      <c r="C93" s="44">
        <v>0</v>
      </c>
      <c r="D93" s="19">
        <f ca="1">((100/(D88+F88+H88))*C93)/100</f>
        <v>0</v>
      </c>
      <c r="E93" s="90"/>
      <c r="F93" s="90"/>
      <c r="G93" s="93"/>
      <c r="H93" s="94"/>
      <c r="I93" s="14" t="s">
        <v>106</v>
      </c>
      <c r="J93" s="30">
        <f ca="1">(IF(B88&gt;1,(H88/(B88+2)),H88/4))</f>
        <v>4.5</v>
      </c>
    </row>
    <row r="94" spans="1:10" ht="15.75" hidden="1" customHeight="1" x14ac:dyDescent="0.35">
      <c r="A94" s="87" t="s">
        <v>142</v>
      </c>
      <c r="B94" s="88" t="s">
        <v>136</v>
      </c>
      <c r="C94" s="44">
        <v>0</v>
      </c>
      <c r="D94" s="19">
        <f ca="1">((100/H88)*C94)/100</f>
        <v>0</v>
      </c>
      <c r="E94" s="90"/>
      <c r="F94" s="90"/>
      <c r="G94" s="93"/>
      <c r="H94" s="94"/>
      <c r="I94" s="14" t="s">
        <v>107</v>
      </c>
      <c r="J94" s="30">
        <f ca="1">(IF(B88&gt;1,(H88/(B88+2)+J93),H88/4+J93))</f>
        <v>9</v>
      </c>
    </row>
    <row r="95" spans="1:10" ht="15.75" hidden="1" customHeight="1" x14ac:dyDescent="0.35">
      <c r="A95" s="87" t="s">
        <v>143</v>
      </c>
      <c r="B95" s="88" t="s">
        <v>136</v>
      </c>
      <c r="C95" s="44">
        <v>0</v>
      </c>
      <c r="D95" s="19">
        <f ca="1">((100/H88)*C95)/100</f>
        <v>0</v>
      </c>
      <c r="E95" s="90"/>
      <c r="F95" s="90"/>
      <c r="G95" s="93"/>
      <c r="H95" s="94"/>
      <c r="I95" s="14" t="s">
        <v>154</v>
      </c>
      <c r="J95" s="30">
        <f>(IF(B88&gt;1,(H88/(B88+2)+J94),0))</f>
        <v>0</v>
      </c>
    </row>
    <row r="96" spans="1:10" ht="15" hidden="1" customHeight="1" x14ac:dyDescent="0.35">
      <c r="A96" s="87" t="s">
        <v>141</v>
      </c>
      <c r="B96" s="88" t="s">
        <v>138</v>
      </c>
      <c r="C96" s="44">
        <v>0</v>
      </c>
      <c r="D96" s="19">
        <f ca="1">((100/(H88))*C96)/100</f>
        <v>0</v>
      </c>
      <c r="E96" s="90"/>
      <c r="F96" s="90"/>
      <c r="G96" s="93"/>
      <c r="H96" s="94"/>
      <c r="I96" s="14" t="s">
        <v>149</v>
      </c>
      <c r="J96" s="30">
        <f>(IF(B88&gt;2,(H88/(B88+2)+J95),0))</f>
        <v>0</v>
      </c>
    </row>
    <row r="97" spans="1:10" ht="15.75" hidden="1" customHeight="1" x14ac:dyDescent="0.35">
      <c r="A97" s="87" t="s">
        <v>137</v>
      </c>
      <c r="B97" s="88" t="s">
        <v>137</v>
      </c>
      <c r="C97" s="44">
        <v>0</v>
      </c>
      <c r="D97" s="19">
        <f ca="1">((100/H88)*C97)/100</f>
        <v>0</v>
      </c>
      <c r="E97" s="90"/>
      <c r="F97" s="90"/>
      <c r="G97" s="93"/>
      <c r="H97" s="94"/>
      <c r="I97" s="14" t="s">
        <v>150</v>
      </c>
      <c r="J97" s="31">
        <f>(IF(B88&gt;3,(H88/(B88+2)+J96),0))</f>
        <v>0</v>
      </c>
    </row>
    <row r="98" spans="1:10" ht="15.75" hidden="1" customHeight="1" x14ac:dyDescent="0.35">
      <c r="A98" s="87" t="s">
        <v>144</v>
      </c>
      <c r="B98" s="88"/>
      <c r="C98" s="44">
        <v>0</v>
      </c>
      <c r="D98" s="19">
        <f ca="1">((100/H88)*C98)/100</f>
        <v>0</v>
      </c>
      <c r="E98" s="90"/>
      <c r="F98" s="90"/>
      <c r="G98" s="93"/>
      <c r="H98" s="94"/>
      <c r="I98" s="14" t="s">
        <v>151</v>
      </c>
      <c r="J98" s="30">
        <f>(IF(B88&gt;4,(H88/(B88+2)+J97),0))</f>
        <v>0</v>
      </c>
    </row>
    <row r="99" spans="1:10" ht="15.75" hidden="1" customHeight="1" x14ac:dyDescent="0.35">
      <c r="A99" s="87" t="s">
        <v>139</v>
      </c>
      <c r="B99" s="88" t="s">
        <v>139</v>
      </c>
      <c r="C99" s="44">
        <v>0</v>
      </c>
      <c r="D99" s="19">
        <f ca="1">((100/(H88))*C99)/100</f>
        <v>0</v>
      </c>
      <c r="E99" s="90"/>
      <c r="F99" s="90"/>
      <c r="G99" s="93"/>
      <c r="H99" s="94"/>
      <c r="I99" s="14" t="s">
        <v>155</v>
      </c>
      <c r="J99" s="30">
        <f ca="1">(IF(B88=1,(H88/(B88+3)+J94),IF(B88=0,(H88/4+J94),IF(B88&gt;1,0))))</f>
        <v>13.5</v>
      </c>
    </row>
    <row r="100" spans="1:10" ht="16" hidden="1" thickBot="1" x14ac:dyDescent="0.4">
      <c r="A100" s="97" t="s">
        <v>140</v>
      </c>
      <c r="B100" s="98"/>
      <c r="C100" s="45">
        <v>0</v>
      </c>
      <c r="D100" s="20">
        <f ca="1">((100/(H88))*C100)/100</f>
        <v>0</v>
      </c>
      <c r="E100" s="90"/>
      <c r="F100" s="90"/>
      <c r="G100" s="95"/>
      <c r="H100" s="96"/>
      <c r="I100" s="15" t="s">
        <v>108</v>
      </c>
      <c r="J100" s="32">
        <f ca="1">(IF(B88&gt;1.5,(H88/(B88+2)+J94+MAX(0,J95-J94)+MAX(0,J96-J95)+MAX(0,J97-J96)+MAX(0,J98-J97)+MAX(0,J99-J98)),IF(B88=1,(H88/(B88+3)+J99),IF(B88=0,H88/4+J99))))</f>
        <v>18</v>
      </c>
    </row>
    <row r="101" spans="1:10" ht="32.25" hidden="1" customHeight="1" thickBot="1" x14ac:dyDescent="0.4">
      <c r="A101" s="194" t="s">
        <v>260</v>
      </c>
      <c r="B101" s="195"/>
      <c r="C101" s="196" t="s">
        <v>88</v>
      </c>
      <c r="D101" s="197"/>
      <c r="E101" s="65">
        <f ca="1">(E77+E91)/2</f>
        <v>0.27467105263157893</v>
      </c>
      <c r="F101" s="198" t="s">
        <v>87</v>
      </c>
      <c r="G101" s="199"/>
      <c r="H101" s="66">
        <f ca="1">(G77+G91)/2</f>
        <v>0.51034356725146202</v>
      </c>
      <c r="I101" s="50" t="e">
        <f>IF(#REF!=100%,"Excavation","")&amp;IF(#REF!=100%,", Plinth","")&amp;IF(#REF!=100%,", RCC Slab","")&amp;IF(#REF!=100%,", Brickwork","")&amp;IF(#REF!=100%,", Internal Plaster","")&amp;IF(#REF!=100%,", External Plaster","")&amp;IF(#REF!=100%,", Flooring","")&amp;IF(#REF!=100%,", Painting","")&amp;IF(#REF!=100%,", Building common Amenities","")</f>
        <v>#REF!</v>
      </c>
      <c r="J101" s="51" t="e">
        <f>(IF(#REF!=0,"Work not yet Started.",IF(#REF!=25%,"Piling work in process",IF(#REF!=50%,"Excavation work in process",IF(#REF!=100%,"","0")))))&amp;(IF(#REF!=0%,"",IF(#REF!=#REF!,", Footing work is process",IF(#REF!=#REF!,", Footing work Completed",IF(#REF!=#REF!,", 1st Basement Completed",IF(#REF!=#REF!,", 1st &amp; 2nd Basement Completed",IF(#REF!=#REF!,", 1st to 3rd Basement Completed",IF(#REF!=#REF!,", 1st to 4th Basement Completed",IF(#REF!=#REF!,", Plinth work is process",IF(#REF!=#REF!,"","0"))))))))))</f>
        <v>#REF!</v>
      </c>
    </row>
    <row r="102" spans="1:10" ht="15.75" hidden="1" customHeight="1" x14ac:dyDescent="0.35">
      <c r="A102" s="78" t="s">
        <v>146</v>
      </c>
      <c r="B102" s="79"/>
      <c r="C102" s="80" t="s">
        <v>258</v>
      </c>
      <c r="D102" s="81"/>
      <c r="E102" s="81"/>
      <c r="F102" s="81"/>
      <c r="G102" s="81"/>
      <c r="H102" s="82"/>
      <c r="I102" s="48" t="str">
        <f ca="1">IF(D115=100%,"All work Completed. Possession granted to the Building.",IF(D114=100%,"All work Completed, Waiting for OC",I103&amp;""&amp;I104&amp;""&amp;J103&amp;""&amp;J102&amp;" "&amp;J104))</f>
        <v xml:space="preserve">Excavation, Plinth Completed </v>
      </c>
      <c r="J102" s="49" t="str">
        <f ca="1">(IF(C108=(D103+F103+H103),"",IF(C108&gt;0,", RCC upto "&amp;C108&amp;" Slab","")))&amp;(IF(C109=H103,"",IF(C109&gt;0,", Brickwork upto "&amp;C109&amp;" Floor","")))&amp;(IF(C110=H103,"",IF(C110&gt;0,", Internal Plaster upto "&amp;C110&amp;" Floor","")))&amp;(IF(C111=H103,"",IF(C111&gt;0,", External Plaster upto "&amp;C111&amp;" Floor","")))&amp;(IF(C112=H103,"",IF(C112&gt;0,", Flooring upto "&amp;C112&amp;" Floor","")))&amp;(IF(C113=H103,"",IF(C113&gt;0,", Painting upto "&amp;C113&amp;" Floor","")))&amp;(IF(C114=H103,"",IF(C114&gt;0,", Finishing upto "&amp;C114&amp;" Floor","")))&amp;(IF(C115=H103,"",IF(C115&gt;0,", Possession upto "&amp;C115&amp;" Floor","")))</f>
        <v/>
      </c>
    </row>
    <row r="103" spans="1:10" hidden="1" x14ac:dyDescent="0.35">
      <c r="A103" s="16" t="s">
        <v>148</v>
      </c>
      <c r="B103" s="53">
        <v>0</v>
      </c>
      <c r="C103" s="53" t="s">
        <v>75</v>
      </c>
      <c r="D103" s="53">
        <v>1</v>
      </c>
      <c r="E103" s="53" t="s">
        <v>74</v>
      </c>
      <c r="F103" s="53">
        <v>0</v>
      </c>
      <c r="G103" s="53" t="s">
        <v>83</v>
      </c>
      <c r="H103" s="17">
        <f ca="1">--TRIM(RIGHT(SUBSTITUTE(LEFT(C102,_xlfn.AGGREGATE(16,6,FIND({0,1,2,3,4,5,6,7,8,9},C102,ROW(INDIRECT("1:"&amp;LEN(C102)))),1))," ",REPT(" ",LEN(C102))),LEN(C102)))</f>
        <v>18</v>
      </c>
      <c r="I103" s="50" t="str">
        <f ca="1">IF(D106=100%,"Excavation","")&amp;IF(D107=100%,", Plinth","")&amp;IF(D108=100%,", RCC Slab","")&amp;IF(D109=100%,", Brickwork","")&amp;IF(D110=100%,", Internal Plaster","")&amp;IF(D111=100%,", External Plaster","")&amp;IF(D112=100%,", Flooring","")&amp;IF(D113=100%,", Painting","")&amp;IF(D114=100%,", Building common Amenities","")</f>
        <v>Excavation, Plinth</v>
      </c>
      <c r="J103" s="51" t="str">
        <f ca="1">(IF(C106=0,"Work not yet Started.",IF(D106=25%,"Piling work in process",IF(D106=50%,"Excavation work in process",IF(D106=100%,"","0")))))&amp;(IF(C107=0%,"",IF(C107=J108,", Footing work is process",IF(C107=J109,", Footing work Completed",IF(C107=J110,", 1st Basement Completed",IF(C107=J111,", 1st &amp; 2nd Basement Completed",IF(C107=J112,", 1st to 3rd Basement Completed",IF(C107=J113,", 1st to 4th Basement Completed",IF(C107=J114,", Plinth work is process",IF(C107=J115,"","0"))))))))))</f>
        <v/>
      </c>
    </row>
    <row r="104" spans="1:10" ht="19.5" hidden="1" customHeight="1" x14ac:dyDescent="0.35">
      <c r="A104" s="83" t="s">
        <v>93</v>
      </c>
      <c r="B104" s="84"/>
      <c r="C104" s="85" t="str">
        <f ca="1">(IF($G$58="NA",I102,"All work Completed. OC Received."))</f>
        <v xml:space="preserve">Excavation, Plinth Completed </v>
      </c>
      <c r="D104" s="85"/>
      <c r="E104" s="85"/>
      <c r="F104" s="85"/>
      <c r="G104" s="85"/>
      <c r="H104" s="86"/>
      <c r="I104" s="50" t="str">
        <f ca="1">IF(I103&lt;&gt;""," Completed","")</f>
        <v xml:space="preserve"> Completed</v>
      </c>
      <c r="J104" s="51" t="str">
        <f ca="1">IF(J102&lt;&gt;"","Completed","")</f>
        <v/>
      </c>
    </row>
    <row r="105" spans="1:10" ht="15.75" hidden="1" customHeight="1" x14ac:dyDescent="0.35">
      <c r="A105" s="87" t="s">
        <v>52</v>
      </c>
      <c r="B105" s="88"/>
      <c r="C105" s="44" t="s">
        <v>145</v>
      </c>
      <c r="D105" s="44" t="s">
        <v>86</v>
      </c>
      <c r="E105" s="88" t="s">
        <v>88</v>
      </c>
      <c r="F105" s="88"/>
      <c r="G105" s="88" t="s">
        <v>87</v>
      </c>
      <c r="H105" s="89"/>
      <c r="I105" s="14" t="s">
        <v>147</v>
      </c>
      <c r="J105" s="28">
        <f ca="1">H103*25%</f>
        <v>4.5</v>
      </c>
    </row>
    <row r="106" spans="1:10" hidden="1" x14ac:dyDescent="0.35">
      <c r="A106" s="87" t="s">
        <v>134</v>
      </c>
      <c r="B106" s="88"/>
      <c r="C106" s="44">
        <v>18</v>
      </c>
      <c r="D106" s="19">
        <f ca="1">((100/H103)*C106)/100</f>
        <v>1</v>
      </c>
      <c r="E106" s="90">
        <f ca="1">(((C107/H103*10)+(40/(D103+F103+H103)*C108)+(7.5/(H103)*C109)+(7.5/(H103)*C110)+(10/H103*C111)+(10/H103*C112)+(5/H103*C113)+(5/H103*C114)+(5/H103*C115))/100)</f>
        <v>0.1</v>
      </c>
      <c r="F106" s="90"/>
      <c r="G106" s="91">
        <f ca="1">((((C106/H103)*20)+((C107/H103)*25)+(30/(H103+F103+D103)*C108)+(5/H103*C109)+(5/H103*C110)+(5/H103*C111)+(5/H103*C112)+(0/H103*C113)+(0/H103*C114)+(5/H103*C115))/100)</f>
        <v>0.45</v>
      </c>
      <c r="H106" s="92"/>
      <c r="I106" s="14" t="s">
        <v>104</v>
      </c>
      <c r="J106" s="29">
        <f ca="1">H103*50%</f>
        <v>9</v>
      </c>
    </row>
    <row r="107" spans="1:10" hidden="1" x14ac:dyDescent="0.35">
      <c r="A107" s="87" t="s">
        <v>53</v>
      </c>
      <c r="B107" s="88"/>
      <c r="C107" s="54">
        <f ca="1">J115</f>
        <v>18</v>
      </c>
      <c r="D107" s="19">
        <f ca="1">((100/H103)*C107)/100</f>
        <v>1</v>
      </c>
      <c r="E107" s="90"/>
      <c r="F107" s="90"/>
      <c r="G107" s="93"/>
      <c r="H107" s="94"/>
      <c r="I107" s="14" t="s">
        <v>105</v>
      </c>
      <c r="J107" s="29">
        <f ca="1">H103</f>
        <v>18</v>
      </c>
    </row>
    <row r="108" spans="1:10" ht="15.75" hidden="1" customHeight="1" x14ac:dyDescent="0.35">
      <c r="A108" s="87" t="s">
        <v>135</v>
      </c>
      <c r="B108" s="88"/>
      <c r="C108" s="44">
        <v>0</v>
      </c>
      <c r="D108" s="19">
        <f ca="1">((100/(D103+F103+H103))*C108)/100</f>
        <v>0</v>
      </c>
      <c r="E108" s="90"/>
      <c r="F108" s="90"/>
      <c r="G108" s="93"/>
      <c r="H108" s="94"/>
      <c r="I108" s="14" t="s">
        <v>106</v>
      </c>
      <c r="J108" s="30">
        <f ca="1">(IF(B103&gt;1,(H103/(B103+2)),H103/4))</f>
        <v>4.5</v>
      </c>
    </row>
    <row r="109" spans="1:10" ht="15.75" hidden="1" customHeight="1" x14ac:dyDescent="0.35">
      <c r="A109" s="87" t="s">
        <v>142</v>
      </c>
      <c r="B109" s="88" t="s">
        <v>136</v>
      </c>
      <c r="C109" s="44">
        <v>0</v>
      </c>
      <c r="D109" s="19">
        <f ca="1">((100/H103)*C109)/100</f>
        <v>0</v>
      </c>
      <c r="E109" s="90"/>
      <c r="F109" s="90"/>
      <c r="G109" s="93"/>
      <c r="H109" s="94"/>
      <c r="I109" s="14" t="s">
        <v>107</v>
      </c>
      <c r="J109" s="30">
        <f ca="1">(IF(B103&gt;1,(H103/(B103+2)+J108),H103/4+J108))</f>
        <v>9</v>
      </c>
    </row>
    <row r="110" spans="1:10" ht="15.75" hidden="1" customHeight="1" x14ac:dyDescent="0.35">
      <c r="A110" s="87" t="s">
        <v>143</v>
      </c>
      <c r="B110" s="88" t="s">
        <v>136</v>
      </c>
      <c r="C110" s="44">
        <v>0</v>
      </c>
      <c r="D110" s="19">
        <f ca="1">((100/H103)*C110)/100</f>
        <v>0</v>
      </c>
      <c r="E110" s="90"/>
      <c r="F110" s="90"/>
      <c r="G110" s="93"/>
      <c r="H110" s="94"/>
      <c r="I110" s="14" t="s">
        <v>154</v>
      </c>
      <c r="J110" s="30">
        <f>(IF(B103&gt;1,(H103/(B103+2)+J109),0))</f>
        <v>0</v>
      </c>
    </row>
    <row r="111" spans="1:10" ht="15" hidden="1" customHeight="1" x14ac:dyDescent="0.35">
      <c r="A111" s="87" t="s">
        <v>141</v>
      </c>
      <c r="B111" s="88" t="s">
        <v>138</v>
      </c>
      <c r="C111" s="44">
        <v>0</v>
      </c>
      <c r="D111" s="19">
        <f ca="1">((100/(H103))*C111)/100</f>
        <v>0</v>
      </c>
      <c r="E111" s="90"/>
      <c r="F111" s="90"/>
      <c r="G111" s="93"/>
      <c r="H111" s="94"/>
      <c r="I111" s="14" t="s">
        <v>149</v>
      </c>
      <c r="J111" s="30">
        <f>(IF(B103&gt;2,(H103/(B103+2)+J110),0))</f>
        <v>0</v>
      </c>
    </row>
    <row r="112" spans="1:10" ht="15.75" hidden="1" customHeight="1" x14ac:dyDescent="0.35">
      <c r="A112" s="87" t="s">
        <v>137</v>
      </c>
      <c r="B112" s="88" t="s">
        <v>137</v>
      </c>
      <c r="C112" s="44">
        <v>0</v>
      </c>
      <c r="D112" s="19">
        <f ca="1">((100/H103)*C112)/100</f>
        <v>0</v>
      </c>
      <c r="E112" s="90"/>
      <c r="F112" s="90"/>
      <c r="G112" s="93"/>
      <c r="H112" s="94"/>
      <c r="I112" s="14" t="s">
        <v>150</v>
      </c>
      <c r="J112" s="31">
        <f>(IF(B103&gt;3,(H103/(B103+2)+J111),0))</f>
        <v>0</v>
      </c>
    </row>
    <row r="113" spans="1:10" ht="15.75" hidden="1" customHeight="1" x14ac:dyDescent="0.35">
      <c r="A113" s="87" t="s">
        <v>144</v>
      </c>
      <c r="B113" s="88"/>
      <c r="C113" s="44">
        <v>0</v>
      </c>
      <c r="D113" s="19">
        <f ca="1">((100/H103)*C113)/100</f>
        <v>0</v>
      </c>
      <c r="E113" s="90"/>
      <c r="F113" s="90"/>
      <c r="G113" s="93"/>
      <c r="H113" s="94"/>
      <c r="I113" s="14" t="s">
        <v>151</v>
      </c>
      <c r="J113" s="30">
        <f>(IF(B103&gt;4,(H103/(B103+2)+J112),0))</f>
        <v>0</v>
      </c>
    </row>
    <row r="114" spans="1:10" ht="15.75" hidden="1" customHeight="1" x14ac:dyDescent="0.35">
      <c r="A114" s="87" t="s">
        <v>139</v>
      </c>
      <c r="B114" s="88" t="s">
        <v>139</v>
      </c>
      <c r="C114" s="44">
        <v>0</v>
      </c>
      <c r="D114" s="19">
        <f ca="1">((100/(H103))*C114)/100</f>
        <v>0</v>
      </c>
      <c r="E114" s="90"/>
      <c r="F114" s="90"/>
      <c r="G114" s="93"/>
      <c r="H114" s="94"/>
      <c r="I114" s="14" t="s">
        <v>155</v>
      </c>
      <c r="J114" s="30">
        <f ca="1">(IF(B103=1,(H103/(B103+3)+J109),IF(B103=0,(H103/4+J109),IF(B103&gt;1,0))))</f>
        <v>13.5</v>
      </c>
    </row>
    <row r="115" spans="1:10" ht="16" hidden="1" thickBot="1" x14ac:dyDescent="0.4">
      <c r="A115" s="97" t="s">
        <v>140</v>
      </c>
      <c r="B115" s="98"/>
      <c r="C115" s="45">
        <v>0</v>
      </c>
      <c r="D115" s="20">
        <f ca="1">((100/(H103))*C115)/100</f>
        <v>0</v>
      </c>
      <c r="E115" s="90"/>
      <c r="F115" s="90"/>
      <c r="G115" s="95"/>
      <c r="H115" s="96"/>
      <c r="I115" s="15" t="s">
        <v>108</v>
      </c>
      <c r="J115" s="32">
        <f ca="1">(IF(B103&gt;1.5,(H103/(B103+2)+J109+MAX(0,J110-J109)+MAX(0,J111-J110)+MAX(0,J112-J111)+MAX(0,J113-J112)+MAX(0,J114-J113)),IF(B103=1,(H103/(B103+3)+J114),IF(B103=0,H103/4+J114))))</f>
        <v>18</v>
      </c>
    </row>
    <row r="116" spans="1:10" ht="15.75" hidden="1" customHeight="1" x14ac:dyDescent="0.35">
      <c r="A116" s="78" t="s">
        <v>146</v>
      </c>
      <c r="B116" s="79"/>
      <c r="C116" s="80" t="s">
        <v>259</v>
      </c>
      <c r="D116" s="81"/>
      <c r="E116" s="81"/>
      <c r="F116" s="81"/>
      <c r="G116" s="81"/>
      <c r="H116" s="82"/>
      <c r="I116" s="48" t="str">
        <f ca="1">IF(D129=100%,"All work Completed. Possession granted to the Building.",IF(D128=100%,"All work Completed, Waiting for OC",I117&amp;""&amp;I118&amp;""&amp;J117&amp;""&amp;J116&amp;" "&amp;J118))</f>
        <v xml:space="preserve">Excavation, Plinth Completed </v>
      </c>
      <c r="J116" s="49" t="str">
        <f ca="1">(IF(C122=(D117+F117+H117),"",IF(C122&gt;0,", RCC upto "&amp;C122&amp;" Slab","")))&amp;(IF(C123=H117,"",IF(C123&gt;0,", Brickwork upto "&amp;C123&amp;" Floor","")))&amp;(IF(C124=H117,"",IF(C124&gt;0,", Internal Plaster upto "&amp;C124&amp;" Floor","")))&amp;(IF(C125=H117,"",IF(C125&gt;0,", External Plaster upto "&amp;C125&amp;" Floor","")))&amp;(IF(C126=H117,"",IF(C126&gt;0,", Flooring upto "&amp;C126&amp;" Floor","")))&amp;(IF(C127=H117,"",IF(C127&gt;0,", Painting upto "&amp;C127&amp;" Floor","")))&amp;(IF(C128=H117,"",IF(C128&gt;0,", Finishing upto "&amp;C128&amp;" Floor","")))&amp;(IF(C129=H117,"",IF(C129&gt;0,", Possession upto "&amp;C129&amp;" Floor","")))</f>
        <v/>
      </c>
    </row>
    <row r="117" spans="1:10" hidden="1" x14ac:dyDescent="0.35">
      <c r="A117" s="16" t="s">
        <v>148</v>
      </c>
      <c r="B117" s="53">
        <v>0</v>
      </c>
      <c r="C117" s="53" t="s">
        <v>75</v>
      </c>
      <c r="D117" s="53">
        <v>1</v>
      </c>
      <c r="E117" s="53" t="s">
        <v>74</v>
      </c>
      <c r="F117" s="53">
        <v>0</v>
      </c>
      <c r="G117" s="53" t="s">
        <v>83</v>
      </c>
      <c r="H117" s="17">
        <f ca="1">--TRIM(RIGHT(SUBSTITUTE(LEFT(C116,_xlfn.AGGREGATE(16,6,FIND({0,1,2,3,4,5,6,7,8,9},C116,ROW(INDIRECT("1:"&amp;LEN(C116)))),1))," ",REPT(" ",LEN(C116))),LEN(C116)))</f>
        <v>18</v>
      </c>
      <c r="I117" s="50" t="str">
        <f ca="1">IF(D120=100%,"Excavation","")&amp;IF(D121=100%,", Plinth","")&amp;IF(D122=100%,", RCC Slab","")&amp;IF(D123=100%,", Brickwork","")&amp;IF(D124=100%,", Internal Plaster","")&amp;IF(D125=100%,", External Plaster","")&amp;IF(D126=100%,", Flooring","")&amp;IF(D127=100%,", Painting","")&amp;IF(D128=100%,", Building common Amenities","")</f>
        <v>Excavation, Plinth</v>
      </c>
      <c r="J117" s="51" t="str">
        <f ca="1">(IF(C120=0,"Work not yet Started.",IF(D120=25%,"Piling work in process",IF(D120=50%,"Excavation work in process",IF(D120=100%,"","0")))))&amp;(IF(C121=0%,"",IF(C121=J122,", Footing work is process",IF(C121=J123,", Footing work Completed",IF(C121=J124,", 1st Basement Completed",IF(C121=J125,", 1st &amp; 2nd Basement Completed",IF(C121=J126,", 1st to 3rd Basement Completed",IF(C121=J127,", 1st to 4th Basement Completed",IF(C121=J128,", Plinth work is process",IF(C121=J129,"","0"))))))))))</f>
        <v/>
      </c>
    </row>
    <row r="118" spans="1:10" hidden="1" x14ac:dyDescent="0.35">
      <c r="A118" s="83" t="s">
        <v>93</v>
      </c>
      <c r="B118" s="84"/>
      <c r="C118" s="85" t="str">
        <f ca="1">(IF($G$58="NA",I116,"All work Completed. OC Received."))</f>
        <v xml:space="preserve">Excavation, Plinth Completed </v>
      </c>
      <c r="D118" s="85"/>
      <c r="E118" s="85"/>
      <c r="F118" s="85"/>
      <c r="G118" s="85"/>
      <c r="H118" s="86"/>
      <c r="I118" s="50" t="str">
        <f ca="1">IF(I117&lt;&gt;""," Completed","")</f>
        <v xml:space="preserve"> Completed</v>
      </c>
      <c r="J118" s="51" t="str">
        <f ca="1">IF(J116&lt;&gt;"","Completed","")</f>
        <v/>
      </c>
    </row>
    <row r="119" spans="1:10" ht="15.75" hidden="1" customHeight="1" x14ac:dyDescent="0.35">
      <c r="A119" s="87" t="s">
        <v>52</v>
      </c>
      <c r="B119" s="88"/>
      <c r="C119" s="44" t="s">
        <v>145</v>
      </c>
      <c r="D119" s="44" t="s">
        <v>86</v>
      </c>
      <c r="E119" s="88" t="s">
        <v>88</v>
      </c>
      <c r="F119" s="88"/>
      <c r="G119" s="88" t="s">
        <v>87</v>
      </c>
      <c r="H119" s="89"/>
      <c r="I119" s="14" t="s">
        <v>147</v>
      </c>
      <c r="J119" s="28">
        <f ca="1">H117*25%</f>
        <v>4.5</v>
      </c>
    </row>
    <row r="120" spans="1:10" hidden="1" x14ac:dyDescent="0.35">
      <c r="A120" s="87" t="s">
        <v>134</v>
      </c>
      <c r="B120" s="88"/>
      <c r="C120" s="44">
        <f ca="1">J121</f>
        <v>18</v>
      </c>
      <c r="D120" s="19">
        <f ca="1">((100/H117)*C120)/100</f>
        <v>1</v>
      </c>
      <c r="E120" s="90">
        <f ca="1">(((C121/H117*10)+(40/(D117+F117+H117)*C122)+(7.5/(H117)*C123)+(7.5/(H117)*C124)+(10/H117*C125)+(10/H117*C126)+(5/H117*C127)+(5/H117*C128)+(5/H117*C129))/100)</f>
        <v>0.1</v>
      </c>
      <c r="F120" s="90"/>
      <c r="G120" s="91">
        <f ca="1">((((C120/H117)*20)+((C121/H117)*25)+(30/(H117+F117+D117)*C122)+(5/H117*C123)+(5/H117*C124)+(5/H117*C125)+(5/H117*C126)+(0/H117*C127)+(0/H117*C128)+(5/H117*C129))/100)</f>
        <v>0.45</v>
      </c>
      <c r="H120" s="92"/>
      <c r="I120" s="14" t="s">
        <v>104</v>
      </c>
      <c r="J120" s="29">
        <f ca="1">H117*50%</f>
        <v>9</v>
      </c>
    </row>
    <row r="121" spans="1:10" hidden="1" x14ac:dyDescent="0.35">
      <c r="A121" s="87" t="s">
        <v>53</v>
      </c>
      <c r="B121" s="88"/>
      <c r="C121" s="54">
        <f ca="1">J129</f>
        <v>18</v>
      </c>
      <c r="D121" s="19">
        <f ca="1">((100/H117)*C121)/100</f>
        <v>1</v>
      </c>
      <c r="E121" s="90"/>
      <c r="F121" s="90"/>
      <c r="G121" s="93"/>
      <c r="H121" s="94"/>
      <c r="I121" s="14" t="s">
        <v>105</v>
      </c>
      <c r="J121" s="29">
        <f ca="1">H117</f>
        <v>18</v>
      </c>
    </row>
    <row r="122" spans="1:10" ht="15.75" hidden="1" customHeight="1" x14ac:dyDescent="0.35">
      <c r="A122" s="87" t="s">
        <v>135</v>
      </c>
      <c r="B122" s="88"/>
      <c r="C122" s="44">
        <v>0</v>
      </c>
      <c r="D122" s="19">
        <f ca="1">((100/(D117+F117+H117))*C122)/100</f>
        <v>0</v>
      </c>
      <c r="E122" s="90"/>
      <c r="F122" s="90"/>
      <c r="G122" s="93"/>
      <c r="H122" s="94"/>
      <c r="I122" s="14" t="s">
        <v>106</v>
      </c>
      <c r="J122" s="30">
        <f ca="1">(IF(B117&gt;1,(H117/(B117+2)),H117/4))</f>
        <v>4.5</v>
      </c>
    </row>
    <row r="123" spans="1:10" ht="15.75" hidden="1" customHeight="1" x14ac:dyDescent="0.35">
      <c r="A123" s="87" t="s">
        <v>142</v>
      </c>
      <c r="B123" s="88" t="s">
        <v>136</v>
      </c>
      <c r="C123" s="44">
        <v>0</v>
      </c>
      <c r="D123" s="19">
        <f ca="1">((100/H117)*C123)/100</f>
        <v>0</v>
      </c>
      <c r="E123" s="90"/>
      <c r="F123" s="90"/>
      <c r="G123" s="93"/>
      <c r="H123" s="94"/>
      <c r="I123" s="14" t="s">
        <v>107</v>
      </c>
      <c r="J123" s="30">
        <f ca="1">(IF(B117&gt;1,(H117/(B117+2)+J122),H117/4+J122))</f>
        <v>9</v>
      </c>
    </row>
    <row r="124" spans="1:10" ht="15.75" hidden="1" customHeight="1" x14ac:dyDescent="0.35">
      <c r="A124" s="87" t="s">
        <v>143</v>
      </c>
      <c r="B124" s="88" t="s">
        <v>136</v>
      </c>
      <c r="C124" s="44">
        <v>0</v>
      </c>
      <c r="D124" s="19">
        <f ca="1">((100/H117)*C124)/100</f>
        <v>0</v>
      </c>
      <c r="E124" s="90"/>
      <c r="F124" s="90"/>
      <c r="G124" s="93"/>
      <c r="H124" s="94"/>
      <c r="I124" s="14" t="s">
        <v>154</v>
      </c>
      <c r="J124" s="30">
        <f>(IF(B117&gt;1,(H117/(B117+2)+J123),0))</f>
        <v>0</v>
      </c>
    </row>
    <row r="125" spans="1:10" ht="15" hidden="1" customHeight="1" x14ac:dyDescent="0.35">
      <c r="A125" s="87" t="s">
        <v>141</v>
      </c>
      <c r="B125" s="88" t="s">
        <v>138</v>
      </c>
      <c r="C125" s="44">
        <v>0</v>
      </c>
      <c r="D125" s="19">
        <f ca="1">((100/(H117))*C125)/100</f>
        <v>0</v>
      </c>
      <c r="E125" s="90"/>
      <c r="F125" s="90"/>
      <c r="G125" s="93"/>
      <c r="H125" s="94"/>
      <c r="I125" s="14" t="s">
        <v>149</v>
      </c>
      <c r="J125" s="30">
        <f>(IF(B117&gt;2,(H117/(B117+2)+J124),0))</f>
        <v>0</v>
      </c>
    </row>
    <row r="126" spans="1:10" ht="15.75" hidden="1" customHeight="1" x14ac:dyDescent="0.35">
      <c r="A126" s="87" t="s">
        <v>137</v>
      </c>
      <c r="B126" s="88" t="s">
        <v>137</v>
      </c>
      <c r="C126" s="44">
        <v>0</v>
      </c>
      <c r="D126" s="19">
        <f ca="1">((100/H117)*C126)/100</f>
        <v>0</v>
      </c>
      <c r="E126" s="90"/>
      <c r="F126" s="90"/>
      <c r="G126" s="93"/>
      <c r="H126" s="94"/>
      <c r="I126" s="14" t="s">
        <v>150</v>
      </c>
      <c r="J126" s="31">
        <f>(IF(B117&gt;3,(H117/(B117+2)+J125),0))</f>
        <v>0</v>
      </c>
    </row>
    <row r="127" spans="1:10" ht="15.75" hidden="1" customHeight="1" x14ac:dyDescent="0.35">
      <c r="A127" s="87" t="s">
        <v>144</v>
      </c>
      <c r="B127" s="88"/>
      <c r="C127" s="44">
        <v>0</v>
      </c>
      <c r="D127" s="19">
        <f ca="1">((100/H117)*C127)/100</f>
        <v>0</v>
      </c>
      <c r="E127" s="90"/>
      <c r="F127" s="90"/>
      <c r="G127" s="93"/>
      <c r="H127" s="94"/>
      <c r="I127" s="14" t="s">
        <v>151</v>
      </c>
      <c r="J127" s="30">
        <f>(IF(B117&gt;4,(H117/(B117+2)+J126),0))</f>
        <v>0</v>
      </c>
    </row>
    <row r="128" spans="1:10" ht="15.75" hidden="1" customHeight="1" x14ac:dyDescent="0.35">
      <c r="A128" s="87" t="s">
        <v>139</v>
      </c>
      <c r="B128" s="88" t="s">
        <v>139</v>
      </c>
      <c r="C128" s="44">
        <v>0</v>
      </c>
      <c r="D128" s="19">
        <f ca="1">((100/(H117))*C128)/100</f>
        <v>0</v>
      </c>
      <c r="E128" s="90"/>
      <c r="F128" s="90"/>
      <c r="G128" s="93"/>
      <c r="H128" s="94"/>
      <c r="I128" s="14" t="s">
        <v>155</v>
      </c>
      <c r="J128" s="30">
        <f ca="1">(IF(B117=1,(H117/(B117+3)+J123),IF(B117=0,(H117/4+J123),IF(B117&gt;1,0))))</f>
        <v>13.5</v>
      </c>
    </row>
    <row r="129" spans="1:10" ht="16" hidden="1" thickBot="1" x14ac:dyDescent="0.4">
      <c r="A129" s="97" t="s">
        <v>140</v>
      </c>
      <c r="B129" s="98"/>
      <c r="C129" s="45">
        <v>0</v>
      </c>
      <c r="D129" s="20">
        <f ca="1">((100/(H117))*C129)/100</f>
        <v>0</v>
      </c>
      <c r="E129" s="90"/>
      <c r="F129" s="90"/>
      <c r="G129" s="95"/>
      <c r="H129" s="96"/>
      <c r="I129" s="15" t="s">
        <v>108</v>
      </c>
      <c r="J129" s="32">
        <f ca="1">(IF(B117&gt;1.5,(H117/(B117+2)+J123+MAX(0,J124-J123)+MAX(0,J125-J124)+MAX(0,J126-J125)+MAX(0,J127-J126)+MAX(0,J128-J127)),IF(B117=1,(H117/(B117+3)+J128),IF(B117=0,H117/4+J128))))</f>
        <v>18</v>
      </c>
    </row>
    <row r="130" spans="1:10" ht="15.75" customHeight="1" x14ac:dyDescent="0.35">
      <c r="A130" s="78" t="s">
        <v>146</v>
      </c>
      <c r="B130" s="79"/>
      <c r="C130" s="80" t="str">
        <f>D65</f>
        <v>Rehab Wing (D &amp; E) - G + 1st to 18th Floor</v>
      </c>
      <c r="D130" s="81"/>
      <c r="E130" s="81"/>
      <c r="F130" s="81"/>
      <c r="G130" s="81"/>
      <c r="H130" s="82"/>
      <c r="I130" s="61" t="str">
        <f ca="1">IF(D143=100%,"All work Completed. Possession granted to the Building.",IF(D142=100%,"All work Completed, Waiting for OC",I131&amp;""&amp;I132&amp;""&amp;J131&amp;""&amp;J130&amp;" "&amp;J132))</f>
        <v>All work Completed. Possession granted to the Building.</v>
      </c>
      <c r="J130" s="49" t="str">
        <f ca="1">(IF(C136=(D131+F131+H131),"",IF(C136&gt;0,", RCC upto "&amp;C136&amp;" Slab","")))&amp;(IF(C137=H131,"",IF(C137&gt;0,", Brickwork upto "&amp;C137&amp;" Floor","")))&amp;(IF(C138=H131,"",IF(C138&gt;0,", Internal Plaster upto "&amp;C138&amp;" Floor","")))&amp;(IF(C139=H131,"",IF(C139&gt;0,", External Plaster upto "&amp;C139&amp;" Floor","")))&amp;(IF(C140=H131,"",IF(C140&gt;0,", Flooring upto "&amp;C140&amp;" Floor","")))&amp;(IF(C141=H131,"",IF(C141&gt;0,", Painting upto "&amp;C141&amp;" Floor","")))&amp;(IF(C142=H131,"",IF(C142&gt;0,", Finishing upto "&amp;C142&amp;" Floor","")))&amp;(IF(C143=H131,"",IF(C143&gt;0,", Possession upto "&amp;C143&amp;" Floor","")))</f>
        <v/>
      </c>
    </row>
    <row r="131" spans="1:10" x14ac:dyDescent="0.35">
      <c r="A131" s="16" t="s">
        <v>148</v>
      </c>
      <c r="B131" s="53">
        <v>0</v>
      </c>
      <c r="C131" s="53" t="s">
        <v>75</v>
      </c>
      <c r="D131" s="53">
        <v>1</v>
      </c>
      <c r="E131" s="53" t="s">
        <v>74</v>
      </c>
      <c r="F131" s="53">
        <v>0</v>
      </c>
      <c r="G131" s="53" t="s">
        <v>83</v>
      </c>
      <c r="H131" s="17">
        <f ca="1">--TRIM(RIGHT(SUBSTITUTE(LEFT(C130,_xlfn.AGGREGATE(16,6,FIND({0,1,2,3,4,5,6,7,8,9},C130,ROW(INDIRECT("1:"&amp;LEN(C130)))),1))," ",REPT(" ",LEN(C130))),LEN(C130)))</f>
        <v>18</v>
      </c>
      <c r="I131" s="50" t="str">
        <f ca="1">IF(D134=100%,"Excavation","")&amp;IF(D135=100%,", Plinth","")&amp;IF(D136=100%,", RCC Slab","")&amp;IF(D137=100%,", Brickwork","")&amp;IF(D138=100%,", Internal Plaster","")&amp;IF(D139=100%,", External Plaster","")&amp;IF(D140=100%,", Flooring","")&amp;IF(D141=100%,", Painting","")&amp;IF(D142=100%,", Building common Amenities","")</f>
        <v>Excavation, Plinth, RCC Slab, Brickwork, Internal Plaster, External Plaster, Flooring, Painting, Building common Amenities</v>
      </c>
      <c r="J131" s="51" t="str">
        <f ca="1">(IF(C134=0,"Work not yet Started.",IF(D134=25%,"Piling work in process",IF(D134=50%,"Excavation work in process",IF(D134=100%,"","0")))))&amp;(IF(C135=0%,"",IF(C135=J136,", Footing work is process",IF(C135=J137,", Footing work Completed",IF(C135=J138,", 1st Basement Completed",IF(C135=J139,", 1st &amp; 2nd Basement Completed",IF(C135=J140,", 1st to 3rd Basement Completed",IF(C135=J141,", 1st to 4th Basement Completed",IF(C135=J142,", Plinth work is process",IF(C135=J143,"","0"))))))))))</f>
        <v/>
      </c>
    </row>
    <row r="132" spans="1:10" x14ac:dyDescent="0.35">
      <c r="A132" s="83" t="s">
        <v>93</v>
      </c>
      <c r="B132" s="84"/>
      <c r="C132" s="85" t="str">
        <f ca="1">(IF($G$58="NA",I130,"All work Completed. OC Received."))</f>
        <v>All work Completed. Possession granted to the Building.</v>
      </c>
      <c r="D132" s="85"/>
      <c r="E132" s="85"/>
      <c r="F132" s="85"/>
      <c r="G132" s="85"/>
      <c r="H132" s="86"/>
      <c r="I132" s="50" t="str">
        <f ca="1">IF(I131&lt;&gt;""," Completed","")</f>
        <v xml:space="preserve"> Completed</v>
      </c>
      <c r="J132" s="51" t="str">
        <f ca="1">IF(J130&lt;&gt;"","Completed","")</f>
        <v/>
      </c>
    </row>
    <row r="133" spans="1:10" ht="15.75" customHeight="1" x14ac:dyDescent="0.35">
      <c r="A133" s="87" t="s">
        <v>52</v>
      </c>
      <c r="B133" s="88"/>
      <c r="C133" s="44" t="s">
        <v>145</v>
      </c>
      <c r="D133" s="44" t="s">
        <v>86</v>
      </c>
      <c r="E133" s="88" t="s">
        <v>88</v>
      </c>
      <c r="F133" s="88"/>
      <c r="G133" s="88" t="s">
        <v>87</v>
      </c>
      <c r="H133" s="89"/>
      <c r="I133" s="14" t="s">
        <v>147</v>
      </c>
      <c r="J133" s="28">
        <f ca="1">H131*25%</f>
        <v>4.5</v>
      </c>
    </row>
    <row r="134" spans="1:10" x14ac:dyDescent="0.35">
      <c r="A134" s="87" t="s">
        <v>134</v>
      </c>
      <c r="B134" s="88"/>
      <c r="C134" s="44">
        <f ca="1">J135</f>
        <v>18</v>
      </c>
      <c r="D134" s="19">
        <f ca="1">((100/H131)*C134)/100</f>
        <v>1</v>
      </c>
      <c r="E134" s="90">
        <f ca="1">(((C135/H131*10)+(40/(D131+F131+H131)*C136)+(7.5/(H131)*C137)+(7.5/(H131)*C138)+(10/H131*C139)+(10/H131*C140)+(5/H131*C141)+(5/H131*C142)+(5/H131*C143))/100)</f>
        <v>1</v>
      </c>
      <c r="F134" s="90"/>
      <c r="G134" s="91">
        <f ca="1">((((C134/H131)*20)+((C135/H131)*25)+(30/(H131+F131+D131)*C136)+(5/H131*C137)+(5/H131*C138)+(5/H131*C139)+(5/H131*C140)+(0/H131*C141)+(0/H131*C142)+(5/H131*C143))/100)</f>
        <v>1</v>
      </c>
      <c r="H134" s="92"/>
      <c r="I134" s="14" t="s">
        <v>104</v>
      </c>
      <c r="J134" s="29">
        <f ca="1">H131*50%</f>
        <v>9</v>
      </c>
    </row>
    <row r="135" spans="1:10" x14ac:dyDescent="0.35">
      <c r="A135" s="87" t="s">
        <v>53</v>
      </c>
      <c r="B135" s="88"/>
      <c r="C135" s="54">
        <f ca="1">J143</f>
        <v>18</v>
      </c>
      <c r="D135" s="19">
        <f ca="1">((100/H131)*C135)/100</f>
        <v>1</v>
      </c>
      <c r="E135" s="90"/>
      <c r="F135" s="90"/>
      <c r="G135" s="93"/>
      <c r="H135" s="94"/>
      <c r="I135" s="14" t="s">
        <v>105</v>
      </c>
      <c r="J135" s="29">
        <f ca="1">H131</f>
        <v>18</v>
      </c>
    </row>
    <row r="136" spans="1:10" ht="15.75" customHeight="1" x14ac:dyDescent="0.35">
      <c r="A136" s="87" t="s">
        <v>135</v>
      </c>
      <c r="B136" s="88"/>
      <c r="C136" s="44">
        <v>19</v>
      </c>
      <c r="D136" s="19">
        <f ca="1">((100/(D131+F131+H131))*C136)/100</f>
        <v>1</v>
      </c>
      <c r="E136" s="90"/>
      <c r="F136" s="90"/>
      <c r="G136" s="93"/>
      <c r="H136" s="94"/>
      <c r="I136" s="14" t="s">
        <v>106</v>
      </c>
      <c r="J136" s="30">
        <f ca="1">(IF(B131&gt;1,(H131/(B131+2)),H131/4))</f>
        <v>4.5</v>
      </c>
    </row>
    <row r="137" spans="1:10" ht="15.75" customHeight="1" x14ac:dyDescent="0.35">
      <c r="A137" s="87" t="s">
        <v>142</v>
      </c>
      <c r="B137" s="88" t="s">
        <v>136</v>
      </c>
      <c r="C137" s="44">
        <v>18</v>
      </c>
      <c r="D137" s="19">
        <f ca="1">((100/H131)*C137)/100</f>
        <v>1</v>
      </c>
      <c r="E137" s="90"/>
      <c r="F137" s="90"/>
      <c r="G137" s="93"/>
      <c r="H137" s="94"/>
      <c r="I137" s="14" t="s">
        <v>107</v>
      </c>
      <c r="J137" s="30">
        <f ca="1">(IF(B131&gt;1,(H131/(B131+2)+J136),H131/4+J136))</f>
        <v>9</v>
      </c>
    </row>
    <row r="138" spans="1:10" ht="15.75" customHeight="1" x14ac:dyDescent="0.35">
      <c r="A138" s="87" t="s">
        <v>143</v>
      </c>
      <c r="B138" s="88" t="s">
        <v>136</v>
      </c>
      <c r="C138" s="44">
        <v>18</v>
      </c>
      <c r="D138" s="19">
        <f ca="1">((100/H131)*C138)/100</f>
        <v>1</v>
      </c>
      <c r="E138" s="90"/>
      <c r="F138" s="90"/>
      <c r="G138" s="93"/>
      <c r="H138" s="94"/>
      <c r="I138" s="14" t="s">
        <v>154</v>
      </c>
      <c r="J138" s="30">
        <f>(IF(B131&gt;1,(H131/(B131+2)+J137),0))</f>
        <v>0</v>
      </c>
    </row>
    <row r="139" spans="1:10" ht="15" customHeight="1" x14ac:dyDescent="0.35">
      <c r="A139" s="87" t="s">
        <v>141</v>
      </c>
      <c r="B139" s="88" t="s">
        <v>138</v>
      </c>
      <c r="C139" s="67">
        <v>18</v>
      </c>
      <c r="D139" s="19">
        <f ca="1">((100/(H131))*C139)/100</f>
        <v>1</v>
      </c>
      <c r="E139" s="90"/>
      <c r="F139" s="90"/>
      <c r="G139" s="93"/>
      <c r="H139" s="94"/>
      <c r="I139" s="14" t="s">
        <v>149</v>
      </c>
      <c r="J139" s="30">
        <f>(IF(B131&gt;2,(H131/(B131+2)+J138),0))</f>
        <v>0</v>
      </c>
    </row>
    <row r="140" spans="1:10" ht="15.75" customHeight="1" x14ac:dyDescent="0.35">
      <c r="A140" s="87" t="s">
        <v>137</v>
      </c>
      <c r="B140" s="88" t="s">
        <v>137</v>
      </c>
      <c r="C140" s="67">
        <v>18</v>
      </c>
      <c r="D140" s="19">
        <f ca="1">((100/H131)*C140)/100</f>
        <v>1</v>
      </c>
      <c r="E140" s="90"/>
      <c r="F140" s="90"/>
      <c r="G140" s="93"/>
      <c r="H140" s="94"/>
      <c r="I140" s="14" t="s">
        <v>150</v>
      </c>
      <c r="J140" s="31">
        <f>(IF(B131&gt;3,(H131/(B131+2)+J139),0))</f>
        <v>0</v>
      </c>
    </row>
    <row r="141" spans="1:10" ht="15.75" customHeight="1" x14ac:dyDescent="0.35">
      <c r="A141" s="87" t="s">
        <v>144</v>
      </c>
      <c r="B141" s="88"/>
      <c r="C141" s="67">
        <v>18</v>
      </c>
      <c r="D141" s="19">
        <f ca="1">((100/H131)*C141)/100</f>
        <v>1</v>
      </c>
      <c r="E141" s="90"/>
      <c r="F141" s="90"/>
      <c r="G141" s="93"/>
      <c r="H141" s="94"/>
      <c r="I141" s="14" t="s">
        <v>151</v>
      </c>
      <c r="J141" s="30">
        <f>(IF(B131&gt;4,(H131/(B131+2)+J140),0))</f>
        <v>0</v>
      </c>
    </row>
    <row r="142" spans="1:10" ht="15.75" customHeight="1" x14ac:dyDescent="0.35">
      <c r="A142" s="87" t="s">
        <v>139</v>
      </c>
      <c r="B142" s="88" t="s">
        <v>139</v>
      </c>
      <c r="C142" s="44">
        <v>18</v>
      </c>
      <c r="D142" s="19">
        <f ca="1">((100/(H131))*C142)/100</f>
        <v>1</v>
      </c>
      <c r="E142" s="90"/>
      <c r="F142" s="90"/>
      <c r="G142" s="93"/>
      <c r="H142" s="94"/>
      <c r="I142" s="14" t="s">
        <v>155</v>
      </c>
      <c r="J142" s="30">
        <f ca="1">(IF(B131=1,(H131/(B131+3)+J137),IF(B131=0,(H131/4+J137),IF(B131&gt;1,0))))</f>
        <v>13.5</v>
      </c>
    </row>
    <row r="143" spans="1:10" ht="16" thickBot="1" x14ac:dyDescent="0.4">
      <c r="A143" s="97" t="s">
        <v>140</v>
      </c>
      <c r="B143" s="98"/>
      <c r="C143" s="45">
        <v>18</v>
      </c>
      <c r="D143" s="20">
        <f ca="1">((100/(H131))*C143)/100</f>
        <v>1</v>
      </c>
      <c r="E143" s="135"/>
      <c r="F143" s="135"/>
      <c r="G143" s="95"/>
      <c r="H143" s="96"/>
      <c r="I143" s="15" t="s">
        <v>108</v>
      </c>
      <c r="J143" s="32">
        <f ca="1">(IF(B131&gt;1.5,(H131/(B131+2)+J137+MAX(0,J138-J137)+MAX(0,J139-J138)+MAX(0,J140-J139)+MAX(0,J141-J140)+MAX(0,J142-J141)),IF(B131=1,(H131/(B131+3)+J142),IF(B131=0,H131/4+J142))))</f>
        <v>18</v>
      </c>
    </row>
    <row r="144" spans="1:10" x14ac:dyDescent="0.35">
      <c r="A144" s="108" t="s">
        <v>166</v>
      </c>
      <c r="B144" s="108"/>
      <c r="C144" s="108"/>
      <c r="D144" s="108"/>
      <c r="E144" s="108"/>
      <c r="F144" s="144" t="s">
        <v>171</v>
      </c>
      <c r="G144" s="144"/>
      <c r="H144" s="144"/>
    </row>
    <row r="145" spans="1:8" x14ac:dyDescent="0.35">
      <c r="A145" s="99" t="s">
        <v>169</v>
      </c>
      <c r="B145" s="99"/>
      <c r="C145" s="99"/>
      <c r="D145" s="99"/>
      <c r="E145" s="99"/>
      <c r="F145" s="107">
        <v>14500</v>
      </c>
      <c r="G145" s="107"/>
      <c r="H145" s="107"/>
    </row>
    <row r="146" spans="1:8" x14ac:dyDescent="0.35">
      <c r="A146" s="99" t="s">
        <v>168</v>
      </c>
      <c r="B146" s="99"/>
      <c r="C146" s="99"/>
      <c r="D146" s="99"/>
      <c r="E146" s="99"/>
      <c r="F146" s="107">
        <v>25000</v>
      </c>
      <c r="G146" s="107"/>
      <c r="H146" s="107"/>
    </row>
    <row r="147" spans="1:8" hidden="1" x14ac:dyDescent="0.35">
      <c r="A147" s="99" t="s">
        <v>170</v>
      </c>
      <c r="B147" s="99"/>
      <c r="C147" s="99"/>
      <c r="D147" s="99"/>
      <c r="E147" s="99"/>
      <c r="F147" s="107"/>
      <c r="G147" s="107"/>
      <c r="H147" s="107"/>
    </row>
    <row r="148" spans="1:8" s="33" customFormat="1" hidden="1" x14ac:dyDescent="0.3">
      <c r="A148" s="99" t="s">
        <v>167</v>
      </c>
      <c r="B148" s="99"/>
      <c r="C148" s="99"/>
      <c r="D148" s="99"/>
      <c r="E148" s="99"/>
      <c r="F148" s="107"/>
      <c r="G148" s="107"/>
      <c r="H148" s="107"/>
    </row>
    <row r="149" spans="1:8" s="33" customFormat="1" hidden="1" x14ac:dyDescent="0.3">
      <c r="A149" s="99" t="s">
        <v>98</v>
      </c>
      <c r="B149" s="99"/>
      <c r="C149" s="99"/>
      <c r="D149" s="99"/>
      <c r="E149" s="99"/>
      <c r="F149" s="107"/>
      <c r="G149" s="107"/>
      <c r="H149" s="107"/>
    </row>
    <row r="150" spans="1:8" s="33" customFormat="1" hidden="1" x14ac:dyDescent="0.3">
      <c r="A150" s="99" t="s">
        <v>99</v>
      </c>
      <c r="B150" s="99"/>
      <c r="C150" s="99"/>
      <c r="D150" s="99"/>
      <c r="E150" s="99"/>
      <c r="F150" s="107"/>
      <c r="G150" s="107"/>
      <c r="H150" s="107"/>
    </row>
    <row r="151" spans="1:8" s="33" customFormat="1" hidden="1" x14ac:dyDescent="0.3">
      <c r="A151" s="99" t="s">
        <v>172</v>
      </c>
      <c r="B151" s="99"/>
      <c r="C151" s="99"/>
      <c r="D151" s="99"/>
      <c r="E151" s="99"/>
      <c r="F151" s="107"/>
      <c r="G151" s="107"/>
      <c r="H151" s="107"/>
    </row>
    <row r="152" spans="1:8" s="33" customFormat="1" hidden="1" x14ac:dyDescent="0.3">
      <c r="A152" s="99" t="s">
        <v>100</v>
      </c>
      <c r="B152" s="99"/>
      <c r="C152" s="99"/>
      <c r="D152" s="99"/>
      <c r="E152" s="99"/>
      <c r="F152" s="107"/>
      <c r="G152" s="107"/>
      <c r="H152" s="107"/>
    </row>
    <row r="153" spans="1:8" s="33" customFormat="1" hidden="1" x14ac:dyDescent="0.3">
      <c r="A153" s="99" t="s">
        <v>101</v>
      </c>
      <c r="B153" s="99"/>
      <c r="C153" s="99"/>
      <c r="D153" s="99"/>
      <c r="E153" s="99"/>
      <c r="F153" s="107"/>
      <c r="G153" s="107"/>
      <c r="H153" s="107"/>
    </row>
    <row r="154" spans="1:8" s="33" customFormat="1" hidden="1" x14ac:dyDescent="0.3">
      <c r="A154" s="99" t="s">
        <v>102</v>
      </c>
      <c r="B154" s="99"/>
      <c r="C154" s="99"/>
      <c r="D154" s="99"/>
      <c r="E154" s="99"/>
      <c r="F154" s="107"/>
      <c r="G154" s="107"/>
      <c r="H154" s="107"/>
    </row>
    <row r="155" spans="1:8" s="33" customFormat="1" hidden="1" x14ac:dyDescent="0.3">
      <c r="A155" s="99" t="s">
        <v>103</v>
      </c>
      <c r="B155" s="99"/>
      <c r="C155" s="99"/>
      <c r="D155" s="99"/>
      <c r="E155" s="99"/>
      <c r="F155" s="107"/>
      <c r="G155" s="107"/>
      <c r="H155" s="107"/>
    </row>
    <row r="156" spans="1:8" x14ac:dyDescent="0.35">
      <c r="A156" s="99" t="s">
        <v>54</v>
      </c>
      <c r="B156" s="99"/>
      <c r="C156" s="99"/>
      <c r="D156" s="99"/>
      <c r="E156" s="99"/>
      <c r="F156" s="107">
        <v>800000</v>
      </c>
      <c r="G156" s="107"/>
      <c r="H156" s="107"/>
    </row>
    <row r="157" spans="1:8" s="34" customFormat="1" x14ac:dyDescent="0.35">
      <c r="A157" s="159" t="s">
        <v>55</v>
      </c>
      <c r="B157" s="159"/>
      <c r="C157" s="159"/>
      <c r="D157" s="159"/>
      <c r="E157" s="159"/>
      <c r="F157" s="107">
        <f>F145*0.8</f>
        <v>11600</v>
      </c>
      <c r="G157" s="107"/>
      <c r="H157" s="107"/>
    </row>
    <row r="158" spans="1:8" s="35" customFormat="1" ht="15.75" customHeight="1" x14ac:dyDescent="0.35">
      <c r="A158" s="129" t="s">
        <v>251</v>
      </c>
      <c r="B158" s="129"/>
      <c r="C158" s="129"/>
      <c r="D158" s="129"/>
      <c r="E158" s="129"/>
      <c r="F158" s="129"/>
      <c r="G158" s="129"/>
      <c r="H158" s="129"/>
    </row>
    <row r="159" spans="1:8" s="35" customFormat="1" ht="15.75" customHeight="1" x14ac:dyDescent="0.35">
      <c r="A159" s="109" t="s">
        <v>56</v>
      </c>
      <c r="B159" s="109"/>
      <c r="C159" s="130" t="s">
        <v>81</v>
      </c>
      <c r="D159" s="130"/>
      <c r="E159" s="125" t="s">
        <v>57</v>
      </c>
      <c r="F159" s="125"/>
      <c r="G159" s="109" t="s">
        <v>58</v>
      </c>
      <c r="H159" s="109"/>
    </row>
    <row r="160" spans="1:8" s="35" customFormat="1" x14ac:dyDescent="0.35">
      <c r="A160" s="126" t="s">
        <v>241</v>
      </c>
      <c r="B160" s="126"/>
      <c r="C160" s="128">
        <f>COUNT(D183:D184)</f>
        <v>2</v>
      </c>
      <c r="D160" s="127"/>
      <c r="E160" s="128">
        <f>SUM(D183:D184)</f>
        <v>243.05111999999997</v>
      </c>
      <c r="F160" s="127"/>
      <c r="G160" s="128">
        <f>SUM(F183:F184)</f>
        <v>388.88179199999996</v>
      </c>
      <c r="H160" s="127"/>
    </row>
    <row r="161" spans="1:13" s="35" customFormat="1" ht="15.75" hidden="1" customHeight="1" x14ac:dyDescent="0.35">
      <c r="A161" s="126" t="s">
        <v>244</v>
      </c>
      <c r="B161" s="126"/>
      <c r="C161" s="128">
        <f>COUNT(D185)</f>
        <v>0</v>
      </c>
      <c r="D161" s="127"/>
      <c r="E161" s="128">
        <f t="shared" ref="E161" si="0">SUM(D185)</f>
        <v>0</v>
      </c>
      <c r="F161" s="127"/>
      <c r="G161" s="128">
        <f>SUM(F185)</f>
        <v>0</v>
      </c>
      <c r="H161" s="127"/>
    </row>
    <row r="162" spans="1:13" s="35" customFormat="1" x14ac:dyDescent="0.35">
      <c r="A162" s="129" t="s">
        <v>160</v>
      </c>
      <c r="B162" s="129"/>
      <c r="C162" s="131">
        <f>SUM(C160:C161)</f>
        <v>2</v>
      </c>
      <c r="D162" s="125"/>
      <c r="E162" s="131">
        <f>SUM(E160:E161)</f>
        <v>243.05111999999997</v>
      </c>
      <c r="F162" s="125"/>
      <c r="G162" s="131">
        <f>SUM(G160:G161)</f>
        <v>388.88179199999996</v>
      </c>
      <c r="H162" s="125"/>
    </row>
    <row r="163" spans="1:13" s="35" customFormat="1" x14ac:dyDescent="0.35">
      <c r="A163" s="129" t="s">
        <v>252</v>
      </c>
      <c r="B163" s="129"/>
      <c r="C163" s="129"/>
      <c r="D163" s="129"/>
      <c r="E163" s="129"/>
      <c r="F163" s="129"/>
      <c r="G163" s="129"/>
      <c r="H163" s="129"/>
      <c r="I163" s="35" t="s">
        <v>231</v>
      </c>
      <c r="J163" s="60">
        <f>C168+C175</f>
        <v>150</v>
      </c>
      <c r="L163" s="35" t="s">
        <v>248</v>
      </c>
      <c r="M163" s="35" t="s">
        <v>116</v>
      </c>
    </row>
    <row r="164" spans="1:13" s="35" customFormat="1" ht="15.75" customHeight="1" x14ac:dyDescent="0.35">
      <c r="A164" s="109" t="s">
        <v>56</v>
      </c>
      <c r="B164" s="109"/>
      <c r="C164" s="130" t="s">
        <v>81</v>
      </c>
      <c r="D164" s="130"/>
      <c r="E164" s="125" t="s">
        <v>57</v>
      </c>
      <c r="F164" s="125"/>
      <c r="G164" s="109" t="s">
        <v>58</v>
      </c>
      <c r="H164" s="109"/>
      <c r="I164" s="35" t="s">
        <v>230</v>
      </c>
      <c r="J164" s="35">
        <f>C174</f>
        <v>166</v>
      </c>
      <c r="K164" s="35">
        <f>22000/1.55</f>
        <v>14193.548387096775</v>
      </c>
      <c r="L164" s="60">
        <f>23000/1.55</f>
        <v>14838.709677419354</v>
      </c>
      <c r="M164" s="60">
        <f>8500000/F224</f>
        <v>13322.804493354997</v>
      </c>
    </row>
    <row r="165" spans="1:13" s="35" customFormat="1" x14ac:dyDescent="0.35">
      <c r="A165" s="126" t="s">
        <v>241</v>
      </c>
      <c r="B165" s="126"/>
      <c r="C165" s="127">
        <f>COUNT(D200:D203)+COUNT(D205:D208)*10+COUNT(D212:D213)+COUNT(D215:D218)</f>
        <v>50</v>
      </c>
      <c r="D165" s="127"/>
      <c r="E165" s="128">
        <f>SUM(D200:D203)+SUM(D205:D208)*10+SUM(D212:D213)+SUM(D215:D218)</f>
        <v>25254.281519999997</v>
      </c>
      <c r="F165" s="128"/>
      <c r="G165" s="128">
        <f>SUM(F200:F203)+SUM(F205:F208)*10+SUM(F212:F213)+SUM(F215:F218)</f>
        <v>39309.280334999996</v>
      </c>
      <c r="H165" s="128"/>
      <c r="I165" s="35" t="s">
        <v>246</v>
      </c>
      <c r="J165" s="60">
        <f>C160</f>
        <v>2</v>
      </c>
      <c r="M165" s="60">
        <f>14700000/F207</f>
        <v>15481.868056354531</v>
      </c>
    </row>
    <row r="166" spans="1:13" s="35" customFormat="1" ht="15.75" customHeight="1" x14ac:dyDescent="0.35">
      <c r="A166" s="126" t="s">
        <v>242</v>
      </c>
      <c r="B166" s="126"/>
      <c r="C166" s="127">
        <f>COUNT(D222:D225)+COUNT(D227:D230)*10+COUNT(D232,D234:D235)</f>
        <v>47</v>
      </c>
      <c r="D166" s="127"/>
      <c r="E166" s="128">
        <f>SUM(D222:D225)+SUM(D227:D230)*10+SUM(D232,D234:D235)</f>
        <v>18689.533200000002</v>
      </c>
      <c r="F166" s="128"/>
      <c r="G166" s="128">
        <f>SUM(F222:F225)+SUM(F227:F230)*10+SUM(F232,F234:F235)</f>
        <v>28968.776459999997</v>
      </c>
      <c r="H166" s="128"/>
      <c r="I166" s="35" t="s">
        <v>247</v>
      </c>
      <c r="J166" s="60">
        <f>C171</f>
        <v>7</v>
      </c>
    </row>
    <row r="167" spans="1:13" s="35" customFormat="1" ht="15.75" customHeight="1" x14ac:dyDescent="0.35">
      <c r="A167" s="126" t="s">
        <v>243</v>
      </c>
      <c r="B167" s="126"/>
      <c r="C167" s="127">
        <f>COUNT(D239:D242)+COUNT(D244:D247)*10+COUNT(D249:D251)</f>
        <v>47</v>
      </c>
      <c r="D167" s="127"/>
      <c r="E167" s="128">
        <f>SUM(D239:D242)+SUM(D244:D247)*10+SUM(D249:D251)</f>
        <v>18472.638600000002</v>
      </c>
      <c r="F167" s="128"/>
      <c r="G167" s="128">
        <f>SUM(F239:F242)+SUM(F244:F247)*10+SUM(F249:F251)</f>
        <v>28632.589830000001</v>
      </c>
      <c r="H167" s="128"/>
      <c r="I167" s="35" t="s">
        <v>199</v>
      </c>
      <c r="J167" s="35">
        <v>1</v>
      </c>
    </row>
    <row r="168" spans="1:13" s="35" customFormat="1" x14ac:dyDescent="0.35">
      <c r="A168" s="129" t="s">
        <v>160</v>
      </c>
      <c r="B168" s="129"/>
      <c r="C168" s="130">
        <f>SUM(C165:C167)</f>
        <v>144</v>
      </c>
      <c r="D168" s="130"/>
      <c r="E168" s="131">
        <f>SUM(E165:E167)</f>
        <v>62416.453320000001</v>
      </c>
      <c r="F168" s="131"/>
      <c r="G168" s="109">
        <f>SUM(G165:G167)</f>
        <v>96910.646624999994</v>
      </c>
      <c r="H168" s="109"/>
      <c r="J168" s="60">
        <f>SUM(J163:J167)</f>
        <v>326</v>
      </c>
    </row>
    <row r="169" spans="1:13" s="35" customFormat="1" ht="15.75" customHeight="1" x14ac:dyDescent="0.35">
      <c r="A169" s="129" t="s">
        <v>228</v>
      </c>
      <c r="B169" s="129"/>
      <c r="C169" s="129"/>
      <c r="D169" s="129"/>
      <c r="E169" s="129"/>
      <c r="F169" s="129"/>
      <c r="G169" s="129"/>
      <c r="H169" s="129"/>
    </row>
    <row r="170" spans="1:13" s="35" customFormat="1" ht="15.75" customHeight="1" x14ac:dyDescent="0.35">
      <c r="A170" s="109" t="s">
        <v>56</v>
      </c>
      <c r="B170" s="109"/>
      <c r="C170" s="130" t="s">
        <v>81</v>
      </c>
      <c r="D170" s="130"/>
      <c r="E170" s="125" t="s">
        <v>57</v>
      </c>
      <c r="F170" s="125"/>
      <c r="G170" s="109" t="s">
        <v>58</v>
      </c>
      <c r="H170" s="109"/>
    </row>
    <row r="171" spans="1:13" s="35" customFormat="1" x14ac:dyDescent="0.35">
      <c r="A171" s="126" t="s">
        <v>245</v>
      </c>
      <c r="B171" s="126"/>
      <c r="C171" s="128">
        <f>COUNT(D188:D194)</f>
        <v>7</v>
      </c>
      <c r="D171" s="127"/>
      <c r="E171" s="128">
        <f>SUM(D188:D194)</f>
        <v>1161.4355999999998</v>
      </c>
      <c r="F171" s="127"/>
      <c r="G171" s="128">
        <f>SUM(F188:F194)</f>
        <v>1858.2969599999999</v>
      </c>
      <c r="H171" s="127"/>
    </row>
    <row r="172" spans="1:13" s="35" customFormat="1" x14ac:dyDescent="0.35">
      <c r="A172" s="129" t="s">
        <v>229</v>
      </c>
      <c r="B172" s="129"/>
      <c r="C172" s="129"/>
      <c r="D172" s="129"/>
      <c r="E172" s="129"/>
      <c r="F172" s="129"/>
      <c r="G172" s="129"/>
      <c r="H172" s="129"/>
    </row>
    <row r="173" spans="1:13" s="35" customFormat="1" ht="15.75" customHeight="1" x14ac:dyDescent="0.35">
      <c r="A173" s="109" t="s">
        <v>56</v>
      </c>
      <c r="B173" s="109"/>
      <c r="C173" s="130" t="s">
        <v>81</v>
      </c>
      <c r="D173" s="130"/>
      <c r="E173" s="125" t="s">
        <v>57</v>
      </c>
      <c r="F173" s="125"/>
      <c r="G173" s="109" t="s">
        <v>58</v>
      </c>
      <c r="H173" s="109"/>
    </row>
    <row r="174" spans="1:13" s="35" customFormat="1" x14ac:dyDescent="0.35">
      <c r="A174" s="126" t="s">
        <v>230</v>
      </c>
      <c r="B174" s="126"/>
      <c r="C174" s="127">
        <f>COUNT(D255:D256,D258)+COUNT(D266:D270)+COUNT(D272:D282)*12+COUNT(D284,D287:D294)+COUNT(D296,D298:D306)+COUNT(D308:D313,D316)</f>
        <v>166</v>
      </c>
      <c r="D174" s="127"/>
      <c r="E174" s="128">
        <f>SUM(D255:D256,D258)+SUM(D266:D270)+SUM(D272:D282)*12+SUM(D284,D287:D294)+SUM(D296,D298:D306)+SUM(D308:D313,D316)</f>
        <v>49906.855439999999</v>
      </c>
      <c r="F174" s="128"/>
      <c r="G174" s="128">
        <f>SUM(F255:F256,F258)+SUM(F266:F270)+SUM(F272:F282)*12+SUM(F284,F287:F294)+SUM(F296,F298:F306)+SUM(F308:F313,F316)</f>
        <v>77355.625931999981</v>
      </c>
      <c r="H174" s="128"/>
    </row>
    <row r="175" spans="1:13" s="35" customFormat="1" x14ac:dyDescent="0.35">
      <c r="A175" s="126" t="s">
        <v>231</v>
      </c>
      <c r="B175" s="126"/>
      <c r="C175" s="128">
        <f>COUNT(D257)+COUNT(D314:D318)</f>
        <v>6</v>
      </c>
      <c r="D175" s="127"/>
      <c r="E175" s="128">
        <f>SUM(D257)+SUM(D314:D318)</f>
        <v>1803.0776399999997</v>
      </c>
      <c r="F175" s="128"/>
      <c r="G175" s="128">
        <f>SUM(F257)+SUM(F314:F318)</f>
        <v>2794.7703419999998</v>
      </c>
      <c r="H175" s="128"/>
    </row>
    <row r="176" spans="1:13" s="35" customFormat="1" x14ac:dyDescent="0.35">
      <c r="A176" s="129" t="s">
        <v>160</v>
      </c>
      <c r="B176" s="129"/>
      <c r="C176" s="130">
        <f>SUM(C174:C175)</f>
        <v>172</v>
      </c>
      <c r="D176" s="130"/>
      <c r="E176" s="131">
        <f>SUM(E174:E175)</f>
        <v>51709.933080000003</v>
      </c>
      <c r="F176" s="131"/>
      <c r="G176" s="109">
        <f>SUM(G174:G175)</f>
        <v>80150.396273999984</v>
      </c>
      <c r="H176" s="109"/>
    </row>
    <row r="177" spans="1:14" s="34" customFormat="1" x14ac:dyDescent="0.35">
      <c r="A177" s="132" t="s">
        <v>59</v>
      </c>
      <c r="B177" s="132"/>
      <c r="C177" s="132"/>
      <c r="D177" s="132"/>
      <c r="E177" s="132"/>
      <c r="F177" s="132"/>
      <c r="G177" s="132"/>
      <c r="H177" s="132"/>
    </row>
    <row r="178" spans="1:14" x14ac:dyDescent="0.35">
      <c r="A178" s="132" t="s">
        <v>60</v>
      </c>
      <c r="B178" s="132"/>
      <c r="C178" s="132"/>
      <c r="D178" s="132"/>
      <c r="E178" s="132"/>
      <c r="F178" s="132"/>
      <c r="G178" s="132"/>
      <c r="H178" s="132"/>
    </row>
    <row r="179" spans="1:14" ht="47.25" customHeight="1" x14ac:dyDescent="0.35">
      <c r="A179" s="133" t="s">
        <v>126</v>
      </c>
      <c r="B179" s="133" t="s">
        <v>125</v>
      </c>
      <c r="C179" s="133" t="s">
        <v>61</v>
      </c>
      <c r="D179" s="133" t="s">
        <v>62</v>
      </c>
      <c r="E179" s="140" t="s">
        <v>165</v>
      </c>
      <c r="F179" s="43" t="s">
        <v>158</v>
      </c>
      <c r="G179" s="136" t="s">
        <v>64</v>
      </c>
      <c r="H179" s="142"/>
    </row>
    <row r="180" spans="1:14" s="37" customFormat="1" x14ac:dyDescent="0.35">
      <c r="A180" s="134"/>
      <c r="B180" s="134"/>
      <c r="C180" s="134"/>
      <c r="D180" s="134"/>
      <c r="E180" s="141"/>
      <c r="F180" s="13">
        <v>0.6</v>
      </c>
      <c r="G180" s="137"/>
      <c r="H180" s="143"/>
    </row>
    <row r="181" spans="1:14" s="37" customFormat="1" x14ac:dyDescent="0.35">
      <c r="A181" s="101" t="s">
        <v>210</v>
      </c>
      <c r="B181" s="102"/>
      <c r="C181" s="102"/>
      <c r="D181" s="102"/>
      <c r="E181" s="102"/>
      <c r="F181" s="102"/>
      <c r="G181" s="102"/>
      <c r="H181" s="103"/>
      <c r="J181" s="36"/>
    </row>
    <row r="182" spans="1:14" s="37" customFormat="1" x14ac:dyDescent="0.35">
      <c r="A182" s="101" t="s">
        <v>197</v>
      </c>
      <c r="B182" s="102"/>
      <c r="C182" s="102"/>
      <c r="D182" s="102"/>
      <c r="E182" s="102"/>
      <c r="F182" s="102"/>
      <c r="G182" s="102"/>
      <c r="H182" s="103"/>
      <c r="J182" s="55">
        <f>10.764</f>
        <v>10.763999999999999</v>
      </c>
    </row>
    <row r="183" spans="1:14" s="37" customFormat="1" ht="15.75" customHeight="1" x14ac:dyDescent="0.35">
      <c r="A183" s="42">
        <v>1</v>
      </c>
      <c r="B183" s="58" t="s">
        <v>227</v>
      </c>
      <c r="C183" s="56" t="s">
        <v>198</v>
      </c>
      <c r="D183" s="59">
        <f>(11.29)*(10.764)</f>
        <v>121.52555999999998</v>
      </c>
      <c r="E183" s="56">
        <v>0</v>
      </c>
      <c r="F183" s="56">
        <f>(D183+E183)*(($F$180)+1)</f>
        <v>194.44089599999998</v>
      </c>
      <c r="G183" s="110" t="str">
        <f>A182</f>
        <v>Ground Floor For Commercial</v>
      </c>
      <c r="H183" s="111"/>
      <c r="I183" s="36"/>
      <c r="L183" s="100"/>
      <c r="M183" s="100"/>
      <c r="N183" s="36"/>
    </row>
    <row r="184" spans="1:14" s="37" customFormat="1" ht="15.75" customHeight="1" x14ac:dyDescent="0.35">
      <c r="A184" s="42">
        <f t="shared" ref="A184:A185" si="1">A183+1</f>
        <v>2</v>
      </c>
      <c r="B184" s="58" t="s">
        <v>227</v>
      </c>
      <c r="C184" s="56" t="s">
        <v>198</v>
      </c>
      <c r="D184" s="59">
        <f>(11.29)*(10.764)</f>
        <v>121.52555999999998</v>
      </c>
      <c r="E184" s="56">
        <v>0</v>
      </c>
      <c r="F184" s="56">
        <f t="shared" ref="F184" si="2">(D184+E184)*(($F$180)+1)</f>
        <v>194.44089599999998</v>
      </c>
      <c r="G184" s="112"/>
      <c r="H184" s="113"/>
      <c r="I184" s="36"/>
      <c r="L184" s="100"/>
      <c r="M184" s="100"/>
      <c r="N184" s="36"/>
    </row>
    <row r="185" spans="1:14" s="37" customFormat="1" x14ac:dyDescent="0.35">
      <c r="A185" s="42">
        <f t="shared" si="1"/>
        <v>3</v>
      </c>
      <c r="B185" s="42" t="s">
        <v>239</v>
      </c>
      <c r="C185" s="104" t="s">
        <v>199</v>
      </c>
      <c r="D185" s="105"/>
      <c r="E185" s="105"/>
      <c r="F185" s="106"/>
      <c r="G185" s="112"/>
      <c r="H185" s="113"/>
      <c r="I185" s="36"/>
      <c r="L185" s="100"/>
      <c r="M185" s="100"/>
      <c r="N185" s="36"/>
    </row>
    <row r="186" spans="1:14" s="37" customFormat="1" x14ac:dyDescent="0.35">
      <c r="A186" s="101" t="s">
        <v>213</v>
      </c>
      <c r="B186" s="102"/>
      <c r="C186" s="102"/>
      <c r="D186" s="102"/>
      <c r="E186" s="102"/>
      <c r="F186" s="102"/>
      <c r="G186" s="102"/>
      <c r="H186" s="103"/>
      <c r="J186" s="36"/>
    </row>
    <row r="187" spans="1:14" s="37" customFormat="1" ht="15.75" customHeight="1" x14ac:dyDescent="0.35">
      <c r="A187" s="101" t="s">
        <v>216</v>
      </c>
      <c r="B187" s="102"/>
      <c r="C187" s="102"/>
      <c r="D187" s="102"/>
      <c r="E187" s="102"/>
      <c r="F187" s="102"/>
      <c r="G187" s="102"/>
      <c r="H187" s="103"/>
      <c r="J187" s="36"/>
    </row>
    <row r="188" spans="1:14" s="37" customFormat="1" ht="15.75" customHeight="1" x14ac:dyDescent="0.35">
      <c r="A188" s="42">
        <v>1</v>
      </c>
      <c r="B188" s="56" t="s">
        <v>224</v>
      </c>
      <c r="C188" s="42" t="s">
        <v>198</v>
      </c>
      <c r="D188" s="55">
        <f>(21.32)*(10.764)</f>
        <v>229.48847999999998</v>
      </c>
      <c r="E188" s="42">
        <v>0</v>
      </c>
      <c r="F188" s="42">
        <f>(D188+E188)*(($F$180)+1)</f>
        <v>367.18156799999997</v>
      </c>
      <c r="G188" s="110" t="str">
        <f>A187</f>
        <v>Ground Floor For Part Commercial</v>
      </c>
      <c r="H188" s="111"/>
      <c r="I188" s="36"/>
      <c r="L188" s="100"/>
      <c r="M188" s="100"/>
      <c r="N188" s="36"/>
    </row>
    <row r="189" spans="1:14" s="37" customFormat="1" x14ac:dyDescent="0.35">
      <c r="A189" s="42">
        <f t="shared" ref="A189:A194" si="3">A188+1</f>
        <v>2</v>
      </c>
      <c r="B189" s="56" t="s">
        <v>224</v>
      </c>
      <c r="C189" s="42" t="s">
        <v>198</v>
      </c>
      <c r="D189" s="55">
        <f>(14.07)*(10.764)</f>
        <v>151.44947999999999</v>
      </c>
      <c r="E189" s="42">
        <v>0</v>
      </c>
      <c r="F189" s="42">
        <f t="shared" ref="F189:F191" si="4">(D189+E189)*(($F$180)+1)</f>
        <v>242.31916799999999</v>
      </c>
      <c r="G189" s="112"/>
      <c r="H189" s="113"/>
      <c r="I189" s="36"/>
      <c r="L189" s="100"/>
      <c r="M189" s="100"/>
      <c r="N189" s="36"/>
    </row>
    <row r="190" spans="1:14" s="37" customFormat="1" x14ac:dyDescent="0.35">
      <c r="A190" s="42">
        <f t="shared" si="3"/>
        <v>3</v>
      </c>
      <c r="B190" s="56" t="s">
        <v>224</v>
      </c>
      <c r="C190" s="42" t="s">
        <v>198</v>
      </c>
      <c r="D190" s="55">
        <f>(7.49)*(10.764)</f>
        <v>80.62236</v>
      </c>
      <c r="E190" s="42">
        <v>0</v>
      </c>
      <c r="F190" s="42">
        <f t="shared" si="4"/>
        <v>128.99577600000001</v>
      </c>
      <c r="G190" s="112"/>
      <c r="H190" s="113"/>
      <c r="I190" s="36"/>
      <c r="L190" s="100"/>
      <c r="M190" s="100"/>
      <c r="N190" s="36"/>
    </row>
    <row r="191" spans="1:14" s="37" customFormat="1" x14ac:dyDescent="0.35">
      <c r="A191" s="42">
        <f t="shared" si="3"/>
        <v>4</v>
      </c>
      <c r="B191" s="56" t="s">
        <v>224</v>
      </c>
      <c r="C191" s="42" t="s">
        <v>198</v>
      </c>
      <c r="D191" s="55">
        <f>(7.46)*(10.764)</f>
        <v>80.29943999999999</v>
      </c>
      <c r="E191" s="42">
        <v>0</v>
      </c>
      <c r="F191" s="42">
        <f t="shared" si="4"/>
        <v>128.47910399999998</v>
      </c>
      <c r="G191" s="112"/>
      <c r="H191" s="113"/>
      <c r="I191" s="36"/>
      <c r="L191" s="100"/>
      <c r="M191" s="100"/>
      <c r="N191" s="36"/>
    </row>
    <row r="192" spans="1:14" s="37" customFormat="1" x14ac:dyDescent="0.35">
      <c r="A192" s="42">
        <f t="shared" si="3"/>
        <v>5</v>
      </c>
      <c r="B192" s="56" t="s">
        <v>224</v>
      </c>
      <c r="C192" s="42" t="s">
        <v>198</v>
      </c>
      <c r="D192" s="55">
        <f>(14.92)*(10.764)</f>
        <v>160.59887999999998</v>
      </c>
      <c r="E192" s="42">
        <v>0</v>
      </c>
      <c r="F192" s="42">
        <f t="shared" ref="F192:F194" si="5">(D192+E192)*(($F$180)+1)</f>
        <v>256.95820799999996</v>
      </c>
      <c r="G192" s="112"/>
      <c r="H192" s="113"/>
      <c r="I192" s="36"/>
      <c r="L192" s="100"/>
      <c r="M192" s="100"/>
      <c r="N192" s="36"/>
    </row>
    <row r="193" spans="1:14" s="37" customFormat="1" x14ac:dyDescent="0.35">
      <c r="A193" s="42">
        <v>7</v>
      </c>
      <c r="B193" s="56" t="s">
        <v>224</v>
      </c>
      <c r="C193" s="42" t="s">
        <v>198</v>
      </c>
      <c r="D193" s="55">
        <f>(21.32)*(10.764)</f>
        <v>229.48847999999998</v>
      </c>
      <c r="E193" s="42">
        <v>0</v>
      </c>
      <c r="F193" s="42">
        <f t="shared" si="5"/>
        <v>367.18156799999997</v>
      </c>
      <c r="G193" s="112"/>
      <c r="H193" s="113"/>
      <c r="I193" s="36" t="s">
        <v>214</v>
      </c>
      <c r="L193" s="100"/>
      <c r="M193" s="100"/>
      <c r="N193" s="36"/>
    </row>
    <row r="194" spans="1:14" s="37" customFormat="1" x14ac:dyDescent="0.35">
      <c r="A194" s="42">
        <f t="shared" si="3"/>
        <v>8</v>
      </c>
      <c r="B194" s="56" t="s">
        <v>224</v>
      </c>
      <c r="C194" s="42" t="s">
        <v>198</v>
      </c>
      <c r="D194" s="55">
        <f>(21.32)*(10.764)</f>
        <v>229.48847999999998</v>
      </c>
      <c r="E194" s="42">
        <v>0</v>
      </c>
      <c r="F194" s="42">
        <f t="shared" si="5"/>
        <v>367.18156799999997</v>
      </c>
      <c r="G194" s="114"/>
      <c r="H194" s="115"/>
      <c r="I194" s="36"/>
      <c r="L194" s="100"/>
      <c r="M194" s="100"/>
      <c r="N194" s="36"/>
    </row>
    <row r="195" spans="1:14" s="37" customFormat="1" x14ac:dyDescent="0.35">
      <c r="A195" s="104"/>
      <c r="B195" s="105"/>
      <c r="C195" s="105"/>
      <c r="D195" s="105"/>
      <c r="E195" s="105"/>
      <c r="F195" s="105"/>
      <c r="G195" s="105"/>
      <c r="H195" s="106"/>
      <c r="I195" s="36"/>
      <c r="N195" s="36"/>
    </row>
    <row r="196" spans="1:14" ht="47.25" customHeight="1" x14ac:dyDescent="0.35">
      <c r="A196" s="136" t="s">
        <v>127</v>
      </c>
      <c r="B196" s="136" t="s">
        <v>128</v>
      </c>
      <c r="C196" s="133" t="s">
        <v>61</v>
      </c>
      <c r="D196" s="133" t="s">
        <v>62</v>
      </c>
      <c r="E196" s="140" t="s">
        <v>63</v>
      </c>
      <c r="F196" s="43" t="s">
        <v>158</v>
      </c>
      <c r="G196" s="136" t="s">
        <v>64</v>
      </c>
      <c r="H196" s="142"/>
      <c r="I196" s="36"/>
    </row>
    <row r="197" spans="1:14" s="37" customFormat="1" x14ac:dyDescent="0.35">
      <c r="A197" s="137"/>
      <c r="B197" s="137"/>
      <c r="C197" s="134"/>
      <c r="D197" s="134"/>
      <c r="E197" s="141"/>
      <c r="F197" s="13">
        <v>0.55000000000000004</v>
      </c>
      <c r="G197" s="137"/>
      <c r="H197" s="143"/>
      <c r="I197" s="36"/>
    </row>
    <row r="198" spans="1:14" s="37" customFormat="1" x14ac:dyDescent="0.35">
      <c r="A198" s="101" t="s">
        <v>210</v>
      </c>
      <c r="B198" s="102"/>
      <c r="C198" s="102"/>
      <c r="D198" s="102"/>
      <c r="E198" s="102"/>
      <c r="F198" s="102"/>
      <c r="G198" s="102"/>
      <c r="H198" s="103"/>
      <c r="J198" s="36"/>
    </row>
    <row r="199" spans="1:14" s="37" customFormat="1" x14ac:dyDescent="0.35">
      <c r="A199" s="101" t="s">
        <v>200</v>
      </c>
      <c r="B199" s="102"/>
      <c r="C199" s="102"/>
      <c r="D199" s="102"/>
      <c r="E199" s="102"/>
      <c r="F199" s="102"/>
      <c r="G199" s="102"/>
      <c r="H199" s="103"/>
      <c r="J199" s="36">
        <f>3.05*4.15+2.15*2.65+2.75*3.7+1.2*2.55+2.3*0.9+2.15*1.2</f>
        <v>36.239999999999995</v>
      </c>
    </row>
    <row r="200" spans="1:14" s="37" customFormat="1" ht="15.75" customHeight="1" x14ac:dyDescent="0.35">
      <c r="A200" s="42">
        <v>1</v>
      </c>
      <c r="B200" s="58" t="s">
        <v>227</v>
      </c>
      <c r="C200" s="52">
        <v>1</v>
      </c>
      <c r="D200" s="55">
        <f>(35.97)*(10.764)</f>
        <v>387.18107999999995</v>
      </c>
      <c r="E200" s="42">
        <v>0</v>
      </c>
      <c r="F200" s="42">
        <f>D200*(($F$197)+1)+(IF(E200&lt;101,E200,IF(E200&lt;201,E200/2,IF(E200&lt;=301,E200/3,E200/4))))</f>
        <v>600.130674</v>
      </c>
      <c r="G200" s="110" t="str">
        <f>A199</f>
        <v>1st Floor For Residential</v>
      </c>
      <c r="H200" s="111"/>
      <c r="I200" s="36">
        <f t="shared" ref="I200:I231" si="6">15000*F200</f>
        <v>9001960.1099999994</v>
      </c>
      <c r="L200" s="100"/>
      <c r="M200" s="100"/>
      <c r="N200" s="36"/>
    </row>
    <row r="201" spans="1:14" s="37" customFormat="1" ht="15.75" customHeight="1" x14ac:dyDescent="0.35">
      <c r="A201" s="42">
        <f t="shared" ref="A201:A203" si="7">A200+1</f>
        <v>2</v>
      </c>
      <c r="B201" s="58" t="s">
        <v>227</v>
      </c>
      <c r="C201" s="52">
        <v>1</v>
      </c>
      <c r="D201" s="55">
        <f>(36.24)*(10.764)</f>
        <v>390.08735999999999</v>
      </c>
      <c r="E201" s="42">
        <v>0</v>
      </c>
      <c r="F201" s="42">
        <f>D201*(($F$197)+1)+(IF(E201&lt;101,E201,IF(E201&lt;201,E201/2,IF(E201&lt;=301,E201/3,E201/4))))</f>
        <v>604.63540799999998</v>
      </c>
      <c r="G201" s="112"/>
      <c r="H201" s="113"/>
      <c r="I201" s="36">
        <f t="shared" si="6"/>
        <v>9069531.1199999992</v>
      </c>
      <c r="L201" s="100"/>
      <c r="M201" s="100"/>
      <c r="N201" s="36"/>
    </row>
    <row r="202" spans="1:14" s="37" customFormat="1" ht="15.75" customHeight="1" x14ac:dyDescent="0.35">
      <c r="A202" s="42">
        <f t="shared" si="7"/>
        <v>3</v>
      </c>
      <c r="B202" s="58" t="s">
        <v>227</v>
      </c>
      <c r="C202" s="52">
        <v>2</v>
      </c>
      <c r="D202" s="55">
        <f>(56.91)*(10.764)</f>
        <v>612.57923999999991</v>
      </c>
      <c r="E202" s="55">
        <f>((3.35+1.27)*3.85)*(10.764)</f>
        <v>191.45926800000001</v>
      </c>
      <c r="F202" s="42">
        <f>D202*(($F$197)+1)+(IF(E202&lt;101,E202,IF(E202&lt;201,E202/2,IF(E202&lt;=301,E202/3,E202/4))))</f>
        <v>1045.2274559999998</v>
      </c>
      <c r="G202" s="112"/>
      <c r="H202" s="113"/>
      <c r="I202" s="36">
        <f t="shared" si="6"/>
        <v>15678411.839999998</v>
      </c>
      <c r="J202" s="37">
        <f>3.65*4.4+2.15*3.25+1.2*2.15+2.75*3.25+2.3*1.2+3.65*3.05+5.45*1+1.1*1</f>
        <v>55.0075</v>
      </c>
      <c r="L202" s="100"/>
      <c r="M202" s="100"/>
      <c r="N202" s="36"/>
    </row>
    <row r="203" spans="1:14" s="37" customFormat="1" ht="15.75" customHeight="1" x14ac:dyDescent="0.35">
      <c r="A203" s="42">
        <f t="shared" si="7"/>
        <v>4</v>
      </c>
      <c r="B203" s="58" t="s">
        <v>227</v>
      </c>
      <c r="C203" s="52">
        <v>2</v>
      </c>
      <c r="D203" s="55">
        <f>(56.91)*(10.764)</f>
        <v>612.57923999999991</v>
      </c>
      <c r="E203" s="55">
        <f>(3.35*3.85)*(10.764)</f>
        <v>138.82868999999999</v>
      </c>
      <c r="F203" s="42">
        <f>D203*(($F$197)+1)+(IF(E203&lt;101,E203,IF(E203&lt;201,E203/2,IF(E203&lt;=301,E203/3,E203/4))))</f>
        <v>1018.912167</v>
      </c>
      <c r="G203" s="114"/>
      <c r="H203" s="115"/>
      <c r="I203" s="36">
        <f t="shared" si="6"/>
        <v>15283682.504999999</v>
      </c>
      <c r="L203" s="100"/>
      <c r="M203" s="100"/>
      <c r="N203" s="36"/>
    </row>
    <row r="204" spans="1:14" s="37" customFormat="1" ht="15.75" customHeight="1" x14ac:dyDescent="0.35">
      <c r="A204" s="101" t="s">
        <v>201</v>
      </c>
      <c r="B204" s="102"/>
      <c r="C204" s="102"/>
      <c r="D204" s="102"/>
      <c r="E204" s="102"/>
      <c r="F204" s="102"/>
      <c r="G204" s="102"/>
      <c r="H204" s="103"/>
      <c r="I204" s="36">
        <f t="shared" si="6"/>
        <v>0</v>
      </c>
      <c r="J204" s="36"/>
    </row>
    <row r="205" spans="1:14" s="37" customFormat="1" ht="15.75" customHeight="1" x14ac:dyDescent="0.35">
      <c r="A205" s="42">
        <v>1</v>
      </c>
      <c r="B205" s="58" t="s">
        <v>227</v>
      </c>
      <c r="C205" s="52">
        <v>1</v>
      </c>
      <c r="D205" s="55">
        <f>(35.97)*(10.764)</f>
        <v>387.18107999999995</v>
      </c>
      <c r="E205" s="42">
        <v>0</v>
      </c>
      <c r="F205" s="42">
        <f>D205*(($F$197)+1)+(IF(E205&lt;101,E205,IF(E205&lt;201,E205/2,IF(E205&lt;=301,E205/3,E205/4))))</f>
        <v>600.130674</v>
      </c>
      <c r="G205" s="110" t="str">
        <f>A204</f>
        <v>2nd to 7th &amp; 9th to 12th Floor</v>
      </c>
      <c r="H205" s="111"/>
      <c r="I205" s="36">
        <f t="shared" si="6"/>
        <v>9001960.1099999994</v>
      </c>
      <c r="L205" s="100"/>
      <c r="M205" s="100"/>
      <c r="N205" s="36"/>
    </row>
    <row r="206" spans="1:14" s="37" customFormat="1" ht="15.75" customHeight="1" x14ac:dyDescent="0.35">
      <c r="A206" s="42">
        <f t="shared" ref="A206:A208" si="8">A205+1</f>
        <v>2</v>
      </c>
      <c r="B206" s="58" t="s">
        <v>227</v>
      </c>
      <c r="C206" s="52">
        <v>1</v>
      </c>
      <c r="D206" s="55">
        <f>(36.24)*(10.764)</f>
        <v>390.08735999999999</v>
      </c>
      <c r="E206" s="42">
        <v>0</v>
      </c>
      <c r="F206" s="42">
        <f>D206*(($F$197)+1)+(IF(E206&lt;101,E206,IF(E206&lt;201,E206/2,IF(E206&lt;=301,E206/3,E206/4))))</f>
        <v>604.63540799999998</v>
      </c>
      <c r="G206" s="112"/>
      <c r="H206" s="113"/>
      <c r="I206" s="36">
        <f t="shared" si="6"/>
        <v>9069531.1199999992</v>
      </c>
      <c r="L206" s="100"/>
      <c r="M206" s="100"/>
      <c r="N206" s="36"/>
    </row>
    <row r="207" spans="1:14" s="37" customFormat="1" ht="15.75" customHeight="1" x14ac:dyDescent="0.35">
      <c r="A207" s="42">
        <f t="shared" si="8"/>
        <v>3</v>
      </c>
      <c r="B207" s="58" t="s">
        <v>227</v>
      </c>
      <c r="C207" s="52">
        <v>2</v>
      </c>
      <c r="D207" s="55">
        <f>(56.91)*(10.764)</f>
        <v>612.57923999999991</v>
      </c>
      <c r="E207" s="42">
        <v>0</v>
      </c>
      <c r="F207" s="42">
        <f>D207*(($F$197)+1)+(IF(E207&lt;101,E207,IF(E207&lt;201,E207/2,IF(E207&lt;=301,E207/3,E207/4))))</f>
        <v>949.49782199999993</v>
      </c>
      <c r="G207" s="112"/>
      <c r="H207" s="113"/>
      <c r="I207" s="36">
        <f t="shared" si="6"/>
        <v>14242467.329999998</v>
      </c>
      <c r="L207" s="100"/>
      <c r="M207" s="100"/>
      <c r="N207" s="36"/>
    </row>
    <row r="208" spans="1:14" s="37" customFormat="1" ht="15.75" customHeight="1" x14ac:dyDescent="0.35">
      <c r="A208" s="42">
        <f t="shared" si="8"/>
        <v>4</v>
      </c>
      <c r="B208" s="58" t="s">
        <v>227</v>
      </c>
      <c r="C208" s="52">
        <v>2</v>
      </c>
      <c r="D208" s="55">
        <f>(56.91)*(10.764)</f>
        <v>612.57923999999991</v>
      </c>
      <c r="E208" s="42">
        <v>0</v>
      </c>
      <c r="F208" s="42">
        <f>D208*(($F$197)+1)+(IF(E208&lt;101,E208,IF(E208&lt;201,E208/2,IF(E208&lt;=301,E208/3,E208/4))))</f>
        <v>949.49782199999993</v>
      </c>
      <c r="G208" s="114"/>
      <c r="H208" s="115"/>
      <c r="I208" s="36">
        <f t="shared" si="6"/>
        <v>14242467.329999998</v>
      </c>
      <c r="L208" s="100"/>
      <c r="M208" s="100"/>
      <c r="N208" s="36"/>
    </row>
    <row r="209" spans="1:14" s="37" customFormat="1" x14ac:dyDescent="0.35">
      <c r="A209" s="101" t="s">
        <v>204</v>
      </c>
      <c r="B209" s="102"/>
      <c r="C209" s="102"/>
      <c r="D209" s="102"/>
      <c r="E209" s="102"/>
      <c r="F209" s="102"/>
      <c r="G209" s="102"/>
      <c r="H209" s="103"/>
      <c r="I209" s="36">
        <f t="shared" si="6"/>
        <v>0</v>
      </c>
      <c r="J209" s="36"/>
    </row>
    <row r="210" spans="1:14" s="37" customFormat="1" ht="15.75" customHeight="1" x14ac:dyDescent="0.35">
      <c r="A210" s="42">
        <v>1</v>
      </c>
      <c r="B210" s="56" t="s">
        <v>239</v>
      </c>
      <c r="C210" s="116" t="s">
        <v>203</v>
      </c>
      <c r="D210" s="117"/>
      <c r="E210" s="117"/>
      <c r="F210" s="118"/>
      <c r="G210" s="110" t="str">
        <f>A209</f>
        <v>8th Floor (Part Refuge Area)</v>
      </c>
      <c r="H210" s="111"/>
      <c r="I210" s="36">
        <f t="shared" si="6"/>
        <v>0</v>
      </c>
      <c r="L210" s="100"/>
      <c r="M210" s="100"/>
      <c r="N210" s="36"/>
    </row>
    <row r="211" spans="1:14" s="37" customFormat="1" ht="15.75" customHeight="1" x14ac:dyDescent="0.35">
      <c r="A211" s="42">
        <f t="shared" ref="A211:A213" si="9">A210+1</f>
        <v>2</v>
      </c>
      <c r="B211" s="56" t="s">
        <v>239</v>
      </c>
      <c r="C211" s="116" t="s">
        <v>240</v>
      </c>
      <c r="D211" s="117"/>
      <c r="E211" s="117"/>
      <c r="F211" s="118"/>
      <c r="G211" s="112"/>
      <c r="H211" s="113"/>
      <c r="I211" s="36">
        <f t="shared" si="6"/>
        <v>0</v>
      </c>
      <c r="L211" s="100"/>
      <c r="M211" s="100"/>
      <c r="N211" s="36"/>
    </row>
    <row r="212" spans="1:14" s="37" customFormat="1" ht="15.75" customHeight="1" x14ac:dyDescent="0.35">
      <c r="A212" s="42">
        <f t="shared" si="9"/>
        <v>3</v>
      </c>
      <c r="B212" s="58" t="s">
        <v>227</v>
      </c>
      <c r="C212" s="52">
        <v>2</v>
      </c>
      <c r="D212" s="55">
        <f>(56.91)*(10.764)</f>
        <v>612.57923999999991</v>
      </c>
      <c r="E212" s="42">
        <v>0</v>
      </c>
      <c r="F212" s="42">
        <f>D212*(($F$197)+1)+(IF(E212&lt;101,E212,IF(E212&lt;201,E212/2,IF(E212&lt;=301,E212/3,E212/4))))</f>
        <v>949.49782199999993</v>
      </c>
      <c r="G212" s="112"/>
      <c r="H212" s="113"/>
      <c r="I212" s="36">
        <f t="shared" si="6"/>
        <v>14242467.329999998</v>
      </c>
      <c r="L212" s="100"/>
      <c r="M212" s="100"/>
      <c r="N212" s="36"/>
    </row>
    <row r="213" spans="1:14" s="37" customFormat="1" ht="15.75" customHeight="1" x14ac:dyDescent="0.35">
      <c r="A213" s="42">
        <f t="shared" si="9"/>
        <v>4</v>
      </c>
      <c r="B213" s="58" t="s">
        <v>227</v>
      </c>
      <c r="C213" s="52">
        <v>2</v>
      </c>
      <c r="D213" s="55">
        <f>(56.91)*(10.764)</f>
        <v>612.57923999999991</v>
      </c>
      <c r="E213" s="42">
        <v>0</v>
      </c>
      <c r="F213" s="42">
        <f>D213*(($F$197)+1)+(IF(E213&lt;101,E213,IF(E213&lt;201,E213/2,IF(E213&lt;=301,E213/3,E213/4))))</f>
        <v>949.49782199999993</v>
      </c>
      <c r="G213" s="114"/>
      <c r="H213" s="115"/>
      <c r="I213" s="36">
        <f t="shared" si="6"/>
        <v>14242467.329999998</v>
      </c>
      <c r="L213" s="100"/>
      <c r="M213" s="100"/>
      <c r="N213" s="36"/>
    </row>
    <row r="214" spans="1:14" s="37" customFormat="1" x14ac:dyDescent="0.35">
      <c r="A214" s="101" t="s">
        <v>202</v>
      </c>
      <c r="B214" s="102"/>
      <c r="C214" s="102"/>
      <c r="D214" s="102"/>
      <c r="E214" s="102"/>
      <c r="F214" s="102"/>
      <c r="G214" s="102"/>
      <c r="H214" s="103"/>
      <c r="I214" s="36">
        <f t="shared" si="6"/>
        <v>0</v>
      </c>
      <c r="J214" s="36"/>
    </row>
    <row r="215" spans="1:14" s="37" customFormat="1" ht="15.75" customHeight="1" x14ac:dyDescent="0.35">
      <c r="A215" s="42">
        <v>1</v>
      </c>
      <c r="B215" s="58" t="s">
        <v>227</v>
      </c>
      <c r="C215" s="52">
        <v>1</v>
      </c>
      <c r="D215" s="55">
        <f>(35.97)*(10.764)</f>
        <v>387.18107999999995</v>
      </c>
      <c r="E215" s="42">
        <v>0</v>
      </c>
      <c r="F215" s="42">
        <f>D215*(($F$197)+1)+(IF(E215&lt;101,E215,IF(E215&lt;201,E215/2,IF(E215&lt;=301,E215/3,E215/4))))</f>
        <v>600.130674</v>
      </c>
      <c r="G215" s="110" t="str">
        <f>A214</f>
        <v>13th Floor</v>
      </c>
      <c r="H215" s="111"/>
      <c r="I215" s="36">
        <f t="shared" si="6"/>
        <v>9001960.1099999994</v>
      </c>
      <c r="L215" s="100"/>
      <c r="M215" s="100"/>
      <c r="N215" s="36"/>
    </row>
    <row r="216" spans="1:14" s="37" customFormat="1" ht="15.75" customHeight="1" x14ac:dyDescent="0.35">
      <c r="A216" s="42">
        <f t="shared" ref="A216:A218" si="10">A215+1</f>
        <v>2</v>
      </c>
      <c r="B216" s="58" t="s">
        <v>227</v>
      </c>
      <c r="C216" s="52">
        <v>1</v>
      </c>
      <c r="D216" s="55">
        <f>(36.24)*(10.764)</f>
        <v>390.08735999999999</v>
      </c>
      <c r="E216" s="42">
        <v>0</v>
      </c>
      <c r="F216" s="42">
        <f>D216*(($F$197)+1)+(IF(E216&lt;101,E216,IF(E216&lt;201,E216/2,IF(E216&lt;=301,E216/3,E216/4))))</f>
        <v>604.63540799999998</v>
      </c>
      <c r="G216" s="112"/>
      <c r="H216" s="113"/>
      <c r="I216" s="36">
        <f t="shared" si="6"/>
        <v>9069531.1199999992</v>
      </c>
      <c r="L216" s="100"/>
      <c r="M216" s="100"/>
      <c r="N216" s="36"/>
    </row>
    <row r="217" spans="1:14" s="37" customFormat="1" ht="15.75" customHeight="1" x14ac:dyDescent="0.35">
      <c r="A217" s="42">
        <f t="shared" si="10"/>
        <v>3</v>
      </c>
      <c r="B217" s="58" t="s">
        <v>227</v>
      </c>
      <c r="C217" s="52">
        <v>2</v>
      </c>
      <c r="D217" s="55">
        <f>(56.91)*(10.764)</f>
        <v>612.57923999999991</v>
      </c>
      <c r="E217" s="42">
        <v>0</v>
      </c>
      <c r="F217" s="42">
        <f>D217*(($F$197)+1)+(IF(E217&lt;101,E217,IF(E217&lt;201,E217/2,IF(E217&lt;=301,E217/3,E217/4))))</f>
        <v>949.49782199999993</v>
      </c>
      <c r="G217" s="112"/>
      <c r="H217" s="113"/>
      <c r="I217" s="36">
        <f t="shared" si="6"/>
        <v>14242467.329999998</v>
      </c>
      <c r="L217" s="100"/>
      <c r="M217" s="100"/>
      <c r="N217" s="36"/>
    </row>
    <row r="218" spans="1:14" s="37" customFormat="1" ht="15.75" customHeight="1" x14ac:dyDescent="0.35">
      <c r="A218" s="42">
        <f t="shared" si="10"/>
        <v>4</v>
      </c>
      <c r="B218" s="58" t="s">
        <v>227</v>
      </c>
      <c r="C218" s="52">
        <v>2</v>
      </c>
      <c r="D218" s="55">
        <f>(56.91)*(10.764)</f>
        <v>612.57923999999991</v>
      </c>
      <c r="E218" s="42">
        <v>0</v>
      </c>
      <c r="F218" s="42">
        <f>D218*(($F$197)+1)+(IF(E218&lt;101,E218,IF(E218&lt;201,E218/2,IF(E218&lt;=301,E218/3,E218/4))))</f>
        <v>949.49782199999993</v>
      </c>
      <c r="G218" s="114"/>
      <c r="H218" s="115"/>
      <c r="I218" s="36">
        <f t="shared" si="6"/>
        <v>14242467.329999998</v>
      </c>
      <c r="L218" s="100"/>
      <c r="M218" s="100"/>
      <c r="N218" s="36"/>
    </row>
    <row r="219" spans="1:14" s="37" customFormat="1" x14ac:dyDescent="0.35">
      <c r="A219" s="101" t="s">
        <v>211</v>
      </c>
      <c r="B219" s="102"/>
      <c r="C219" s="102"/>
      <c r="D219" s="102"/>
      <c r="E219" s="102"/>
      <c r="F219" s="102"/>
      <c r="G219" s="102"/>
      <c r="H219" s="103"/>
      <c r="I219" s="36">
        <f t="shared" si="6"/>
        <v>0</v>
      </c>
      <c r="J219" s="36"/>
    </row>
    <row r="220" spans="1:14" s="37" customFormat="1" x14ac:dyDescent="0.35">
      <c r="A220" s="101" t="s">
        <v>205</v>
      </c>
      <c r="B220" s="102"/>
      <c r="C220" s="102"/>
      <c r="D220" s="102"/>
      <c r="E220" s="102"/>
      <c r="F220" s="102"/>
      <c r="G220" s="102"/>
      <c r="H220" s="103"/>
      <c r="I220" s="36">
        <f t="shared" si="6"/>
        <v>0</v>
      </c>
      <c r="J220" s="36"/>
    </row>
    <row r="221" spans="1:14" s="37" customFormat="1" x14ac:dyDescent="0.35">
      <c r="A221" s="101" t="s">
        <v>200</v>
      </c>
      <c r="B221" s="102"/>
      <c r="C221" s="102"/>
      <c r="D221" s="102"/>
      <c r="E221" s="102"/>
      <c r="F221" s="102"/>
      <c r="G221" s="102"/>
      <c r="H221" s="103"/>
      <c r="I221" s="36">
        <f t="shared" si="6"/>
        <v>0</v>
      </c>
      <c r="J221" s="36"/>
    </row>
    <row r="222" spans="1:14" s="37" customFormat="1" ht="15.75" customHeight="1" x14ac:dyDescent="0.35">
      <c r="A222" s="42">
        <v>1</v>
      </c>
      <c r="B222" s="58" t="s">
        <v>227</v>
      </c>
      <c r="C222" s="52">
        <v>1</v>
      </c>
      <c r="D222" s="55">
        <f>(36.46)*(10.764)</f>
        <v>392.45544000000001</v>
      </c>
      <c r="E222" s="42">
        <v>0</v>
      </c>
      <c r="F222" s="42">
        <f>D222*(($F$197)+1)+(IF(E222&lt;101,E222,IF(E222&lt;201,E222/2,IF(E222&lt;=301,E222/3,E222/4))))</f>
        <v>608.30593199999998</v>
      </c>
      <c r="G222" s="110" t="str">
        <f>A221</f>
        <v>1st Floor For Residential</v>
      </c>
      <c r="H222" s="111"/>
      <c r="I222" s="36">
        <f t="shared" si="6"/>
        <v>9124588.9800000004</v>
      </c>
      <c r="J222" s="37">
        <f>3.05*3.15+2.35*1.25+0.6*2.25+2.15*1.2+1.7*0.9+2.15*2.65+2.75*3.7+2.15*1.2</f>
        <v>36.457499999999996</v>
      </c>
      <c r="L222" s="100"/>
      <c r="M222" s="100"/>
      <c r="N222" s="36"/>
    </row>
    <row r="223" spans="1:14" s="37" customFormat="1" ht="15.75" customHeight="1" x14ac:dyDescent="0.35">
      <c r="A223" s="42">
        <f t="shared" ref="A223:A225" si="11">A222+1</f>
        <v>2</v>
      </c>
      <c r="B223" s="58" t="s">
        <v>227</v>
      </c>
      <c r="C223" s="52">
        <v>1</v>
      </c>
      <c r="D223" s="55">
        <f>(36.46)*(10.764)</f>
        <v>392.45544000000001</v>
      </c>
      <c r="E223" s="42">
        <v>0</v>
      </c>
      <c r="F223" s="42">
        <f>D223*(($F$197)+1)+(IF(E223&lt;101,E223,IF(E223&lt;201,E223/2,IF(E223&lt;=301,E223/3,E223/4))))</f>
        <v>608.30593199999998</v>
      </c>
      <c r="G223" s="112"/>
      <c r="H223" s="113"/>
      <c r="I223" s="36">
        <f t="shared" si="6"/>
        <v>9124588.9800000004</v>
      </c>
      <c r="L223" s="100"/>
      <c r="M223" s="100"/>
      <c r="N223" s="36"/>
    </row>
    <row r="224" spans="1:14" s="37" customFormat="1" ht="15.75" customHeight="1" x14ac:dyDescent="0.35">
      <c r="A224" s="42">
        <f t="shared" si="11"/>
        <v>3</v>
      </c>
      <c r="B224" s="58" t="s">
        <v>227</v>
      </c>
      <c r="C224" s="52">
        <v>1</v>
      </c>
      <c r="D224" s="55">
        <f>(38.24)*(10.764)</f>
        <v>411.61536000000001</v>
      </c>
      <c r="E224" s="42">
        <v>0</v>
      </c>
      <c r="F224" s="42">
        <f>D224*(($F$197)+1)+(IF(E224&lt;101,E224,IF(E224&lt;201,E224/2,IF(E224&lt;=301,E224/3,E224/4))))</f>
        <v>638.00380800000005</v>
      </c>
      <c r="G224" s="112"/>
      <c r="H224" s="113"/>
      <c r="I224" s="36">
        <f t="shared" si="6"/>
        <v>9570057.120000001</v>
      </c>
      <c r="L224" s="100"/>
      <c r="M224" s="100"/>
      <c r="N224" s="36"/>
    </row>
    <row r="225" spans="1:14" s="37" customFormat="1" ht="15.75" customHeight="1" x14ac:dyDescent="0.35">
      <c r="A225" s="42">
        <f t="shared" si="11"/>
        <v>4</v>
      </c>
      <c r="B225" s="58" t="s">
        <v>227</v>
      </c>
      <c r="C225" s="52">
        <v>1</v>
      </c>
      <c r="D225" s="55">
        <f>(36.57)*(10.764)</f>
        <v>393.63947999999999</v>
      </c>
      <c r="E225" s="42">
        <v>0</v>
      </c>
      <c r="F225" s="42">
        <f>D225*(($F$197)+1)+(IF(E225&lt;101,E225,IF(E225&lt;201,E225/2,IF(E225&lt;=301,E225/3,E225/4))))</f>
        <v>610.14119400000004</v>
      </c>
      <c r="G225" s="114"/>
      <c r="H225" s="115"/>
      <c r="I225" s="36">
        <f t="shared" si="6"/>
        <v>9152117.9100000001</v>
      </c>
      <c r="L225" s="100"/>
      <c r="M225" s="100"/>
      <c r="N225" s="36"/>
    </row>
    <row r="226" spans="1:14" s="37" customFormat="1" ht="15.75" customHeight="1" x14ac:dyDescent="0.35">
      <c r="A226" s="101" t="s">
        <v>201</v>
      </c>
      <c r="B226" s="102"/>
      <c r="C226" s="102"/>
      <c r="D226" s="102"/>
      <c r="E226" s="102"/>
      <c r="F226" s="102"/>
      <c r="G226" s="102"/>
      <c r="H226" s="103"/>
      <c r="I226" s="36">
        <f t="shared" si="6"/>
        <v>0</v>
      </c>
      <c r="J226" s="36"/>
    </row>
    <row r="227" spans="1:14" s="37" customFormat="1" ht="15.75" customHeight="1" x14ac:dyDescent="0.35">
      <c r="A227" s="42">
        <v>1</v>
      </c>
      <c r="B227" s="58" t="s">
        <v>227</v>
      </c>
      <c r="C227" s="52">
        <v>1</v>
      </c>
      <c r="D227" s="55">
        <f>(36.46)*(10.764)</f>
        <v>392.45544000000001</v>
      </c>
      <c r="E227" s="42">
        <v>0</v>
      </c>
      <c r="F227" s="42">
        <f>D227*(($F$197)+1)+(IF(E227&lt;101,E227,IF(E227&lt;201,E227/2,IF(E227&lt;=301,E227/3,E227/4))))</f>
        <v>608.30593199999998</v>
      </c>
      <c r="G227" s="110" t="str">
        <f>A226</f>
        <v>2nd to 7th &amp; 9th to 12th Floor</v>
      </c>
      <c r="H227" s="111"/>
      <c r="I227" s="36">
        <f t="shared" si="6"/>
        <v>9124588.9800000004</v>
      </c>
      <c r="L227" s="100"/>
      <c r="M227" s="100"/>
      <c r="N227" s="36"/>
    </row>
    <row r="228" spans="1:14" s="37" customFormat="1" ht="15.75" customHeight="1" x14ac:dyDescent="0.35">
      <c r="A228" s="42">
        <f t="shared" ref="A228:A230" si="12">A227+1</f>
        <v>2</v>
      </c>
      <c r="B228" s="58" t="s">
        <v>227</v>
      </c>
      <c r="C228" s="52">
        <v>1</v>
      </c>
      <c r="D228" s="55">
        <f>(36.46)*(10.764)</f>
        <v>392.45544000000001</v>
      </c>
      <c r="E228" s="42">
        <v>0</v>
      </c>
      <c r="F228" s="42">
        <f>D228*(($F$197)+1)+(IF(E228&lt;101,E228,IF(E228&lt;201,E228/2,IF(E228&lt;=301,E228/3,E228/4))))</f>
        <v>608.30593199999998</v>
      </c>
      <c r="G228" s="112"/>
      <c r="H228" s="113"/>
      <c r="I228" s="36">
        <f t="shared" si="6"/>
        <v>9124588.9800000004</v>
      </c>
      <c r="L228" s="100"/>
      <c r="M228" s="100"/>
      <c r="N228" s="36"/>
    </row>
    <row r="229" spans="1:14" s="37" customFormat="1" ht="15.75" customHeight="1" x14ac:dyDescent="0.35">
      <c r="A229" s="42">
        <f t="shared" si="12"/>
        <v>3</v>
      </c>
      <c r="B229" s="58" t="s">
        <v>227</v>
      </c>
      <c r="C229" s="52">
        <v>1</v>
      </c>
      <c r="D229" s="55">
        <f>(38.24)*(10.764)</f>
        <v>411.61536000000001</v>
      </c>
      <c r="E229" s="42">
        <v>0</v>
      </c>
      <c r="F229" s="42">
        <f>D229*(($F$197)+1)+(IF(E229&lt;101,E229,IF(E229&lt;201,E229/2,IF(E229&lt;=301,E229/3,E229/4))))</f>
        <v>638.00380800000005</v>
      </c>
      <c r="G229" s="112"/>
      <c r="H229" s="113"/>
      <c r="I229" s="36">
        <f t="shared" si="6"/>
        <v>9570057.120000001</v>
      </c>
      <c r="L229" s="100"/>
      <c r="M229" s="100"/>
      <c r="N229" s="36"/>
    </row>
    <row r="230" spans="1:14" s="37" customFormat="1" ht="15.75" customHeight="1" x14ac:dyDescent="0.35">
      <c r="A230" s="42">
        <f t="shared" si="12"/>
        <v>4</v>
      </c>
      <c r="B230" s="58" t="s">
        <v>227</v>
      </c>
      <c r="C230" s="52">
        <v>1</v>
      </c>
      <c r="D230" s="55">
        <f>(36.57)*(10.764)</f>
        <v>393.63947999999999</v>
      </c>
      <c r="E230" s="42">
        <v>0</v>
      </c>
      <c r="F230" s="42">
        <f>D230*(($F$197)+1)+(IF(E230&lt;101,E230,IF(E230&lt;201,E230/2,IF(E230&lt;=301,E230/3,E230/4))))</f>
        <v>610.14119400000004</v>
      </c>
      <c r="G230" s="114"/>
      <c r="H230" s="115"/>
      <c r="I230" s="36">
        <f t="shared" si="6"/>
        <v>9152117.9100000001</v>
      </c>
      <c r="L230" s="100"/>
      <c r="M230" s="100"/>
      <c r="N230" s="36"/>
    </row>
    <row r="231" spans="1:14" s="37" customFormat="1" ht="15.75" customHeight="1" x14ac:dyDescent="0.35">
      <c r="A231" s="101" t="s">
        <v>204</v>
      </c>
      <c r="B231" s="102"/>
      <c r="C231" s="102"/>
      <c r="D231" s="102"/>
      <c r="E231" s="102"/>
      <c r="F231" s="102"/>
      <c r="G231" s="102"/>
      <c r="H231" s="103"/>
      <c r="I231" s="36">
        <f t="shared" si="6"/>
        <v>0</v>
      </c>
      <c r="J231" s="36"/>
    </row>
    <row r="232" spans="1:14" s="37" customFormat="1" ht="15.75" customHeight="1" x14ac:dyDescent="0.35">
      <c r="A232" s="42">
        <v>1</v>
      </c>
      <c r="B232" s="58" t="s">
        <v>227</v>
      </c>
      <c r="C232" s="52">
        <v>1</v>
      </c>
      <c r="D232" s="55">
        <f>(36.46)*(10.764)</f>
        <v>392.45544000000001</v>
      </c>
      <c r="E232" s="42">
        <v>0</v>
      </c>
      <c r="F232" s="42">
        <f>D232*(($F$197)+1)+(IF(E232&lt;101,E232,IF(E232&lt;201,E232/2,IF(E232&lt;=301,E232/3,E232/4))))</f>
        <v>608.30593199999998</v>
      </c>
      <c r="G232" s="110" t="str">
        <f>A231</f>
        <v>8th Floor (Part Refuge Area)</v>
      </c>
      <c r="H232" s="111"/>
      <c r="I232" s="36">
        <f t="shared" ref="I232:I261" si="13">15000*F232</f>
        <v>9124588.9800000004</v>
      </c>
      <c r="L232" s="100"/>
      <c r="M232" s="100"/>
      <c r="N232" s="36"/>
    </row>
    <row r="233" spans="1:14" s="37" customFormat="1" ht="15.75" customHeight="1" x14ac:dyDescent="0.35">
      <c r="A233" s="42">
        <f t="shared" ref="A233:A235" si="14">A232+1</f>
        <v>2</v>
      </c>
      <c r="B233" s="58" t="s">
        <v>239</v>
      </c>
      <c r="C233" s="116" t="s">
        <v>203</v>
      </c>
      <c r="D233" s="117"/>
      <c r="E233" s="117"/>
      <c r="F233" s="118"/>
      <c r="G233" s="112"/>
      <c r="H233" s="113"/>
      <c r="I233" s="36">
        <f t="shared" si="13"/>
        <v>0</v>
      </c>
      <c r="L233" s="100"/>
      <c r="M233" s="100"/>
      <c r="N233" s="36"/>
    </row>
    <row r="234" spans="1:14" s="37" customFormat="1" ht="15.75" customHeight="1" x14ac:dyDescent="0.35">
      <c r="A234" s="42">
        <f t="shared" si="14"/>
        <v>3</v>
      </c>
      <c r="B234" s="58" t="s">
        <v>227</v>
      </c>
      <c r="C234" s="52">
        <v>1</v>
      </c>
      <c r="D234" s="55">
        <f>(38.24)*(10.764)</f>
        <v>411.61536000000001</v>
      </c>
      <c r="E234" s="42">
        <v>0</v>
      </c>
      <c r="F234" s="42">
        <f>D234*(($F$197)+1)+(IF(E234&lt;101,E234,IF(E234&lt;201,E234/2,IF(E234&lt;=301,E234/3,E234/4))))</f>
        <v>638.00380800000005</v>
      </c>
      <c r="G234" s="112"/>
      <c r="H234" s="113"/>
      <c r="I234" s="36">
        <f t="shared" si="13"/>
        <v>9570057.120000001</v>
      </c>
      <c r="L234" s="100"/>
      <c r="M234" s="100"/>
      <c r="N234" s="36"/>
    </row>
    <row r="235" spans="1:14" s="37" customFormat="1" ht="15.75" customHeight="1" x14ac:dyDescent="0.35">
      <c r="A235" s="42">
        <f t="shared" si="14"/>
        <v>4</v>
      </c>
      <c r="B235" s="58" t="s">
        <v>227</v>
      </c>
      <c r="C235" s="52">
        <v>1</v>
      </c>
      <c r="D235" s="55">
        <f>(36.57)*(10.764)</f>
        <v>393.63947999999999</v>
      </c>
      <c r="E235" s="42">
        <v>0</v>
      </c>
      <c r="F235" s="42">
        <f>D235*(($F$197)+1)+(IF(E235&lt;101,E235,IF(E235&lt;201,E235/2,IF(E235&lt;=301,E235/3,E235/4))))</f>
        <v>610.14119400000004</v>
      </c>
      <c r="G235" s="114"/>
      <c r="H235" s="115"/>
      <c r="I235" s="36">
        <f t="shared" si="13"/>
        <v>9152117.9100000001</v>
      </c>
      <c r="L235" s="100"/>
      <c r="M235" s="100"/>
      <c r="N235" s="36"/>
    </row>
    <row r="236" spans="1:14" s="37" customFormat="1" x14ac:dyDescent="0.35">
      <c r="A236" s="101" t="s">
        <v>212</v>
      </c>
      <c r="B236" s="102"/>
      <c r="C236" s="102"/>
      <c r="D236" s="102"/>
      <c r="E236" s="102"/>
      <c r="F236" s="102"/>
      <c r="G236" s="102"/>
      <c r="H236" s="103"/>
      <c r="I236" s="36">
        <f t="shared" si="13"/>
        <v>0</v>
      </c>
      <c r="J236" s="36"/>
    </row>
    <row r="237" spans="1:14" s="37" customFormat="1" x14ac:dyDescent="0.35">
      <c r="A237" s="101" t="s">
        <v>205</v>
      </c>
      <c r="B237" s="102"/>
      <c r="C237" s="102"/>
      <c r="D237" s="102"/>
      <c r="E237" s="102"/>
      <c r="F237" s="102"/>
      <c r="G237" s="102"/>
      <c r="H237" s="103"/>
      <c r="I237" s="36">
        <f t="shared" si="13"/>
        <v>0</v>
      </c>
      <c r="J237" s="36"/>
    </row>
    <row r="238" spans="1:14" s="37" customFormat="1" x14ac:dyDescent="0.35">
      <c r="A238" s="101" t="s">
        <v>200</v>
      </c>
      <c r="B238" s="102"/>
      <c r="C238" s="102"/>
      <c r="D238" s="102"/>
      <c r="E238" s="102"/>
      <c r="F238" s="102"/>
      <c r="G238" s="102"/>
      <c r="H238" s="103"/>
      <c r="I238" s="36">
        <f t="shared" si="13"/>
        <v>0</v>
      </c>
      <c r="J238" s="36"/>
    </row>
    <row r="239" spans="1:14" s="37" customFormat="1" ht="15.75" customHeight="1" x14ac:dyDescent="0.35">
      <c r="A239" s="42">
        <v>1</v>
      </c>
      <c r="B239" s="58" t="s">
        <v>227</v>
      </c>
      <c r="C239" s="52">
        <v>1</v>
      </c>
      <c r="D239" s="55">
        <f>(36.46)*(10.764)</f>
        <v>392.45544000000001</v>
      </c>
      <c r="E239" s="42">
        <v>0</v>
      </c>
      <c r="F239" s="42">
        <f>D239*(($F$197)+1)+(IF(E239&lt;101,E239,IF(E239&lt;201,E239/2,IF(E239&lt;=301,E239/3,E239/4))))</f>
        <v>608.30593199999998</v>
      </c>
      <c r="G239" s="110" t="str">
        <f>A238</f>
        <v>1st Floor For Residential</v>
      </c>
      <c r="H239" s="111"/>
      <c r="I239" s="36">
        <f t="shared" si="13"/>
        <v>9124588.9800000004</v>
      </c>
      <c r="L239" s="100"/>
      <c r="M239" s="100"/>
      <c r="N239" s="36"/>
    </row>
    <row r="240" spans="1:14" s="37" customFormat="1" ht="15.75" customHeight="1" x14ac:dyDescent="0.35">
      <c r="A240" s="42">
        <f t="shared" ref="A240:A242" si="15">A239+1</f>
        <v>2</v>
      </c>
      <c r="B240" s="58" t="s">
        <v>227</v>
      </c>
      <c r="C240" s="52">
        <v>1</v>
      </c>
      <c r="D240" s="55">
        <f>(36.46)*(10.764)</f>
        <v>392.45544000000001</v>
      </c>
      <c r="E240" s="42">
        <v>0</v>
      </c>
      <c r="F240" s="42">
        <f>D240*(($F$197)+1)+(IF(E240&lt;101,E240,IF(E240&lt;201,E240/2,IF(E240&lt;=301,E240/3,E240/4))))</f>
        <v>608.30593199999998</v>
      </c>
      <c r="G240" s="112"/>
      <c r="H240" s="113"/>
      <c r="I240" s="36">
        <f t="shared" si="13"/>
        <v>9124588.9800000004</v>
      </c>
      <c r="L240" s="100"/>
      <c r="M240" s="100"/>
      <c r="N240" s="36"/>
    </row>
    <row r="241" spans="1:14" s="37" customFormat="1" ht="15.75" customHeight="1" x14ac:dyDescent="0.35">
      <c r="A241" s="42">
        <f t="shared" si="15"/>
        <v>3</v>
      </c>
      <c r="B241" s="58" t="s">
        <v>227</v>
      </c>
      <c r="C241" s="52">
        <v>1</v>
      </c>
      <c r="D241" s="55">
        <f>(36.57)*(10.764)</f>
        <v>393.63947999999999</v>
      </c>
      <c r="E241" s="42">
        <v>0</v>
      </c>
      <c r="F241" s="42">
        <f>D241*(($F$197)+1)+(IF(E241&lt;101,E241,IF(E241&lt;201,E241/2,IF(E241&lt;=301,E241/3,E241/4))))</f>
        <v>610.14119400000004</v>
      </c>
      <c r="G241" s="112"/>
      <c r="H241" s="113"/>
      <c r="I241" s="36">
        <f t="shared" si="13"/>
        <v>9152117.9100000001</v>
      </c>
      <c r="L241" s="100"/>
      <c r="M241" s="100"/>
      <c r="N241" s="36"/>
    </row>
    <row r="242" spans="1:14" s="37" customFormat="1" ht="15.75" customHeight="1" x14ac:dyDescent="0.35">
      <c r="A242" s="42">
        <f t="shared" si="15"/>
        <v>4</v>
      </c>
      <c r="B242" s="58" t="s">
        <v>227</v>
      </c>
      <c r="C242" s="52">
        <v>1</v>
      </c>
      <c r="D242" s="55">
        <f>(36.57)*(10.764)</f>
        <v>393.63947999999999</v>
      </c>
      <c r="E242" s="42">
        <v>0</v>
      </c>
      <c r="F242" s="42">
        <f>D242*(($F$197)+1)+(IF(E242&lt;101,E242,IF(E242&lt;201,E242/2,IF(E242&lt;=301,E242/3,E242/4))))</f>
        <v>610.14119400000004</v>
      </c>
      <c r="G242" s="114"/>
      <c r="H242" s="115"/>
      <c r="I242" s="36">
        <f t="shared" si="13"/>
        <v>9152117.9100000001</v>
      </c>
      <c r="L242" s="100"/>
      <c r="M242" s="100"/>
      <c r="N242" s="36"/>
    </row>
    <row r="243" spans="1:14" s="37" customFormat="1" ht="15.75" customHeight="1" x14ac:dyDescent="0.35">
      <c r="A243" s="101" t="s">
        <v>201</v>
      </c>
      <c r="B243" s="102"/>
      <c r="C243" s="102"/>
      <c r="D243" s="102"/>
      <c r="E243" s="102"/>
      <c r="F243" s="102"/>
      <c r="G243" s="102"/>
      <c r="H243" s="103"/>
      <c r="I243" s="36">
        <f t="shared" si="13"/>
        <v>0</v>
      </c>
      <c r="J243" s="36"/>
    </row>
    <row r="244" spans="1:14" s="37" customFormat="1" ht="15.75" customHeight="1" x14ac:dyDescent="0.35">
      <c r="A244" s="42">
        <v>1</v>
      </c>
      <c r="B244" s="58" t="s">
        <v>227</v>
      </c>
      <c r="C244" s="52">
        <v>1</v>
      </c>
      <c r="D244" s="55">
        <f>(36.46)*(10.764)</f>
        <v>392.45544000000001</v>
      </c>
      <c r="E244" s="42">
        <v>0</v>
      </c>
      <c r="F244" s="42">
        <f>D244*(($F$197)+1)+(IF(E244&lt;101,E244,IF(E244&lt;201,E244/2,IF(E244&lt;=301,E244/3,E244/4))))</f>
        <v>608.30593199999998</v>
      </c>
      <c r="G244" s="110" t="str">
        <f>A243</f>
        <v>2nd to 7th &amp; 9th to 12th Floor</v>
      </c>
      <c r="H244" s="111"/>
      <c r="I244" s="36">
        <f t="shared" si="13"/>
        <v>9124588.9800000004</v>
      </c>
      <c r="L244" s="100"/>
      <c r="M244" s="100"/>
      <c r="N244" s="36"/>
    </row>
    <row r="245" spans="1:14" s="37" customFormat="1" ht="15.75" customHeight="1" x14ac:dyDescent="0.35">
      <c r="A245" s="42">
        <f t="shared" ref="A245:A247" si="16">A244+1</f>
        <v>2</v>
      </c>
      <c r="B245" s="58" t="s">
        <v>227</v>
      </c>
      <c r="C245" s="52">
        <v>1</v>
      </c>
      <c r="D245" s="55">
        <f>(36.46)*(10.764)</f>
        <v>392.45544000000001</v>
      </c>
      <c r="E245" s="42">
        <v>0</v>
      </c>
      <c r="F245" s="42">
        <f>D245*(($F$197)+1)+(IF(E245&lt;101,E245,IF(E245&lt;201,E245/2,IF(E245&lt;=301,E245/3,E245/4))))</f>
        <v>608.30593199999998</v>
      </c>
      <c r="G245" s="112"/>
      <c r="H245" s="113"/>
      <c r="I245" s="36">
        <f t="shared" si="13"/>
        <v>9124588.9800000004</v>
      </c>
      <c r="L245" s="100"/>
      <c r="M245" s="100"/>
      <c r="N245" s="36"/>
    </row>
    <row r="246" spans="1:14" s="37" customFormat="1" ht="15.75" customHeight="1" x14ac:dyDescent="0.35">
      <c r="A246" s="42">
        <f t="shared" si="16"/>
        <v>3</v>
      </c>
      <c r="B246" s="58" t="s">
        <v>227</v>
      </c>
      <c r="C246" s="52">
        <v>1</v>
      </c>
      <c r="D246" s="55">
        <f>(36.57)*(10.764)</f>
        <v>393.63947999999999</v>
      </c>
      <c r="E246" s="42">
        <v>0</v>
      </c>
      <c r="F246" s="42">
        <f>D246*(($F$197)+1)+(IF(E246&lt;101,E246,IF(E246&lt;201,E246/2,IF(E246&lt;=301,E246/3,E246/4))))</f>
        <v>610.14119400000004</v>
      </c>
      <c r="G246" s="112"/>
      <c r="H246" s="113"/>
      <c r="I246" s="36">
        <f t="shared" si="13"/>
        <v>9152117.9100000001</v>
      </c>
      <c r="L246" s="100"/>
      <c r="M246" s="100"/>
      <c r="N246" s="36"/>
    </row>
    <row r="247" spans="1:14" s="37" customFormat="1" ht="15.75" customHeight="1" x14ac:dyDescent="0.35">
      <c r="A247" s="42">
        <f t="shared" si="16"/>
        <v>4</v>
      </c>
      <c r="B247" s="58" t="s">
        <v>227</v>
      </c>
      <c r="C247" s="52">
        <v>1</v>
      </c>
      <c r="D247" s="55">
        <f>(36.57)*(10.764)</f>
        <v>393.63947999999999</v>
      </c>
      <c r="E247" s="42">
        <v>0</v>
      </c>
      <c r="F247" s="42">
        <f>D247*(($F$197)+1)+(IF(E247&lt;101,E247,IF(E247&lt;201,E247/2,IF(E247&lt;=301,E247/3,E247/4))))</f>
        <v>610.14119400000004</v>
      </c>
      <c r="G247" s="114"/>
      <c r="H247" s="115"/>
      <c r="I247" s="36">
        <f t="shared" si="13"/>
        <v>9152117.9100000001</v>
      </c>
      <c r="L247" s="100"/>
      <c r="M247" s="100"/>
      <c r="N247" s="36"/>
    </row>
    <row r="248" spans="1:14" s="37" customFormat="1" ht="15.75" customHeight="1" x14ac:dyDescent="0.35">
      <c r="A248" s="101" t="s">
        <v>204</v>
      </c>
      <c r="B248" s="102"/>
      <c r="C248" s="102"/>
      <c r="D248" s="102"/>
      <c r="E248" s="102"/>
      <c r="F248" s="102"/>
      <c r="G248" s="102"/>
      <c r="H248" s="103"/>
      <c r="I248" s="36">
        <f t="shared" si="13"/>
        <v>0</v>
      </c>
      <c r="J248" s="36"/>
    </row>
    <row r="249" spans="1:14" s="37" customFormat="1" ht="15.75" customHeight="1" x14ac:dyDescent="0.35">
      <c r="A249" s="42">
        <v>1</v>
      </c>
      <c r="B249" s="58" t="s">
        <v>227</v>
      </c>
      <c r="C249" s="52">
        <v>1</v>
      </c>
      <c r="D249" s="55">
        <f>(36.46)*(10.764)</f>
        <v>392.45544000000001</v>
      </c>
      <c r="E249" s="42">
        <v>0</v>
      </c>
      <c r="F249" s="42">
        <f>D249*(($F$197)+1)+(IF(E249&lt;101,E249,IF(E249&lt;201,E249/2,IF(E249&lt;=301,E249/3,E249/4))))</f>
        <v>608.30593199999998</v>
      </c>
      <c r="G249" s="110" t="str">
        <f>A248</f>
        <v>8th Floor (Part Refuge Area)</v>
      </c>
      <c r="H249" s="111"/>
      <c r="I249" s="36">
        <f t="shared" si="13"/>
        <v>9124588.9800000004</v>
      </c>
      <c r="L249" s="100"/>
      <c r="M249" s="100"/>
      <c r="N249" s="36"/>
    </row>
    <row r="250" spans="1:14" s="37" customFormat="1" ht="15.75" customHeight="1" x14ac:dyDescent="0.35">
      <c r="A250" s="42">
        <f t="shared" ref="A250:A252" si="17">A249+1</f>
        <v>2</v>
      </c>
      <c r="B250" s="58" t="s">
        <v>227</v>
      </c>
      <c r="C250" s="52">
        <v>1</v>
      </c>
      <c r="D250" s="55">
        <f>(36.46)*(10.764)</f>
        <v>392.45544000000001</v>
      </c>
      <c r="E250" s="42">
        <v>0</v>
      </c>
      <c r="F250" s="42">
        <f>D250*(($F$197)+1)+(IF(E250&lt;101,E250,IF(E250&lt;201,E250/2,IF(E250&lt;=301,E250/3,E250/4))))</f>
        <v>608.30593199999998</v>
      </c>
      <c r="G250" s="112"/>
      <c r="H250" s="113"/>
      <c r="I250" s="36">
        <f t="shared" si="13"/>
        <v>9124588.9800000004</v>
      </c>
      <c r="L250" s="100"/>
      <c r="M250" s="100"/>
      <c r="N250" s="36"/>
    </row>
    <row r="251" spans="1:14" s="37" customFormat="1" ht="15.75" customHeight="1" x14ac:dyDescent="0.35">
      <c r="A251" s="42">
        <f t="shared" si="17"/>
        <v>3</v>
      </c>
      <c r="B251" s="58" t="s">
        <v>227</v>
      </c>
      <c r="C251" s="52">
        <v>1</v>
      </c>
      <c r="D251" s="55">
        <f>(36.57)*(10.764)</f>
        <v>393.63947999999999</v>
      </c>
      <c r="E251" s="42">
        <v>0</v>
      </c>
      <c r="F251" s="42">
        <f>D251*(($F$197)+1)+(IF(E251&lt;101,E251,IF(E251&lt;201,E251/2,IF(E251&lt;=301,E251/3,E251/4))))</f>
        <v>610.14119400000004</v>
      </c>
      <c r="G251" s="112"/>
      <c r="H251" s="113"/>
      <c r="I251" s="36">
        <f t="shared" si="13"/>
        <v>9152117.9100000001</v>
      </c>
      <c r="L251" s="100"/>
      <c r="M251" s="100"/>
      <c r="N251" s="36"/>
    </row>
    <row r="252" spans="1:14" s="37" customFormat="1" ht="15.75" customHeight="1" x14ac:dyDescent="0.35">
      <c r="A252" s="42">
        <f t="shared" si="17"/>
        <v>4</v>
      </c>
      <c r="B252" s="58" t="s">
        <v>239</v>
      </c>
      <c r="C252" s="116" t="s">
        <v>203</v>
      </c>
      <c r="D252" s="117"/>
      <c r="E252" s="117"/>
      <c r="F252" s="118"/>
      <c r="G252" s="114"/>
      <c r="H252" s="115"/>
      <c r="I252" s="36">
        <f t="shared" si="13"/>
        <v>0</v>
      </c>
      <c r="L252" s="100"/>
      <c r="M252" s="100"/>
      <c r="N252" s="36"/>
    </row>
    <row r="253" spans="1:14" s="37" customFormat="1" x14ac:dyDescent="0.35">
      <c r="A253" s="101" t="s">
        <v>213</v>
      </c>
      <c r="B253" s="102"/>
      <c r="C253" s="102"/>
      <c r="D253" s="102"/>
      <c r="E253" s="102"/>
      <c r="F253" s="102"/>
      <c r="G253" s="102"/>
      <c r="H253" s="103"/>
      <c r="I253" s="36">
        <f t="shared" si="13"/>
        <v>0</v>
      </c>
      <c r="J253" s="36"/>
    </row>
    <row r="254" spans="1:14" s="37" customFormat="1" x14ac:dyDescent="0.35">
      <c r="A254" s="101" t="s">
        <v>215</v>
      </c>
      <c r="B254" s="102"/>
      <c r="C254" s="102"/>
      <c r="D254" s="102"/>
      <c r="E254" s="102"/>
      <c r="F254" s="102"/>
      <c r="G254" s="102"/>
      <c r="H254" s="103"/>
      <c r="I254" s="36">
        <f t="shared" si="13"/>
        <v>0</v>
      </c>
      <c r="J254" s="36"/>
    </row>
    <row r="255" spans="1:14" s="37" customFormat="1" ht="15.75" customHeight="1" x14ac:dyDescent="0.35">
      <c r="A255" s="42">
        <v>6</v>
      </c>
      <c r="B255" s="42" t="s">
        <v>224</v>
      </c>
      <c r="C255" s="52">
        <v>1</v>
      </c>
      <c r="D255" s="55">
        <f>(28.01)*(10.764)</f>
        <v>301.49964</v>
      </c>
      <c r="E255" s="42">
        <v>0</v>
      </c>
      <c r="F255" s="42">
        <f>D255*(($F$197)+1)+(IF(E255&lt;101,E255,IF(E255&lt;201,E255/2,IF(E255&lt;=301,E255/3,E255/4))))</f>
        <v>467.32444200000003</v>
      </c>
      <c r="G255" s="110" t="str">
        <f>A254</f>
        <v>Ground Floor For Part Residential</v>
      </c>
      <c r="H255" s="111"/>
      <c r="I255" s="36">
        <f t="shared" si="13"/>
        <v>7009866.6300000008</v>
      </c>
      <c r="L255" s="100"/>
      <c r="M255" s="100"/>
      <c r="N255" s="36"/>
    </row>
    <row r="256" spans="1:14" s="37" customFormat="1" ht="15.75" customHeight="1" x14ac:dyDescent="0.35">
      <c r="A256" s="42">
        <v>9</v>
      </c>
      <c r="B256" s="42" t="s">
        <v>224</v>
      </c>
      <c r="C256" s="52">
        <v>1</v>
      </c>
      <c r="D256" s="55">
        <f>(27.9)*(10.764)</f>
        <v>300.31559999999996</v>
      </c>
      <c r="E256" s="42">
        <v>0</v>
      </c>
      <c r="F256" s="42">
        <f>D256*(($F$197)+1)+(IF(E256&lt;101,E256,IF(E256&lt;201,E256/2,IF(E256&lt;=301,E256/3,E256/4))))</f>
        <v>465.48917999999998</v>
      </c>
      <c r="G256" s="112"/>
      <c r="H256" s="113"/>
      <c r="I256" s="36">
        <f t="shared" si="13"/>
        <v>6982337.6999999993</v>
      </c>
      <c r="L256" s="100"/>
      <c r="M256" s="100"/>
      <c r="N256" s="36"/>
    </row>
    <row r="257" spans="1:14" s="37" customFormat="1" ht="15.75" customHeight="1" x14ac:dyDescent="0.35">
      <c r="A257" s="42">
        <f t="shared" ref="A257:A258" si="18">A256+1</f>
        <v>10</v>
      </c>
      <c r="B257" s="57" t="s">
        <v>227</v>
      </c>
      <c r="C257" s="52">
        <v>1</v>
      </c>
      <c r="D257" s="55">
        <f>(27.9)*(10.764)</f>
        <v>300.31559999999996</v>
      </c>
      <c r="E257" s="42">
        <v>0</v>
      </c>
      <c r="F257" s="42">
        <f>D257*(($F$197)+1)+(IF(E257&lt;101,E257,IF(E257&lt;201,E257/2,IF(E257&lt;=301,E257/3,E257/4))))</f>
        <v>465.48917999999998</v>
      </c>
      <c r="G257" s="112"/>
      <c r="H257" s="113"/>
      <c r="I257" s="36">
        <f t="shared" si="13"/>
        <v>6982337.6999999993</v>
      </c>
      <c r="L257" s="100"/>
      <c r="M257" s="100"/>
      <c r="N257" s="36"/>
    </row>
    <row r="258" spans="1:14" s="37" customFormat="1" ht="15.75" customHeight="1" x14ac:dyDescent="0.35">
      <c r="A258" s="42">
        <f t="shared" si="18"/>
        <v>11</v>
      </c>
      <c r="B258" s="42" t="s">
        <v>224</v>
      </c>
      <c r="C258" s="52">
        <v>1</v>
      </c>
      <c r="D258" s="55">
        <f>(27.9)*(10.764)</f>
        <v>300.31559999999996</v>
      </c>
      <c r="E258" s="42">
        <v>0</v>
      </c>
      <c r="F258" s="42">
        <f>D258*(($F$197)+1)+(IF(E258&lt;101,E258,IF(E258&lt;201,E258/2,IF(E258&lt;=301,E258/3,E258/4))))</f>
        <v>465.48917999999998</v>
      </c>
      <c r="G258" s="114"/>
      <c r="H258" s="115"/>
      <c r="I258" s="36">
        <f t="shared" si="13"/>
        <v>6982337.6999999993</v>
      </c>
      <c r="L258" s="100"/>
      <c r="M258" s="100"/>
      <c r="N258" s="36"/>
    </row>
    <row r="259" spans="1:14" s="37" customFormat="1" x14ac:dyDescent="0.35">
      <c r="A259" s="101" t="s">
        <v>217</v>
      </c>
      <c r="B259" s="102"/>
      <c r="C259" s="102"/>
      <c r="D259" s="102"/>
      <c r="E259" s="102"/>
      <c r="F259" s="102"/>
      <c r="G259" s="102"/>
      <c r="H259" s="103"/>
      <c r="I259" s="36">
        <f t="shared" si="13"/>
        <v>0</v>
      </c>
      <c r="J259" s="36"/>
    </row>
    <row r="260" spans="1:14" s="37" customFormat="1" ht="15.75" customHeight="1" x14ac:dyDescent="0.35">
      <c r="A260" s="104">
        <v>1</v>
      </c>
      <c r="B260" s="106"/>
      <c r="C260" s="104" t="s">
        <v>218</v>
      </c>
      <c r="D260" s="105"/>
      <c r="E260" s="105"/>
      <c r="F260" s="106"/>
      <c r="G260" s="110" t="str">
        <f>A259</f>
        <v>1st Floor</v>
      </c>
      <c r="H260" s="111"/>
      <c r="I260" s="36">
        <f t="shared" si="13"/>
        <v>0</v>
      </c>
      <c r="L260" s="100"/>
      <c r="M260" s="100"/>
      <c r="N260" s="36"/>
    </row>
    <row r="261" spans="1:14" s="37" customFormat="1" ht="15.75" customHeight="1" x14ac:dyDescent="0.35">
      <c r="A261" s="104">
        <f t="shared" ref="A261:A270" si="19">A260+1</f>
        <v>2</v>
      </c>
      <c r="B261" s="106"/>
      <c r="C261" s="104" t="s">
        <v>219</v>
      </c>
      <c r="D261" s="105"/>
      <c r="E261" s="105">
        <v>0</v>
      </c>
      <c r="F261" s="106">
        <f t="shared" ref="F261:F270" si="20">D261*(($F$197)+1)+(IF(E261&lt;101,E261,IF(E261&lt;201,E261/2,IF(E261&lt;=301,E261/3,E261/4))))</f>
        <v>0</v>
      </c>
      <c r="G261" s="112"/>
      <c r="H261" s="113"/>
      <c r="I261" s="36">
        <f t="shared" si="13"/>
        <v>0</v>
      </c>
      <c r="L261" s="100"/>
      <c r="M261" s="100"/>
      <c r="N261" s="36"/>
    </row>
    <row r="262" spans="1:14" s="37" customFormat="1" ht="15.75" customHeight="1" x14ac:dyDescent="0.35">
      <c r="A262" s="104">
        <f t="shared" si="19"/>
        <v>3</v>
      </c>
      <c r="B262" s="106"/>
      <c r="C262" s="104" t="s">
        <v>220</v>
      </c>
      <c r="D262" s="105"/>
      <c r="E262" s="105">
        <v>1</v>
      </c>
      <c r="F262" s="106">
        <f t="shared" si="20"/>
        <v>1</v>
      </c>
      <c r="G262" s="112"/>
      <c r="H262" s="113"/>
      <c r="I262" s="36">
        <v>0</v>
      </c>
      <c r="L262" s="100"/>
      <c r="M262" s="100"/>
      <c r="N262" s="36"/>
    </row>
    <row r="263" spans="1:14" s="37" customFormat="1" ht="15.75" customHeight="1" x14ac:dyDescent="0.35">
      <c r="A263" s="104">
        <f t="shared" si="19"/>
        <v>4</v>
      </c>
      <c r="B263" s="106"/>
      <c r="C263" s="104" t="s">
        <v>221</v>
      </c>
      <c r="D263" s="105"/>
      <c r="E263" s="105">
        <v>0</v>
      </c>
      <c r="F263" s="106">
        <f t="shared" si="20"/>
        <v>0</v>
      </c>
      <c r="G263" s="112"/>
      <c r="H263" s="113"/>
      <c r="I263" s="36">
        <f t="shared" ref="I263:I294" si="21">15000*F263</f>
        <v>0</v>
      </c>
      <c r="L263" s="100"/>
      <c r="M263" s="100"/>
      <c r="N263" s="36"/>
    </row>
    <row r="264" spans="1:14" s="37" customFormat="1" ht="15.75" customHeight="1" x14ac:dyDescent="0.35">
      <c r="A264" s="104">
        <f t="shared" si="19"/>
        <v>5</v>
      </c>
      <c r="B264" s="106"/>
      <c r="C264" s="104" t="s">
        <v>222</v>
      </c>
      <c r="D264" s="105"/>
      <c r="E264" s="105">
        <v>0</v>
      </c>
      <c r="F264" s="106">
        <f t="shared" si="20"/>
        <v>0</v>
      </c>
      <c r="G264" s="112"/>
      <c r="H264" s="113"/>
      <c r="I264" s="36">
        <f t="shared" si="21"/>
        <v>0</v>
      </c>
      <c r="L264" s="100"/>
      <c r="M264" s="100"/>
      <c r="N264" s="36"/>
    </row>
    <row r="265" spans="1:14" s="37" customFormat="1" ht="15.75" customHeight="1" x14ac:dyDescent="0.35">
      <c r="A265" s="104">
        <f t="shared" si="19"/>
        <v>6</v>
      </c>
      <c r="B265" s="106"/>
      <c r="C265" s="104" t="s">
        <v>223</v>
      </c>
      <c r="D265" s="105"/>
      <c r="E265" s="105">
        <v>0</v>
      </c>
      <c r="F265" s="106">
        <f t="shared" si="20"/>
        <v>0</v>
      </c>
      <c r="G265" s="112"/>
      <c r="H265" s="113"/>
      <c r="I265" s="36">
        <f t="shared" si="21"/>
        <v>0</v>
      </c>
      <c r="L265" s="100"/>
      <c r="M265" s="100"/>
      <c r="N265" s="36"/>
    </row>
    <row r="266" spans="1:14" s="37" customFormat="1" ht="15.75" customHeight="1" x14ac:dyDescent="0.35">
      <c r="A266" s="42">
        <f t="shared" si="19"/>
        <v>7</v>
      </c>
      <c r="B266" s="42" t="s">
        <v>224</v>
      </c>
      <c r="C266" s="52">
        <v>1</v>
      </c>
      <c r="D266" s="55">
        <f>(27.9)*(10.764)</f>
        <v>300.31559999999996</v>
      </c>
      <c r="E266" s="42">
        <v>0</v>
      </c>
      <c r="F266" s="42">
        <f t="shared" si="20"/>
        <v>465.48917999999998</v>
      </c>
      <c r="G266" s="112"/>
      <c r="H266" s="113"/>
      <c r="I266" s="36">
        <f t="shared" si="21"/>
        <v>6982337.6999999993</v>
      </c>
      <c r="L266" s="100"/>
      <c r="M266" s="100"/>
      <c r="N266" s="36"/>
    </row>
    <row r="267" spans="1:14" s="37" customFormat="1" ht="15.75" customHeight="1" x14ac:dyDescent="0.35">
      <c r="A267" s="42">
        <f t="shared" si="19"/>
        <v>8</v>
      </c>
      <c r="B267" s="42" t="s">
        <v>224</v>
      </c>
      <c r="C267" s="52">
        <v>1</v>
      </c>
      <c r="D267" s="55">
        <f>(27.9)*(10.764)</f>
        <v>300.31559999999996</v>
      </c>
      <c r="E267" s="42">
        <v>0</v>
      </c>
      <c r="F267" s="42">
        <f t="shared" si="20"/>
        <v>465.48917999999998</v>
      </c>
      <c r="G267" s="112"/>
      <c r="H267" s="113"/>
      <c r="I267" s="36">
        <f t="shared" si="21"/>
        <v>6982337.6999999993</v>
      </c>
      <c r="L267" s="100"/>
      <c r="M267" s="100"/>
      <c r="N267" s="36"/>
    </row>
    <row r="268" spans="1:14" s="37" customFormat="1" ht="15.75" customHeight="1" x14ac:dyDescent="0.35">
      <c r="A268" s="42">
        <f t="shared" si="19"/>
        <v>9</v>
      </c>
      <c r="B268" s="42" t="s">
        <v>224</v>
      </c>
      <c r="C268" s="52">
        <v>1</v>
      </c>
      <c r="D268" s="55">
        <f>(27.9)*(10.764)</f>
        <v>300.31559999999996</v>
      </c>
      <c r="E268" s="42">
        <v>0</v>
      </c>
      <c r="F268" s="42">
        <f t="shared" si="20"/>
        <v>465.48917999999998</v>
      </c>
      <c r="G268" s="112"/>
      <c r="H268" s="113"/>
      <c r="I268" s="36">
        <f t="shared" si="21"/>
        <v>6982337.6999999993</v>
      </c>
      <c r="L268" s="100"/>
      <c r="M268" s="100"/>
      <c r="N268" s="36"/>
    </row>
    <row r="269" spans="1:14" s="37" customFormat="1" ht="15.75" customHeight="1" x14ac:dyDescent="0.35">
      <c r="A269" s="42">
        <f t="shared" si="19"/>
        <v>10</v>
      </c>
      <c r="B269" s="42" t="s">
        <v>224</v>
      </c>
      <c r="C269" s="52">
        <v>1</v>
      </c>
      <c r="D269" s="55">
        <f>(28.01)*(10.764)</f>
        <v>301.49964</v>
      </c>
      <c r="E269" s="42">
        <v>0</v>
      </c>
      <c r="F269" s="42">
        <f t="shared" si="20"/>
        <v>467.32444200000003</v>
      </c>
      <c r="G269" s="112"/>
      <c r="H269" s="113"/>
      <c r="I269" s="36">
        <f t="shared" si="21"/>
        <v>7009866.6300000008</v>
      </c>
      <c r="L269" s="100"/>
      <c r="M269" s="100"/>
      <c r="N269" s="36"/>
    </row>
    <row r="270" spans="1:14" s="37" customFormat="1" ht="15.75" customHeight="1" x14ac:dyDescent="0.35">
      <c r="A270" s="42">
        <f t="shared" si="19"/>
        <v>11</v>
      </c>
      <c r="B270" s="42" t="s">
        <v>224</v>
      </c>
      <c r="C270" s="52">
        <v>1</v>
      </c>
      <c r="D270" s="55">
        <f>(27.9)*(10.764)</f>
        <v>300.31559999999996</v>
      </c>
      <c r="E270" s="42">
        <v>0</v>
      </c>
      <c r="F270" s="42">
        <f t="shared" si="20"/>
        <v>465.48917999999998</v>
      </c>
      <c r="G270" s="114"/>
      <c r="H270" s="115"/>
      <c r="I270" s="36">
        <f t="shared" si="21"/>
        <v>6982337.6999999993</v>
      </c>
      <c r="L270" s="100"/>
      <c r="M270" s="100"/>
      <c r="N270" s="36"/>
    </row>
    <row r="271" spans="1:14" s="37" customFormat="1" ht="15.75" customHeight="1" x14ac:dyDescent="0.35">
      <c r="A271" s="101" t="s">
        <v>225</v>
      </c>
      <c r="B271" s="102"/>
      <c r="C271" s="102"/>
      <c r="D271" s="102"/>
      <c r="E271" s="102"/>
      <c r="F271" s="102"/>
      <c r="G271" s="102"/>
      <c r="H271" s="103"/>
      <c r="I271" s="36">
        <f t="shared" si="21"/>
        <v>0</v>
      </c>
      <c r="J271" s="36"/>
    </row>
    <row r="272" spans="1:14" s="37" customFormat="1" ht="15.75" customHeight="1" x14ac:dyDescent="0.35">
      <c r="A272" s="42">
        <v>1</v>
      </c>
      <c r="B272" s="42" t="s">
        <v>224</v>
      </c>
      <c r="C272" s="52">
        <v>1</v>
      </c>
      <c r="D272" s="55">
        <f>(27.9)*(10.764)</f>
        <v>300.31559999999996</v>
      </c>
      <c r="E272" s="42">
        <v>0</v>
      </c>
      <c r="F272" s="42">
        <f t="shared" ref="F272:F282" si="22">D272*(($F$197)+1)+(IF(E272&lt;101,E272,IF(E272&lt;201,E272/2,IF(E272&lt;=301,E272/3,E272/4))))</f>
        <v>465.48917999999998</v>
      </c>
      <c r="G272" s="110" t="str">
        <f>A271</f>
        <v>2nd to 7th &amp; 9th to 14th Floor</v>
      </c>
      <c r="H272" s="111"/>
      <c r="I272" s="36">
        <f t="shared" si="21"/>
        <v>6982337.6999999993</v>
      </c>
      <c r="L272" s="100"/>
      <c r="M272" s="100"/>
      <c r="N272" s="36"/>
    </row>
    <row r="273" spans="1:14" s="37" customFormat="1" ht="15.75" customHeight="1" x14ac:dyDescent="0.35">
      <c r="A273" s="42">
        <f t="shared" ref="A273:A282" si="23">A272+1</f>
        <v>2</v>
      </c>
      <c r="B273" s="56" t="s">
        <v>224</v>
      </c>
      <c r="C273" s="62">
        <v>1</v>
      </c>
      <c r="D273" s="55">
        <f>(27.9)*(10.764)</f>
        <v>300.31559999999996</v>
      </c>
      <c r="E273" s="42">
        <v>0</v>
      </c>
      <c r="F273" s="42">
        <f t="shared" si="22"/>
        <v>465.48917999999998</v>
      </c>
      <c r="G273" s="112"/>
      <c r="H273" s="113"/>
      <c r="I273" s="36">
        <f t="shared" si="21"/>
        <v>6982337.6999999993</v>
      </c>
      <c r="L273" s="100"/>
      <c r="M273" s="100"/>
      <c r="N273" s="36"/>
    </row>
    <row r="274" spans="1:14" s="37" customFormat="1" ht="15.75" customHeight="1" x14ac:dyDescent="0.35">
      <c r="A274" s="42">
        <f t="shared" si="23"/>
        <v>3</v>
      </c>
      <c r="B274" s="42" t="s">
        <v>224</v>
      </c>
      <c r="C274" s="52">
        <v>1</v>
      </c>
      <c r="D274" s="55">
        <f>(27.9)*(10.764)</f>
        <v>300.31559999999996</v>
      </c>
      <c r="E274" s="42">
        <v>0</v>
      </c>
      <c r="F274" s="42">
        <f t="shared" si="22"/>
        <v>465.48917999999998</v>
      </c>
      <c r="G274" s="112"/>
      <c r="H274" s="113"/>
      <c r="I274" s="36">
        <f t="shared" si="21"/>
        <v>6982337.6999999993</v>
      </c>
      <c r="L274" s="100"/>
      <c r="M274" s="100"/>
      <c r="N274" s="36"/>
    </row>
    <row r="275" spans="1:14" s="37" customFormat="1" ht="15.75" customHeight="1" x14ac:dyDescent="0.35">
      <c r="A275" s="42">
        <f t="shared" si="23"/>
        <v>4</v>
      </c>
      <c r="B275" s="42" t="s">
        <v>224</v>
      </c>
      <c r="C275" s="52">
        <v>1</v>
      </c>
      <c r="D275" s="55">
        <f>(28.01)*(10.764)</f>
        <v>301.49964</v>
      </c>
      <c r="E275" s="42">
        <v>0</v>
      </c>
      <c r="F275" s="42">
        <f t="shared" si="22"/>
        <v>467.32444200000003</v>
      </c>
      <c r="G275" s="112"/>
      <c r="H275" s="113"/>
      <c r="I275" s="36">
        <f t="shared" si="21"/>
        <v>7009866.6300000008</v>
      </c>
      <c r="L275" s="100"/>
      <c r="M275" s="100"/>
      <c r="N275" s="36"/>
    </row>
    <row r="276" spans="1:14" s="37" customFormat="1" ht="15.75" customHeight="1" x14ac:dyDescent="0.35">
      <c r="A276" s="42">
        <f t="shared" si="23"/>
        <v>5</v>
      </c>
      <c r="B276" s="42" t="s">
        <v>224</v>
      </c>
      <c r="C276" s="52">
        <v>1</v>
      </c>
      <c r="D276" s="55">
        <f>(28.01)*(10.764)</f>
        <v>301.49964</v>
      </c>
      <c r="E276" s="42">
        <v>0</v>
      </c>
      <c r="F276" s="42">
        <f t="shared" si="22"/>
        <v>467.32444200000003</v>
      </c>
      <c r="G276" s="112"/>
      <c r="H276" s="113"/>
      <c r="I276" s="36">
        <f t="shared" si="21"/>
        <v>7009866.6300000008</v>
      </c>
      <c r="L276" s="100"/>
      <c r="M276" s="100"/>
      <c r="N276" s="36"/>
    </row>
    <row r="277" spans="1:14" s="37" customFormat="1" ht="15.75" customHeight="1" x14ac:dyDescent="0.35">
      <c r="A277" s="42">
        <f t="shared" si="23"/>
        <v>6</v>
      </c>
      <c r="B277" s="42" t="s">
        <v>224</v>
      </c>
      <c r="C277" s="52">
        <v>1</v>
      </c>
      <c r="D277" s="55">
        <f>(27.9)*(10.764)</f>
        <v>300.31559999999996</v>
      </c>
      <c r="E277" s="42">
        <v>0</v>
      </c>
      <c r="F277" s="42">
        <f t="shared" si="22"/>
        <v>465.48917999999998</v>
      </c>
      <c r="G277" s="112"/>
      <c r="H277" s="113"/>
      <c r="I277" s="36">
        <f t="shared" si="21"/>
        <v>6982337.6999999993</v>
      </c>
      <c r="L277" s="100"/>
      <c r="M277" s="100"/>
      <c r="N277" s="36"/>
    </row>
    <row r="278" spans="1:14" s="37" customFormat="1" ht="15.75" customHeight="1" x14ac:dyDescent="0.35">
      <c r="A278" s="42">
        <f t="shared" si="23"/>
        <v>7</v>
      </c>
      <c r="B278" s="42" t="s">
        <v>224</v>
      </c>
      <c r="C278" s="52">
        <v>1</v>
      </c>
      <c r="D278" s="55">
        <f>(27.9)*(10.764)</f>
        <v>300.31559999999996</v>
      </c>
      <c r="E278" s="42">
        <v>0</v>
      </c>
      <c r="F278" s="42">
        <f t="shared" si="22"/>
        <v>465.48917999999998</v>
      </c>
      <c r="G278" s="112"/>
      <c r="H278" s="113"/>
      <c r="I278" s="36">
        <f t="shared" si="21"/>
        <v>6982337.6999999993</v>
      </c>
      <c r="L278" s="100"/>
      <c r="M278" s="100"/>
      <c r="N278" s="36"/>
    </row>
    <row r="279" spans="1:14" s="37" customFormat="1" ht="15.75" customHeight="1" x14ac:dyDescent="0.35">
      <c r="A279" s="42">
        <f t="shared" si="23"/>
        <v>8</v>
      </c>
      <c r="B279" s="42" t="s">
        <v>224</v>
      </c>
      <c r="C279" s="52">
        <v>1</v>
      </c>
      <c r="D279" s="55">
        <f>(27.9)*(10.764)</f>
        <v>300.31559999999996</v>
      </c>
      <c r="E279" s="42">
        <v>0</v>
      </c>
      <c r="F279" s="42">
        <f t="shared" si="22"/>
        <v>465.48917999999998</v>
      </c>
      <c r="G279" s="112"/>
      <c r="H279" s="113"/>
      <c r="I279" s="36">
        <f t="shared" si="21"/>
        <v>6982337.6999999993</v>
      </c>
      <c r="L279" s="100"/>
      <c r="M279" s="100"/>
      <c r="N279" s="36"/>
    </row>
    <row r="280" spans="1:14" s="37" customFormat="1" ht="15.75" customHeight="1" x14ac:dyDescent="0.35">
      <c r="A280" s="42">
        <f t="shared" si="23"/>
        <v>9</v>
      </c>
      <c r="B280" s="42" t="s">
        <v>224</v>
      </c>
      <c r="C280" s="52">
        <v>1</v>
      </c>
      <c r="D280" s="55">
        <f>(27.9)*(10.764)</f>
        <v>300.31559999999996</v>
      </c>
      <c r="E280" s="42">
        <v>0</v>
      </c>
      <c r="F280" s="42">
        <f t="shared" si="22"/>
        <v>465.48917999999998</v>
      </c>
      <c r="G280" s="112"/>
      <c r="H280" s="113"/>
      <c r="I280" s="36">
        <f t="shared" si="21"/>
        <v>6982337.6999999993</v>
      </c>
      <c r="L280" s="100"/>
      <c r="M280" s="100"/>
      <c r="N280" s="36"/>
    </row>
    <row r="281" spans="1:14" s="37" customFormat="1" ht="15.75" customHeight="1" x14ac:dyDescent="0.35">
      <c r="A281" s="42">
        <f t="shared" si="23"/>
        <v>10</v>
      </c>
      <c r="B281" s="42" t="s">
        <v>224</v>
      </c>
      <c r="C281" s="52">
        <v>1</v>
      </c>
      <c r="D281" s="55">
        <f>(28.01)*(10.764)</f>
        <v>301.49964</v>
      </c>
      <c r="E281" s="42">
        <v>0</v>
      </c>
      <c r="F281" s="42">
        <f t="shared" si="22"/>
        <v>467.32444200000003</v>
      </c>
      <c r="G281" s="112"/>
      <c r="H281" s="113"/>
      <c r="I281" s="36">
        <f t="shared" si="21"/>
        <v>7009866.6300000008</v>
      </c>
      <c r="L281" s="100"/>
      <c r="M281" s="100"/>
      <c r="N281" s="36"/>
    </row>
    <row r="282" spans="1:14" s="37" customFormat="1" ht="15.75" customHeight="1" x14ac:dyDescent="0.35">
      <c r="A282" s="42">
        <f t="shared" si="23"/>
        <v>11</v>
      </c>
      <c r="B282" s="42" t="s">
        <v>224</v>
      </c>
      <c r="C282" s="52">
        <v>1</v>
      </c>
      <c r="D282" s="55">
        <f>(27.9)*(10.764)</f>
        <v>300.31559999999996</v>
      </c>
      <c r="E282" s="42">
        <v>0</v>
      </c>
      <c r="F282" s="42">
        <f t="shared" si="22"/>
        <v>465.48917999999998</v>
      </c>
      <c r="G282" s="114"/>
      <c r="H282" s="115"/>
      <c r="I282" s="36">
        <f t="shared" si="21"/>
        <v>6982337.6999999993</v>
      </c>
      <c r="L282" s="100"/>
      <c r="M282" s="100"/>
      <c r="N282" s="36"/>
    </row>
    <row r="283" spans="1:14" s="37" customFormat="1" ht="15.75" customHeight="1" x14ac:dyDescent="0.35">
      <c r="A283" s="101" t="s">
        <v>204</v>
      </c>
      <c r="B283" s="102"/>
      <c r="C283" s="102"/>
      <c r="D283" s="102"/>
      <c r="E283" s="102"/>
      <c r="F283" s="102"/>
      <c r="G283" s="102"/>
      <c r="H283" s="103"/>
      <c r="I283" s="36">
        <f t="shared" si="21"/>
        <v>0</v>
      </c>
      <c r="J283" s="36"/>
    </row>
    <row r="284" spans="1:14" s="37" customFormat="1" ht="15.75" customHeight="1" x14ac:dyDescent="0.35">
      <c r="A284" s="42">
        <v>1</v>
      </c>
      <c r="B284" s="42" t="s">
        <v>224</v>
      </c>
      <c r="C284" s="52">
        <v>1</v>
      </c>
      <c r="D284" s="55">
        <f>(27.9)*(10.764)</f>
        <v>300.31559999999996</v>
      </c>
      <c r="E284" s="42">
        <v>0</v>
      </c>
      <c r="F284" s="42">
        <f>D284*(($F$197)+1)+(IF(E284&lt;101,E284,IF(E284&lt;201,E284/2,IF(E284&lt;=301,E284/3,E284/4))))</f>
        <v>465.48917999999998</v>
      </c>
      <c r="G284" s="110" t="str">
        <f>A283</f>
        <v>8th Floor (Part Refuge Area)</v>
      </c>
      <c r="H284" s="111"/>
      <c r="I284" s="36">
        <f t="shared" si="21"/>
        <v>6982337.6999999993</v>
      </c>
      <c r="L284" s="100"/>
      <c r="M284" s="100"/>
      <c r="N284" s="36"/>
    </row>
    <row r="285" spans="1:14" s="37" customFormat="1" ht="15.75" customHeight="1" x14ac:dyDescent="0.35">
      <c r="A285" s="42">
        <f t="shared" ref="A285:A294" si="24">A284+1</f>
        <v>2</v>
      </c>
      <c r="B285" s="42" t="s">
        <v>239</v>
      </c>
      <c r="C285" s="119" t="s">
        <v>203</v>
      </c>
      <c r="D285" s="120"/>
      <c r="E285" s="120"/>
      <c r="F285" s="121"/>
      <c r="G285" s="112"/>
      <c r="H285" s="113"/>
      <c r="I285" s="36">
        <f t="shared" si="21"/>
        <v>0</v>
      </c>
      <c r="L285" s="100"/>
      <c r="M285" s="100"/>
      <c r="N285" s="36"/>
    </row>
    <row r="286" spans="1:14" s="37" customFormat="1" ht="15.75" customHeight="1" x14ac:dyDescent="0.35">
      <c r="A286" s="42">
        <f t="shared" si="24"/>
        <v>3</v>
      </c>
      <c r="B286" s="42" t="s">
        <v>239</v>
      </c>
      <c r="C286" s="122"/>
      <c r="D286" s="123"/>
      <c r="E286" s="123"/>
      <c r="F286" s="124"/>
      <c r="G286" s="112"/>
      <c r="H286" s="113"/>
      <c r="I286" s="36">
        <f t="shared" si="21"/>
        <v>0</v>
      </c>
      <c r="L286" s="100"/>
      <c r="M286" s="100"/>
      <c r="N286" s="36"/>
    </row>
    <row r="287" spans="1:14" s="37" customFormat="1" ht="15.75" customHeight="1" x14ac:dyDescent="0.35">
      <c r="A287" s="42">
        <f t="shared" si="24"/>
        <v>4</v>
      </c>
      <c r="B287" s="42" t="s">
        <v>224</v>
      </c>
      <c r="C287" s="52">
        <v>1</v>
      </c>
      <c r="D287" s="55">
        <f>(28.01)*(10.764)</f>
        <v>301.49964</v>
      </c>
      <c r="E287" s="42">
        <v>0</v>
      </c>
      <c r="F287" s="42">
        <f t="shared" ref="F287:F294" si="25">D287*(($F$197)+1)+(IF(E287&lt;101,E287,IF(E287&lt;201,E287/2,IF(E287&lt;=301,E287/3,E287/4))))</f>
        <v>467.32444200000003</v>
      </c>
      <c r="G287" s="112"/>
      <c r="H287" s="113"/>
      <c r="I287" s="36">
        <f t="shared" si="21"/>
        <v>7009866.6300000008</v>
      </c>
      <c r="L287" s="100"/>
      <c r="M287" s="100"/>
      <c r="N287" s="36"/>
    </row>
    <row r="288" spans="1:14" s="37" customFormat="1" ht="15.75" customHeight="1" x14ac:dyDescent="0.35">
      <c r="A288" s="42">
        <f t="shared" si="24"/>
        <v>5</v>
      </c>
      <c r="B288" s="42" t="s">
        <v>224</v>
      </c>
      <c r="C288" s="52">
        <v>1</v>
      </c>
      <c r="D288" s="55">
        <f>(28.01)*(10.764)</f>
        <v>301.49964</v>
      </c>
      <c r="E288" s="42">
        <v>0</v>
      </c>
      <c r="F288" s="42">
        <f t="shared" si="25"/>
        <v>467.32444200000003</v>
      </c>
      <c r="G288" s="112"/>
      <c r="H288" s="113"/>
      <c r="I288" s="36">
        <f t="shared" si="21"/>
        <v>7009866.6300000008</v>
      </c>
      <c r="L288" s="100"/>
      <c r="M288" s="100"/>
      <c r="N288" s="36"/>
    </row>
    <row r="289" spans="1:14" s="37" customFormat="1" ht="15.75" customHeight="1" x14ac:dyDescent="0.35">
      <c r="A289" s="42">
        <f t="shared" si="24"/>
        <v>6</v>
      </c>
      <c r="B289" s="42" t="s">
        <v>224</v>
      </c>
      <c r="C289" s="52">
        <v>1</v>
      </c>
      <c r="D289" s="55">
        <f>(27.9)*(10.764)</f>
        <v>300.31559999999996</v>
      </c>
      <c r="E289" s="42">
        <v>0</v>
      </c>
      <c r="F289" s="42">
        <f t="shared" si="25"/>
        <v>465.48917999999998</v>
      </c>
      <c r="G289" s="112"/>
      <c r="H289" s="113"/>
      <c r="I289" s="36">
        <f t="shared" si="21"/>
        <v>6982337.6999999993</v>
      </c>
      <c r="L289" s="100"/>
      <c r="M289" s="100"/>
      <c r="N289" s="36"/>
    </row>
    <row r="290" spans="1:14" s="37" customFormat="1" ht="15.75" customHeight="1" x14ac:dyDescent="0.35">
      <c r="A290" s="42">
        <f t="shared" si="24"/>
        <v>7</v>
      </c>
      <c r="B290" s="42" t="s">
        <v>224</v>
      </c>
      <c r="C290" s="52">
        <v>1</v>
      </c>
      <c r="D290" s="55">
        <f>(27.9)*(10.764)</f>
        <v>300.31559999999996</v>
      </c>
      <c r="E290" s="42">
        <v>0</v>
      </c>
      <c r="F290" s="42">
        <f t="shared" si="25"/>
        <v>465.48917999999998</v>
      </c>
      <c r="G290" s="112"/>
      <c r="H290" s="113"/>
      <c r="I290" s="36">
        <f t="shared" si="21"/>
        <v>6982337.6999999993</v>
      </c>
      <c r="L290" s="100"/>
      <c r="M290" s="100"/>
      <c r="N290" s="36"/>
    </row>
    <row r="291" spans="1:14" s="37" customFormat="1" ht="15.75" customHeight="1" x14ac:dyDescent="0.35">
      <c r="A291" s="42">
        <f t="shared" si="24"/>
        <v>8</v>
      </c>
      <c r="B291" s="42" t="s">
        <v>224</v>
      </c>
      <c r="C291" s="52">
        <v>1</v>
      </c>
      <c r="D291" s="55">
        <f>(27.9)*(10.764)</f>
        <v>300.31559999999996</v>
      </c>
      <c r="E291" s="42">
        <v>0</v>
      </c>
      <c r="F291" s="42">
        <f t="shared" si="25"/>
        <v>465.48917999999998</v>
      </c>
      <c r="G291" s="112"/>
      <c r="H291" s="113"/>
      <c r="I291" s="36">
        <f t="shared" si="21"/>
        <v>6982337.6999999993</v>
      </c>
      <c r="L291" s="100"/>
      <c r="M291" s="100"/>
      <c r="N291" s="36"/>
    </row>
    <row r="292" spans="1:14" s="37" customFormat="1" ht="15.75" customHeight="1" x14ac:dyDescent="0.35">
      <c r="A292" s="42">
        <f t="shared" si="24"/>
        <v>9</v>
      </c>
      <c r="B292" s="42" t="s">
        <v>224</v>
      </c>
      <c r="C292" s="52">
        <v>1</v>
      </c>
      <c r="D292" s="55">
        <f>(27.9)*(10.764)</f>
        <v>300.31559999999996</v>
      </c>
      <c r="E292" s="42">
        <v>0</v>
      </c>
      <c r="F292" s="42">
        <f t="shared" si="25"/>
        <v>465.48917999999998</v>
      </c>
      <c r="G292" s="112"/>
      <c r="H292" s="113"/>
      <c r="I292" s="36">
        <f t="shared" si="21"/>
        <v>6982337.6999999993</v>
      </c>
      <c r="L292" s="100"/>
      <c r="M292" s="100"/>
      <c r="N292" s="36"/>
    </row>
    <row r="293" spans="1:14" s="37" customFormat="1" ht="15.75" customHeight="1" x14ac:dyDescent="0.35">
      <c r="A293" s="42">
        <f t="shared" si="24"/>
        <v>10</v>
      </c>
      <c r="B293" s="42" t="s">
        <v>224</v>
      </c>
      <c r="C293" s="52">
        <v>1</v>
      </c>
      <c r="D293" s="55">
        <f>(28.01)*(10.764)</f>
        <v>301.49964</v>
      </c>
      <c r="E293" s="42">
        <v>0</v>
      </c>
      <c r="F293" s="42">
        <f t="shared" si="25"/>
        <v>467.32444200000003</v>
      </c>
      <c r="G293" s="112"/>
      <c r="H293" s="113"/>
      <c r="I293" s="36">
        <f t="shared" si="21"/>
        <v>7009866.6300000008</v>
      </c>
      <c r="L293" s="100"/>
      <c r="M293" s="100"/>
      <c r="N293" s="36"/>
    </row>
    <row r="294" spans="1:14" s="37" customFormat="1" ht="15.75" customHeight="1" x14ac:dyDescent="0.35">
      <c r="A294" s="42">
        <f t="shared" si="24"/>
        <v>11</v>
      </c>
      <c r="B294" s="42" t="s">
        <v>224</v>
      </c>
      <c r="C294" s="52">
        <v>1</v>
      </c>
      <c r="D294" s="55">
        <f>(27.9)*(10.764)</f>
        <v>300.31559999999996</v>
      </c>
      <c r="E294" s="42">
        <v>0</v>
      </c>
      <c r="F294" s="42">
        <f t="shared" si="25"/>
        <v>465.48917999999998</v>
      </c>
      <c r="G294" s="114"/>
      <c r="H294" s="115"/>
      <c r="I294" s="36">
        <f t="shared" si="21"/>
        <v>6982337.6999999993</v>
      </c>
      <c r="L294" s="100"/>
      <c r="M294" s="100"/>
      <c r="N294" s="36"/>
    </row>
    <row r="295" spans="1:14" s="37" customFormat="1" ht="15.75" customHeight="1" x14ac:dyDescent="0.35">
      <c r="A295" s="101" t="s">
        <v>226</v>
      </c>
      <c r="B295" s="102"/>
      <c r="C295" s="102"/>
      <c r="D295" s="102"/>
      <c r="E295" s="102"/>
      <c r="F295" s="102"/>
      <c r="G295" s="102"/>
      <c r="H295" s="103"/>
      <c r="I295" s="36">
        <f t="shared" ref="I295:I318" si="26">15000*F295</f>
        <v>0</v>
      </c>
      <c r="J295" s="36"/>
    </row>
    <row r="296" spans="1:14" s="37" customFormat="1" ht="15.75" customHeight="1" x14ac:dyDescent="0.35">
      <c r="A296" s="42">
        <v>1</v>
      </c>
      <c r="B296" s="42" t="s">
        <v>224</v>
      </c>
      <c r="C296" s="52">
        <v>1</v>
      </c>
      <c r="D296" s="55">
        <f>(27.9)*(10.764)</f>
        <v>300.31559999999996</v>
      </c>
      <c r="E296" s="42">
        <v>0</v>
      </c>
      <c r="F296" s="42">
        <f>D296*(($F$197)+1)+(IF(E296&lt;101,E296,IF(E296&lt;201,E296/2,IF(E296&lt;=301,E296/3,E296/4))))</f>
        <v>465.48917999999998</v>
      </c>
      <c r="G296" s="110" t="str">
        <f>A295</f>
        <v>15th Floor (Part Refuge Area)</v>
      </c>
      <c r="H296" s="111"/>
      <c r="I296" s="36">
        <f t="shared" si="26"/>
        <v>6982337.6999999993</v>
      </c>
      <c r="L296" s="100"/>
      <c r="M296" s="100"/>
      <c r="N296" s="36"/>
    </row>
    <row r="297" spans="1:14" s="37" customFormat="1" ht="15.75" customHeight="1" x14ac:dyDescent="0.35">
      <c r="A297" s="42">
        <f t="shared" ref="A297:A306" si="27">A296+1</f>
        <v>2</v>
      </c>
      <c r="B297" s="42" t="s">
        <v>239</v>
      </c>
      <c r="C297" s="116" t="s">
        <v>203</v>
      </c>
      <c r="D297" s="117"/>
      <c r="E297" s="117"/>
      <c r="F297" s="118"/>
      <c r="G297" s="112"/>
      <c r="H297" s="113"/>
      <c r="I297" s="36">
        <f t="shared" si="26"/>
        <v>0</v>
      </c>
      <c r="L297" s="100"/>
      <c r="M297" s="100"/>
      <c r="N297" s="36"/>
    </row>
    <row r="298" spans="1:14" s="37" customFormat="1" ht="15.75" customHeight="1" x14ac:dyDescent="0.35">
      <c r="A298" s="42">
        <f t="shared" si="27"/>
        <v>3</v>
      </c>
      <c r="B298" s="42" t="s">
        <v>224</v>
      </c>
      <c r="C298" s="52">
        <v>1</v>
      </c>
      <c r="D298" s="55">
        <f>(27.9)*(10.764)</f>
        <v>300.31559999999996</v>
      </c>
      <c r="E298" s="42">
        <v>0</v>
      </c>
      <c r="F298" s="42">
        <f t="shared" ref="F298:F306" si="28">D298*(($F$197)+1)+(IF(E298&lt;101,E298,IF(E298&lt;201,E298/2,IF(E298&lt;=301,E298/3,E298/4))))</f>
        <v>465.48917999999998</v>
      </c>
      <c r="G298" s="112"/>
      <c r="H298" s="113"/>
      <c r="I298" s="36">
        <f t="shared" si="26"/>
        <v>6982337.6999999993</v>
      </c>
      <c r="L298" s="100"/>
      <c r="M298" s="100"/>
      <c r="N298" s="36"/>
    </row>
    <row r="299" spans="1:14" s="37" customFormat="1" ht="15.75" customHeight="1" x14ac:dyDescent="0.35">
      <c r="A299" s="42">
        <f t="shared" si="27"/>
        <v>4</v>
      </c>
      <c r="B299" s="42" t="s">
        <v>224</v>
      </c>
      <c r="C299" s="52">
        <v>1</v>
      </c>
      <c r="D299" s="55">
        <f>(28.01)*(10.764)</f>
        <v>301.49964</v>
      </c>
      <c r="E299" s="42">
        <v>0</v>
      </c>
      <c r="F299" s="42">
        <f t="shared" si="28"/>
        <v>467.32444200000003</v>
      </c>
      <c r="G299" s="112"/>
      <c r="H299" s="113"/>
      <c r="I299" s="36">
        <f t="shared" si="26"/>
        <v>7009866.6300000008</v>
      </c>
      <c r="L299" s="100"/>
      <c r="M299" s="100"/>
      <c r="N299" s="36"/>
    </row>
    <row r="300" spans="1:14" s="37" customFormat="1" ht="15.75" customHeight="1" x14ac:dyDescent="0.35">
      <c r="A300" s="42">
        <f t="shared" si="27"/>
        <v>5</v>
      </c>
      <c r="B300" s="42" t="s">
        <v>224</v>
      </c>
      <c r="C300" s="52">
        <v>1</v>
      </c>
      <c r="D300" s="55">
        <f>(28.01)*(10.764)</f>
        <v>301.49964</v>
      </c>
      <c r="E300" s="42">
        <v>0</v>
      </c>
      <c r="F300" s="42">
        <f t="shared" si="28"/>
        <v>467.32444200000003</v>
      </c>
      <c r="G300" s="112"/>
      <c r="H300" s="113"/>
      <c r="I300" s="36">
        <f t="shared" si="26"/>
        <v>7009866.6300000008</v>
      </c>
      <c r="L300" s="100"/>
      <c r="M300" s="100"/>
      <c r="N300" s="36"/>
    </row>
    <row r="301" spans="1:14" s="37" customFormat="1" ht="15.75" customHeight="1" x14ac:dyDescent="0.35">
      <c r="A301" s="42">
        <f t="shared" si="27"/>
        <v>6</v>
      </c>
      <c r="B301" s="42" t="s">
        <v>224</v>
      </c>
      <c r="C301" s="52">
        <v>1</v>
      </c>
      <c r="D301" s="55">
        <f>(27.9)*(10.764)</f>
        <v>300.31559999999996</v>
      </c>
      <c r="E301" s="42">
        <v>0</v>
      </c>
      <c r="F301" s="42">
        <f t="shared" si="28"/>
        <v>465.48917999999998</v>
      </c>
      <c r="G301" s="112"/>
      <c r="H301" s="113"/>
      <c r="I301" s="36">
        <f t="shared" si="26"/>
        <v>6982337.6999999993</v>
      </c>
      <c r="L301" s="100"/>
      <c r="M301" s="100"/>
      <c r="N301" s="36"/>
    </row>
    <row r="302" spans="1:14" s="37" customFormat="1" ht="15.75" customHeight="1" x14ac:dyDescent="0.35">
      <c r="A302" s="42">
        <f t="shared" si="27"/>
        <v>7</v>
      </c>
      <c r="B302" s="42" t="s">
        <v>224</v>
      </c>
      <c r="C302" s="52">
        <v>1</v>
      </c>
      <c r="D302" s="55">
        <f>(27.9)*(10.764)</f>
        <v>300.31559999999996</v>
      </c>
      <c r="E302" s="42">
        <v>0</v>
      </c>
      <c r="F302" s="42">
        <f t="shared" si="28"/>
        <v>465.48917999999998</v>
      </c>
      <c r="G302" s="112"/>
      <c r="H302" s="113"/>
      <c r="I302" s="36">
        <f t="shared" si="26"/>
        <v>6982337.6999999993</v>
      </c>
      <c r="L302" s="100"/>
      <c r="M302" s="100"/>
      <c r="N302" s="36"/>
    </row>
    <row r="303" spans="1:14" s="37" customFormat="1" ht="15.75" customHeight="1" x14ac:dyDescent="0.35">
      <c r="A303" s="42">
        <f t="shared" si="27"/>
        <v>8</v>
      </c>
      <c r="B303" s="42" t="s">
        <v>224</v>
      </c>
      <c r="C303" s="52">
        <v>1</v>
      </c>
      <c r="D303" s="55">
        <f>(27.9)*(10.764)</f>
        <v>300.31559999999996</v>
      </c>
      <c r="E303" s="42">
        <v>0</v>
      </c>
      <c r="F303" s="42">
        <f t="shared" si="28"/>
        <v>465.48917999999998</v>
      </c>
      <c r="G303" s="112"/>
      <c r="H303" s="113"/>
      <c r="I303" s="36">
        <f t="shared" si="26"/>
        <v>6982337.6999999993</v>
      </c>
      <c r="L303" s="100"/>
      <c r="M303" s="100"/>
      <c r="N303" s="36"/>
    </row>
    <row r="304" spans="1:14" s="37" customFormat="1" ht="15.75" customHeight="1" x14ac:dyDescent="0.35">
      <c r="A304" s="42">
        <f t="shared" si="27"/>
        <v>9</v>
      </c>
      <c r="B304" s="42" t="s">
        <v>224</v>
      </c>
      <c r="C304" s="52">
        <v>1</v>
      </c>
      <c r="D304" s="55">
        <f>(27.9)*(10.764)</f>
        <v>300.31559999999996</v>
      </c>
      <c r="E304" s="42">
        <v>0</v>
      </c>
      <c r="F304" s="42">
        <f t="shared" si="28"/>
        <v>465.48917999999998</v>
      </c>
      <c r="G304" s="112"/>
      <c r="H304" s="113"/>
      <c r="I304" s="36">
        <f t="shared" si="26"/>
        <v>6982337.6999999993</v>
      </c>
      <c r="L304" s="100"/>
      <c r="M304" s="100"/>
      <c r="N304" s="36"/>
    </row>
    <row r="305" spans="1:14" s="37" customFormat="1" ht="15.75" customHeight="1" x14ac:dyDescent="0.35">
      <c r="A305" s="42">
        <f t="shared" si="27"/>
        <v>10</v>
      </c>
      <c r="B305" s="42" t="s">
        <v>224</v>
      </c>
      <c r="C305" s="52">
        <v>1</v>
      </c>
      <c r="D305" s="55">
        <f>(28.01)*(10.764)</f>
        <v>301.49964</v>
      </c>
      <c r="E305" s="42">
        <v>0</v>
      </c>
      <c r="F305" s="42">
        <f t="shared" si="28"/>
        <v>467.32444200000003</v>
      </c>
      <c r="G305" s="112"/>
      <c r="H305" s="113"/>
      <c r="I305" s="36">
        <f t="shared" si="26"/>
        <v>7009866.6300000008</v>
      </c>
      <c r="L305" s="100"/>
      <c r="M305" s="100"/>
      <c r="N305" s="36"/>
    </row>
    <row r="306" spans="1:14" s="37" customFormat="1" ht="15.75" customHeight="1" x14ac:dyDescent="0.35">
      <c r="A306" s="42">
        <f t="shared" si="27"/>
        <v>11</v>
      </c>
      <c r="B306" s="42" t="s">
        <v>224</v>
      </c>
      <c r="C306" s="52">
        <v>1</v>
      </c>
      <c r="D306" s="55">
        <f>(27.9)*(10.764)</f>
        <v>300.31559999999996</v>
      </c>
      <c r="E306" s="42">
        <v>0</v>
      </c>
      <c r="F306" s="42">
        <f t="shared" si="28"/>
        <v>465.48917999999998</v>
      </c>
      <c r="G306" s="114"/>
      <c r="H306" s="115"/>
      <c r="I306" s="36">
        <f t="shared" si="26"/>
        <v>6982337.6999999993</v>
      </c>
      <c r="L306" s="100"/>
      <c r="M306" s="100"/>
      <c r="N306" s="36"/>
    </row>
    <row r="307" spans="1:14" s="37" customFormat="1" ht="15.75" customHeight="1" x14ac:dyDescent="0.35">
      <c r="A307" s="101" t="s">
        <v>232</v>
      </c>
      <c r="B307" s="102"/>
      <c r="C307" s="102"/>
      <c r="D307" s="102"/>
      <c r="E307" s="102"/>
      <c r="F307" s="102"/>
      <c r="G307" s="102"/>
      <c r="H307" s="103"/>
      <c r="I307" s="36">
        <f t="shared" si="26"/>
        <v>0</v>
      </c>
      <c r="J307" s="36"/>
    </row>
    <row r="308" spans="1:14" s="37" customFormat="1" ht="15.75" customHeight="1" x14ac:dyDescent="0.35">
      <c r="A308" s="42">
        <v>1</v>
      </c>
      <c r="B308" s="42" t="s">
        <v>224</v>
      </c>
      <c r="C308" s="52">
        <v>1</v>
      </c>
      <c r="D308" s="55">
        <f>(27.9)*(10.764)</f>
        <v>300.31559999999996</v>
      </c>
      <c r="E308" s="42">
        <v>0</v>
      </c>
      <c r="F308" s="42">
        <f t="shared" ref="F308:F318" si="29">D308*(($F$197)+1)+(IF(E308&lt;101,E308,IF(E308&lt;201,E308/2,IF(E308&lt;=301,E308/3,E308/4))))</f>
        <v>465.48917999999998</v>
      </c>
      <c r="G308" s="110" t="str">
        <f>A307</f>
        <v>16th Floor</v>
      </c>
      <c r="H308" s="111"/>
      <c r="I308" s="36">
        <f t="shared" si="26"/>
        <v>6982337.6999999993</v>
      </c>
      <c r="L308" s="100"/>
      <c r="M308" s="100"/>
      <c r="N308" s="36"/>
    </row>
    <row r="309" spans="1:14" s="37" customFormat="1" ht="15.75" customHeight="1" x14ac:dyDescent="0.35">
      <c r="A309" s="42">
        <f t="shared" ref="A309:A318" si="30">A308+1</f>
        <v>2</v>
      </c>
      <c r="B309" s="42" t="s">
        <v>224</v>
      </c>
      <c r="C309" s="52">
        <v>1</v>
      </c>
      <c r="D309" s="55">
        <f>(27.9)*(10.764)</f>
        <v>300.31559999999996</v>
      </c>
      <c r="E309" s="42">
        <v>0</v>
      </c>
      <c r="F309" s="42">
        <f t="shared" si="29"/>
        <v>465.48917999999998</v>
      </c>
      <c r="G309" s="112"/>
      <c r="H309" s="113"/>
      <c r="I309" s="36">
        <f t="shared" si="26"/>
        <v>6982337.6999999993</v>
      </c>
      <c r="L309" s="100"/>
      <c r="M309" s="100"/>
      <c r="N309" s="36"/>
    </row>
    <row r="310" spans="1:14" s="37" customFormat="1" ht="15.75" customHeight="1" x14ac:dyDescent="0.35">
      <c r="A310" s="42">
        <f t="shared" si="30"/>
        <v>3</v>
      </c>
      <c r="B310" s="42" t="s">
        <v>224</v>
      </c>
      <c r="C310" s="52">
        <v>1</v>
      </c>
      <c r="D310" s="55">
        <f>(27.9)*(10.764)</f>
        <v>300.31559999999996</v>
      </c>
      <c r="E310" s="42">
        <v>0</v>
      </c>
      <c r="F310" s="42">
        <f t="shared" si="29"/>
        <v>465.48917999999998</v>
      </c>
      <c r="G310" s="112"/>
      <c r="H310" s="113"/>
      <c r="I310" s="36">
        <f t="shared" si="26"/>
        <v>6982337.6999999993</v>
      </c>
      <c r="L310" s="100"/>
      <c r="M310" s="100"/>
      <c r="N310" s="36"/>
    </row>
    <row r="311" spans="1:14" s="37" customFormat="1" ht="15.75" customHeight="1" x14ac:dyDescent="0.35">
      <c r="A311" s="42">
        <f t="shared" si="30"/>
        <v>4</v>
      </c>
      <c r="B311" s="42" t="s">
        <v>224</v>
      </c>
      <c r="C311" s="52">
        <v>1</v>
      </c>
      <c r="D311" s="55">
        <f>(28.01)*(10.764)</f>
        <v>301.49964</v>
      </c>
      <c r="E311" s="42">
        <v>0</v>
      </c>
      <c r="F311" s="42">
        <f t="shared" si="29"/>
        <v>467.32444200000003</v>
      </c>
      <c r="G311" s="112"/>
      <c r="H311" s="113"/>
      <c r="I311" s="36">
        <f t="shared" si="26"/>
        <v>7009866.6300000008</v>
      </c>
      <c r="L311" s="100"/>
      <c r="M311" s="100"/>
      <c r="N311" s="36"/>
    </row>
    <row r="312" spans="1:14" s="37" customFormat="1" ht="15.75" customHeight="1" x14ac:dyDescent="0.35">
      <c r="A312" s="42">
        <f t="shared" si="30"/>
        <v>5</v>
      </c>
      <c r="B312" s="42" t="s">
        <v>224</v>
      </c>
      <c r="C312" s="52">
        <v>1</v>
      </c>
      <c r="D312" s="55">
        <f>(28.01)*(10.764)</f>
        <v>301.49964</v>
      </c>
      <c r="E312" s="42">
        <v>0</v>
      </c>
      <c r="F312" s="42">
        <f t="shared" si="29"/>
        <v>467.32444200000003</v>
      </c>
      <c r="G312" s="112"/>
      <c r="H312" s="113"/>
      <c r="I312" s="36">
        <f t="shared" si="26"/>
        <v>7009866.6300000008</v>
      </c>
      <c r="L312" s="100"/>
      <c r="M312" s="100"/>
      <c r="N312" s="36"/>
    </row>
    <row r="313" spans="1:14" s="37" customFormat="1" ht="15.75" customHeight="1" x14ac:dyDescent="0.35">
      <c r="A313" s="42">
        <f t="shared" si="30"/>
        <v>6</v>
      </c>
      <c r="B313" s="42" t="s">
        <v>224</v>
      </c>
      <c r="C313" s="52">
        <v>1</v>
      </c>
      <c r="D313" s="55">
        <f>(27.9)*(10.764)</f>
        <v>300.31559999999996</v>
      </c>
      <c r="E313" s="42">
        <v>0</v>
      </c>
      <c r="F313" s="42">
        <f t="shared" si="29"/>
        <v>465.48917999999998</v>
      </c>
      <c r="G313" s="112"/>
      <c r="H313" s="113"/>
      <c r="I313" s="36">
        <f t="shared" si="26"/>
        <v>6982337.6999999993</v>
      </c>
      <c r="L313" s="100"/>
      <c r="M313" s="100"/>
      <c r="N313" s="36"/>
    </row>
    <row r="314" spans="1:14" s="37" customFormat="1" ht="15.75" customHeight="1" x14ac:dyDescent="0.35">
      <c r="A314" s="42">
        <f t="shared" si="30"/>
        <v>7</v>
      </c>
      <c r="B314" s="58" t="s">
        <v>227</v>
      </c>
      <c r="C314" s="52">
        <v>1</v>
      </c>
      <c r="D314" s="55">
        <f>(27.9)*(10.764)</f>
        <v>300.31559999999996</v>
      </c>
      <c r="E314" s="42">
        <v>0</v>
      </c>
      <c r="F314" s="42">
        <f t="shared" si="29"/>
        <v>465.48917999999998</v>
      </c>
      <c r="G314" s="112"/>
      <c r="H314" s="113"/>
      <c r="I314" s="36">
        <f t="shared" si="26"/>
        <v>6982337.6999999993</v>
      </c>
      <c r="L314" s="100"/>
      <c r="M314" s="100"/>
      <c r="N314" s="36"/>
    </row>
    <row r="315" spans="1:14" s="37" customFormat="1" ht="15.75" customHeight="1" x14ac:dyDescent="0.35">
      <c r="A315" s="42">
        <f t="shared" si="30"/>
        <v>8</v>
      </c>
      <c r="B315" s="58" t="s">
        <v>227</v>
      </c>
      <c r="C315" s="52">
        <v>1</v>
      </c>
      <c r="D315" s="55">
        <f>(27.9)*(10.764)</f>
        <v>300.31559999999996</v>
      </c>
      <c r="E315" s="42">
        <v>0</v>
      </c>
      <c r="F315" s="42">
        <f t="shared" si="29"/>
        <v>465.48917999999998</v>
      </c>
      <c r="G315" s="112"/>
      <c r="H315" s="113"/>
      <c r="I315" s="36">
        <f t="shared" si="26"/>
        <v>6982337.6999999993</v>
      </c>
      <c r="L315" s="100"/>
      <c r="M315" s="100"/>
      <c r="N315" s="36"/>
    </row>
    <row r="316" spans="1:14" s="37" customFormat="1" ht="15.75" customHeight="1" x14ac:dyDescent="0.35">
      <c r="A316" s="42">
        <f t="shared" si="30"/>
        <v>9</v>
      </c>
      <c r="B316" s="58" t="s">
        <v>227</v>
      </c>
      <c r="C316" s="52">
        <v>1</v>
      </c>
      <c r="D316" s="55">
        <f>(27.9)*(10.764)</f>
        <v>300.31559999999996</v>
      </c>
      <c r="E316" s="42">
        <v>0</v>
      </c>
      <c r="F316" s="42">
        <f t="shared" si="29"/>
        <v>465.48917999999998</v>
      </c>
      <c r="G316" s="112"/>
      <c r="H316" s="113"/>
      <c r="I316" s="36">
        <f t="shared" si="26"/>
        <v>6982337.6999999993</v>
      </c>
      <c r="L316" s="100"/>
      <c r="M316" s="100"/>
      <c r="N316" s="36"/>
    </row>
    <row r="317" spans="1:14" s="37" customFormat="1" ht="15.75" customHeight="1" x14ac:dyDescent="0.35">
      <c r="A317" s="42">
        <f t="shared" si="30"/>
        <v>10</v>
      </c>
      <c r="B317" s="58" t="s">
        <v>227</v>
      </c>
      <c r="C317" s="52">
        <v>1</v>
      </c>
      <c r="D317" s="55">
        <f>(28.01)*(10.764)</f>
        <v>301.49964</v>
      </c>
      <c r="E317" s="42">
        <v>0</v>
      </c>
      <c r="F317" s="42">
        <f t="shared" si="29"/>
        <v>467.32444200000003</v>
      </c>
      <c r="G317" s="112"/>
      <c r="H317" s="113"/>
      <c r="I317" s="36">
        <f t="shared" si="26"/>
        <v>7009866.6300000008</v>
      </c>
      <c r="L317" s="100"/>
      <c r="M317" s="100"/>
      <c r="N317" s="36"/>
    </row>
    <row r="318" spans="1:14" s="37" customFormat="1" ht="15.75" customHeight="1" x14ac:dyDescent="0.35">
      <c r="A318" s="42">
        <f t="shared" si="30"/>
        <v>11</v>
      </c>
      <c r="B318" s="58" t="s">
        <v>227</v>
      </c>
      <c r="C318" s="52">
        <v>1</v>
      </c>
      <c r="D318" s="55">
        <f>(27.9)*(10.764)</f>
        <v>300.31559999999996</v>
      </c>
      <c r="E318" s="42">
        <v>0</v>
      </c>
      <c r="F318" s="42">
        <f t="shared" si="29"/>
        <v>465.48917999999998</v>
      </c>
      <c r="G318" s="114"/>
      <c r="H318" s="115"/>
      <c r="I318" s="36">
        <f t="shared" si="26"/>
        <v>6982337.6999999993</v>
      </c>
      <c r="L318" s="100"/>
      <c r="M318" s="100"/>
      <c r="N318" s="36"/>
    </row>
    <row r="319" spans="1:14" s="37" customFormat="1" hidden="1" x14ac:dyDescent="0.35">
      <c r="A319" s="101" t="s">
        <v>123</v>
      </c>
      <c r="B319" s="102"/>
      <c r="C319" s="102"/>
      <c r="D319" s="102"/>
      <c r="E319" s="102"/>
      <c r="F319" s="102"/>
      <c r="G319" s="102"/>
      <c r="H319" s="103"/>
      <c r="J319" s="36"/>
    </row>
    <row r="320" spans="1:14" s="37" customFormat="1" ht="15.75" hidden="1" customHeight="1" x14ac:dyDescent="0.35">
      <c r="A320" s="104">
        <v>1</v>
      </c>
      <c r="B320" s="106"/>
      <c r="C320" s="52"/>
      <c r="D320" s="42"/>
      <c r="E320" s="42">
        <v>0</v>
      </c>
      <c r="F320" s="42">
        <f>D320*(($F$197)+1)+(IF(E320&lt;101,E320,IF(E320&lt;201,E320/2,IF(E320&lt;=301,E320/3,E320/4))))</f>
        <v>0</v>
      </c>
      <c r="G320" s="110" t="str">
        <f>A319</f>
        <v>Ground Floor</v>
      </c>
      <c r="H320" s="111"/>
      <c r="I320" s="36"/>
      <c r="L320" s="100"/>
      <c r="M320" s="100"/>
      <c r="N320" s="36"/>
    </row>
    <row r="321" spans="1:14" s="37" customFormat="1" ht="15.75" hidden="1" customHeight="1" x14ac:dyDescent="0.35">
      <c r="A321" s="104">
        <f t="shared" ref="A321:A323" si="31">A320+1</f>
        <v>2</v>
      </c>
      <c r="B321" s="106"/>
      <c r="C321" s="52"/>
      <c r="D321" s="42"/>
      <c r="E321" s="42">
        <v>0</v>
      </c>
      <c r="F321" s="42">
        <f>D321*(($F$197)+1)+(IF(E321&lt;101,E321,IF(E321&lt;201,E321/2,IF(E321&lt;=301,E321/3,E321/4))))</f>
        <v>0</v>
      </c>
      <c r="G321" s="112"/>
      <c r="H321" s="113"/>
      <c r="I321" s="36"/>
      <c r="L321" s="100"/>
      <c r="M321" s="100"/>
      <c r="N321" s="36"/>
    </row>
    <row r="322" spans="1:14" s="37" customFormat="1" ht="15.75" hidden="1" customHeight="1" x14ac:dyDescent="0.35">
      <c r="A322" s="104">
        <f t="shared" si="31"/>
        <v>3</v>
      </c>
      <c r="B322" s="106"/>
      <c r="C322" s="52"/>
      <c r="D322" s="42"/>
      <c r="E322" s="42">
        <v>0</v>
      </c>
      <c r="F322" s="42">
        <f>D322*(($F$197)+1)+(IF(E322&lt;101,E322,IF(E322&lt;201,E322/2,IF(E322&lt;=301,E322/3,E322/4))))</f>
        <v>0</v>
      </c>
      <c r="G322" s="112"/>
      <c r="H322" s="113"/>
      <c r="I322" s="36"/>
      <c r="L322" s="100"/>
      <c r="M322" s="100"/>
      <c r="N322" s="36"/>
    </row>
    <row r="323" spans="1:14" s="37" customFormat="1" ht="15.75" hidden="1" customHeight="1" x14ac:dyDescent="0.35">
      <c r="A323" s="104">
        <f t="shared" si="31"/>
        <v>4</v>
      </c>
      <c r="B323" s="106"/>
      <c r="C323" s="52"/>
      <c r="D323" s="42"/>
      <c r="E323" s="42">
        <v>0</v>
      </c>
      <c r="F323" s="42">
        <f>D323*(($F$197)+1)+(IF(E323&lt;101,E323,IF(E323&lt;201,E323/2,IF(E323&lt;=301,E323/3,E323/4))))</f>
        <v>0</v>
      </c>
      <c r="G323" s="114"/>
      <c r="H323" s="115"/>
      <c r="I323" s="36"/>
      <c r="L323" s="100"/>
      <c r="M323" s="100"/>
      <c r="N323" s="36"/>
    </row>
    <row r="324" spans="1:14" s="37" customFormat="1" hidden="1" x14ac:dyDescent="0.35">
      <c r="A324" s="176" t="s">
        <v>124</v>
      </c>
      <c r="B324" s="176"/>
      <c r="C324" s="176"/>
      <c r="D324" s="176"/>
      <c r="E324" s="176"/>
      <c r="F324" s="176"/>
      <c r="G324" s="176"/>
      <c r="H324" s="176"/>
      <c r="I324" s="36"/>
      <c r="L324" s="100"/>
      <c r="M324" s="100"/>
    </row>
    <row r="325" spans="1:14" s="37" customFormat="1" hidden="1" x14ac:dyDescent="0.35">
      <c r="A325" s="138">
        <f>LEFT(A324,SUM(LEN(A324)-LEN(SUBSTITUTE(A324,{"0","1","2","3","4","5","6","7","8","9"},""))))*100+1</f>
        <v>201</v>
      </c>
      <c r="B325" s="138"/>
      <c r="C325" s="52"/>
      <c r="D325" s="42"/>
      <c r="E325" s="42">
        <v>0</v>
      </c>
      <c r="F325" s="42">
        <f t="shared" ref="F325:F326" si="32">D325*(($F$197)+1)+(IF(E325&lt;101,E325,IF(E325&lt;201,E325/2,IF(E325&lt;=301,E325/3,E325/4))))</f>
        <v>0</v>
      </c>
      <c r="G325" s="110" t="str">
        <f>A324</f>
        <v>2nd Floor</v>
      </c>
      <c r="H325" s="111"/>
      <c r="I325" s="36"/>
      <c r="N325" s="36"/>
    </row>
    <row r="326" spans="1:14" s="37" customFormat="1" hidden="1" x14ac:dyDescent="0.35">
      <c r="A326" s="138">
        <f>A325+1</f>
        <v>202</v>
      </c>
      <c r="B326" s="138"/>
      <c r="C326" s="52"/>
      <c r="D326" s="42"/>
      <c r="E326" s="42">
        <v>0</v>
      </c>
      <c r="F326" s="42">
        <f t="shared" si="32"/>
        <v>0</v>
      </c>
      <c r="G326" s="112"/>
      <c r="H326" s="113"/>
      <c r="I326" s="36"/>
      <c r="N326" s="36"/>
    </row>
    <row r="327" spans="1:14" s="37" customFormat="1" hidden="1" x14ac:dyDescent="0.35">
      <c r="A327" s="138">
        <f>A326+1</f>
        <v>203</v>
      </c>
      <c r="B327" s="138"/>
      <c r="C327" s="52"/>
      <c r="D327" s="42"/>
      <c r="E327" s="42">
        <v>0</v>
      </c>
      <c r="F327" s="42">
        <f>D327*(($F$197)+1)+(IF(E327&lt;101,E327,IF(E327&lt;201,E327/2,IF(E327&lt;=301,E327/3,E327/4))))</f>
        <v>0</v>
      </c>
      <c r="G327" s="112"/>
      <c r="H327" s="113"/>
      <c r="I327" s="36"/>
      <c r="N327" s="36"/>
    </row>
    <row r="328" spans="1:14" s="37" customFormat="1" hidden="1" x14ac:dyDescent="0.35">
      <c r="A328" s="138">
        <f>A327+1</f>
        <v>204</v>
      </c>
      <c r="B328" s="138"/>
      <c r="C328" s="52"/>
      <c r="D328" s="42"/>
      <c r="E328" s="42">
        <v>0</v>
      </c>
      <c r="F328" s="42">
        <f>D328*(($F$197)+1)+(IF(E328&lt;101,E328,IF(E328&lt;201,E328/2,IF(E328&lt;=301,E328/3,E328/4))))</f>
        <v>0</v>
      </c>
      <c r="G328" s="112"/>
      <c r="H328" s="113"/>
      <c r="I328" s="36"/>
      <c r="N328" s="36"/>
    </row>
    <row r="329" spans="1:14" s="37" customFormat="1" hidden="1" x14ac:dyDescent="0.35">
      <c r="A329" s="138">
        <f>A328+1</f>
        <v>205</v>
      </c>
      <c r="B329" s="138"/>
      <c r="C329" s="52"/>
      <c r="D329" s="42"/>
      <c r="E329" s="42">
        <v>0</v>
      </c>
      <c r="F329" s="42">
        <f>D329*(($F$197)+1)+(IF(E329&lt;101,E329,IF(E329&lt;201,E329/2,IF(E329&lt;=301,E329/3,E329/4))))</f>
        <v>0</v>
      </c>
      <c r="G329" s="114"/>
      <c r="H329" s="115"/>
      <c r="I329" s="36"/>
      <c r="N329" s="36"/>
    </row>
    <row r="330" spans="1:14" s="37" customFormat="1" ht="15.75" hidden="1" customHeight="1" x14ac:dyDescent="0.35">
      <c r="A330" s="101" t="s">
        <v>159</v>
      </c>
      <c r="B330" s="102"/>
      <c r="C330" s="102"/>
      <c r="D330" s="102"/>
      <c r="E330" s="102"/>
      <c r="F330" s="102"/>
      <c r="G330" s="102"/>
      <c r="H330" s="103"/>
      <c r="I330" s="36"/>
    </row>
    <row r="331" spans="1:14" s="37" customFormat="1" ht="15.75" hidden="1" customHeight="1" x14ac:dyDescent="0.35">
      <c r="A331" s="104" t="str">
        <f ca="1">(SUMPRODUCT(MID(0&amp;(LEFT(A330,SUM(LEN(A330)-LEN(SUBSTITUTE(A330,{"0","1","2"},""))))), LARGE(INDEX(ISNUMBER(--MID((LEFT(A330,SUM(LEN(A330)-LEN(SUBSTITUTE(A330,{"0","1","2"},""))))), ROW(INDIRECT("1:"&amp;LEN((LEFT(A330,SUM(LEN(A330)-LEN(SUBSTITUTE(A330,{"0","1","2"},"")))))))), 1)) * ROW(INDIRECT("1:"&amp;LEN((LEFT(A330,SUM(LEN(A330)-LEN(SUBSTITUTE(A330,{"0","1","2"},"")))))))), 0), ROW(INDIRECT("1:"&amp;LEN((LEFT(A330,SUM(LEN(A330)-LEN(SUBSTITUTE(A330,{"0","1","2"},"")))))))))+1, 1) * 10^ROW(INDIRECT("1:"&amp;LEN((LEFT(A330,SUM(LEN(A330)-LEN(SUBSTITUTE(A330,{"0","1","2"},""))))))))/10))*100+1&amp;""&amp;" ,.., "&amp;""&amp;(SUMPRODUCT(MID(0&amp;(--TRIM(RIGHT(SUBSTITUTE(LEFT(A330,_xlfn.AGGREGATE(16,6,FIND({0,1,2,3,4,5,6,7,8,9},A330,ROW(INDIRECT("1:"&amp;LEN(A330)))),1))," ",REPT(" ",LEN(A330))),LEN(A330)))), LARGE(INDEX(ISNUMBER(--MID((--TRIM(RIGHT(SUBSTITUTE(LEFT(A330,_xlfn.AGGREGATE(16,6,FIND({0,1,2,3,4,5,6,7,8,9},A330,ROW(INDIRECT("1:"&amp;LEN(A330)))),1))," ",REPT(" ",LEN(A330))),LEN(A330)))), ROW(INDIRECT("1:"&amp;LEN((--TRIM(RIGHT(SUBSTITUTE(LEFT(A330,_xlfn.AGGREGATE(16,6,FIND({0,1,2,3,4,5,6,7,8,9},A330,ROW(INDIRECT("1:"&amp;LEN(A330)))),1))," ",REPT(" ",LEN(A330))),LEN(A330))))))), 1)) * ROW(INDIRECT("1:"&amp;LEN((--TRIM(RIGHT(SUBSTITUTE(LEFT(A330,_xlfn.AGGREGATE(16,6,FIND({0,1,2,3,4,5,6,7,8,9},A330,ROW(INDIRECT("1:"&amp;LEN(A330)))),1))," ",REPT(" ",LEN(A330))),LEN(A330))))))), 0), ROW(INDIRECT("1:"&amp;LEN((--TRIM(RIGHT(SUBSTITUTE(LEFT(A330,_xlfn.AGGREGATE(16,6,FIND({0,1,2,3,4,5,6,7,8,9},A330,ROW(INDIRECT("1:"&amp;LEN(A330)))),1))," ",REPT(" ",LEN(A330))),LEN(A330))))))))+1, 1) * 10^ROW(INDIRECT("1:"&amp;LEN((--TRIM(RIGHT(SUBSTITUTE(LEFT(A330,_xlfn.AGGREGATE(16,6,FIND({0,1,2,3,4,5,6,7,8,9},A330,ROW(INDIRECT("1:"&amp;LEN(A330)))),1))," ",REPT(" ",LEN(A330))),LEN(A330)))))))/10))*100+1</f>
        <v>301 ,.., 1501</v>
      </c>
      <c r="B331" s="106"/>
      <c r="C331" s="52"/>
      <c r="D331" s="42"/>
      <c r="E331" s="42">
        <v>0</v>
      </c>
      <c r="F331" s="42">
        <f>D331*(($F$197)+1)+(IF(E331&lt;101,E331,IF(E331&lt;201,E331/2,IF(E331&lt;=301,E331/3,E331/4))))</f>
        <v>0</v>
      </c>
      <c r="G331" s="110" t="str">
        <f>A330</f>
        <v>3rd, 5th, 7th, 9th, 11th, 13th, 15th Floor</v>
      </c>
      <c r="H331" s="111"/>
      <c r="I331" s="36"/>
    </row>
    <row r="332" spans="1:14" s="37" customFormat="1" ht="15.75" hidden="1" customHeight="1" x14ac:dyDescent="0.35">
      <c r="A332" s="104" t="str">
        <f ca="1">(SUMPRODUCT(MID(0&amp;(LEFT(A331,SUM(LEN(A331)-LEN(SUBSTITUTE(A331,{"0","1","2"},""))))), LARGE(INDEX(ISNUMBER(--MID((LEFT(A331,SUM(LEN(A331)-LEN(SUBSTITUTE(A331,{"0","1","2"},""))))), ROW(INDIRECT("1:"&amp;LEN((LEFT(A331,SUM(LEN(A331)-LEN(SUBSTITUTE(A331,{"0","1","2"},"")))))))), 1)) * ROW(INDIRECT("1:"&amp;LEN((LEFT(A331,SUM(LEN(A331)-LEN(SUBSTITUTE(A331,{"0","1","2"},"")))))))), 0), ROW(INDIRECT("1:"&amp;LEN((LEFT(A331,SUM(LEN(A331)-LEN(SUBSTITUTE(A331,{"0","1","2"},"")))))))))+1, 1) * 10^ROW(INDIRECT("1:"&amp;LEN((LEFT(A331,SUM(LEN(A331)-LEN(SUBSTITUTE(A331,{"0","1","2"},""))))))))/10))*1+1&amp;""&amp;" ,.., "&amp;""&amp;(SUMPRODUCT(MID(0&amp;(--TRIM(RIGHT(SUBSTITUTE(LEFT(A331,_xlfn.AGGREGATE(16,6,FIND({0,1,2,3,4,5,6,7,8,9},A331,ROW(INDIRECT("1:"&amp;LEN(A331)))),1))," ",REPT(" ",LEN(A331))),LEN(A331)))), LARGE(INDEX(ISNUMBER(--MID((--TRIM(RIGHT(SUBSTITUTE(LEFT(A331,_xlfn.AGGREGATE(16,6,FIND({0,1,2,3,4,5,6,7,8,9},A331,ROW(INDIRECT("1:"&amp;LEN(A331)))),1))," ",REPT(" ",LEN(A331))),LEN(A331)))), ROW(INDIRECT("1:"&amp;LEN((--TRIM(RIGHT(SUBSTITUTE(LEFT(A331,_xlfn.AGGREGATE(16,6,FIND({0,1,2,3,4,5,6,7,8,9},A331,ROW(INDIRECT("1:"&amp;LEN(A331)))),1))," ",REPT(" ",LEN(A331))),LEN(A331))))))), 1)) * ROW(INDIRECT("1:"&amp;LEN((--TRIM(RIGHT(SUBSTITUTE(LEFT(A331,_xlfn.AGGREGATE(16,6,FIND({0,1,2,3,4,5,6,7,8,9},A331,ROW(INDIRECT("1:"&amp;LEN(A331)))),1))," ",REPT(" ",LEN(A331))),LEN(A331))))))), 0), ROW(INDIRECT("1:"&amp;LEN((--TRIM(RIGHT(SUBSTITUTE(LEFT(A331,_xlfn.AGGREGATE(16,6,FIND({0,1,2,3,4,5,6,7,8,9},A331,ROW(INDIRECT("1:"&amp;LEN(A331)))),1))," ",REPT(" ",LEN(A331))),LEN(A331))))))))+1, 1) * 10^ROW(INDIRECT("1:"&amp;LEN((--TRIM(RIGHT(SUBSTITUTE(LEFT(A331,_xlfn.AGGREGATE(16,6,FIND({0,1,2,3,4,5,6,7,8,9},A331,ROW(INDIRECT("1:"&amp;LEN(A331)))),1))," ",REPT(" ",LEN(A331))),LEN(A331)))))))/10))*1+1</f>
        <v>302 ,.., 1502</v>
      </c>
      <c r="B332" s="106"/>
      <c r="C332" s="52"/>
      <c r="D332" s="42"/>
      <c r="E332" s="42">
        <v>0</v>
      </c>
      <c r="F332" s="42">
        <f>D332*(($F$197)+1)+(IF(E332&lt;101,E332,IF(E332&lt;201,E332/2,IF(E332&lt;=301,E332/3,E332/4))))</f>
        <v>0</v>
      </c>
      <c r="G332" s="112"/>
      <c r="H332" s="113"/>
      <c r="I332" s="36"/>
    </row>
    <row r="333" spans="1:14" s="37" customFormat="1" ht="15.75" hidden="1" customHeight="1" x14ac:dyDescent="0.35">
      <c r="A333" s="104" t="str">
        <f ca="1">(SUMPRODUCT(MID(0&amp;(LEFT(A332,SUM(LEN(A332)-LEN(SUBSTITUTE(A332,{"0","1","2"},""))))), LARGE(INDEX(ISNUMBER(--MID((LEFT(A332,SUM(LEN(A332)-LEN(SUBSTITUTE(A332,{"0","1","2"},""))))), ROW(INDIRECT("1:"&amp;LEN((LEFT(A332,SUM(LEN(A332)-LEN(SUBSTITUTE(A332,{"0","1","2"},"")))))))), 1)) * ROW(INDIRECT("1:"&amp;LEN((LEFT(A332,SUM(LEN(A332)-LEN(SUBSTITUTE(A332,{"0","1","2"},"")))))))), 0), ROW(INDIRECT("1:"&amp;LEN((LEFT(A332,SUM(LEN(A332)-LEN(SUBSTITUTE(A332,{"0","1","2"},"")))))))))+1, 1) * 10^ROW(INDIRECT("1:"&amp;LEN((LEFT(A332,SUM(LEN(A332)-LEN(SUBSTITUTE(A332,{"0","1","2"},""))))))))/10))*1+1&amp;""&amp;" ,.., "&amp;""&amp;(SUMPRODUCT(MID(0&amp;(--TRIM(RIGHT(SUBSTITUTE(LEFT(A332,_xlfn.AGGREGATE(16,6,FIND({0,1,2,3,4,5,6,7,8,9},A332,ROW(INDIRECT("1:"&amp;LEN(A332)))),1))," ",REPT(" ",LEN(A332))),LEN(A332)))), LARGE(INDEX(ISNUMBER(--MID((--TRIM(RIGHT(SUBSTITUTE(LEFT(A332,_xlfn.AGGREGATE(16,6,FIND({0,1,2,3,4,5,6,7,8,9},A332,ROW(INDIRECT("1:"&amp;LEN(A332)))),1))," ",REPT(" ",LEN(A332))),LEN(A332)))), ROW(INDIRECT("1:"&amp;LEN((--TRIM(RIGHT(SUBSTITUTE(LEFT(A332,_xlfn.AGGREGATE(16,6,FIND({0,1,2,3,4,5,6,7,8,9},A332,ROW(INDIRECT("1:"&amp;LEN(A332)))),1))," ",REPT(" ",LEN(A332))),LEN(A332))))))), 1)) * ROW(INDIRECT("1:"&amp;LEN((--TRIM(RIGHT(SUBSTITUTE(LEFT(A332,_xlfn.AGGREGATE(16,6,FIND({0,1,2,3,4,5,6,7,8,9},A332,ROW(INDIRECT("1:"&amp;LEN(A332)))),1))," ",REPT(" ",LEN(A332))),LEN(A332))))))), 0), ROW(INDIRECT("1:"&amp;LEN((--TRIM(RIGHT(SUBSTITUTE(LEFT(A332,_xlfn.AGGREGATE(16,6,FIND({0,1,2,3,4,5,6,7,8,9},A332,ROW(INDIRECT("1:"&amp;LEN(A332)))),1))," ",REPT(" ",LEN(A332))),LEN(A332))))))))+1, 1) * 10^ROW(INDIRECT("1:"&amp;LEN((--TRIM(RIGHT(SUBSTITUTE(LEFT(A332,_xlfn.AGGREGATE(16,6,FIND({0,1,2,3,4,5,6,7,8,9},A332,ROW(INDIRECT("1:"&amp;LEN(A332)))),1))," ",REPT(" ",LEN(A332))),LEN(A332)))))))/10))*1+1</f>
        <v>303 ,.., 1503</v>
      </c>
      <c r="B333" s="106"/>
      <c r="C333" s="52"/>
      <c r="D333" s="42"/>
      <c r="E333" s="42">
        <v>0</v>
      </c>
      <c r="F333" s="42">
        <f>D333*(($F$197)+1)+(IF(E333&lt;101,E333,IF(E333&lt;201,E333/2,IF(E333&lt;=301,E333/3,E333/4))))</f>
        <v>0</v>
      </c>
      <c r="G333" s="112"/>
      <c r="H333" s="113"/>
      <c r="I333" s="36"/>
    </row>
    <row r="334" spans="1:14" s="37" customFormat="1" ht="15.75" hidden="1" customHeight="1" x14ac:dyDescent="0.35">
      <c r="A334" s="104" t="str">
        <f ca="1">(SUMPRODUCT(MID(0&amp;(LEFT(A333,SUM(LEN(A333)-LEN(SUBSTITUTE(A333,{"0","1","2"},""))))), LARGE(INDEX(ISNUMBER(--MID((LEFT(A333,SUM(LEN(A333)-LEN(SUBSTITUTE(A333,{"0","1","2"},""))))), ROW(INDIRECT("1:"&amp;LEN((LEFT(A333,SUM(LEN(A333)-LEN(SUBSTITUTE(A333,{"0","1","2"},"")))))))), 1)) * ROW(INDIRECT("1:"&amp;LEN((LEFT(A333,SUM(LEN(A333)-LEN(SUBSTITUTE(A333,{"0","1","2"},"")))))))), 0), ROW(INDIRECT("1:"&amp;LEN((LEFT(A333,SUM(LEN(A333)-LEN(SUBSTITUTE(A333,{"0","1","2"},"")))))))))+1, 1) * 10^ROW(INDIRECT("1:"&amp;LEN((LEFT(A333,SUM(LEN(A333)-LEN(SUBSTITUTE(A333,{"0","1","2"},""))))))))/10))*1+1&amp;""&amp;" ,.., "&amp;""&amp;(SUMPRODUCT(MID(0&amp;(--TRIM(RIGHT(SUBSTITUTE(LEFT(A333,_xlfn.AGGREGATE(16,6,FIND({0,1,2,3,4,5,6,7,8,9},A333,ROW(INDIRECT("1:"&amp;LEN(A333)))),1))," ",REPT(" ",LEN(A333))),LEN(A333)))), LARGE(INDEX(ISNUMBER(--MID((--TRIM(RIGHT(SUBSTITUTE(LEFT(A333,_xlfn.AGGREGATE(16,6,FIND({0,1,2,3,4,5,6,7,8,9},A333,ROW(INDIRECT("1:"&amp;LEN(A333)))),1))," ",REPT(" ",LEN(A333))),LEN(A333)))), ROW(INDIRECT("1:"&amp;LEN((--TRIM(RIGHT(SUBSTITUTE(LEFT(A333,_xlfn.AGGREGATE(16,6,FIND({0,1,2,3,4,5,6,7,8,9},A333,ROW(INDIRECT("1:"&amp;LEN(A333)))),1))," ",REPT(" ",LEN(A333))),LEN(A333))))))), 1)) * ROW(INDIRECT("1:"&amp;LEN((--TRIM(RIGHT(SUBSTITUTE(LEFT(A333,_xlfn.AGGREGATE(16,6,FIND({0,1,2,3,4,5,6,7,8,9},A333,ROW(INDIRECT("1:"&amp;LEN(A333)))),1))," ",REPT(" ",LEN(A333))),LEN(A333))))))), 0), ROW(INDIRECT("1:"&amp;LEN((--TRIM(RIGHT(SUBSTITUTE(LEFT(A333,_xlfn.AGGREGATE(16,6,FIND({0,1,2,3,4,5,6,7,8,9},A333,ROW(INDIRECT("1:"&amp;LEN(A333)))),1))," ",REPT(" ",LEN(A333))),LEN(A333))))))))+1, 1) * 10^ROW(INDIRECT("1:"&amp;LEN((--TRIM(RIGHT(SUBSTITUTE(LEFT(A333,_xlfn.AGGREGATE(16,6,FIND({0,1,2,3,4,5,6,7,8,9},A333,ROW(INDIRECT("1:"&amp;LEN(A333)))),1))," ",REPT(" ",LEN(A333))),LEN(A333)))))))/10))*1+1</f>
        <v>304 ,.., 1504</v>
      </c>
      <c r="B334" s="106"/>
      <c r="C334" s="52"/>
      <c r="D334" s="42"/>
      <c r="E334" s="42">
        <v>0</v>
      </c>
      <c r="F334" s="42">
        <f>D334*(($F$197)+1)+(IF(E334&lt;101,E334,IF(E334&lt;201,E334/2,IF(E334&lt;=301,E334/3,E334/4))))</f>
        <v>0</v>
      </c>
      <c r="G334" s="112"/>
      <c r="H334" s="113"/>
      <c r="I334" s="36"/>
    </row>
    <row r="335" spans="1:14" s="37" customFormat="1" ht="15.75" hidden="1" customHeight="1" x14ac:dyDescent="0.35">
      <c r="A335" s="104" t="str">
        <f ca="1">(SUMPRODUCT(MID(0&amp;(LEFT(A334,SUM(LEN(A334)-LEN(SUBSTITUTE(A334,{"0","1","2"},""))))), LARGE(INDEX(ISNUMBER(--MID((LEFT(A334,SUM(LEN(A334)-LEN(SUBSTITUTE(A334,{"0","1","2"},""))))), ROW(INDIRECT("1:"&amp;LEN((LEFT(A334,SUM(LEN(A334)-LEN(SUBSTITUTE(A334,{"0","1","2"},"")))))))), 1)) * ROW(INDIRECT("1:"&amp;LEN((LEFT(A334,SUM(LEN(A334)-LEN(SUBSTITUTE(A334,{"0","1","2"},"")))))))), 0), ROW(INDIRECT("1:"&amp;LEN((LEFT(A334,SUM(LEN(A334)-LEN(SUBSTITUTE(A334,{"0","1","2"},"")))))))))+1, 1) * 10^ROW(INDIRECT("1:"&amp;LEN((LEFT(A334,SUM(LEN(A334)-LEN(SUBSTITUTE(A334,{"0","1","2"},""))))))))/10))*1+1&amp;""&amp;" ,.., "&amp;""&amp;(SUMPRODUCT(MID(0&amp;(--TRIM(RIGHT(SUBSTITUTE(LEFT(A334,_xlfn.AGGREGATE(16,6,FIND({0,1,2,3,4,5,6,7,8,9},A334,ROW(INDIRECT("1:"&amp;LEN(A334)))),1))," ",REPT(" ",LEN(A334))),LEN(A334)))), LARGE(INDEX(ISNUMBER(--MID((--TRIM(RIGHT(SUBSTITUTE(LEFT(A334,_xlfn.AGGREGATE(16,6,FIND({0,1,2,3,4,5,6,7,8,9},A334,ROW(INDIRECT("1:"&amp;LEN(A334)))),1))," ",REPT(" ",LEN(A334))),LEN(A334)))), ROW(INDIRECT("1:"&amp;LEN((--TRIM(RIGHT(SUBSTITUTE(LEFT(A334,_xlfn.AGGREGATE(16,6,FIND({0,1,2,3,4,5,6,7,8,9},A334,ROW(INDIRECT("1:"&amp;LEN(A334)))),1))," ",REPT(" ",LEN(A334))),LEN(A334))))))), 1)) * ROW(INDIRECT("1:"&amp;LEN((--TRIM(RIGHT(SUBSTITUTE(LEFT(A334,_xlfn.AGGREGATE(16,6,FIND({0,1,2,3,4,5,6,7,8,9},A334,ROW(INDIRECT("1:"&amp;LEN(A334)))),1))," ",REPT(" ",LEN(A334))),LEN(A334))))))), 0), ROW(INDIRECT("1:"&amp;LEN((--TRIM(RIGHT(SUBSTITUTE(LEFT(A334,_xlfn.AGGREGATE(16,6,FIND({0,1,2,3,4,5,6,7,8,9},A334,ROW(INDIRECT("1:"&amp;LEN(A334)))),1))," ",REPT(" ",LEN(A334))),LEN(A334))))))))+1, 1) * 10^ROW(INDIRECT("1:"&amp;LEN((--TRIM(RIGHT(SUBSTITUTE(LEFT(A334,_xlfn.AGGREGATE(16,6,FIND({0,1,2,3,4,5,6,7,8,9},A334,ROW(INDIRECT("1:"&amp;LEN(A334)))),1))," ",REPT(" ",LEN(A334))),LEN(A334)))))))/10))*1+1</f>
        <v>305 ,.., 1505</v>
      </c>
      <c r="B335" s="106"/>
      <c r="C335" s="52"/>
      <c r="D335" s="42"/>
      <c r="E335" s="42">
        <v>0</v>
      </c>
      <c r="F335" s="42">
        <f>D335*(($F$197)+1)+(IF(E335&lt;101,E335,IF(E335&lt;201,E335/2,IF(E335&lt;=301,E335/3,E335/4))))</f>
        <v>0</v>
      </c>
      <c r="G335" s="114"/>
      <c r="H335" s="115"/>
      <c r="I335" s="36"/>
    </row>
    <row r="336" spans="1:14" s="37" customFormat="1" hidden="1" x14ac:dyDescent="0.35">
      <c r="A336" s="101" t="s">
        <v>152</v>
      </c>
      <c r="B336" s="102"/>
      <c r="C336" s="102"/>
      <c r="D336" s="102"/>
      <c r="E336" s="102"/>
      <c r="F336" s="102"/>
      <c r="G336" s="102"/>
      <c r="H336" s="103"/>
      <c r="I336" s="36"/>
    </row>
    <row r="337" spans="1:9" s="37" customFormat="1" ht="15.75" hidden="1" customHeight="1" x14ac:dyDescent="0.35">
      <c r="A337" s="104" t="str">
        <f ca="1">(SUMPRODUCT(MID(0&amp;(LEFT(A336,SUM(LEN(A336)-LEN(SUBSTITUTE(A336,{"0","1","2"},""))))), LARGE(INDEX(ISNUMBER(--MID((LEFT(A336,SUM(LEN(A336)-LEN(SUBSTITUTE(A336,{"0","1","2"},""))))), ROW(INDIRECT("1:"&amp;LEN((LEFT(A336,SUM(LEN(A336)-LEN(SUBSTITUTE(A336,{"0","1","2"},"")))))))), 1)) * ROW(INDIRECT("1:"&amp;LEN((LEFT(A336,SUM(LEN(A336)-LEN(SUBSTITUTE(A336,{"0","1","2"},"")))))))), 0), ROW(INDIRECT("1:"&amp;LEN((LEFT(A336,SUM(LEN(A336)-LEN(SUBSTITUTE(A336,{"0","1","2"},"")))))))))+1, 1) * 10^ROW(INDIRECT("1:"&amp;LEN((LEFT(A336,SUM(LEN(A336)-LEN(SUBSTITUTE(A336,{"0","1","2"},""))))))))/10))*100+1&amp;""&amp;" to "&amp;""&amp;(SUMPRODUCT(MID(0&amp;(--TRIM(RIGHT(SUBSTITUTE(LEFT(A336,_xlfn.AGGREGATE(16,6,FIND({0,1,2,3,4,5,6,7,8,9},A336,ROW(INDIRECT("1:"&amp;LEN(A336)))),1))," ",REPT(" ",LEN(A336))),LEN(A336)))), LARGE(INDEX(ISNUMBER(--MID((--TRIM(RIGHT(SUBSTITUTE(LEFT(A336,_xlfn.AGGREGATE(16,6,FIND({0,1,2,3,4,5,6,7,8,9},A336,ROW(INDIRECT("1:"&amp;LEN(A336)))),1))," ",REPT(" ",LEN(A336))),LEN(A336)))), ROW(INDIRECT("1:"&amp;LEN((--TRIM(RIGHT(SUBSTITUTE(LEFT(A336,_xlfn.AGGREGATE(16,6,FIND({0,1,2,3,4,5,6,7,8,9},A336,ROW(INDIRECT("1:"&amp;LEN(A336)))),1))," ",REPT(" ",LEN(A336))),LEN(A336))))))), 1)) * ROW(INDIRECT("1:"&amp;LEN((--TRIM(RIGHT(SUBSTITUTE(LEFT(A336,_xlfn.AGGREGATE(16,6,FIND({0,1,2,3,4,5,6,7,8,9},A336,ROW(INDIRECT("1:"&amp;LEN(A336)))),1))," ",REPT(" ",LEN(A336))),LEN(A336))))))), 0), ROW(INDIRECT("1:"&amp;LEN((--TRIM(RIGHT(SUBSTITUTE(LEFT(A336,_xlfn.AGGREGATE(16,6,FIND({0,1,2,3,4,5,6,7,8,9},A336,ROW(INDIRECT("1:"&amp;LEN(A336)))),1))," ",REPT(" ",LEN(A336))),LEN(A336))))))))+1, 1) * 10^ROW(INDIRECT("1:"&amp;LEN((--TRIM(RIGHT(SUBSTITUTE(LEFT(A336,_xlfn.AGGREGATE(16,6,FIND({0,1,2,3,4,5,6,7,8,9},A336,ROW(INDIRECT("1:"&amp;LEN(A336)))),1))," ",REPT(" ",LEN(A336))),LEN(A336)))))))/10))*100+1</f>
        <v>201 to 501</v>
      </c>
      <c r="B337" s="106"/>
      <c r="C337" s="52"/>
      <c r="D337" s="42"/>
      <c r="E337" s="42">
        <v>0</v>
      </c>
      <c r="F337" s="42">
        <f>D337*(($F$197)+1)+(IF(E337&lt;101,E337,IF(E337&lt;201,E337/2,IF(E337&lt;=301,E337/3,E337/4))))</f>
        <v>0</v>
      </c>
      <c r="G337" s="110" t="str">
        <f>A336</f>
        <v>2nd to 5th Floor</v>
      </c>
      <c r="H337" s="111"/>
      <c r="I337" s="36"/>
    </row>
    <row r="338" spans="1:9" s="37" customFormat="1" ht="15.75" hidden="1" customHeight="1" x14ac:dyDescent="0.35">
      <c r="A338" s="104" t="str">
        <f ca="1">(SUMPRODUCT(MID(0&amp;(LEFT(A337,SUM(LEN(A337)-LEN(SUBSTITUTE(A337,{"0","1","2"},""))))), LARGE(INDEX(ISNUMBER(--MID((LEFT(A337,SUM(LEN(A337)-LEN(SUBSTITUTE(A337,{"0","1","2"},""))))), ROW(INDIRECT("1:"&amp;LEN((LEFT(A337,SUM(LEN(A337)-LEN(SUBSTITUTE(A337,{"0","1","2"},"")))))))), 1)) * ROW(INDIRECT("1:"&amp;LEN((LEFT(A337,SUM(LEN(A337)-LEN(SUBSTITUTE(A337,{"0","1","2"},"")))))))), 0), ROW(INDIRECT("1:"&amp;LEN((LEFT(A337,SUM(LEN(A337)-LEN(SUBSTITUTE(A337,{"0","1","2"},"")))))))))+1, 1) * 10^ROW(INDIRECT("1:"&amp;LEN((LEFT(A337,SUM(LEN(A337)-LEN(SUBSTITUTE(A337,{"0","1","2"},""))))))))/10))*1+1&amp;""&amp;" to "&amp;""&amp;(SUMPRODUCT(MID(0&amp;(--TRIM(RIGHT(SUBSTITUTE(LEFT(A337,_xlfn.AGGREGATE(16,6,FIND({0,1,2,3,4,5,6,7,8,9},A337,ROW(INDIRECT("1:"&amp;LEN(A337)))),1))," ",REPT(" ",LEN(A337))),LEN(A337)))), LARGE(INDEX(ISNUMBER(--MID((--TRIM(RIGHT(SUBSTITUTE(LEFT(A337,_xlfn.AGGREGATE(16,6,FIND({0,1,2,3,4,5,6,7,8,9},A337,ROW(INDIRECT("1:"&amp;LEN(A337)))),1))," ",REPT(" ",LEN(A337))),LEN(A337)))), ROW(INDIRECT("1:"&amp;LEN((--TRIM(RIGHT(SUBSTITUTE(LEFT(A337,_xlfn.AGGREGATE(16,6,FIND({0,1,2,3,4,5,6,7,8,9},A337,ROW(INDIRECT("1:"&amp;LEN(A337)))),1))," ",REPT(" ",LEN(A337))),LEN(A337))))))), 1)) * ROW(INDIRECT("1:"&amp;LEN((--TRIM(RIGHT(SUBSTITUTE(LEFT(A337,_xlfn.AGGREGATE(16,6,FIND({0,1,2,3,4,5,6,7,8,9},A337,ROW(INDIRECT("1:"&amp;LEN(A337)))),1))," ",REPT(" ",LEN(A337))),LEN(A337))))))), 0), ROW(INDIRECT("1:"&amp;LEN((--TRIM(RIGHT(SUBSTITUTE(LEFT(A337,_xlfn.AGGREGATE(16,6,FIND({0,1,2,3,4,5,6,7,8,9},A337,ROW(INDIRECT("1:"&amp;LEN(A337)))),1))," ",REPT(" ",LEN(A337))),LEN(A337))))))))+1, 1) * 10^ROW(INDIRECT("1:"&amp;LEN((--TRIM(RIGHT(SUBSTITUTE(LEFT(A337,_xlfn.AGGREGATE(16,6,FIND({0,1,2,3,4,5,6,7,8,9},A337,ROW(INDIRECT("1:"&amp;LEN(A337)))),1))," ",REPT(" ",LEN(A337))),LEN(A337)))))))/10))*1+1</f>
        <v>202 to 502</v>
      </c>
      <c r="B338" s="106"/>
      <c r="C338" s="52"/>
      <c r="D338" s="42"/>
      <c r="E338" s="42">
        <v>0</v>
      </c>
      <c r="F338" s="42">
        <f>D338*(($F$197)+1)+(IF(E338&lt;101,E338,IF(E338&lt;201,E338/2,IF(E338&lt;=301,E338/3,E338/4))))</f>
        <v>0</v>
      </c>
      <c r="G338" s="112"/>
      <c r="H338" s="113"/>
      <c r="I338" s="36"/>
    </row>
    <row r="339" spans="1:9" s="37" customFormat="1" ht="15.75" hidden="1" customHeight="1" x14ac:dyDescent="0.35">
      <c r="A339" s="104" t="str">
        <f ca="1">(SUMPRODUCT(MID(0&amp;(LEFT(A338,SUM(LEN(A338)-LEN(SUBSTITUTE(A338,{"0","1","2"},""))))), LARGE(INDEX(ISNUMBER(--MID((LEFT(A338,SUM(LEN(A338)-LEN(SUBSTITUTE(A338,{"0","1","2"},""))))), ROW(INDIRECT("1:"&amp;LEN((LEFT(A338,SUM(LEN(A338)-LEN(SUBSTITUTE(A338,{"0","1","2"},"")))))))), 1)) * ROW(INDIRECT("1:"&amp;LEN((LEFT(A338,SUM(LEN(A338)-LEN(SUBSTITUTE(A338,{"0","1","2"},"")))))))), 0), ROW(INDIRECT("1:"&amp;LEN((LEFT(A338,SUM(LEN(A338)-LEN(SUBSTITUTE(A338,{"0","1","2"},"")))))))))+1, 1) * 10^ROW(INDIRECT("1:"&amp;LEN((LEFT(A338,SUM(LEN(A338)-LEN(SUBSTITUTE(A338,{"0","1","2"},""))))))))/10))*1+1&amp;""&amp;" to "&amp;""&amp;(SUMPRODUCT(MID(0&amp;(--TRIM(RIGHT(SUBSTITUTE(LEFT(A338,_xlfn.AGGREGATE(16,6,FIND({0,1,2,3,4,5,6,7,8,9},A338,ROW(INDIRECT("1:"&amp;LEN(A338)))),1))," ",REPT(" ",LEN(A338))),LEN(A338)))), LARGE(INDEX(ISNUMBER(--MID((--TRIM(RIGHT(SUBSTITUTE(LEFT(A338,_xlfn.AGGREGATE(16,6,FIND({0,1,2,3,4,5,6,7,8,9},A338,ROW(INDIRECT("1:"&amp;LEN(A338)))),1))," ",REPT(" ",LEN(A338))),LEN(A338)))), ROW(INDIRECT("1:"&amp;LEN((--TRIM(RIGHT(SUBSTITUTE(LEFT(A338,_xlfn.AGGREGATE(16,6,FIND({0,1,2,3,4,5,6,7,8,9},A338,ROW(INDIRECT("1:"&amp;LEN(A338)))),1))," ",REPT(" ",LEN(A338))),LEN(A338))))))), 1)) * ROW(INDIRECT("1:"&amp;LEN((--TRIM(RIGHT(SUBSTITUTE(LEFT(A338,_xlfn.AGGREGATE(16,6,FIND({0,1,2,3,4,5,6,7,8,9},A338,ROW(INDIRECT("1:"&amp;LEN(A338)))),1))," ",REPT(" ",LEN(A338))),LEN(A338))))))), 0), ROW(INDIRECT("1:"&amp;LEN((--TRIM(RIGHT(SUBSTITUTE(LEFT(A338,_xlfn.AGGREGATE(16,6,FIND({0,1,2,3,4,5,6,7,8,9},A338,ROW(INDIRECT("1:"&amp;LEN(A338)))),1))," ",REPT(" ",LEN(A338))),LEN(A338))))))))+1, 1) * 10^ROW(INDIRECT("1:"&amp;LEN((--TRIM(RIGHT(SUBSTITUTE(LEFT(A338,_xlfn.AGGREGATE(16,6,FIND({0,1,2,3,4,5,6,7,8,9},A338,ROW(INDIRECT("1:"&amp;LEN(A338)))),1))," ",REPT(" ",LEN(A338))),LEN(A338)))))))/10))*1+1</f>
        <v>203 to 503</v>
      </c>
      <c r="B339" s="106"/>
      <c r="C339" s="52"/>
      <c r="D339" s="42"/>
      <c r="E339" s="42">
        <v>0</v>
      </c>
      <c r="F339" s="42">
        <f>D339*(($F$197)+1)+(IF(E339&lt;101,E339,IF(E339&lt;201,E339/2,IF(E339&lt;=301,E339/3,E339/4))))</f>
        <v>0</v>
      </c>
      <c r="G339" s="112"/>
      <c r="H339" s="113"/>
      <c r="I339" s="36"/>
    </row>
    <row r="340" spans="1:9" s="37" customFormat="1" ht="15.75" hidden="1" customHeight="1" x14ac:dyDescent="0.35">
      <c r="A340" s="104" t="str">
        <f ca="1">(SUMPRODUCT(MID(0&amp;(LEFT(A339,SUM(LEN(A339)-LEN(SUBSTITUTE(A339,{"0","1","2"},""))))), LARGE(INDEX(ISNUMBER(--MID((LEFT(A339,SUM(LEN(A339)-LEN(SUBSTITUTE(A339,{"0","1","2"},""))))), ROW(INDIRECT("1:"&amp;LEN((LEFT(A339,SUM(LEN(A339)-LEN(SUBSTITUTE(A339,{"0","1","2"},"")))))))), 1)) * ROW(INDIRECT("1:"&amp;LEN((LEFT(A339,SUM(LEN(A339)-LEN(SUBSTITUTE(A339,{"0","1","2"},"")))))))), 0), ROW(INDIRECT("1:"&amp;LEN((LEFT(A339,SUM(LEN(A339)-LEN(SUBSTITUTE(A339,{"0","1","2"},"")))))))))+1, 1) * 10^ROW(INDIRECT("1:"&amp;LEN((LEFT(A339,SUM(LEN(A339)-LEN(SUBSTITUTE(A339,{"0","1","2"},""))))))))/10))*1+1&amp;""&amp;" to "&amp;""&amp;(SUMPRODUCT(MID(0&amp;(--TRIM(RIGHT(SUBSTITUTE(LEFT(A339,_xlfn.AGGREGATE(16,6,FIND({0,1,2,3,4,5,6,7,8,9},A339,ROW(INDIRECT("1:"&amp;LEN(A339)))),1))," ",REPT(" ",LEN(A339))),LEN(A339)))), LARGE(INDEX(ISNUMBER(--MID((--TRIM(RIGHT(SUBSTITUTE(LEFT(A339,_xlfn.AGGREGATE(16,6,FIND({0,1,2,3,4,5,6,7,8,9},A339,ROW(INDIRECT("1:"&amp;LEN(A339)))),1))," ",REPT(" ",LEN(A339))),LEN(A339)))), ROW(INDIRECT("1:"&amp;LEN((--TRIM(RIGHT(SUBSTITUTE(LEFT(A339,_xlfn.AGGREGATE(16,6,FIND({0,1,2,3,4,5,6,7,8,9},A339,ROW(INDIRECT("1:"&amp;LEN(A339)))),1))," ",REPT(" ",LEN(A339))),LEN(A339))))))), 1)) * ROW(INDIRECT("1:"&amp;LEN((--TRIM(RIGHT(SUBSTITUTE(LEFT(A339,_xlfn.AGGREGATE(16,6,FIND({0,1,2,3,4,5,6,7,8,9},A339,ROW(INDIRECT("1:"&amp;LEN(A339)))),1))," ",REPT(" ",LEN(A339))),LEN(A339))))))), 0), ROW(INDIRECT("1:"&amp;LEN((--TRIM(RIGHT(SUBSTITUTE(LEFT(A339,_xlfn.AGGREGATE(16,6,FIND({0,1,2,3,4,5,6,7,8,9},A339,ROW(INDIRECT("1:"&amp;LEN(A339)))),1))," ",REPT(" ",LEN(A339))),LEN(A339))))))))+1, 1) * 10^ROW(INDIRECT("1:"&amp;LEN((--TRIM(RIGHT(SUBSTITUTE(LEFT(A339,_xlfn.AGGREGATE(16,6,FIND({0,1,2,3,4,5,6,7,8,9},A339,ROW(INDIRECT("1:"&amp;LEN(A339)))),1))," ",REPT(" ",LEN(A339))),LEN(A339)))))))/10))*1+1</f>
        <v>204 to 504</v>
      </c>
      <c r="B340" s="106"/>
      <c r="C340" s="52"/>
      <c r="D340" s="42"/>
      <c r="E340" s="42">
        <v>0</v>
      </c>
      <c r="F340" s="42">
        <f>D340*(($F$197)+1)+(IF(E340&lt;101,E340,IF(E340&lt;201,E340/2,IF(E340&lt;=301,E340/3,E340/4))))</f>
        <v>0</v>
      </c>
      <c r="G340" s="112"/>
      <c r="H340" s="113"/>
      <c r="I340" s="36"/>
    </row>
    <row r="341" spans="1:9" s="37" customFormat="1" ht="15.75" hidden="1" customHeight="1" x14ac:dyDescent="0.35">
      <c r="A341" s="104" t="str">
        <f ca="1">(SUMPRODUCT(MID(0&amp;(LEFT(A340,SUM(LEN(A340)-LEN(SUBSTITUTE(A340,{"0","1","2"},""))))), LARGE(INDEX(ISNUMBER(--MID((LEFT(A340,SUM(LEN(A340)-LEN(SUBSTITUTE(A340,{"0","1","2"},""))))), ROW(INDIRECT("1:"&amp;LEN((LEFT(A340,SUM(LEN(A340)-LEN(SUBSTITUTE(A340,{"0","1","2"},"")))))))), 1)) * ROW(INDIRECT("1:"&amp;LEN((LEFT(A340,SUM(LEN(A340)-LEN(SUBSTITUTE(A340,{"0","1","2"},"")))))))), 0), ROW(INDIRECT("1:"&amp;LEN((LEFT(A340,SUM(LEN(A340)-LEN(SUBSTITUTE(A340,{"0","1","2"},"")))))))))+1, 1) * 10^ROW(INDIRECT("1:"&amp;LEN((LEFT(A340,SUM(LEN(A340)-LEN(SUBSTITUTE(A340,{"0","1","2"},""))))))))/10))*1+1&amp;""&amp;" to "&amp;""&amp;(SUMPRODUCT(MID(0&amp;(--TRIM(RIGHT(SUBSTITUTE(LEFT(A340,_xlfn.AGGREGATE(16,6,FIND({0,1,2,3,4,5,6,7,8,9},A340,ROW(INDIRECT("1:"&amp;LEN(A340)))),1))," ",REPT(" ",LEN(A340))),LEN(A340)))), LARGE(INDEX(ISNUMBER(--MID((--TRIM(RIGHT(SUBSTITUTE(LEFT(A340,_xlfn.AGGREGATE(16,6,FIND({0,1,2,3,4,5,6,7,8,9},A340,ROW(INDIRECT("1:"&amp;LEN(A340)))),1))," ",REPT(" ",LEN(A340))),LEN(A340)))), ROW(INDIRECT("1:"&amp;LEN((--TRIM(RIGHT(SUBSTITUTE(LEFT(A340,_xlfn.AGGREGATE(16,6,FIND({0,1,2,3,4,5,6,7,8,9},A340,ROW(INDIRECT("1:"&amp;LEN(A340)))),1))," ",REPT(" ",LEN(A340))),LEN(A340))))))), 1)) * ROW(INDIRECT("1:"&amp;LEN((--TRIM(RIGHT(SUBSTITUTE(LEFT(A340,_xlfn.AGGREGATE(16,6,FIND({0,1,2,3,4,5,6,7,8,9},A340,ROW(INDIRECT("1:"&amp;LEN(A340)))),1))," ",REPT(" ",LEN(A340))),LEN(A340))))))), 0), ROW(INDIRECT("1:"&amp;LEN((--TRIM(RIGHT(SUBSTITUTE(LEFT(A340,_xlfn.AGGREGATE(16,6,FIND({0,1,2,3,4,5,6,7,8,9},A340,ROW(INDIRECT("1:"&amp;LEN(A340)))),1))," ",REPT(" ",LEN(A340))),LEN(A340))))))))+1, 1) * 10^ROW(INDIRECT("1:"&amp;LEN((--TRIM(RIGHT(SUBSTITUTE(LEFT(A340,_xlfn.AGGREGATE(16,6,FIND({0,1,2,3,4,5,6,7,8,9},A340,ROW(INDIRECT("1:"&amp;LEN(A340)))),1))," ",REPT(" ",LEN(A340))),LEN(A340)))))))/10))*1+1</f>
        <v>205 to 505</v>
      </c>
      <c r="B341" s="106"/>
      <c r="C341" s="52"/>
      <c r="D341" s="42"/>
      <c r="E341" s="42">
        <v>0</v>
      </c>
      <c r="F341" s="42">
        <f>D341*(($F$197)+1)+(IF(E341&lt;101,E341,IF(E341&lt;201,E341/2,IF(E341&lt;=301,E341/3,E341/4))))</f>
        <v>0</v>
      </c>
      <c r="G341" s="114"/>
      <c r="H341" s="115"/>
      <c r="I341" s="36"/>
    </row>
    <row r="342" spans="1:9" s="37" customFormat="1" hidden="1" x14ac:dyDescent="0.35">
      <c r="A342" s="101" t="s">
        <v>153</v>
      </c>
      <c r="B342" s="102"/>
      <c r="C342" s="102"/>
      <c r="D342" s="102"/>
      <c r="E342" s="102"/>
      <c r="F342" s="102"/>
      <c r="G342" s="102"/>
      <c r="H342" s="103"/>
      <c r="I342" s="36"/>
    </row>
    <row r="343" spans="1:9" s="37" customFormat="1" ht="15.75" hidden="1" customHeight="1" x14ac:dyDescent="0.35">
      <c r="A343" s="104" t="str">
        <f ca="1">(SUMPRODUCT(MID(0&amp;(LEFT(A342,SUM(LEN(A342)-LEN(SUBSTITUTE(A342,{"0","1","2"},""))))), LARGE(INDEX(ISNUMBER(--MID((LEFT(A342,SUM(LEN(A342)-LEN(SUBSTITUTE(A342,{"0","1","2"},""))))), ROW(INDIRECT("1:"&amp;LEN((LEFT(A342,SUM(LEN(A342)-LEN(SUBSTITUTE(A342,{"0","1","2"},"")))))))), 1)) * ROW(INDIRECT("1:"&amp;LEN((LEFT(A342,SUM(LEN(A342)-LEN(SUBSTITUTE(A342,{"0","1","2"},"")))))))), 0), ROW(INDIRECT("1:"&amp;LEN((LEFT(A342,SUM(LEN(A342)-LEN(SUBSTITUTE(A342,{"0","1","2"},"")))))))))+1, 1) * 10^ROW(INDIRECT("1:"&amp;LEN((LEFT(A342,SUM(LEN(A342)-LEN(SUBSTITUTE(A342,{"0","1","2"},""))))))))/10))*100+1&amp;""&amp;" &amp; "&amp;""&amp;(SUMPRODUCT(MID(0&amp;(--TRIM(RIGHT(SUBSTITUTE(LEFT(A342,_xlfn.AGGREGATE(16,6,FIND({0,1,2,3,4,5,6,7,8,9},A342,ROW(INDIRECT("1:"&amp;LEN(A342)))),1))," ",REPT(" ",LEN(A342))),LEN(A342)))), LARGE(INDEX(ISNUMBER(--MID((--TRIM(RIGHT(SUBSTITUTE(LEFT(A342,_xlfn.AGGREGATE(16,6,FIND({0,1,2,3,4,5,6,7,8,9},A342,ROW(INDIRECT("1:"&amp;LEN(A342)))),1))," ",REPT(" ",LEN(A342))),LEN(A342)))), ROW(INDIRECT("1:"&amp;LEN((--TRIM(RIGHT(SUBSTITUTE(LEFT(A342,_xlfn.AGGREGATE(16,6,FIND({0,1,2,3,4,5,6,7,8,9},A342,ROW(INDIRECT("1:"&amp;LEN(A342)))),1))," ",REPT(" ",LEN(A342))),LEN(A342))))))), 1)) * ROW(INDIRECT("1:"&amp;LEN((--TRIM(RIGHT(SUBSTITUTE(LEFT(A342,_xlfn.AGGREGATE(16,6,FIND({0,1,2,3,4,5,6,7,8,9},A342,ROW(INDIRECT("1:"&amp;LEN(A342)))),1))," ",REPT(" ",LEN(A342))),LEN(A342))))))), 0), ROW(INDIRECT("1:"&amp;LEN((--TRIM(RIGHT(SUBSTITUTE(LEFT(A342,_xlfn.AGGREGATE(16,6,FIND({0,1,2,3,4,5,6,7,8,9},A342,ROW(INDIRECT("1:"&amp;LEN(A342)))),1))," ",REPT(" ",LEN(A342))),LEN(A342))))))))+1, 1) * 10^ROW(INDIRECT("1:"&amp;LEN((--TRIM(RIGHT(SUBSTITUTE(LEFT(A342,_xlfn.AGGREGATE(16,6,FIND({0,1,2,3,4,5,6,7,8,9},A342,ROW(INDIRECT("1:"&amp;LEN(A342)))),1))," ",REPT(" ",LEN(A342))),LEN(A342)))))))/10))*100+1</f>
        <v>201 &amp; 501</v>
      </c>
      <c r="B343" s="106"/>
      <c r="C343" s="52"/>
      <c r="D343" s="42"/>
      <c r="E343" s="42">
        <v>0</v>
      </c>
      <c r="F343" s="42">
        <f>D343*(($F$197)+1)+(IF(E343&lt;101,E343,IF(E343&lt;201,E343/2,IF(E343&lt;=301,E343/3,E343/4))))</f>
        <v>0</v>
      </c>
      <c r="G343" s="110" t="str">
        <f>A342</f>
        <v>2nd &amp; 5th Floor</v>
      </c>
      <c r="H343" s="111"/>
      <c r="I343" s="36"/>
    </row>
    <row r="344" spans="1:9" s="37" customFormat="1" ht="15.75" hidden="1" customHeight="1" x14ac:dyDescent="0.35">
      <c r="A344" s="104" t="str">
        <f ca="1">(SUMPRODUCT(MID(0&amp;(LEFT(A343,SUM(LEN(A343)-LEN(SUBSTITUTE(A343,{"0","1","2"},""))))), LARGE(INDEX(ISNUMBER(--MID((LEFT(A343,SUM(LEN(A343)-LEN(SUBSTITUTE(A343,{"0","1","2"},""))))), ROW(INDIRECT("1:"&amp;LEN((LEFT(A343,SUM(LEN(A343)-LEN(SUBSTITUTE(A343,{"0","1","2"},"")))))))), 1)) * ROW(INDIRECT("1:"&amp;LEN((LEFT(A343,SUM(LEN(A343)-LEN(SUBSTITUTE(A343,{"0","1","2"},"")))))))), 0), ROW(INDIRECT("1:"&amp;LEN((LEFT(A343,SUM(LEN(A343)-LEN(SUBSTITUTE(A343,{"0","1","2"},"")))))))))+1, 1) * 10^ROW(INDIRECT("1:"&amp;LEN((LEFT(A343,SUM(LEN(A343)-LEN(SUBSTITUTE(A343,{"0","1","2"},""))))))))/10))*1+1&amp;""&amp;" &amp; "&amp;""&amp;(SUMPRODUCT(MID(0&amp;(--TRIM(RIGHT(SUBSTITUTE(LEFT(A343,_xlfn.AGGREGATE(16,6,FIND({0,1,2,3,4,5,6,7,8,9},A343,ROW(INDIRECT("1:"&amp;LEN(A343)))),1))," ",REPT(" ",LEN(A343))),LEN(A343)))), LARGE(INDEX(ISNUMBER(--MID((--TRIM(RIGHT(SUBSTITUTE(LEFT(A343,_xlfn.AGGREGATE(16,6,FIND({0,1,2,3,4,5,6,7,8,9},A343,ROW(INDIRECT("1:"&amp;LEN(A343)))),1))," ",REPT(" ",LEN(A343))),LEN(A343)))), ROW(INDIRECT("1:"&amp;LEN((--TRIM(RIGHT(SUBSTITUTE(LEFT(A343,_xlfn.AGGREGATE(16,6,FIND({0,1,2,3,4,5,6,7,8,9},A343,ROW(INDIRECT("1:"&amp;LEN(A343)))),1))," ",REPT(" ",LEN(A343))),LEN(A343))))))), 1)) * ROW(INDIRECT("1:"&amp;LEN((--TRIM(RIGHT(SUBSTITUTE(LEFT(A343,_xlfn.AGGREGATE(16,6,FIND({0,1,2,3,4,5,6,7,8,9},A343,ROW(INDIRECT("1:"&amp;LEN(A343)))),1))," ",REPT(" ",LEN(A343))),LEN(A343))))))), 0), ROW(INDIRECT("1:"&amp;LEN((--TRIM(RIGHT(SUBSTITUTE(LEFT(A343,_xlfn.AGGREGATE(16,6,FIND({0,1,2,3,4,5,6,7,8,9},A343,ROW(INDIRECT("1:"&amp;LEN(A343)))),1))," ",REPT(" ",LEN(A343))),LEN(A343))))))))+1, 1) * 10^ROW(INDIRECT("1:"&amp;LEN((--TRIM(RIGHT(SUBSTITUTE(LEFT(A343,_xlfn.AGGREGATE(16,6,FIND({0,1,2,3,4,5,6,7,8,9},A343,ROW(INDIRECT("1:"&amp;LEN(A343)))),1))," ",REPT(" ",LEN(A343))),LEN(A343)))))))/10))*1+1</f>
        <v>202 &amp; 502</v>
      </c>
      <c r="B344" s="106"/>
      <c r="C344" s="52"/>
      <c r="D344" s="42"/>
      <c r="E344" s="42">
        <v>0</v>
      </c>
      <c r="F344" s="42">
        <f>D344*(($F$197)+1)+(IF(E344&lt;101,E344,IF(E344&lt;201,E344/2,IF(E344&lt;=301,E344/3,E344/4))))</f>
        <v>0</v>
      </c>
      <c r="G344" s="112"/>
      <c r="H344" s="113"/>
      <c r="I344" s="36"/>
    </row>
    <row r="345" spans="1:9" s="37" customFormat="1" ht="15.75" hidden="1" customHeight="1" x14ac:dyDescent="0.35">
      <c r="A345" s="104" t="str">
        <f ca="1">(SUMPRODUCT(MID(0&amp;(LEFT(A344,SUM(LEN(A344)-LEN(SUBSTITUTE(A344,{"0","1","2"},""))))), LARGE(INDEX(ISNUMBER(--MID((LEFT(A344,SUM(LEN(A344)-LEN(SUBSTITUTE(A344,{"0","1","2"},""))))), ROW(INDIRECT("1:"&amp;LEN((LEFT(A344,SUM(LEN(A344)-LEN(SUBSTITUTE(A344,{"0","1","2"},"")))))))), 1)) * ROW(INDIRECT("1:"&amp;LEN((LEFT(A344,SUM(LEN(A344)-LEN(SUBSTITUTE(A344,{"0","1","2"},"")))))))), 0), ROW(INDIRECT("1:"&amp;LEN((LEFT(A344,SUM(LEN(A344)-LEN(SUBSTITUTE(A344,{"0","1","2"},"")))))))))+1, 1) * 10^ROW(INDIRECT("1:"&amp;LEN((LEFT(A344,SUM(LEN(A344)-LEN(SUBSTITUTE(A344,{"0","1","2"},""))))))))/10))*1+1&amp;""&amp;" &amp; "&amp;""&amp;(SUMPRODUCT(MID(0&amp;(--TRIM(RIGHT(SUBSTITUTE(LEFT(A344,_xlfn.AGGREGATE(16,6,FIND({0,1,2,3,4,5,6,7,8,9},A344,ROW(INDIRECT("1:"&amp;LEN(A344)))),1))," ",REPT(" ",LEN(A344))),LEN(A344)))), LARGE(INDEX(ISNUMBER(--MID((--TRIM(RIGHT(SUBSTITUTE(LEFT(A344,_xlfn.AGGREGATE(16,6,FIND({0,1,2,3,4,5,6,7,8,9},A344,ROW(INDIRECT("1:"&amp;LEN(A344)))),1))," ",REPT(" ",LEN(A344))),LEN(A344)))), ROW(INDIRECT("1:"&amp;LEN((--TRIM(RIGHT(SUBSTITUTE(LEFT(A344,_xlfn.AGGREGATE(16,6,FIND({0,1,2,3,4,5,6,7,8,9},A344,ROW(INDIRECT("1:"&amp;LEN(A344)))),1))," ",REPT(" ",LEN(A344))),LEN(A344))))))), 1)) * ROW(INDIRECT("1:"&amp;LEN((--TRIM(RIGHT(SUBSTITUTE(LEFT(A344,_xlfn.AGGREGATE(16,6,FIND({0,1,2,3,4,5,6,7,8,9},A344,ROW(INDIRECT("1:"&amp;LEN(A344)))),1))," ",REPT(" ",LEN(A344))),LEN(A344))))))), 0), ROW(INDIRECT("1:"&amp;LEN((--TRIM(RIGHT(SUBSTITUTE(LEFT(A344,_xlfn.AGGREGATE(16,6,FIND({0,1,2,3,4,5,6,7,8,9},A344,ROW(INDIRECT("1:"&amp;LEN(A344)))),1))," ",REPT(" ",LEN(A344))),LEN(A344))))))))+1, 1) * 10^ROW(INDIRECT("1:"&amp;LEN((--TRIM(RIGHT(SUBSTITUTE(LEFT(A344,_xlfn.AGGREGATE(16,6,FIND({0,1,2,3,4,5,6,7,8,9},A344,ROW(INDIRECT("1:"&amp;LEN(A344)))),1))," ",REPT(" ",LEN(A344))),LEN(A344)))))))/10))*1+1</f>
        <v>203 &amp; 503</v>
      </c>
      <c r="B345" s="106"/>
      <c r="C345" s="52"/>
      <c r="D345" s="42"/>
      <c r="E345" s="42">
        <v>0</v>
      </c>
      <c r="F345" s="42">
        <f>D345*(($F$197)+1)+(IF(E345&lt;101,E345,IF(E345&lt;201,E345/2,IF(E345&lt;=301,E345/3,E345/4))))</f>
        <v>0</v>
      </c>
      <c r="G345" s="112"/>
      <c r="H345" s="113"/>
      <c r="I345" s="36"/>
    </row>
    <row r="346" spans="1:9" s="37" customFormat="1" ht="15.75" hidden="1" customHeight="1" x14ac:dyDescent="0.35">
      <c r="A346" s="104" t="str">
        <f ca="1">(SUMPRODUCT(MID(0&amp;(LEFT(A345,SUM(LEN(A345)-LEN(SUBSTITUTE(A345,{"0","1","2"},""))))), LARGE(INDEX(ISNUMBER(--MID((LEFT(A345,SUM(LEN(A345)-LEN(SUBSTITUTE(A345,{"0","1","2"},""))))), ROW(INDIRECT("1:"&amp;LEN((LEFT(A345,SUM(LEN(A345)-LEN(SUBSTITUTE(A345,{"0","1","2"},"")))))))), 1)) * ROW(INDIRECT("1:"&amp;LEN((LEFT(A345,SUM(LEN(A345)-LEN(SUBSTITUTE(A345,{"0","1","2"},"")))))))), 0), ROW(INDIRECT("1:"&amp;LEN((LEFT(A345,SUM(LEN(A345)-LEN(SUBSTITUTE(A345,{"0","1","2"},"")))))))))+1, 1) * 10^ROW(INDIRECT("1:"&amp;LEN((LEFT(A345,SUM(LEN(A345)-LEN(SUBSTITUTE(A345,{"0","1","2"},""))))))))/10))*1+1&amp;""&amp;" &amp; "&amp;""&amp;(SUMPRODUCT(MID(0&amp;(--TRIM(RIGHT(SUBSTITUTE(LEFT(A345,_xlfn.AGGREGATE(16,6,FIND({0,1,2,3,4,5,6,7,8,9},A345,ROW(INDIRECT("1:"&amp;LEN(A345)))),1))," ",REPT(" ",LEN(A345))),LEN(A345)))), LARGE(INDEX(ISNUMBER(--MID((--TRIM(RIGHT(SUBSTITUTE(LEFT(A345,_xlfn.AGGREGATE(16,6,FIND({0,1,2,3,4,5,6,7,8,9},A345,ROW(INDIRECT("1:"&amp;LEN(A345)))),1))," ",REPT(" ",LEN(A345))),LEN(A345)))), ROW(INDIRECT("1:"&amp;LEN((--TRIM(RIGHT(SUBSTITUTE(LEFT(A345,_xlfn.AGGREGATE(16,6,FIND({0,1,2,3,4,5,6,7,8,9},A345,ROW(INDIRECT("1:"&amp;LEN(A345)))),1))," ",REPT(" ",LEN(A345))),LEN(A345))))))), 1)) * ROW(INDIRECT("1:"&amp;LEN((--TRIM(RIGHT(SUBSTITUTE(LEFT(A345,_xlfn.AGGREGATE(16,6,FIND({0,1,2,3,4,5,6,7,8,9},A345,ROW(INDIRECT("1:"&amp;LEN(A345)))),1))," ",REPT(" ",LEN(A345))),LEN(A345))))))), 0), ROW(INDIRECT("1:"&amp;LEN((--TRIM(RIGHT(SUBSTITUTE(LEFT(A345,_xlfn.AGGREGATE(16,6,FIND({0,1,2,3,4,5,6,7,8,9},A345,ROW(INDIRECT("1:"&amp;LEN(A345)))),1))," ",REPT(" ",LEN(A345))),LEN(A345))))))))+1, 1) * 10^ROW(INDIRECT("1:"&amp;LEN((--TRIM(RIGHT(SUBSTITUTE(LEFT(A345,_xlfn.AGGREGATE(16,6,FIND({0,1,2,3,4,5,6,7,8,9},A345,ROW(INDIRECT("1:"&amp;LEN(A345)))),1))," ",REPT(" ",LEN(A345))),LEN(A345)))))))/10))*1+1</f>
        <v>204 &amp; 504</v>
      </c>
      <c r="B346" s="106"/>
      <c r="C346" s="52"/>
      <c r="D346" s="42"/>
      <c r="E346" s="42">
        <v>0</v>
      </c>
      <c r="F346" s="42">
        <f>D346*(($F$197)+1)+(IF(E346&lt;101,E346,IF(E346&lt;201,E346/2,IF(E346&lt;=301,E346/3,E346/4))))</f>
        <v>0</v>
      </c>
      <c r="G346" s="112"/>
      <c r="H346" s="113"/>
      <c r="I346" s="36"/>
    </row>
    <row r="347" spans="1:9" s="37" customFormat="1" ht="15.75" hidden="1" customHeight="1" x14ac:dyDescent="0.35">
      <c r="A347" s="104" t="str">
        <f ca="1">(SUMPRODUCT(MID(0&amp;(LEFT(A346,SUM(LEN(A346)-LEN(SUBSTITUTE(A346,{"0","1","2"},""))))), LARGE(INDEX(ISNUMBER(--MID((LEFT(A346,SUM(LEN(A346)-LEN(SUBSTITUTE(A346,{"0","1","2"},""))))), ROW(INDIRECT("1:"&amp;LEN((LEFT(A346,SUM(LEN(A346)-LEN(SUBSTITUTE(A346,{"0","1","2"},"")))))))), 1)) * ROW(INDIRECT("1:"&amp;LEN((LEFT(A346,SUM(LEN(A346)-LEN(SUBSTITUTE(A346,{"0","1","2"},"")))))))), 0), ROW(INDIRECT("1:"&amp;LEN((LEFT(A346,SUM(LEN(A346)-LEN(SUBSTITUTE(A346,{"0","1","2"},"")))))))))+1, 1) * 10^ROW(INDIRECT("1:"&amp;LEN((LEFT(A346,SUM(LEN(A346)-LEN(SUBSTITUTE(A346,{"0","1","2"},""))))))))/10))*1+1&amp;""&amp;" &amp; "&amp;""&amp;(SUMPRODUCT(MID(0&amp;(--TRIM(RIGHT(SUBSTITUTE(LEFT(A346,_xlfn.AGGREGATE(16,6,FIND({0,1,2,3,4,5,6,7,8,9},A346,ROW(INDIRECT("1:"&amp;LEN(A346)))),1))," ",REPT(" ",LEN(A346))),LEN(A346)))), LARGE(INDEX(ISNUMBER(--MID((--TRIM(RIGHT(SUBSTITUTE(LEFT(A346,_xlfn.AGGREGATE(16,6,FIND({0,1,2,3,4,5,6,7,8,9},A346,ROW(INDIRECT("1:"&amp;LEN(A346)))),1))," ",REPT(" ",LEN(A346))),LEN(A346)))), ROW(INDIRECT("1:"&amp;LEN((--TRIM(RIGHT(SUBSTITUTE(LEFT(A346,_xlfn.AGGREGATE(16,6,FIND({0,1,2,3,4,5,6,7,8,9},A346,ROW(INDIRECT("1:"&amp;LEN(A346)))),1))," ",REPT(" ",LEN(A346))),LEN(A346))))))), 1)) * ROW(INDIRECT("1:"&amp;LEN((--TRIM(RIGHT(SUBSTITUTE(LEFT(A346,_xlfn.AGGREGATE(16,6,FIND({0,1,2,3,4,5,6,7,8,9},A346,ROW(INDIRECT("1:"&amp;LEN(A346)))),1))," ",REPT(" ",LEN(A346))),LEN(A346))))))), 0), ROW(INDIRECT("1:"&amp;LEN((--TRIM(RIGHT(SUBSTITUTE(LEFT(A346,_xlfn.AGGREGATE(16,6,FIND({0,1,2,3,4,5,6,7,8,9},A346,ROW(INDIRECT("1:"&amp;LEN(A346)))),1))," ",REPT(" ",LEN(A346))),LEN(A346))))))))+1, 1) * 10^ROW(INDIRECT("1:"&amp;LEN((--TRIM(RIGHT(SUBSTITUTE(LEFT(A346,_xlfn.AGGREGATE(16,6,FIND({0,1,2,3,4,5,6,7,8,9},A346,ROW(INDIRECT("1:"&amp;LEN(A346)))),1))," ",REPT(" ",LEN(A346))),LEN(A346)))))))/10))*1+1</f>
        <v>205 &amp; 505</v>
      </c>
      <c r="B347" s="106"/>
      <c r="C347" s="52"/>
      <c r="D347" s="42"/>
      <c r="E347" s="42">
        <v>0</v>
      </c>
      <c r="F347" s="42">
        <f>D347*(($F$197)+1)+(IF(E347&lt;101,E347,IF(E347&lt;201,E347/2,IF(E347&lt;=301,E347/3,E347/4))))</f>
        <v>0</v>
      </c>
      <c r="G347" s="114"/>
      <c r="H347" s="115"/>
      <c r="I347" s="36"/>
    </row>
    <row r="348" spans="1:9" s="35" customFormat="1" x14ac:dyDescent="0.35">
      <c r="A348" s="185" t="s">
        <v>72</v>
      </c>
      <c r="B348" s="185"/>
      <c r="C348" s="185"/>
      <c r="D348" s="185"/>
      <c r="E348" s="185"/>
      <c r="F348" s="185"/>
      <c r="G348" s="185"/>
      <c r="H348" s="185"/>
    </row>
    <row r="349" spans="1:9" s="35" customFormat="1" ht="47.4" customHeight="1" x14ac:dyDescent="0.35">
      <c r="A349" s="47" t="s">
        <v>163</v>
      </c>
      <c r="B349" s="182" t="s">
        <v>271</v>
      </c>
      <c r="C349" s="183"/>
      <c r="D349" s="183"/>
      <c r="E349" s="183"/>
      <c r="F349" s="183"/>
      <c r="G349" s="183"/>
      <c r="H349" s="184"/>
      <c r="I349" s="68" t="s">
        <v>268</v>
      </c>
    </row>
    <row r="350" spans="1:9" s="35" customFormat="1" x14ac:dyDescent="0.35">
      <c r="A350" s="47" t="s">
        <v>163</v>
      </c>
      <c r="B350" s="182" t="str">
        <f>(IF(F196="Saleable area Loading :","We have considered Saleable area of Flats as per our Calculation.","We considered Saleable area of Flat as per Builder area Sheet."))</f>
        <v>We have considered Saleable area of Flats as per our Calculation.</v>
      </c>
      <c r="C350" s="183"/>
      <c r="D350" s="183"/>
      <c r="E350" s="183"/>
      <c r="F350" s="183"/>
      <c r="G350" s="183"/>
      <c r="H350" s="184"/>
    </row>
    <row r="351" spans="1:9" s="35" customFormat="1" x14ac:dyDescent="0.35">
      <c r="A351" s="47" t="s">
        <v>163</v>
      </c>
      <c r="B351" s="182" t="str">
        <f>(IF(F179="Saleable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51" s="183"/>
      <c r="D351" s="183"/>
      <c r="E351" s="183"/>
      <c r="F351" s="183"/>
      <c r="G351" s="183"/>
      <c r="H351" s="184"/>
    </row>
    <row r="352" spans="1:9" s="35" customFormat="1" x14ac:dyDescent="0.35">
      <c r="A352" s="47" t="s">
        <v>163</v>
      </c>
      <c r="B352" s="179" t="s">
        <v>130</v>
      </c>
      <c r="C352" s="180"/>
      <c r="D352" s="180"/>
      <c r="E352" s="180"/>
      <c r="F352" s="180"/>
      <c r="G352" s="180"/>
      <c r="H352" s="181"/>
    </row>
    <row r="353" spans="1:8" s="35" customFormat="1" x14ac:dyDescent="0.35">
      <c r="A353" s="47" t="s">
        <v>163</v>
      </c>
      <c r="B353" s="179" t="s">
        <v>206</v>
      </c>
      <c r="C353" s="180"/>
      <c r="D353" s="180"/>
      <c r="E353" s="180"/>
      <c r="F353" s="180"/>
      <c r="G353" s="180"/>
      <c r="H353" s="181"/>
    </row>
    <row r="354" spans="1:8" s="35" customFormat="1" x14ac:dyDescent="0.35">
      <c r="A354" s="47" t="s">
        <v>163</v>
      </c>
      <c r="B354" s="179" t="s">
        <v>162</v>
      </c>
      <c r="C354" s="180"/>
      <c r="D354" s="180"/>
      <c r="E354" s="180"/>
      <c r="F354" s="180"/>
      <c r="G354" s="180"/>
      <c r="H354" s="181"/>
    </row>
    <row r="355" spans="1:8" s="35" customFormat="1" x14ac:dyDescent="0.35">
      <c r="A355" s="47" t="s">
        <v>163</v>
      </c>
      <c r="B355" s="179" t="s">
        <v>131</v>
      </c>
      <c r="C355" s="180"/>
      <c r="D355" s="180"/>
      <c r="E355" s="180"/>
      <c r="F355" s="180"/>
      <c r="G355" s="180"/>
      <c r="H355" s="181"/>
    </row>
    <row r="356" spans="1:8" s="35" customFormat="1" ht="32.5" customHeight="1" x14ac:dyDescent="0.35">
      <c r="A356" s="47" t="s">
        <v>163</v>
      </c>
      <c r="B356" s="179" t="s">
        <v>164</v>
      </c>
      <c r="C356" s="180"/>
      <c r="D356" s="180"/>
      <c r="E356" s="180"/>
      <c r="F356" s="180"/>
      <c r="G356" s="180"/>
      <c r="H356" s="181"/>
    </row>
    <row r="357" spans="1:8" s="35" customFormat="1" x14ac:dyDescent="0.35">
      <c r="A357" s="47" t="s">
        <v>163</v>
      </c>
      <c r="B357" s="179" t="s">
        <v>132</v>
      </c>
      <c r="C357" s="180"/>
      <c r="D357" s="180"/>
      <c r="E357" s="180"/>
      <c r="F357" s="180"/>
      <c r="G357" s="180"/>
      <c r="H357" s="181"/>
    </row>
    <row r="358" spans="1:8" s="64" customFormat="1" x14ac:dyDescent="0.35">
      <c r="A358" s="63" t="s">
        <v>163</v>
      </c>
      <c r="B358" s="182" t="s">
        <v>234</v>
      </c>
      <c r="C358" s="183"/>
      <c r="D358" s="183"/>
      <c r="E358" s="183"/>
      <c r="F358" s="183"/>
      <c r="G358" s="183"/>
      <c r="H358" s="184"/>
    </row>
    <row r="359" spans="1:8" s="64" customFormat="1" x14ac:dyDescent="0.35">
      <c r="A359" s="63" t="s">
        <v>163</v>
      </c>
      <c r="B359" s="182" t="s">
        <v>267</v>
      </c>
      <c r="C359" s="183"/>
      <c r="D359" s="183"/>
      <c r="E359" s="183"/>
      <c r="F359" s="183"/>
      <c r="G359" s="183"/>
      <c r="H359" s="184"/>
    </row>
    <row r="360" spans="1:8" s="64" customFormat="1" x14ac:dyDescent="0.35">
      <c r="A360" s="63" t="s">
        <v>163</v>
      </c>
      <c r="B360" s="182" t="s">
        <v>269</v>
      </c>
      <c r="C360" s="183"/>
      <c r="D360" s="183"/>
      <c r="E360" s="183"/>
      <c r="F360" s="183"/>
      <c r="G360" s="183"/>
      <c r="H360" s="184"/>
    </row>
    <row r="361" spans="1:8" x14ac:dyDescent="0.35">
      <c r="A361" s="152" t="s">
        <v>65</v>
      </c>
      <c r="B361" s="152"/>
      <c r="C361" s="152"/>
      <c r="D361" s="152"/>
      <c r="E361" s="152"/>
      <c r="F361" s="152"/>
      <c r="G361" s="152"/>
      <c r="H361" s="152"/>
    </row>
    <row r="362" spans="1:8" x14ac:dyDescent="0.35">
      <c r="A362" s="99" t="s">
        <v>66</v>
      </c>
      <c r="B362" s="99"/>
      <c r="C362" s="99"/>
      <c r="D362" s="99"/>
      <c r="E362" s="99"/>
      <c r="F362" s="99"/>
      <c r="G362" s="99"/>
      <c r="H362" s="99"/>
    </row>
    <row r="363" spans="1:8" ht="15.75" customHeight="1" x14ac:dyDescent="0.35">
      <c r="A363" s="186" t="s">
        <v>67</v>
      </c>
      <c r="B363" s="186"/>
      <c r="C363" s="186"/>
      <c r="D363" s="186"/>
      <c r="E363" s="186"/>
      <c r="F363" s="186"/>
      <c r="G363" s="186"/>
      <c r="H363" s="186"/>
    </row>
    <row r="364" spans="1:8" x14ac:dyDescent="0.35">
      <c r="A364" s="99" t="s">
        <v>68</v>
      </c>
      <c r="B364" s="99"/>
      <c r="C364" s="99"/>
      <c r="D364" s="99"/>
      <c r="E364" s="99"/>
      <c r="F364" s="99"/>
      <c r="G364" s="99"/>
      <c r="H364" s="99"/>
    </row>
    <row r="365" spans="1:8" x14ac:dyDescent="0.35">
      <c r="A365" s="99" t="s">
        <v>69</v>
      </c>
      <c r="B365" s="99"/>
      <c r="C365" s="99"/>
      <c r="D365" s="99"/>
      <c r="E365" s="99"/>
      <c r="F365" s="99"/>
      <c r="G365" s="99"/>
      <c r="H365" s="99"/>
    </row>
    <row r="366" spans="1:8" hidden="1" x14ac:dyDescent="0.35">
      <c r="A366" s="99" t="s">
        <v>133</v>
      </c>
      <c r="B366" s="99"/>
      <c r="C366" s="99"/>
      <c r="D366" s="99"/>
      <c r="E366" s="99"/>
      <c r="F366" s="99"/>
      <c r="G366" s="99"/>
      <c r="H366" s="99"/>
    </row>
    <row r="367" spans="1:8" ht="31.5" hidden="1" customHeight="1" x14ac:dyDescent="0.35">
      <c r="A367" s="139" t="s">
        <v>256</v>
      </c>
      <c r="B367" s="139"/>
      <c r="C367" s="139"/>
      <c r="D367" s="139"/>
      <c r="E367" s="139"/>
      <c r="F367" s="139"/>
      <c r="G367" s="139"/>
      <c r="H367" s="139"/>
    </row>
    <row r="368" spans="1:8" x14ac:dyDescent="0.35">
      <c r="A368" s="178" t="s">
        <v>80</v>
      </c>
      <c r="B368" s="178"/>
      <c r="C368" s="178" t="s">
        <v>273</v>
      </c>
      <c r="D368" s="178"/>
      <c r="E368" s="178" t="s">
        <v>110</v>
      </c>
      <c r="F368" s="178"/>
      <c r="G368" s="178" t="s">
        <v>272</v>
      </c>
      <c r="H368" s="178"/>
    </row>
    <row r="369" spans="1:8" x14ac:dyDescent="0.35">
      <c r="A369" s="177" t="s">
        <v>82</v>
      </c>
      <c r="B369" s="177"/>
      <c r="C369" s="177"/>
      <c r="D369" s="177"/>
      <c r="E369" s="177"/>
      <c r="F369" s="177"/>
      <c r="G369" s="177"/>
      <c r="H369" s="177"/>
    </row>
    <row r="370" spans="1:8" x14ac:dyDescent="0.35">
      <c r="A370" s="177"/>
      <c r="B370" s="177"/>
      <c r="C370" s="177"/>
      <c r="D370" s="177"/>
      <c r="E370" s="177"/>
      <c r="F370" s="177"/>
      <c r="G370" s="177"/>
      <c r="H370" s="177"/>
    </row>
    <row r="371" spans="1:8" x14ac:dyDescent="0.35">
      <c r="A371" s="177"/>
      <c r="B371" s="177"/>
      <c r="C371" s="177"/>
      <c r="D371" s="177"/>
      <c r="E371" s="177"/>
      <c r="F371" s="177"/>
      <c r="G371" s="177"/>
      <c r="H371" s="177"/>
    </row>
    <row r="372" spans="1:8" x14ac:dyDescent="0.35">
      <c r="A372" s="177"/>
      <c r="B372" s="177"/>
      <c r="C372" s="177"/>
      <c r="D372" s="177"/>
      <c r="E372" s="177"/>
      <c r="F372" s="177"/>
      <c r="G372" s="177"/>
      <c r="H372" s="177"/>
    </row>
    <row r="373" spans="1:8" x14ac:dyDescent="0.35">
      <c r="A373" s="38" t="s">
        <v>70</v>
      </c>
      <c r="B373" s="39"/>
      <c r="C373" s="39"/>
      <c r="D373" s="38" t="str">
        <f>E8</f>
        <v>Inspire Residency</v>
      </c>
      <c r="F373" s="39"/>
      <c r="G373" s="39"/>
      <c r="H373" s="39"/>
    </row>
    <row r="374" spans="1:8" x14ac:dyDescent="0.35">
      <c r="A374" s="39"/>
      <c r="B374" s="39"/>
      <c r="C374" s="39"/>
      <c r="D374" s="39"/>
      <c r="E374" s="39"/>
      <c r="F374" s="39"/>
      <c r="G374" s="39"/>
      <c r="H374" s="39"/>
    </row>
    <row r="375" spans="1:8" x14ac:dyDescent="0.35">
      <c r="A375" s="39"/>
      <c r="B375" s="39"/>
      <c r="C375" s="39"/>
      <c r="D375" s="39"/>
      <c r="E375" s="39"/>
      <c r="F375" s="39"/>
      <c r="G375" s="39"/>
      <c r="H375" s="39"/>
    </row>
    <row r="376" spans="1:8" ht="15" customHeight="1" x14ac:dyDescent="0.35"/>
    <row r="415" spans="1:1" x14ac:dyDescent="0.35">
      <c r="A415" s="41" t="s">
        <v>177</v>
      </c>
    </row>
    <row r="445" hidden="1" x14ac:dyDescent="0.35"/>
    <row r="446" hidden="1" x14ac:dyDescent="0.35"/>
    <row r="447" hidden="1" x14ac:dyDescent="0.35"/>
    <row r="448" hidden="1" x14ac:dyDescent="0.35"/>
    <row r="449" spans="1:1" hidden="1" x14ac:dyDescent="0.35"/>
    <row r="450" spans="1:1" hidden="1" x14ac:dyDescent="0.35"/>
    <row r="451" spans="1:1" hidden="1" x14ac:dyDescent="0.35"/>
    <row r="452" spans="1:1" hidden="1" x14ac:dyDescent="0.35"/>
    <row r="453" spans="1:1" hidden="1" x14ac:dyDescent="0.35"/>
    <row r="454" spans="1:1" hidden="1" x14ac:dyDescent="0.35"/>
    <row r="455" spans="1:1" hidden="1" x14ac:dyDescent="0.35"/>
    <row r="456" spans="1:1" hidden="1" x14ac:dyDescent="0.35"/>
    <row r="457" spans="1:1" hidden="1" x14ac:dyDescent="0.35"/>
    <row r="458" spans="1:1" hidden="1" x14ac:dyDescent="0.35"/>
    <row r="459" spans="1:1" x14ac:dyDescent="0.35">
      <c r="A459" s="41" t="s">
        <v>71</v>
      </c>
    </row>
  </sheetData>
  <mergeCells count="592">
    <mergeCell ref="C54:E54"/>
    <mergeCell ref="G54:H54"/>
    <mergeCell ref="C55:H55"/>
    <mergeCell ref="A52:B55"/>
    <mergeCell ref="B359:H359"/>
    <mergeCell ref="A87:B87"/>
    <mergeCell ref="C87:H87"/>
    <mergeCell ref="A101:B101"/>
    <mergeCell ref="C101:D101"/>
    <mergeCell ref="F101:G101"/>
    <mergeCell ref="A89:B89"/>
    <mergeCell ref="C89:H89"/>
    <mergeCell ref="A90:B90"/>
    <mergeCell ref="E90:F90"/>
    <mergeCell ref="G90:H90"/>
    <mergeCell ref="A91:B91"/>
    <mergeCell ref="E91:F100"/>
    <mergeCell ref="G91:H100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G50:H50"/>
    <mergeCell ref="C51:H51"/>
    <mergeCell ref="C185:F185"/>
    <mergeCell ref="B358:H358"/>
    <mergeCell ref="L249:M249"/>
    <mergeCell ref="L250:M250"/>
    <mergeCell ref="L251:M251"/>
    <mergeCell ref="L252:M252"/>
    <mergeCell ref="C252:F252"/>
    <mergeCell ref="A347:B347"/>
    <mergeCell ref="A346:B346"/>
    <mergeCell ref="B352:H352"/>
    <mergeCell ref="B353:H353"/>
    <mergeCell ref="A336:H336"/>
    <mergeCell ref="A330:H330"/>
    <mergeCell ref="A323:B323"/>
    <mergeCell ref="A320:B320"/>
    <mergeCell ref="G320:H323"/>
    <mergeCell ref="G325:H329"/>
    <mergeCell ref="G331:H335"/>
    <mergeCell ref="A80:B80"/>
    <mergeCell ref="L227:M227"/>
    <mergeCell ref="L228:M228"/>
    <mergeCell ref="L229:M229"/>
    <mergeCell ref="L230:M230"/>
    <mergeCell ref="A231:H231"/>
    <mergeCell ref="G232:H235"/>
    <mergeCell ref="L232:M232"/>
    <mergeCell ref="L233:M233"/>
    <mergeCell ref="L234:M234"/>
    <mergeCell ref="L242:M242"/>
    <mergeCell ref="A243:H243"/>
    <mergeCell ref="G244:H247"/>
    <mergeCell ref="L244:M244"/>
    <mergeCell ref="L245:M245"/>
    <mergeCell ref="L246:M246"/>
    <mergeCell ref="L247:M247"/>
    <mergeCell ref="L212:M212"/>
    <mergeCell ref="L213:M213"/>
    <mergeCell ref="A219:H219"/>
    <mergeCell ref="A221:H221"/>
    <mergeCell ref="G222:H225"/>
    <mergeCell ref="L222:M222"/>
    <mergeCell ref="L223:M223"/>
    <mergeCell ref="L224:M224"/>
    <mergeCell ref="L225:M225"/>
    <mergeCell ref="A220:H220"/>
    <mergeCell ref="G215:H218"/>
    <mergeCell ref="C233:F233"/>
    <mergeCell ref="A214:H214"/>
    <mergeCell ref="G210:H213"/>
    <mergeCell ref="L239:M239"/>
    <mergeCell ref="L240:M240"/>
    <mergeCell ref="L241:M241"/>
    <mergeCell ref="A116:B116"/>
    <mergeCell ref="C116:H116"/>
    <mergeCell ref="F145:H145"/>
    <mergeCell ref="G160:H160"/>
    <mergeCell ref="A48:B48"/>
    <mergeCell ref="C48:E48"/>
    <mergeCell ref="A204:H204"/>
    <mergeCell ref="G205:H208"/>
    <mergeCell ref="G52:H52"/>
    <mergeCell ref="D60:H60"/>
    <mergeCell ref="A81:B81"/>
    <mergeCell ref="A82:B82"/>
    <mergeCell ref="A83:B83"/>
    <mergeCell ref="A167:B167"/>
    <mergeCell ref="C167:D167"/>
    <mergeCell ref="E167:F167"/>
    <mergeCell ref="G167:H167"/>
    <mergeCell ref="C196:C197"/>
    <mergeCell ref="C168:D168"/>
    <mergeCell ref="F154:H154"/>
    <mergeCell ref="E159:F159"/>
    <mergeCell ref="A159:B159"/>
    <mergeCell ref="A161:B161"/>
    <mergeCell ref="E161:F161"/>
    <mergeCell ref="A366:H366"/>
    <mergeCell ref="A363:H363"/>
    <mergeCell ref="A325:B325"/>
    <mergeCell ref="A164:B164"/>
    <mergeCell ref="D196:D197"/>
    <mergeCell ref="E196:E197"/>
    <mergeCell ref="G196:H197"/>
    <mergeCell ref="A124:B124"/>
    <mergeCell ref="A125:B125"/>
    <mergeCell ref="A126:B126"/>
    <mergeCell ref="G337:H341"/>
    <mergeCell ref="G343:H347"/>
    <mergeCell ref="A337:B337"/>
    <mergeCell ref="A338:B338"/>
    <mergeCell ref="A319:H319"/>
    <mergeCell ref="G161:H161"/>
    <mergeCell ref="A162:B162"/>
    <mergeCell ref="C162:D162"/>
    <mergeCell ref="E162:F162"/>
    <mergeCell ref="G162:H162"/>
    <mergeCell ref="G166:H166"/>
    <mergeCell ref="C164:D164"/>
    <mergeCell ref="G164:H164"/>
    <mergeCell ref="A182:H182"/>
    <mergeCell ref="F155:H155"/>
    <mergeCell ref="C210:F210"/>
    <mergeCell ref="C211:F211"/>
    <mergeCell ref="A209:H209"/>
    <mergeCell ref="B349:H349"/>
    <mergeCell ref="B350:H350"/>
    <mergeCell ref="A332:B332"/>
    <mergeCell ref="A178:H178"/>
    <mergeCell ref="A334:B334"/>
    <mergeCell ref="A331:B331"/>
    <mergeCell ref="A236:H236"/>
    <mergeCell ref="A237:H237"/>
    <mergeCell ref="A238:H238"/>
    <mergeCell ref="G239:H242"/>
    <mergeCell ref="A248:H248"/>
    <mergeCell ref="G249:H252"/>
    <mergeCell ref="G255:H258"/>
    <mergeCell ref="A260:B260"/>
    <mergeCell ref="A265:B265"/>
    <mergeCell ref="A271:H271"/>
    <mergeCell ref="A348:H348"/>
    <mergeCell ref="A340:B340"/>
    <mergeCell ref="A341:B341"/>
    <mergeCell ref="C179:C180"/>
    <mergeCell ref="B196:B197"/>
    <mergeCell ref="A339:B339"/>
    <mergeCell ref="A335:B335"/>
    <mergeCell ref="A345:B345"/>
    <mergeCell ref="A369:H372"/>
    <mergeCell ref="A368:B368"/>
    <mergeCell ref="E368:F368"/>
    <mergeCell ref="C368:D368"/>
    <mergeCell ref="G368:H368"/>
    <mergeCell ref="A364:H364"/>
    <mergeCell ref="A367:H367"/>
    <mergeCell ref="A365:H365"/>
    <mergeCell ref="A361:H361"/>
    <mergeCell ref="A362:H362"/>
    <mergeCell ref="B357:H357"/>
    <mergeCell ref="B355:H355"/>
    <mergeCell ref="B351:H351"/>
    <mergeCell ref="B356:H356"/>
    <mergeCell ref="B354:H354"/>
    <mergeCell ref="B360:H360"/>
    <mergeCell ref="A226:H226"/>
    <mergeCell ref="A158:H158"/>
    <mergeCell ref="A156:E156"/>
    <mergeCell ref="F156:H156"/>
    <mergeCell ref="A157:E157"/>
    <mergeCell ref="F157:H157"/>
    <mergeCell ref="A324:H324"/>
    <mergeCell ref="A165:B165"/>
    <mergeCell ref="A333:B333"/>
    <mergeCell ref="A160:B160"/>
    <mergeCell ref="A163:H163"/>
    <mergeCell ref="E164:F164"/>
    <mergeCell ref="E160:F160"/>
    <mergeCell ref="C170:D170"/>
    <mergeCell ref="E170:F170"/>
    <mergeCell ref="G170:H170"/>
    <mergeCell ref="A172:H172"/>
    <mergeCell ref="A173:B173"/>
    <mergeCell ref="C173:D173"/>
    <mergeCell ref="A259:H259"/>
    <mergeCell ref="A254:H254"/>
    <mergeCell ref="G227:H230"/>
    <mergeCell ref="C159:D159"/>
    <mergeCell ref="A85:B85"/>
    <mergeCell ref="A86:B86"/>
    <mergeCell ref="A69:C69"/>
    <mergeCell ref="D69:H69"/>
    <mergeCell ref="A72:C72"/>
    <mergeCell ref="D72:H72"/>
    <mergeCell ref="A70:C70"/>
    <mergeCell ref="D70:H70"/>
    <mergeCell ref="A71:C71"/>
    <mergeCell ref="D71:H71"/>
    <mergeCell ref="A73:B73"/>
    <mergeCell ref="C73:H7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6:B16"/>
    <mergeCell ref="C16:H16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D62:H62"/>
    <mergeCell ref="A62:C62"/>
    <mergeCell ref="G49:H49"/>
    <mergeCell ref="G48:H48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50:B51"/>
    <mergeCell ref="C50:E50"/>
    <mergeCell ref="A36:H36"/>
    <mergeCell ref="A35:B35"/>
    <mergeCell ref="C35:E35"/>
    <mergeCell ref="A40:D40"/>
    <mergeCell ref="E40:H40"/>
    <mergeCell ref="F32:H32"/>
    <mergeCell ref="F33:H33"/>
    <mergeCell ref="A39:H39"/>
    <mergeCell ref="F35:H35"/>
    <mergeCell ref="A37:B37"/>
    <mergeCell ref="E37:F37"/>
    <mergeCell ref="C37:D37"/>
    <mergeCell ref="G37:H37"/>
    <mergeCell ref="A38:B38"/>
    <mergeCell ref="C38:H38"/>
    <mergeCell ref="A44:D44"/>
    <mergeCell ref="A45:D45"/>
    <mergeCell ref="A46:H46"/>
    <mergeCell ref="E41:H41"/>
    <mergeCell ref="A41:D41"/>
    <mergeCell ref="A47:B47"/>
    <mergeCell ref="C47:H47"/>
    <mergeCell ref="C160:D160"/>
    <mergeCell ref="A154:E154"/>
    <mergeCell ref="A67:C67"/>
    <mergeCell ref="D66:H66"/>
    <mergeCell ref="D67:H67"/>
    <mergeCell ref="A42:D42"/>
    <mergeCell ref="E42:H42"/>
    <mergeCell ref="E43:H43"/>
    <mergeCell ref="E44:H44"/>
    <mergeCell ref="E45:H45"/>
    <mergeCell ref="A43:D43"/>
    <mergeCell ref="C52:E52"/>
    <mergeCell ref="D63:H63"/>
    <mergeCell ref="D64:H64"/>
    <mergeCell ref="C49:E49"/>
    <mergeCell ref="A58:B58"/>
    <mergeCell ref="C58:E58"/>
    <mergeCell ref="A49:B49"/>
    <mergeCell ref="A59:H59"/>
    <mergeCell ref="A60:C60"/>
    <mergeCell ref="A61:C61"/>
    <mergeCell ref="D61:H61"/>
    <mergeCell ref="G58:H58"/>
    <mergeCell ref="C53:H53"/>
    <mergeCell ref="A170:B170"/>
    <mergeCell ref="A68:C68"/>
    <mergeCell ref="D68:H68"/>
    <mergeCell ref="C165:D165"/>
    <mergeCell ref="E165:F165"/>
    <mergeCell ref="G165:H165"/>
    <mergeCell ref="F151:H151"/>
    <mergeCell ref="A145:E145"/>
    <mergeCell ref="A187:H187"/>
    <mergeCell ref="E179:E180"/>
    <mergeCell ref="G179:H180"/>
    <mergeCell ref="A120:B120"/>
    <mergeCell ref="E120:F129"/>
    <mergeCell ref="A127:B127"/>
    <mergeCell ref="A128:B128"/>
    <mergeCell ref="A129:B129"/>
    <mergeCell ref="F144:H144"/>
    <mergeCell ref="F149:H149"/>
    <mergeCell ref="A168:B168"/>
    <mergeCell ref="E168:F168"/>
    <mergeCell ref="A166:B166"/>
    <mergeCell ref="C166:D166"/>
    <mergeCell ref="E166:F166"/>
    <mergeCell ref="G159:H159"/>
    <mergeCell ref="A148:E148"/>
    <mergeCell ref="A149:E149"/>
    <mergeCell ref="A155:E155"/>
    <mergeCell ref="F153:H153"/>
    <mergeCell ref="L324:M324"/>
    <mergeCell ref="A195:H195"/>
    <mergeCell ref="A196:A197"/>
    <mergeCell ref="A329:B329"/>
    <mergeCell ref="A326:B326"/>
    <mergeCell ref="A327:B327"/>
    <mergeCell ref="A328:B328"/>
    <mergeCell ref="L323:M323"/>
    <mergeCell ref="L320:M320"/>
    <mergeCell ref="A321:B321"/>
    <mergeCell ref="L321:M321"/>
    <mergeCell ref="A322:B322"/>
    <mergeCell ref="L322:M322"/>
    <mergeCell ref="A199:H199"/>
    <mergeCell ref="G200:H203"/>
    <mergeCell ref="L200:M200"/>
    <mergeCell ref="L201:M201"/>
    <mergeCell ref="L191:M191"/>
    <mergeCell ref="L202:M202"/>
    <mergeCell ref="L203:M203"/>
    <mergeCell ref="A118:B118"/>
    <mergeCell ref="C118:H118"/>
    <mergeCell ref="G183:H185"/>
    <mergeCell ref="A198:H198"/>
    <mergeCell ref="A342:H342"/>
    <mergeCell ref="A343:B343"/>
    <mergeCell ref="A344:B344"/>
    <mergeCell ref="A150:E150"/>
    <mergeCell ref="F150:H150"/>
    <mergeCell ref="A151:E151"/>
    <mergeCell ref="G308:H318"/>
    <mergeCell ref="C161:D161"/>
    <mergeCell ref="A169:H169"/>
    <mergeCell ref="A143:B143"/>
    <mergeCell ref="A134:B134"/>
    <mergeCell ref="E134:F143"/>
    <mergeCell ref="G134:H143"/>
    <mergeCell ref="G120:H129"/>
    <mergeCell ref="A121:B121"/>
    <mergeCell ref="A122:B122"/>
    <mergeCell ref="A123:B123"/>
    <mergeCell ref="F146:H146"/>
    <mergeCell ref="A146:E146"/>
    <mergeCell ref="D179:D180"/>
    <mergeCell ref="L194:M194"/>
    <mergeCell ref="G188:H194"/>
    <mergeCell ref="A171:B171"/>
    <mergeCell ref="A175:B175"/>
    <mergeCell ref="C175:D175"/>
    <mergeCell ref="E175:F175"/>
    <mergeCell ref="G175:H175"/>
    <mergeCell ref="A176:B176"/>
    <mergeCell ref="C176:D176"/>
    <mergeCell ref="E176:F176"/>
    <mergeCell ref="G176:H176"/>
    <mergeCell ref="A177:H177"/>
    <mergeCell ref="L185:M185"/>
    <mergeCell ref="B179:B180"/>
    <mergeCell ref="A179:A180"/>
    <mergeCell ref="A181:H181"/>
    <mergeCell ref="C171:D171"/>
    <mergeCell ref="E171:F171"/>
    <mergeCell ref="G171:H171"/>
    <mergeCell ref="L183:M183"/>
    <mergeCell ref="L184:M184"/>
    <mergeCell ref="E173:F173"/>
    <mergeCell ref="G173:H173"/>
    <mergeCell ref="A174:B174"/>
    <mergeCell ref="C174:D174"/>
    <mergeCell ref="E174:F174"/>
    <mergeCell ref="G174:H174"/>
    <mergeCell ref="A253:H253"/>
    <mergeCell ref="L205:M205"/>
    <mergeCell ref="L206:M206"/>
    <mergeCell ref="L207:M207"/>
    <mergeCell ref="L208:M208"/>
    <mergeCell ref="L215:M215"/>
    <mergeCell ref="L216:M216"/>
    <mergeCell ref="L217:M217"/>
    <mergeCell ref="L218:M218"/>
    <mergeCell ref="L210:M210"/>
    <mergeCell ref="L211:M211"/>
    <mergeCell ref="L235:M235"/>
    <mergeCell ref="L190:M190"/>
    <mergeCell ref="L189:M189"/>
    <mergeCell ref="L188:M188"/>
    <mergeCell ref="A186:H186"/>
    <mergeCell ref="L192:M192"/>
    <mergeCell ref="L193:M193"/>
    <mergeCell ref="C260:F260"/>
    <mergeCell ref="L260:M260"/>
    <mergeCell ref="A261:B261"/>
    <mergeCell ref="L261:M261"/>
    <mergeCell ref="A262:B262"/>
    <mergeCell ref="L262:M262"/>
    <mergeCell ref="A263:B263"/>
    <mergeCell ref="L263:M263"/>
    <mergeCell ref="A264:B264"/>
    <mergeCell ref="L264:M264"/>
    <mergeCell ref="C285:F286"/>
    <mergeCell ref="L276:M276"/>
    <mergeCell ref="L277:M277"/>
    <mergeCell ref="L278:M278"/>
    <mergeCell ref="L279:M279"/>
    <mergeCell ref="L280:M280"/>
    <mergeCell ref="L272:M272"/>
    <mergeCell ref="L273:M273"/>
    <mergeCell ref="L274:M274"/>
    <mergeCell ref="L275:M275"/>
    <mergeCell ref="L284:M284"/>
    <mergeCell ref="L285:M285"/>
    <mergeCell ref="L286:M286"/>
    <mergeCell ref="L316:M316"/>
    <mergeCell ref="L293:M293"/>
    <mergeCell ref="L294:M294"/>
    <mergeCell ref="L305:M305"/>
    <mergeCell ref="L306:M306"/>
    <mergeCell ref="G296:H306"/>
    <mergeCell ref="G284:H294"/>
    <mergeCell ref="G272:H282"/>
    <mergeCell ref="A295:H295"/>
    <mergeCell ref="L296:M296"/>
    <mergeCell ref="L297:M297"/>
    <mergeCell ref="L298:M298"/>
    <mergeCell ref="L299:M299"/>
    <mergeCell ref="L300:M300"/>
    <mergeCell ref="L301:M301"/>
    <mergeCell ref="L302:M302"/>
    <mergeCell ref="L303:M303"/>
    <mergeCell ref="L304:M304"/>
    <mergeCell ref="C297:F297"/>
    <mergeCell ref="A283:H283"/>
    <mergeCell ref="L287:M287"/>
    <mergeCell ref="L288:M288"/>
    <mergeCell ref="L289:M289"/>
    <mergeCell ref="L290:M290"/>
    <mergeCell ref="G168:H168"/>
    <mergeCell ref="L308:M308"/>
    <mergeCell ref="L309:M309"/>
    <mergeCell ref="L310:M310"/>
    <mergeCell ref="L311:M311"/>
    <mergeCell ref="L312:M312"/>
    <mergeCell ref="L313:M313"/>
    <mergeCell ref="L314:M314"/>
    <mergeCell ref="L315:M315"/>
    <mergeCell ref="L291:M291"/>
    <mergeCell ref="L292:M292"/>
    <mergeCell ref="L269:M269"/>
    <mergeCell ref="L270:M270"/>
    <mergeCell ref="G260:H270"/>
    <mergeCell ref="L281:M281"/>
    <mergeCell ref="L282:M282"/>
    <mergeCell ref="L265:M265"/>
    <mergeCell ref="L266:M266"/>
    <mergeCell ref="L267:M267"/>
    <mergeCell ref="L268:M268"/>
    <mergeCell ref="L255:M255"/>
    <mergeCell ref="L256:M256"/>
    <mergeCell ref="L257:M257"/>
    <mergeCell ref="L258:M258"/>
    <mergeCell ref="A84:B84"/>
    <mergeCell ref="L317:M317"/>
    <mergeCell ref="L318:M318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307:H307"/>
    <mergeCell ref="C261:F261"/>
    <mergeCell ref="C262:F262"/>
    <mergeCell ref="C263:F263"/>
    <mergeCell ref="C264:F264"/>
    <mergeCell ref="C265:F265"/>
    <mergeCell ref="F147:H147"/>
    <mergeCell ref="A152:E152"/>
    <mergeCell ref="A147:E147"/>
    <mergeCell ref="A144:E144"/>
    <mergeCell ref="F148:H148"/>
    <mergeCell ref="F152:H152"/>
    <mergeCell ref="A153:E153"/>
    <mergeCell ref="A130:B130"/>
    <mergeCell ref="C130:H130"/>
    <mergeCell ref="A132:B132"/>
    <mergeCell ref="C132:H132"/>
    <mergeCell ref="A133:B133"/>
    <mergeCell ref="E133:F133"/>
    <mergeCell ref="G133:H133"/>
    <mergeCell ref="A119:B119"/>
    <mergeCell ref="E119:F119"/>
    <mergeCell ref="G119:H119"/>
    <mergeCell ref="A106:B106"/>
    <mergeCell ref="E106:F115"/>
    <mergeCell ref="G106:H115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C56:E56"/>
    <mergeCell ref="G56:H56"/>
    <mergeCell ref="C57:H57"/>
    <mergeCell ref="A56:B57"/>
    <mergeCell ref="A102:B102"/>
    <mergeCell ref="C102:H102"/>
    <mergeCell ref="A104:B104"/>
    <mergeCell ref="C104:H104"/>
    <mergeCell ref="A105:B105"/>
    <mergeCell ref="E105:F105"/>
    <mergeCell ref="G105:H105"/>
    <mergeCell ref="D65:H65"/>
    <mergeCell ref="A63:C65"/>
    <mergeCell ref="A66:C66"/>
    <mergeCell ref="A75:B75"/>
    <mergeCell ref="C75:H75"/>
    <mergeCell ref="A76:B76"/>
    <mergeCell ref="E76:F76"/>
    <mergeCell ref="G76:H76"/>
    <mergeCell ref="A77:B77"/>
    <mergeCell ref="E77:F86"/>
    <mergeCell ref="G77:H86"/>
    <mergeCell ref="A78:B78"/>
    <mergeCell ref="A79:B79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9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372" max="16383" man="1"/>
    <brk id="414" max="16383" man="1"/>
    <brk id="45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81640625" defaultRowHeight="14.5" x14ac:dyDescent="0.35"/>
  <cols>
    <col min="1" max="1" width="8.81640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81640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00" t="s">
        <v>111</v>
      </c>
      <c r="C3" s="200"/>
      <c r="D3" s="200"/>
      <c r="E3" s="200"/>
      <c r="F3" s="200"/>
      <c r="G3" s="200"/>
      <c r="H3" s="200"/>
    </row>
    <row r="4" spans="1:9" x14ac:dyDescent="0.35">
      <c r="A4" s="2"/>
      <c r="B4" s="3" t="s">
        <v>112</v>
      </c>
      <c r="C4" s="3" t="s">
        <v>113</v>
      </c>
      <c r="D4" s="3" t="s">
        <v>73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2025-07-26T08:37:38Z</cp:lastPrinted>
  <dcterms:created xsi:type="dcterms:W3CDTF">2019-07-16T09:29:46Z</dcterms:created>
  <dcterms:modified xsi:type="dcterms:W3CDTF">2025-07-26T08:38:32Z</dcterms:modified>
</cp:coreProperties>
</file>