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25-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Report!$A$1:$H$386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0" i="1" l="1"/>
  <c r="E185" i="1"/>
  <c r="E228" i="1"/>
  <c r="E225" i="1"/>
  <c r="E219" i="1"/>
  <c r="E216" i="1"/>
  <c r="E207" i="1"/>
  <c r="E204" i="1"/>
  <c r="E198" i="1"/>
  <c r="E195" i="1"/>
  <c r="E183" i="1"/>
  <c r="E178" i="1"/>
  <c r="E173" i="1"/>
  <c r="E168" i="1"/>
  <c r="E166" i="1"/>
  <c r="E161" i="1"/>
  <c r="E232" i="1" l="1"/>
  <c r="D232" i="1"/>
  <c r="E231" i="1"/>
  <c r="D231" i="1"/>
  <c r="E230" i="1"/>
  <c r="D230" i="1"/>
  <c r="F230" i="1" s="1"/>
  <c r="H230" i="1" s="1"/>
  <c r="E229" i="1"/>
  <c r="D229" i="1"/>
  <c r="D228" i="1"/>
  <c r="E226" i="1"/>
  <c r="D226" i="1"/>
  <c r="D225" i="1"/>
  <c r="E223" i="1"/>
  <c r="D223" i="1"/>
  <c r="E222" i="1"/>
  <c r="D222" i="1"/>
  <c r="E221" i="1"/>
  <c r="D221" i="1"/>
  <c r="E220" i="1"/>
  <c r="D220" i="1"/>
  <c r="D219" i="1"/>
  <c r="E218" i="1"/>
  <c r="D218" i="1"/>
  <c r="E217" i="1"/>
  <c r="D217" i="1"/>
  <c r="D216" i="1"/>
  <c r="E211" i="1"/>
  <c r="D211" i="1"/>
  <c r="E210" i="1"/>
  <c r="D210" i="1"/>
  <c r="E209" i="1"/>
  <c r="D209" i="1"/>
  <c r="E208" i="1"/>
  <c r="D208" i="1"/>
  <c r="D207" i="1"/>
  <c r="E205" i="1"/>
  <c r="D205" i="1"/>
  <c r="D204" i="1"/>
  <c r="E202" i="1"/>
  <c r="D202" i="1"/>
  <c r="E201" i="1"/>
  <c r="D201" i="1"/>
  <c r="F201" i="1" s="1"/>
  <c r="H201" i="1" s="1"/>
  <c r="E200" i="1"/>
  <c r="D200" i="1"/>
  <c r="E199" i="1"/>
  <c r="D199" i="1"/>
  <c r="D198" i="1"/>
  <c r="E197" i="1"/>
  <c r="D197" i="1"/>
  <c r="E196" i="1"/>
  <c r="D196" i="1"/>
  <c r="D195" i="1"/>
  <c r="D190" i="1"/>
  <c r="E189" i="1"/>
  <c r="D189" i="1"/>
  <c r="E188" i="1"/>
  <c r="D188" i="1"/>
  <c r="E187" i="1"/>
  <c r="D187" i="1"/>
  <c r="D185" i="1"/>
  <c r="F185" i="1" s="1"/>
  <c r="H185" i="1" s="1"/>
  <c r="D183" i="1"/>
  <c r="F183" i="1" s="1"/>
  <c r="H183" i="1" s="1"/>
  <c r="E182" i="1"/>
  <c r="D182" i="1"/>
  <c r="E181" i="1"/>
  <c r="D181" i="1"/>
  <c r="E180" i="1"/>
  <c r="D180" i="1"/>
  <c r="E179" i="1"/>
  <c r="D179" i="1"/>
  <c r="D178" i="1"/>
  <c r="C149" i="1" s="1"/>
  <c r="D173" i="1"/>
  <c r="E172" i="1"/>
  <c r="D172" i="1"/>
  <c r="E171" i="1"/>
  <c r="D171" i="1"/>
  <c r="E170" i="1"/>
  <c r="D170" i="1"/>
  <c r="D168" i="1"/>
  <c r="D166" i="1"/>
  <c r="E165" i="1"/>
  <c r="D165" i="1"/>
  <c r="E164" i="1"/>
  <c r="D164" i="1"/>
  <c r="E163" i="1"/>
  <c r="D163" i="1"/>
  <c r="E162" i="1"/>
  <c r="D162" i="1"/>
  <c r="D161" i="1"/>
  <c r="I156" i="1"/>
  <c r="I226" i="1"/>
  <c r="A226" i="1"/>
  <c r="A227" i="1" s="1"/>
  <c r="A228" i="1" s="1"/>
  <c r="A229" i="1" s="1"/>
  <c r="A230" i="1" s="1"/>
  <c r="A231" i="1" s="1"/>
  <c r="A232" i="1" s="1"/>
  <c r="I224" i="1"/>
  <c r="I222" i="1"/>
  <c r="I220" i="1"/>
  <c r="I217" i="1"/>
  <c r="A217" i="1"/>
  <c r="A218" i="1" s="1"/>
  <c r="A219" i="1" s="1"/>
  <c r="A220" i="1" s="1"/>
  <c r="A221" i="1" s="1"/>
  <c r="A222" i="1" s="1"/>
  <c r="A223" i="1" s="1"/>
  <c r="I216" i="1"/>
  <c r="I215" i="1"/>
  <c r="I205" i="1"/>
  <c r="I201" i="1"/>
  <c r="I199" i="1"/>
  <c r="I196" i="1"/>
  <c r="I195" i="1"/>
  <c r="I203" i="1"/>
  <c r="F209" i="1"/>
  <c r="H209" i="1" s="1"/>
  <c r="A205" i="1"/>
  <c r="A206" i="1" s="1"/>
  <c r="A207" i="1" s="1"/>
  <c r="A208" i="1" s="1"/>
  <c r="A209" i="1" s="1"/>
  <c r="A210" i="1" s="1"/>
  <c r="A211" i="1" s="1"/>
  <c r="A196" i="1"/>
  <c r="A197" i="1" s="1"/>
  <c r="A198" i="1" s="1"/>
  <c r="A199" i="1" s="1"/>
  <c r="A200" i="1" s="1"/>
  <c r="A201" i="1" s="1"/>
  <c r="A202" i="1" s="1"/>
  <c r="I194" i="1"/>
  <c r="A186" i="1"/>
  <c r="A187" i="1" s="1"/>
  <c r="A188" i="1" s="1"/>
  <c r="A189" i="1" s="1"/>
  <c r="A190" i="1" s="1"/>
  <c r="I185" i="1"/>
  <c r="I184" i="1"/>
  <c r="I179" i="1"/>
  <c r="A179" i="1"/>
  <c r="A180" i="1" s="1"/>
  <c r="A181" i="1" s="1"/>
  <c r="A182" i="1" s="1"/>
  <c r="A183" i="1" s="1"/>
  <c r="I178" i="1"/>
  <c r="I177" i="1"/>
  <c r="I168" i="1"/>
  <c r="I167" i="1"/>
  <c r="A169" i="1"/>
  <c r="A170" i="1" s="1"/>
  <c r="A171" i="1" s="1"/>
  <c r="A172" i="1" s="1"/>
  <c r="A173" i="1" s="1"/>
  <c r="I162" i="1"/>
  <c r="I161" i="1"/>
  <c r="I160" i="1"/>
  <c r="C119" i="1"/>
  <c r="B120" i="1" s="1"/>
  <c r="E43" i="1"/>
  <c r="F171" i="1" l="1"/>
  <c r="H171" i="1" s="1"/>
  <c r="C148" i="1"/>
  <c r="C150" i="1"/>
  <c r="F200" i="1"/>
  <c r="H200" i="1" s="1"/>
  <c r="F190" i="1"/>
  <c r="H190" i="1" s="1"/>
  <c r="F196" i="1"/>
  <c r="H196" i="1" s="1"/>
  <c r="C151" i="1"/>
  <c r="F195" i="1"/>
  <c r="H195" i="1" s="1"/>
  <c r="F173" i="1"/>
  <c r="H173" i="1" s="1"/>
  <c r="F178" i="1"/>
  <c r="H178" i="1" s="1"/>
  <c r="F181" i="1"/>
  <c r="H181" i="1" s="1"/>
  <c r="F188" i="1"/>
  <c r="H188" i="1" s="1"/>
  <c r="F198" i="1"/>
  <c r="H198" i="1" s="1"/>
  <c r="F204" i="1"/>
  <c r="H204" i="1" s="1"/>
  <c r="F205" i="1"/>
  <c r="H205" i="1" s="1"/>
  <c r="F207" i="1"/>
  <c r="H207" i="1" s="1"/>
  <c r="F211" i="1"/>
  <c r="H211" i="1" s="1"/>
  <c r="F216" i="1"/>
  <c r="H216" i="1" s="1"/>
  <c r="F219" i="1"/>
  <c r="H219" i="1" s="1"/>
  <c r="F222" i="1"/>
  <c r="H222" i="1" s="1"/>
  <c r="F223" i="1"/>
  <c r="H223" i="1" s="1"/>
  <c r="F225" i="1"/>
  <c r="H225" i="1" s="1"/>
  <c r="F226" i="1"/>
  <c r="H226" i="1" s="1"/>
  <c r="F228" i="1"/>
  <c r="H228" i="1" s="1"/>
  <c r="F232" i="1"/>
  <c r="H232" i="1" s="1"/>
  <c r="F165" i="1"/>
  <c r="H165" i="1" s="1"/>
  <c r="F166" i="1"/>
  <c r="H166" i="1" s="1"/>
  <c r="F170" i="1"/>
  <c r="H170" i="1" s="1"/>
  <c r="F172" i="1"/>
  <c r="H172" i="1" s="1"/>
  <c r="F179" i="1"/>
  <c r="H179" i="1" s="1"/>
  <c r="F180" i="1"/>
  <c r="H180" i="1" s="1"/>
  <c r="F182" i="1"/>
  <c r="H182" i="1" s="1"/>
  <c r="F187" i="1"/>
  <c r="H187" i="1" s="1"/>
  <c r="F189" i="1"/>
  <c r="H189" i="1" s="1"/>
  <c r="F197" i="1"/>
  <c r="H197" i="1" s="1"/>
  <c r="F199" i="1"/>
  <c r="H199" i="1" s="1"/>
  <c r="F202" i="1"/>
  <c r="H202" i="1" s="1"/>
  <c r="F208" i="1"/>
  <c r="H208" i="1" s="1"/>
  <c r="F210" i="1"/>
  <c r="H210" i="1" s="1"/>
  <c r="F217" i="1"/>
  <c r="H217" i="1" s="1"/>
  <c r="F218" i="1"/>
  <c r="H218" i="1" s="1"/>
  <c r="F220" i="1"/>
  <c r="H220" i="1" s="1"/>
  <c r="F221" i="1"/>
  <c r="H221" i="1" s="1"/>
  <c r="F229" i="1"/>
  <c r="H229" i="1" s="1"/>
  <c r="F231" i="1"/>
  <c r="H231" i="1" s="1"/>
  <c r="F168" i="1"/>
  <c r="H168" i="1" s="1"/>
  <c r="J127" i="1"/>
  <c r="J128" i="1"/>
  <c r="J129" i="1"/>
  <c r="J130" i="1"/>
  <c r="H120" i="1"/>
  <c r="C152" i="1" l="1"/>
  <c r="J122" i="1"/>
  <c r="D126" i="1"/>
  <c r="D125" i="1"/>
  <c r="J125" i="1"/>
  <c r="J126" i="1" s="1"/>
  <c r="J119" i="1"/>
  <c r="J121" i="1" s="1"/>
  <c r="D132" i="1"/>
  <c r="D131" i="1"/>
  <c r="D127" i="1"/>
  <c r="D130" i="1"/>
  <c r="D129" i="1"/>
  <c r="D128" i="1"/>
  <c r="J123" i="1"/>
  <c r="J124" i="1"/>
  <c r="C123" i="1" s="1"/>
  <c r="D123" i="1" s="1"/>
  <c r="G150" i="1"/>
  <c r="E150" i="1"/>
  <c r="G151" i="1"/>
  <c r="G149" i="1"/>
  <c r="E151" i="1"/>
  <c r="E149" i="1"/>
  <c r="J131" i="1" l="1"/>
  <c r="J132" i="1" s="1"/>
  <c r="C124" i="1"/>
  <c r="E123" i="1" s="1"/>
  <c r="G123" i="1" l="1"/>
  <c r="D124" i="1"/>
  <c r="I120" i="1" s="1"/>
  <c r="I121" i="1" s="1"/>
  <c r="J120" i="1"/>
  <c r="I119" i="1" l="1"/>
  <c r="C121" i="1" s="1"/>
  <c r="B38" i="6"/>
  <c r="B39" i="6" s="1"/>
  <c r="B40" i="6" s="1"/>
  <c r="B41" i="6" s="1"/>
  <c r="B42" i="6" s="1"/>
  <c r="B43" i="6" s="1"/>
  <c r="B44" i="6" s="1"/>
  <c r="B45" i="6" s="1"/>
  <c r="B46" i="6" s="1"/>
  <c r="B47" i="6" s="1"/>
  <c r="B48" i="6" s="1"/>
  <c r="B49" i="6" s="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s="1"/>
  <c r="F11" i="5"/>
  <c r="G11" i="5" s="1"/>
  <c r="F10" i="5"/>
  <c r="G10" i="5" s="1"/>
  <c r="F9" i="5"/>
  <c r="G9" i="5" s="1"/>
  <c r="F8" i="5"/>
  <c r="G8" i="5" s="1"/>
  <c r="F7" i="5"/>
  <c r="G7" i="5" s="1"/>
  <c r="F6" i="5"/>
  <c r="G6" i="5" s="1"/>
  <c r="F5" i="5"/>
  <c r="G5" i="5" s="1"/>
  <c r="G12" i="5" s="1"/>
  <c r="D258" i="1"/>
  <c r="B235" i="1"/>
  <c r="F164" i="1"/>
  <c r="H164" i="1" s="1"/>
  <c r="F163" i="1"/>
  <c r="H163" i="1" s="1"/>
  <c r="F162" i="1"/>
  <c r="H162" i="1" s="1"/>
  <c r="A162" i="1"/>
  <c r="A163" i="1" s="1"/>
  <c r="A164" i="1" s="1"/>
  <c r="A165" i="1" s="1"/>
  <c r="A166" i="1" s="1"/>
  <c r="F161" i="1"/>
  <c r="F145" i="1"/>
  <c r="C105" i="1"/>
  <c r="C91" i="1"/>
  <c r="C77" i="1"/>
  <c r="B78" i="1" s="1"/>
  <c r="D71" i="1"/>
  <c r="D63" i="1"/>
  <c r="G56" i="1"/>
  <c r="C56" i="1"/>
  <c r="K54" i="1"/>
  <c r="G51" i="1"/>
  <c r="C51" i="1"/>
  <c r="C52" i="1" s="1"/>
  <c r="E44" i="1"/>
  <c r="E45" i="1" s="1"/>
  <c r="S33" i="1"/>
  <c r="E31" i="1"/>
  <c r="E28" i="1"/>
  <c r="E26" i="1"/>
  <c r="C16" i="1"/>
  <c r="I15" i="1"/>
  <c r="Z13" i="1"/>
  <c r="E8" i="1"/>
  <c r="E3" i="1"/>
  <c r="B244" i="1" s="1"/>
  <c r="H92" i="1"/>
  <c r="H106" i="1"/>
  <c r="H161" i="1" l="1"/>
  <c r="G148" i="1" s="1"/>
  <c r="G152" i="1" s="1"/>
  <c r="E148" i="1"/>
  <c r="E152" i="1" s="1"/>
  <c r="J85" i="1"/>
  <c r="J86" i="1"/>
  <c r="B106" i="1"/>
  <c r="J114" i="1" s="1"/>
  <c r="I42" i="7"/>
  <c r="H42" i="7" s="1"/>
  <c r="L42" i="7"/>
  <c r="K42" i="7" s="1"/>
  <c r="J91" i="1"/>
  <c r="J93" i="1" s="1"/>
  <c r="D100" i="1"/>
  <c r="D99" i="1"/>
  <c r="D104" i="1"/>
  <c r="D98" i="1"/>
  <c r="J94" i="1"/>
  <c r="D103" i="1"/>
  <c r="J96" i="1"/>
  <c r="C95" i="1" s="1"/>
  <c r="D97" i="1"/>
  <c r="D102" i="1"/>
  <c r="J95" i="1"/>
  <c r="D101" i="1"/>
  <c r="D115" i="1"/>
  <c r="J109" i="1"/>
  <c r="J105" i="1"/>
  <c r="J107" i="1" s="1"/>
  <c r="J108" i="1"/>
  <c r="D113" i="1"/>
  <c r="D118" i="1"/>
  <c r="D112" i="1"/>
  <c r="D117" i="1"/>
  <c r="D111" i="1"/>
  <c r="D114" i="1"/>
  <c r="J110" i="1"/>
  <c r="C109" i="1" s="1"/>
  <c r="D109" i="1" s="1"/>
  <c r="D116" i="1"/>
  <c r="D42" i="7"/>
  <c r="L54" i="1"/>
  <c r="B92" i="1"/>
  <c r="J87" i="1"/>
  <c r="J88" i="1"/>
  <c r="I52" i="1"/>
  <c r="H78" i="1"/>
  <c r="D84" i="1" l="1"/>
  <c r="D90" i="1"/>
  <c r="D89" i="1"/>
  <c r="D83" i="1"/>
  <c r="J83" i="1"/>
  <c r="J84" i="1" s="1"/>
  <c r="J89" i="1" s="1"/>
  <c r="J90" i="1" s="1"/>
  <c r="C82" i="1" s="1"/>
  <c r="J81" i="1"/>
  <c r="J82" i="1"/>
  <c r="C81" i="1" s="1"/>
  <c r="D81" i="1" s="1"/>
  <c r="D87" i="1"/>
  <c r="D88" i="1"/>
  <c r="J77" i="1"/>
  <c r="J79" i="1" s="1"/>
  <c r="D86" i="1"/>
  <c r="D85" i="1"/>
  <c r="J80" i="1"/>
  <c r="J116" i="1"/>
  <c r="J115" i="1"/>
  <c r="D44" i="7"/>
  <c r="E44" i="7"/>
  <c r="J113" i="1"/>
  <c r="J111" i="1"/>
  <c r="D95" i="1"/>
  <c r="J100" i="1"/>
  <c r="J97" i="1"/>
  <c r="J98" i="1" s="1"/>
  <c r="J103" i="1" s="1"/>
  <c r="J102" i="1"/>
  <c r="J99" i="1"/>
  <c r="J101" i="1"/>
  <c r="E81" i="1" l="1"/>
  <c r="J112" i="1"/>
  <c r="J117" i="1" s="1"/>
  <c r="J118" i="1" s="1"/>
  <c r="C110" i="1" s="1"/>
  <c r="D110" i="1" s="1"/>
  <c r="I106" i="1" s="1"/>
  <c r="I107" i="1" s="1"/>
  <c r="J104" i="1"/>
  <c r="D96" i="1"/>
  <c r="I92" i="1" s="1"/>
  <c r="E95" i="1"/>
  <c r="J78" i="1" l="1"/>
  <c r="G81" i="1"/>
  <c r="D75" i="1" s="1"/>
  <c r="D76" i="1" s="1"/>
  <c r="D82" i="1"/>
  <c r="I78" i="1" s="1"/>
  <c r="I79" i="1" s="1"/>
  <c r="J106" i="1"/>
  <c r="I105" i="1" s="1"/>
  <c r="C107" i="1" s="1"/>
  <c r="E109" i="1"/>
  <c r="G109" i="1"/>
  <c r="J92" i="1"/>
  <c r="G95" i="1"/>
  <c r="I93" i="1"/>
  <c r="I77" i="1" l="1"/>
  <c r="C79" i="1" s="1"/>
  <c r="F76" i="1"/>
  <c r="I91" i="1"/>
  <c r="C93"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38"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6"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<sst xmlns="http://schemas.openxmlformats.org/spreadsheetml/2006/main" count="804" uniqueCount="426">
  <si>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</si>
  <si>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</si>
  <si>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</si>
  <si>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</si>
  <si>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</si>
  <si>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</si>
  <si>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</si>
  <si>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</si>
  <si>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</si>
  <si>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</si>
  <si>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</si>
  <si>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</si>
  <si>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</si>
  <si>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</si>
  <si>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</si>
  <si>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</si>
  <si>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</si>
  <si>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</si>
  <si>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</si>
  <si>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</si>
  <si>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</si>
  <si>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</si>
  <si>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</si>
  <si>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</si>
  <si>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</si>
  <si>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</si>
  <si>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</si>
  <si>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</si>
  <si>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</si>
  <si>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</si>
  <si>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</si>
  <si>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</si>
  <si>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</si>
  <si>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</si>
  <si>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</si>
  <si>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</si>
  <si>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</si>
  <si>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</si>
  <si>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</si>
  <si>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</si>
  <si>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</si>
  <si>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</si>
  <si>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</si>
  <si>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</si>
  <si>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</si>
  <si>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</si>
  <si>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</si>
  <si>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</si>
  <si>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</si>
  <si>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</si>
  <si>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</si>
  <si>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</si>
  <si>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</si>
  <si>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</si>
  <si>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</si>
  <si>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</si>
  <si>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</si>
  <si>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</si>
  <si>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</si>
  <si>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</si>
  <si>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</si>
  <si>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</si>
  <si>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</si>
  <si>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</si>
  <si>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</si>
  <si>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</si>
  <si>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</si>
  <si>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</si>
  <si>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</si>
  <si>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</si>
  <si>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</si>
  <si>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</si>
  <si>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</si>
  <si>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</si>
  <si>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</si>
  <si>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</si>
  <si>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</si>
  <si>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</si>
  <si>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</si>
  <si>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</si>
  <si>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</si>
  <si>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</si>
  <si>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</si>
  <si>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</si>
  <si>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</si>
  <si>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</si>
  <si>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</si>
  <si>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</si>
  <si>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</si>
  <si>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</si>
  <si>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</si>
  <si>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</si>
  <si>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</si>
  <si>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</si>
  <si>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</si>
  <si>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</si>
  <si>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</si>
  <si>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</si>
  <si>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</si>
  <si>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</si>
  <si>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</si>
  <si>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</si>
  <si>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</si>
  <si>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</si>
  <si>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</si>
  <si>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</si>
  <si>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</si>
  <si>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</si>
  <si>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</si>
  <si>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</si>
  <si>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</si>
  <si>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</si>
  <si>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</si>
  <si>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</si>
  <si>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</si>
  <si>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</si>
  <si>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</si>
  <si>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</si>
  <si>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</si>
  <si>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</si>
  <si>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</si>
  <si>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</si>
  <si>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</si>
  <si>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</si>
  <si>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</si>
  <si>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</si>
  <si>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</si>
  <si>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</si>
  <si>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</si>
  <si>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</si>
  <si>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</si>
  <si>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</si>
  <si>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</si>
  <si>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</si>
  <si>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</si>
  <si>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</si>
  <si>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</si>
  <si>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</si>
  <si>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</si>
  <si>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</si>
  <si>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</si>
  <si>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</si>
  <si>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</si>
  <si>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</si>
  <si>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</si>
  <si>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</si>
  <si>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</si>
  <si>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</si>
  <si>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</si>
  <si>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</si>
  <si>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</si>
  <si>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</si>
  <si>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</si>
  <si>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</si>
  <si>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</si>
  <si>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</si>
  <si>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</si>
  <si>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</si>
  <si>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</si>
  <si>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</si>
  <si>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</si>
  <si>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</si>
  <si>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</si>
  <si>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</si>
  <si>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</si>
  <si>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</si>
  <si>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</si>
  <si>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</si>
  <si>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</si>
  <si>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</si>
  <si>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</si>
  <si>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</si>
  <si>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</si>
  <si>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</si>
  <si>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</si>
  <si>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</si>
  <si>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</si>
  <si>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</si>
  <si>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</si>
  <si>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</si>
  <si>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</si>
  <si>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</si>
  <si>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</si>
  <si>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</si>
  <si>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</si>
  <si>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</si>
  <si>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</si>
  <si>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</si>
  <si>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</si>
  <si>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</si>
  <si>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</si>
  <si>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</si>
  <si>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</si>
  <si>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</si>
  <si>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</si>
  <si>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</si>
  <si>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</si>
  <si>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</si>
  <si>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</si>
  <si>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</si>
  <si>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</si>
  <si>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</si>
  <si>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</si>
  <si>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</si>
  <si>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</si>
  <si>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</si>
  <si>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</si>
  <si>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</si>
  <si>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</si>
  <si>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</si>
  <si>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</si>
  <si>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</si>
  <si>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</si>
  <si>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</si>
  <si>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</si>
  <si>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</si>
  <si>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</si>
  <si>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</si>
  <si>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</si>
  <si>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</si>
  <si>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</si>
  <si>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</si>
  <si>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</si>
  <si>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</si>
  <si>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</si>
  <si>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</si>
  <si>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</si>
  <si>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</si>
  <si>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</si>
  <si>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</si>
  <si>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</si>
  <si>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</si>
  <si>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</si>
  <si>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</si>
  <si>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</si>
  <si>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</si>
  <si>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</si>
  <si>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</si>
  <si>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</si>
  <si>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</si>
  <si>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</si>
  <si>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</si>
  <si>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</si>
  <si>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</si>
  <si>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</si>
  <si>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</si>
  <si>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</si>
  <si>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</si>
  <si>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</si>
  <si>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</si>
  <si>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</si>
  <si>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</si>
  <si>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</si>
  <si>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</si>
  <si>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</si>
  <si>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</si>
  <si>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</si>
  <si>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</si>
  <si>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</si>
  <si>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</si>
  <si>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</si>
  <si>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</si>
  <si>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</si>
  <si>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</si>
  <si>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</si>
  <si>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</si>
  <si>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</si>
  <si>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</si>
  <si>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</si>
  <si>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</si>
  <si>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</si>
  <si>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</si>
  <si>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</si>
  <si>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</si>
  <si>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</si>
  <si>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</si>
  <si>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</si>
  <si>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</si>
  <si>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</si>
  <si>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</si>
  <si>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</si>
  <si>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</si>
  <si>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</si>
  <si>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</si>
  <si>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</si>
  <si>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</si>
  <si>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</si>
  <si>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</si>
  <si>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</si>
  <si>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</si>
  <si>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</si>
  <si>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</si>
  <si>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</si>
  <si>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</si>
  <si>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</si>
  <si>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</si>
  <si>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</si>
  <si>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</si>
  <si>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</si>
  <si>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</si>
  <si>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</si>
  <si>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</si>
  <si>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</si>
  <si>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</si>
  <si>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</si>
  <si>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</si>
  <si>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</si>
  <si>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</si>
  <si>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</si>
  <si>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</si>
  <si>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</si>
  <si>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</si>
  <si>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</si>
  <si>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</si>
  <si>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</si>
  <si>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</si>
  <si>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</si>
  <si>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</si>
  <si>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</si>
  <si>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</si>
  <si>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</si>
  <si>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</si>
  <si>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</si>
  <si>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</si>
  <si>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</si>
  <si>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</si>
  <si>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</si>
  <si>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</si>
  <si>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</si>
  <si>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</si>
  <si>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</si>
  <si>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</si>
  <si>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</si>
  <si>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</si>
  <si>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</si>
  <si>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</si>
  <si>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</si>
  <si>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</si>
  <si>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</si>
  <si>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</si>
  <si>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</si>
  <si>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</si>
  <si>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</si>
  <si>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</si>
  <si>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</si>
  <si>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</si>
  <si>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</si>
  <si>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</si>
  <si>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</si>
  <si>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</si>
  <si>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</si>
  <si>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</si>
  <si>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</si>
  <si>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</si>
  <si>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</si>
  <si>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</si>
  <si>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</si>
  <si>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</si>
  <si>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</si>
  <si>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</si>
  <si>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M/s. Superb Maa Developers LLP</t>
  </si>
  <si>
    <t>Ms. Aishwarya Deshmukh 9321765406</t>
  </si>
  <si>
    <t>Building A, B, C &amp; D</t>
  </si>
  <si>
    <t>Approved Plans, CC, Airport NOC, Power NOC</t>
  </si>
  <si>
    <t>P52000066491</t>
  </si>
  <si>
    <t>Survey No</t>
  </si>
  <si>
    <t>136, 138/1, 140/8/A &amp; 140/9</t>
  </si>
  <si>
    <t>Ashte</t>
  </si>
  <si>
    <t>18.944679,73.154533</t>
  </si>
  <si>
    <t>https://maps.app.goo.gl/vvczctDPrbYTJjdS6</t>
  </si>
  <si>
    <t>Sawala Apta Road</t>
  </si>
  <si>
    <t>Kasalkhand Zilha Primary School</t>
  </si>
  <si>
    <t>3.60 KM from Somatne Railway Station</t>
  </si>
  <si>
    <t>Existing Village Road</t>
  </si>
  <si>
    <t xml:space="preserve">Other Plot </t>
  </si>
  <si>
    <t>Internal Road</t>
  </si>
  <si>
    <t>Open Plot</t>
  </si>
  <si>
    <t>04 Buildings</t>
  </si>
  <si>
    <t>MSRDC/B/2024/APL/00011</t>
  </si>
  <si>
    <t>Building A, B, C &amp; D = G + 3P+ 1st to 24th Floor</t>
  </si>
  <si>
    <t>NAVI/WEST/B/123023/869469</t>
  </si>
  <si>
    <t>Site Elevation AMSL = 17.65 Mtrs
Permissible Top Elevation AMSL = 159.65 Mtrs</t>
  </si>
  <si>
    <t>https://liveinfinite.in/</t>
  </si>
  <si>
    <t>96.15 Mtrs</t>
  </si>
  <si>
    <t>Dy.EE/PNL II/Tech/No 1094</t>
  </si>
  <si>
    <t xml:space="preserve">Power Noc No
</t>
  </si>
  <si>
    <t>Building A = G + 3P + 1st to 24th Floor
Building B = G + 3P + 1st to 24th Floor
Building C = G + 3P + 1st to 24th Floor
Building D = G + 3P + 1st to 24th Floor</t>
  </si>
  <si>
    <t>Building A = G + 3P + 1st to 34th Floor</t>
  </si>
  <si>
    <t>Building B = G + 3P + 1st to 34th Floor</t>
  </si>
  <si>
    <t>Building C = G + 3P + 1st to 34th Floor</t>
  </si>
  <si>
    <t>Building D = G + 3P + 1st to 34th Floor</t>
  </si>
  <si>
    <t>As per RERA - 31/12/2029</t>
  </si>
  <si>
    <t>Building A</t>
  </si>
  <si>
    <t>Building B</t>
  </si>
  <si>
    <t>Building C</t>
  </si>
  <si>
    <t>Building D</t>
  </si>
  <si>
    <t>Ground Floor For Parking, Entrance Lobby, Society Office, LV Room, Meter Room &amp; Driver's Room</t>
  </si>
  <si>
    <t>1st to 2nd, 4th to 7th, 9th to 12th, 14th to 17th, 19th to 22nd &amp; 24th Floor For Residential</t>
  </si>
  <si>
    <t>3BHK</t>
  </si>
  <si>
    <t>AP Area</t>
  </si>
  <si>
    <t>2BHK</t>
  </si>
  <si>
    <t>Swimming Pool, Indoor Games Room, Clubhouse, Gymnasium, Childrens Play Area, Steam Room, Banquet Hall, Turf Ground, Open Air Amphitheatre, Senior Citizen Area, Jogging Track, Multipurpose Lawn, Cycling Track, Tree House etc.</t>
  </si>
  <si>
    <r>
      <t xml:space="preserve">Proposed Amenities :                                                                                                                                                                                                                         </t>
    </r>
    <r>
      <rPr>
        <b/>
        <sz val="12"/>
        <rFont val="Times New Roman"/>
        <family val="1"/>
      </rPr>
      <t xml:space="preserve">                                               </t>
    </r>
  </si>
  <si>
    <t>3rd, 8th, 13th, 18th &amp; 23rd Floor For Residential (Part Refuge Area)</t>
  </si>
  <si>
    <t>4BHK</t>
  </si>
  <si>
    <t xml:space="preserve"> -</t>
  </si>
  <si>
    <t>Refuge Area</t>
  </si>
  <si>
    <t xml:space="preserve">Details of Residential in Building   </t>
  </si>
  <si>
    <t>1BHK</t>
  </si>
  <si>
    <t xml:space="preserve"> - </t>
  </si>
  <si>
    <t>OK</t>
  </si>
  <si>
    <r>
      <t xml:space="preserve">Flat No.
</t>
    </r>
    <r>
      <rPr>
        <b/>
        <sz val="11"/>
        <color theme="1"/>
        <rFont val="Times New Roman"/>
        <family val="1"/>
      </rPr>
      <t>(Approved Plan)</t>
    </r>
  </si>
  <si>
    <t>We considered Gross carpet area = Net carpet + A.P. Area.</t>
  </si>
  <si>
    <t>Please check for Fire NOC.</t>
  </si>
  <si>
    <t>Flats - 652</t>
  </si>
  <si>
    <t>Mr. Ravindra Vishwakarma</t>
  </si>
  <si>
    <t xml:space="preserve">Sales Plan </t>
  </si>
  <si>
    <t>https://www.99acres.com/superb-maximus-residency-panvel-navi-mumbai-npxid-r429892</t>
  </si>
  <si>
    <t>AP in Plan is refered as Balcony in Sale Plan (discussed with Sachin Sir)</t>
  </si>
  <si>
    <t>In Plan 2BHK is stated as 1.5BHK (Discussed with Shruti Madam)</t>
  </si>
  <si>
    <t>Bedroom more than 90 sq ft</t>
  </si>
  <si>
    <t>In AC there is work not started but, in Maps work going on.</t>
  </si>
  <si>
    <t>1st to 3rd Floor Podium For Parking, Driveway</t>
  </si>
  <si>
    <t>Maximus Residency Phase I</t>
  </si>
  <si>
    <t>Pooja Kawale</t>
  </si>
  <si>
    <t>Wing A &amp; D = Construction work is in process at the time of Visit.
Wing B &amp; C = Construction work is in process at the time of Visit (Slow Speed).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</si>
</sst>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
      <b/>
      <sz val="11"/>
      <color rgb="FF000000"/>
      <name val="Calibri"/>
      <family val="2"/>
    </font>
    <font>
      <b/>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6" fillId="0" borderId="0" applyNumberFormat="0" applyFill="0" applyBorder="0" applyAlignment="0" applyProtection="0"/>
  </cellStyleXfs>
  <cellXfs count="25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2" xfId="0" applyBorder="1" applyAlignment="1">
      <alignment vertical="top"/>
    </xf>
    <xf numFmtId="0" fontId="0" fillId="0" borderId="33" xfId="0" applyBorder="1" applyAlignment="1">
      <alignment vertical="top" wrapText="1"/>
    </xf>
    <xf numFmtId="0" fontId="0" fillId="0" borderId="34"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3"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29" fillId="0" borderId="0" xfId="1" applyFont="1"/>
    <xf numFmtId="0" fontId="26" fillId="0" borderId="0" xfId="10"/>
    <xf numFmtId="1" fontId="15" fillId="0" borderId="0" xfId="1" applyNumberFormat="1" applyFont="1" applyAlignment="1">
      <alignment horizontal="left" vertical="center"/>
    </xf>
    <xf numFmtId="2" fontId="7" fillId="0" borderId="0" xfId="1" applyNumberFormat="1" applyFont="1" applyAlignment="1">
      <alignment horizontal="center" vertical="center"/>
    </xf>
    <xf numFmtId="2" fontId="15" fillId="0" borderId="0" xfId="1" applyNumberFormat="1" applyFont="1" applyAlignment="1">
      <alignment horizontal="center" vertical="center"/>
    </xf>
    <xf numFmtId="1" fontId="7" fillId="0" borderId="1" xfId="1" applyNumberFormat="1" applyFont="1" applyBorder="1" applyAlignment="1">
      <alignment horizontal="center" vertical="center"/>
    </xf>
    <xf numFmtId="9" fontId="10" fillId="0" borderId="16" xfId="8" applyFont="1" applyFill="1" applyBorder="1" applyAlignment="1" applyProtection="1">
      <alignment horizontal="center" vertical="top" wrapText="1"/>
      <protection locked="0"/>
    </xf>
    <xf numFmtId="0" fontId="15" fillId="0" borderId="0" xfId="1" applyFont="1" applyAlignment="1">
      <alignment horizontal="left" vertical="center"/>
    </xf>
    <xf numFmtId="0" fontId="12" fillId="0" borderId="1" xfId="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13" fillId="0" borderId="16" xfId="1" applyFont="1" applyBorder="1" applyAlignment="1" applyProtection="1">
      <alignment horizontal="center" vertical="top"/>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2" fillId="0" borderId="25"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12" fillId="0" borderId="26" xfId="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wrapText="1"/>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24"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0" fontId="7" fillId="0" borderId="1" xfId="1" applyFont="1" applyBorder="1" applyAlignment="1" applyProtection="1">
      <alignment horizontal="left" vertical="top"/>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8" fillId="0" borderId="16" xfId="1" applyFont="1" applyBorder="1" applyAlignment="1" applyProtection="1">
      <alignment horizontal="center" vertical="top"/>
      <protection locked="0"/>
    </xf>
    <xf numFmtId="1" fontId="10" fillId="0" borderId="17" xfId="1" applyNumberFormat="1" applyFont="1" applyBorder="1" applyAlignment="1" applyProtection="1">
      <alignment horizontal="center" vertical="top" wrapText="1"/>
      <protection locked="0"/>
    </xf>
    <xf numFmtId="1" fontId="10"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64" fontId="6" fillId="0" borderId="1" xfId="1" applyNumberFormat="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6" fillId="0" borderId="17"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26" fillId="0" borderId="1" xfId="10" applyFill="1" applyBorder="1" applyAlignment="1" applyProtection="1">
      <alignment horizontal="left"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24" fillId="2" borderId="15" xfId="0" applyFont="1" applyFill="1" applyBorder="1"/>
    <xf numFmtId="0" fontId="25" fillId="0" borderId="9" xfId="0" applyFont="1" applyBorder="1"/>
    <xf numFmtId="0" fontId="8" fillId="0" borderId="35"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9" fontId="7" fillId="0" borderId="1" xfId="8" applyFont="1" applyFill="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8</xdr:col>
      <xdr:colOff>552450</xdr:colOff>
      <xdr:row>16</xdr:row>
      <xdr:rowOff>19050</xdr:rowOff>
    </xdr:from>
    <xdr:to>
      <xdr:col>12</xdr:col>
      <xdr:colOff>485333</xdr:colOff>
      <xdr:row>19</xdr:row>
      <xdr:rowOff>47546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867525" y="4019550"/>
          <a:ext cx="3533333" cy="628571"/>
        </a:xfrm>
        <a:prstGeom prst="rect">
          <a:avLst/>
        </a:prstGeom>
      </xdr:spPr>
    </xdr:pic>
    <xdr:clientData/>
  </xdr:twoCellAnchor>
  <xdr:twoCellAnchor editAs="oneCell">
    <xdr:from>
      <xdr:col>8</xdr:col>
      <xdr:colOff>400050</xdr:colOff>
      <xdr:row>43</xdr:row>
      <xdr:rowOff>95506</xdr:rowOff>
    </xdr:from>
    <xdr:to>
      <xdr:col>12</xdr:col>
      <xdr:colOff>210114</xdr:colOff>
      <xdr:row>51</xdr:row>
      <xdr:rowOff>66706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4444" t="71344" r="27556" b="21146"/>
        <a:stretch/>
      </xdr:blipFill>
      <xdr:spPr>
        <a:xfrm>
          <a:off x="6715125" y="9706231"/>
          <a:ext cx="3410514" cy="1800000"/>
        </a:xfrm>
        <a:prstGeom prst="rect">
          <a:avLst/>
        </a:prstGeom>
      </xdr:spPr>
    </xdr:pic>
    <xdr:clientData/>
  </xdr:twoCellAnchor>
  <xdr:twoCellAnchor editAs="oneCell">
    <xdr:from>
      <xdr:col>11</xdr:col>
      <xdr:colOff>800101</xdr:colOff>
      <xdr:row>46</xdr:row>
      <xdr:rowOff>161925</xdr:rowOff>
    </xdr:from>
    <xdr:to>
      <xdr:col>13</xdr:col>
      <xdr:colOff>174992</xdr:colOff>
      <xdr:row>58</xdr:row>
      <xdr:rowOff>133125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9791701" y="10372725"/>
          <a:ext cx="1089391" cy="1800000"/>
        </a:xfrm>
        <a:prstGeom prst="rect">
          <a:avLst/>
        </a:prstGeom>
      </xdr:spPr>
    </xdr:pic>
    <xdr:clientData/>
  </xdr:twoCellAnchor>
  <xdr:twoCellAnchor editAs="oneCell">
    <xdr:from>
      <xdr:col>9</xdr:col>
      <xdr:colOff>409575</xdr:colOff>
      <xdr:row>47</xdr:row>
      <xdr:rowOff>123825</xdr:rowOff>
    </xdr:from>
    <xdr:to>
      <xdr:col>11</xdr:col>
      <xdr:colOff>274410</xdr:colOff>
      <xdr:row>58</xdr:row>
      <xdr:rowOff>295050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7886700" y="10534650"/>
          <a:ext cx="1379310" cy="1800000"/>
        </a:xfrm>
        <a:prstGeom prst="rect">
          <a:avLst/>
        </a:prstGeom>
      </xdr:spPr>
    </xdr:pic>
    <xdr:clientData/>
  </xdr:twoCellAnchor>
  <xdr:twoCellAnchor editAs="oneCell">
    <xdr:from>
      <xdr:col>14</xdr:col>
      <xdr:colOff>276225</xdr:colOff>
      <xdr:row>65</xdr:row>
      <xdr:rowOff>38100</xdr:rowOff>
    </xdr:from>
    <xdr:to>
      <xdr:col>21</xdr:col>
      <xdr:colOff>179161</xdr:colOff>
      <xdr:row>92</xdr:row>
      <xdr:rowOff>94798</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5"/>
        <a:srcRect l="41047" t="4286" r="23252" b="12095"/>
        <a:stretch/>
      </xdr:blipFill>
      <xdr:spPr>
        <a:xfrm>
          <a:off x="11820525" y="14535150"/>
          <a:ext cx="4760686" cy="6371773"/>
        </a:xfrm>
        <a:prstGeom prst="rect">
          <a:avLst/>
        </a:prstGeom>
      </xdr:spPr>
    </xdr:pic>
    <xdr:clientData/>
  </xdr:twoCellAnchor>
  <xdr:twoCellAnchor editAs="oneCell">
    <xdr:from>
      <xdr:col>8</xdr:col>
      <xdr:colOff>1009650</xdr:colOff>
      <xdr:row>49</xdr:row>
      <xdr:rowOff>114319</xdr:rowOff>
    </xdr:from>
    <xdr:to>
      <xdr:col>10</xdr:col>
      <xdr:colOff>479043</xdr:colOff>
      <xdr:row>60</xdr:row>
      <xdr:rowOff>85519</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a:stretch>
          <a:fillRect/>
        </a:stretch>
      </xdr:blipFill>
      <xdr:spPr>
        <a:xfrm>
          <a:off x="7324725" y="11153794"/>
          <a:ext cx="1393443" cy="1800000"/>
        </a:xfrm>
        <a:prstGeom prst="rect">
          <a:avLst/>
        </a:prstGeom>
      </xdr:spPr>
    </xdr:pic>
    <xdr:clientData/>
  </xdr:twoCellAnchor>
  <xdr:twoCellAnchor editAs="oneCell">
    <xdr:from>
      <xdr:col>11</xdr:col>
      <xdr:colOff>590550</xdr:colOff>
      <xdr:row>154</xdr:row>
      <xdr:rowOff>66691</xdr:rowOff>
    </xdr:from>
    <xdr:to>
      <xdr:col>19</xdr:col>
      <xdr:colOff>192075</xdr:colOff>
      <xdr:row>171</xdr:row>
      <xdr:rowOff>5033</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a:stretch>
          <a:fillRect/>
        </a:stretch>
      </xdr:blipFill>
      <xdr:spPr>
        <a:xfrm>
          <a:off x="9582150" y="33280366"/>
          <a:ext cx="5688000" cy="3929317"/>
        </a:xfrm>
        <a:prstGeom prst="rect">
          <a:avLst/>
        </a:prstGeom>
      </xdr:spPr>
    </xdr:pic>
    <xdr:clientData/>
  </xdr:twoCellAnchor>
  <xdr:twoCellAnchor>
    <xdr:from>
      <xdr:col>0</xdr:col>
      <xdr:colOff>142876</xdr:colOff>
      <xdr:row>345</xdr:row>
      <xdr:rowOff>85726</xdr:rowOff>
    </xdr:from>
    <xdr:to>
      <xdr:col>7</xdr:col>
      <xdr:colOff>647700</xdr:colOff>
      <xdr:row>380</xdr:row>
      <xdr:rowOff>47625</xdr:rowOff>
    </xdr:to>
    <xdr:grpSp>
      <xdr:nvGrpSpPr>
        <xdr:cNvPr id="10" name="Group 9">
          <a:extLst>
            <a:ext uri="{FF2B5EF4-FFF2-40B4-BE49-F238E27FC236}">
              <a16:creationId xmlns:a16="http://schemas.microsoft.com/office/drawing/2014/main" id="{00000000-0008-0000-0000-00000A000000}"/>
            </a:ext>
          </a:extLst>
        </xdr:cNvPr>
        <xdr:cNvGrpSpPr/>
      </xdr:nvGrpSpPr>
      <xdr:grpSpPr>
        <a:xfrm>
          <a:off x="142876" y="69910326"/>
          <a:ext cx="6359524" cy="6851649"/>
          <a:chOff x="1086989" y="3490567"/>
          <a:chExt cx="4682011" cy="5401734"/>
        </a:xfrm>
      </xdr:grpSpPr>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8"/>
          <a:srcRect l="10176" t="17014" r="17106" b="14930"/>
          <a:stretch/>
        </xdr:blipFill>
        <xdr:spPr>
          <a:xfrm>
            <a:off x="1086989" y="3490567"/>
            <a:ext cx="4680000" cy="2632107"/>
          </a:xfrm>
          <a:prstGeom prst="rect">
            <a:avLst/>
          </a:prstGeom>
          <a:ln>
            <a:solidFill>
              <a:schemeClr val="tx1"/>
            </a:solidFill>
          </a:ln>
        </xdr:spPr>
      </xdr:pic>
      <xdr:grpSp>
        <xdr:nvGrpSpPr>
          <xdr:cNvPr id="12" name="Group 11">
            <a:extLst>
              <a:ext uri="{FF2B5EF4-FFF2-40B4-BE49-F238E27FC236}">
                <a16:creationId xmlns:a16="http://schemas.microsoft.com/office/drawing/2014/main" id="{00000000-0008-0000-0000-00000C000000}"/>
              </a:ext>
            </a:extLst>
          </xdr:cNvPr>
          <xdr:cNvGrpSpPr/>
        </xdr:nvGrpSpPr>
        <xdr:grpSpPr>
          <a:xfrm>
            <a:off x="1089000" y="6260194"/>
            <a:ext cx="4680000" cy="2632107"/>
            <a:chOff x="806450" y="3270250"/>
            <a:chExt cx="4680000" cy="2632107"/>
          </a:xfrm>
        </xdr:grpSpPr>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9"/>
            <a:srcRect l="10273" t="15278" r="17008" b="11979"/>
            <a:stretch/>
          </xdr:blipFill>
          <xdr:spPr>
            <a:xfrm>
              <a:off x="806450" y="3270250"/>
              <a:ext cx="4680000" cy="2632107"/>
            </a:xfrm>
            <a:prstGeom prst="rect">
              <a:avLst/>
            </a:prstGeom>
            <a:ln>
              <a:solidFill>
                <a:schemeClr val="tx1"/>
              </a:solidFill>
            </a:ln>
          </xdr:spPr>
        </xdr:pic>
        <xdr:sp macro="" textlink="">
          <xdr:nvSpPr>
            <xdr:cNvPr id="14" name="Rectangle 103">
              <a:extLst>
                <a:ext uri="{FF2B5EF4-FFF2-40B4-BE49-F238E27FC236}">
                  <a16:creationId xmlns:a16="http://schemas.microsoft.com/office/drawing/2014/main" id="{00000000-0008-0000-0000-00000E000000}"/>
                </a:ext>
              </a:extLst>
            </xdr:cNvPr>
            <xdr:cNvSpPr/>
          </xdr:nvSpPr>
          <xdr:spPr>
            <a:xfrm>
              <a:off x="2490786" y="4398184"/>
              <a:ext cx="1307307" cy="914400"/>
            </a:xfrm>
            <a:custGeom>
              <a:avLst/>
              <a:gdLst>
                <a:gd name="connsiteX0" fmla="*/ 0 w 1145382"/>
                <a:gd name="connsiteY0" fmla="*/ 0 h 914400"/>
                <a:gd name="connsiteX1" fmla="*/ 1145382 w 1145382"/>
                <a:gd name="connsiteY1" fmla="*/ 0 h 914400"/>
                <a:gd name="connsiteX2" fmla="*/ 1145382 w 1145382"/>
                <a:gd name="connsiteY2" fmla="*/ 914400 h 914400"/>
                <a:gd name="connsiteX3" fmla="*/ 0 w 1145382"/>
                <a:gd name="connsiteY3" fmla="*/ 914400 h 914400"/>
                <a:gd name="connsiteX4" fmla="*/ 0 w 1145382"/>
                <a:gd name="connsiteY4" fmla="*/ 0 h 914400"/>
                <a:gd name="connsiteX0" fmla="*/ 0 w 1307307"/>
                <a:gd name="connsiteY0" fmla="*/ 273844 h 914400"/>
                <a:gd name="connsiteX1" fmla="*/ 1307307 w 1307307"/>
                <a:gd name="connsiteY1" fmla="*/ 0 h 914400"/>
                <a:gd name="connsiteX2" fmla="*/ 1307307 w 1307307"/>
                <a:gd name="connsiteY2" fmla="*/ 914400 h 914400"/>
                <a:gd name="connsiteX3" fmla="*/ 161925 w 1307307"/>
                <a:gd name="connsiteY3" fmla="*/ 914400 h 914400"/>
                <a:gd name="connsiteX4" fmla="*/ 0 w 1307307"/>
                <a:gd name="connsiteY4" fmla="*/ 273844 h 914400"/>
                <a:gd name="connsiteX0" fmla="*/ 0 w 1307307"/>
                <a:gd name="connsiteY0" fmla="*/ 273844 h 914400"/>
                <a:gd name="connsiteX1" fmla="*/ 1307307 w 1307307"/>
                <a:gd name="connsiteY1" fmla="*/ 0 h 914400"/>
                <a:gd name="connsiteX2" fmla="*/ 1307307 w 1307307"/>
                <a:gd name="connsiteY2" fmla="*/ 914400 h 914400"/>
                <a:gd name="connsiteX3" fmla="*/ 161925 w 1307307"/>
                <a:gd name="connsiteY3" fmla="*/ 914400 h 914400"/>
                <a:gd name="connsiteX4" fmla="*/ 0 w 1307307"/>
                <a:gd name="connsiteY4" fmla="*/ 273844 h 914400"/>
                <a:gd name="connsiteX0" fmla="*/ 0 w 1307307"/>
                <a:gd name="connsiteY0" fmla="*/ 273844 h 914400"/>
                <a:gd name="connsiteX1" fmla="*/ 711995 w 1307307"/>
                <a:gd name="connsiteY1" fmla="*/ 126191 h 914400"/>
                <a:gd name="connsiteX2" fmla="*/ 1307307 w 1307307"/>
                <a:gd name="connsiteY2" fmla="*/ 0 h 914400"/>
                <a:gd name="connsiteX3" fmla="*/ 1307307 w 1307307"/>
                <a:gd name="connsiteY3" fmla="*/ 914400 h 914400"/>
                <a:gd name="connsiteX4" fmla="*/ 161925 w 1307307"/>
                <a:gd name="connsiteY4" fmla="*/ 914400 h 914400"/>
                <a:gd name="connsiteX5" fmla="*/ 0 w 1307307"/>
                <a:gd name="connsiteY5" fmla="*/ 273844 h 914400"/>
                <a:gd name="connsiteX0" fmla="*/ 0 w 1307307"/>
                <a:gd name="connsiteY0" fmla="*/ 273844 h 914400"/>
                <a:gd name="connsiteX1" fmla="*/ 609601 w 1307307"/>
                <a:gd name="connsiteY1" fmla="*/ 47610 h 914400"/>
                <a:gd name="connsiteX2" fmla="*/ 1307307 w 1307307"/>
                <a:gd name="connsiteY2" fmla="*/ 0 h 914400"/>
                <a:gd name="connsiteX3" fmla="*/ 1307307 w 1307307"/>
                <a:gd name="connsiteY3" fmla="*/ 914400 h 914400"/>
                <a:gd name="connsiteX4" fmla="*/ 161925 w 1307307"/>
                <a:gd name="connsiteY4" fmla="*/ 914400 h 914400"/>
                <a:gd name="connsiteX5" fmla="*/ 0 w 1307307"/>
                <a:gd name="connsiteY5" fmla="*/ 273844 h 914400"/>
                <a:gd name="connsiteX0" fmla="*/ 0 w 1307307"/>
                <a:gd name="connsiteY0" fmla="*/ 273844 h 914400"/>
                <a:gd name="connsiteX1" fmla="*/ 609601 w 1307307"/>
                <a:gd name="connsiteY1" fmla="*/ 47610 h 914400"/>
                <a:gd name="connsiteX2" fmla="*/ 1307307 w 1307307"/>
                <a:gd name="connsiteY2" fmla="*/ 0 h 914400"/>
                <a:gd name="connsiteX3" fmla="*/ 1307307 w 1307307"/>
                <a:gd name="connsiteY3" fmla="*/ 914400 h 914400"/>
                <a:gd name="connsiteX4" fmla="*/ 161925 w 1307307"/>
                <a:gd name="connsiteY4" fmla="*/ 914400 h 914400"/>
                <a:gd name="connsiteX5" fmla="*/ 0 w 1307307"/>
                <a:gd name="connsiteY5" fmla="*/ 273844 h 914400"/>
                <a:gd name="connsiteX0" fmla="*/ 0 w 1307307"/>
                <a:gd name="connsiteY0" fmla="*/ 273844 h 914400"/>
                <a:gd name="connsiteX1" fmla="*/ 609601 w 1307307"/>
                <a:gd name="connsiteY1" fmla="*/ 47610 h 914400"/>
                <a:gd name="connsiteX2" fmla="*/ 1307307 w 1307307"/>
                <a:gd name="connsiteY2" fmla="*/ 0 h 914400"/>
                <a:gd name="connsiteX3" fmla="*/ 1307307 w 1307307"/>
                <a:gd name="connsiteY3" fmla="*/ 914400 h 914400"/>
                <a:gd name="connsiteX4" fmla="*/ 161925 w 1307307"/>
                <a:gd name="connsiteY4" fmla="*/ 914400 h 914400"/>
                <a:gd name="connsiteX5" fmla="*/ 0 w 1307307"/>
                <a:gd name="connsiteY5" fmla="*/ 273844 h 9144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07307" h="914400">
                  <a:moveTo>
                    <a:pt x="0" y="273844"/>
                  </a:moveTo>
                  <a:cubicBezTo>
                    <a:pt x="203200" y="198433"/>
                    <a:pt x="446883" y="151596"/>
                    <a:pt x="609601" y="47610"/>
                  </a:cubicBezTo>
                  <a:lnTo>
                    <a:pt x="1307307" y="0"/>
                  </a:lnTo>
                  <a:lnTo>
                    <a:pt x="1307307" y="914400"/>
                  </a:lnTo>
                  <a:lnTo>
                    <a:pt x="161925" y="914400"/>
                  </a:lnTo>
                  <a:lnTo>
                    <a:pt x="0" y="273844"/>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5" name="TextBox 104">
              <a:extLst>
                <a:ext uri="{FF2B5EF4-FFF2-40B4-BE49-F238E27FC236}">
                  <a16:creationId xmlns:a16="http://schemas.microsoft.com/office/drawing/2014/main" id="{00000000-0008-0000-0000-00000F000000}"/>
                </a:ext>
              </a:extLst>
            </xdr:cNvPr>
            <xdr:cNvSpPr txBox="1"/>
          </xdr:nvSpPr>
          <xdr:spPr>
            <a:xfrm>
              <a:off x="3348037" y="4071937"/>
              <a:ext cx="1678665" cy="19305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FFFF00"/>
                  </a:solidFill>
                </a:rPr>
                <a:t>Maximus Residency Phase</a:t>
              </a:r>
              <a:r>
                <a:rPr lang="en-US" sz="1000" b="1" baseline="0">
                  <a:solidFill>
                    <a:srgbClr val="FFFF00"/>
                  </a:solidFill>
                </a:rPr>
                <a:t> - I</a:t>
              </a:r>
              <a:endParaRPr lang="en-IN" sz="1000" b="1">
                <a:solidFill>
                  <a:srgbClr val="FFFF00"/>
                </a:solidFill>
              </a:endParaRPr>
            </a:p>
          </xdr:txBody>
        </xdr:sp>
      </xdr:grpSp>
    </xdr:grpSp>
    <xdr:clientData/>
  </xdr:twoCellAnchor>
  <xdr:twoCellAnchor>
    <xdr:from>
      <xdr:col>0</xdr:col>
      <xdr:colOff>95250</xdr:colOff>
      <xdr:row>301</xdr:row>
      <xdr:rowOff>161925</xdr:rowOff>
    </xdr:from>
    <xdr:to>
      <xdr:col>7</xdr:col>
      <xdr:colOff>657225</xdr:colOff>
      <xdr:row>341</xdr:row>
      <xdr:rowOff>19230</xdr:rowOff>
    </xdr:to>
    <xdr:grpSp>
      <xdr:nvGrpSpPr>
        <xdr:cNvPr id="16" name="Group 15">
          <a:extLst>
            <a:ext uri="{FF2B5EF4-FFF2-40B4-BE49-F238E27FC236}">
              <a16:creationId xmlns:a16="http://schemas.microsoft.com/office/drawing/2014/main" id="{00000000-0008-0000-0000-000010000000}"/>
            </a:ext>
          </a:extLst>
        </xdr:cNvPr>
        <xdr:cNvGrpSpPr/>
      </xdr:nvGrpSpPr>
      <xdr:grpSpPr>
        <a:xfrm>
          <a:off x="95250" y="61325125"/>
          <a:ext cx="6416675" cy="7731305"/>
          <a:chOff x="0" y="235968"/>
          <a:chExt cx="6858000" cy="8525055"/>
        </a:xfrm>
      </xdr:grpSpPr>
      <xdr:grpSp>
        <xdr:nvGrpSpPr>
          <xdr:cNvPr id="17" name="Group 16">
            <a:extLst>
              <a:ext uri="{FF2B5EF4-FFF2-40B4-BE49-F238E27FC236}">
                <a16:creationId xmlns:a16="http://schemas.microsoft.com/office/drawing/2014/main" id="{00000000-0008-0000-0000-000011000000}"/>
              </a:ext>
            </a:extLst>
          </xdr:cNvPr>
          <xdr:cNvGrpSpPr/>
        </xdr:nvGrpSpPr>
        <xdr:grpSpPr>
          <a:xfrm>
            <a:off x="0" y="235968"/>
            <a:ext cx="6858000" cy="5872245"/>
            <a:chOff x="0" y="0"/>
            <a:chExt cx="6858000" cy="5872245"/>
          </a:xfrm>
        </xdr:grpSpPr>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0" y="0"/>
              <a:ext cx="6858000" cy="5872245"/>
            </a:xfrm>
            <a:prstGeom prst="rect">
              <a:avLst/>
            </a:prstGeom>
            <a:ln>
              <a:solidFill>
                <a:schemeClr val="tx1"/>
              </a:solidFill>
            </a:ln>
          </xdr:spPr>
        </xdr:pic>
        <xdr:sp macro="" textlink="">
          <xdr:nvSpPr>
            <xdr:cNvPr id="20" name="Rectangle 19">
              <a:extLst>
                <a:ext uri="{FF2B5EF4-FFF2-40B4-BE49-F238E27FC236}">
                  <a16:creationId xmlns:a16="http://schemas.microsoft.com/office/drawing/2014/main" id="{00000000-0008-0000-0000-000014000000}"/>
                </a:ext>
              </a:extLst>
            </xdr:cNvPr>
            <xdr:cNvSpPr/>
          </xdr:nvSpPr>
          <xdr:spPr>
            <a:xfrm>
              <a:off x="1612900" y="2241550"/>
              <a:ext cx="787400" cy="12192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1" name="Rectangle 20">
              <a:extLst>
                <a:ext uri="{FF2B5EF4-FFF2-40B4-BE49-F238E27FC236}">
                  <a16:creationId xmlns:a16="http://schemas.microsoft.com/office/drawing/2014/main" id="{00000000-0008-0000-0000-000015000000}"/>
                </a:ext>
              </a:extLst>
            </xdr:cNvPr>
            <xdr:cNvSpPr/>
          </xdr:nvSpPr>
          <xdr:spPr>
            <a:xfrm>
              <a:off x="1612900" y="3460750"/>
              <a:ext cx="787400" cy="1257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2" name="Rectangle 21">
              <a:extLst>
                <a:ext uri="{FF2B5EF4-FFF2-40B4-BE49-F238E27FC236}">
                  <a16:creationId xmlns:a16="http://schemas.microsoft.com/office/drawing/2014/main" id="{00000000-0008-0000-0000-000016000000}"/>
                </a:ext>
              </a:extLst>
            </xdr:cNvPr>
            <xdr:cNvSpPr/>
          </xdr:nvSpPr>
          <xdr:spPr>
            <a:xfrm rot="20944740">
              <a:off x="4393588" y="3640525"/>
              <a:ext cx="787400" cy="134861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3" name="Rectangle 22">
              <a:extLst>
                <a:ext uri="{FF2B5EF4-FFF2-40B4-BE49-F238E27FC236}">
                  <a16:creationId xmlns:a16="http://schemas.microsoft.com/office/drawing/2014/main" id="{00000000-0008-0000-0000-000017000000}"/>
                </a:ext>
              </a:extLst>
            </xdr:cNvPr>
            <xdr:cNvSpPr/>
          </xdr:nvSpPr>
          <xdr:spPr>
            <a:xfrm rot="628586" flipV="1">
              <a:off x="4376313" y="2114859"/>
              <a:ext cx="787400" cy="134861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4" name="TextBox 109">
              <a:extLst>
                <a:ext uri="{FF2B5EF4-FFF2-40B4-BE49-F238E27FC236}">
                  <a16:creationId xmlns:a16="http://schemas.microsoft.com/office/drawing/2014/main" id="{00000000-0008-0000-0000-000018000000}"/>
                </a:ext>
              </a:extLst>
            </xdr:cNvPr>
            <xdr:cNvSpPr txBox="1"/>
          </xdr:nvSpPr>
          <xdr:spPr>
            <a:xfrm>
              <a:off x="4425949" y="1685180"/>
              <a:ext cx="1368794" cy="40588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A</a:t>
              </a:r>
              <a:endParaRPr lang="en-IN" b="1">
                <a:solidFill>
                  <a:srgbClr val="FF0000"/>
                </a:solidFill>
              </a:endParaRPr>
            </a:p>
          </xdr:txBody>
        </xdr:sp>
        <xdr:sp macro="" textlink="">
          <xdr:nvSpPr>
            <xdr:cNvPr id="25" name="TextBox 114">
              <a:extLst>
                <a:ext uri="{FF2B5EF4-FFF2-40B4-BE49-F238E27FC236}">
                  <a16:creationId xmlns:a16="http://schemas.microsoft.com/office/drawing/2014/main" id="{00000000-0008-0000-0000-000019000000}"/>
                </a:ext>
              </a:extLst>
            </xdr:cNvPr>
            <xdr:cNvSpPr txBox="1"/>
          </xdr:nvSpPr>
          <xdr:spPr>
            <a:xfrm>
              <a:off x="3848707" y="5047454"/>
              <a:ext cx="1368794" cy="40588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B</a:t>
              </a:r>
              <a:endParaRPr lang="en-IN" b="1">
                <a:solidFill>
                  <a:srgbClr val="FF0000"/>
                </a:solidFill>
              </a:endParaRPr>
            </a:p>
          </xdr:txBody>
        </xdr:sp>
        <xdr:sp macro="" textlink="">
          <xdr:nvSpPr>
            <xdr:cNvPr id="26" name="TextBox 115">
              <a:extLst>
                <a:ext uri="{FF2B5EF4-FFF2-40B4-BE49-F238E27FC236}">
                  <a16:creationId xmlns:a16="http://schemas.microsoft.com/office/drawing/2014/main" id="{00000000-0008-0000-0000-00001A000000}"/>
                </a:ext>
              </a:extLst>
            </xdr:cNvPr>
            <xdr:cNvSpPr txBox="1"/>
          </xdr:nvSpPr>
          <xdr:spPr>
            <a:xfrm>
              <a:off x="1516826" y="4788344"/>
              <a:ext cx="1368794" cy="40588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C</a:t>
              </a:r>
              <a:endParaRPr lang="en-IN" b="1">
                <a:solidFill>
                  <a:srgbClr val="FF0000"/>
                </a:solidFill>
              </a:endParaRPr>
            </a:p>
          </xdr:txBody>
        </xdr:sp>
        <xdr:sp macro="" textlink="">
          <xdr:nvSpPr>
            <xdr:cNvPr id="27" name="TextBox 116">
              <a:extLst>
                <a:ext uri="{FF2B5EF4-FFF2-40B4-BE49-F238E27FC236}">
                  <a16:creationId xmlns:a16="http://schemas.microsoft.com/office/drawing/2014/main" id="{00000000-0008-0000-0000-00001B000000}"/>
                </a:ext>
              </a:extLst>
            </xdr:cNvPr>
            <xdr:cNvSpPr txBox="1"/>
          </xdr:nvSpPr>
          <xdr:spPr>
            <a:xfrm>
              <a:off x="1527542" y="1869846"/>
              <a:ext cx="1368794" cy="40588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D</a:t>
              </a:r>
              <a:endParaRPr lang="en-IN" b="1">
                <a:solidFill>
                  <a:srgbClr val="FF0000"/>
                </a:solidFill>
              </a:endParaRPr>
            </a:p>
          </xdr:txBody>
        </xdr:sp>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2225" y="4718050"/>
              <a:ext cx="1080000" cy="1080000"/>
            </a:xfrm>
            <a:prstGeom prst="rect">
              <a:avLst/>
            </a:prstGeom>
          </xdr:spPr>
        </xdr:pic>
      </xdr:grpSp>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2"/>
          <a:stretch>
            <a:fillRect/>
          </a:stretch>
        </xdr:blipFill>
        <xdr:spPr>
          <a:xfrm>
            <a:off x="1575000" y="6241577"/>
            <a:ext cx="3708000" cy="2519446"/>
          </a:xfrm>
          <a:prstGeom prst="rect">
            <a:avLst/>
          </a:prstGeom>
          <a:ln>
            <a:solidFill>
              <a:schemeClr val="tx1"/>
            </a:solidFill>
          </a:ln>
        </xdr:spPr>
      </xdr:pic>
    </xdr:grpSp>
    <xdr:clientData/>
  </xdr:twoCellAnchor>
  <xdr:oneCellAnchor>
    <xdr:from>
      <xdr:col>9</xdr:col>
      <xdr:colOff>190500</xdr:colOff>
      <xdr:row>260</xdr:row>
      <xdr:rowOff>107950</xdr:rowOff>
    </xdr:from>
    <xdr:ext cx="646844" cy="311496"/>
    <xdr:sp macro="" textlink="">
      <xdr:nvSpPr>
        <xdr:cNvPr id="6" name="TextBox 5"/>
        <xdr:cNvSpPr txBox="1"/>
      </xdr:nvSpPr>
      <xdr:spPr>
        <a:xfrm>
          <a:off x="8032750" y="53206650"/>
          <a:ext cx="64684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Bldg A</a:t>
          </a:r>
        </a:p>
      </xdr:txBody>
    </xdr:sp>
    <xdr:clientData/>
  </xdr:oneCellAnchor>
  <xdr:twoCellAnchor>
    <xdr:from>
      <xdr:col>0</xdr:col>
      <xdr:colOff>120650</xdr:colOff>
      <xdr:row>258</xdr:row>
      <xdr:rowOff>76200</xdr:rowOff>
    </xdr:from>
    <xdr:to>
      <xdr:col>7</xdr:col>
      <xdr:colOff>678982</xdr:colOff>
      <xdr:row>299</xdr:row>
      <xdr:rowOff>44450</xdr:rowOff>
    </xdr:to>
    <xdr:grpSp>
      <xdr:nvGrpSpPr>
        <xdr:cNvPr id="29" name="Group 28"/>
        <xdr:cNvGrpSpPr/>
      </xdr:nvGrpSpPr>
      <xdr:grpSpPr>
        <a:xfrm>
          <a:off x="120650" y="52781200"/>
          <a:ext cx="6413032" cy="8032750"/>
          <a:chOff x="120650" y="52781200"/>
          <a:chExt cx="6413032" cy="8032750"/>
        </a:xfrm>
      </xdr:grpSpPr>
      <xdr:pic>
        <xdr:nvPicPr>
          <xdr:cNvPr id="52" name="Picture 51"/>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135904" y="59228234"/>
            <a:ext cx="2397778" cy="1585716"/>
          </a:xfrm>
          <a:prstGeom prst="rect">
            <a:avLst/>
          </a:prstGeom>
          <a:ln>
            <a:solidFill>
              <a:schemeClr val="tx1"/>
            </a:solidFill>
          </a:ln>
        </xdr:spPr>
      </xdr:pic>
      <xdr:pic>
        <xdr:nvPicPr>
          <xdr:cNvPr id="77" name="Picture 76"/>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364543" y="57324756"/>
            <a:ext cx="2877333" cy="1806444"/>
          </a:xfrm>
          <a:prstGeom prst="rect">
            <a:avLst/>
          </a:prstGeom>
          <a:ln>
            <a:solidFill>
              <a:schemeClr val="tx1"/>
            </a:solidFill>
          </a:ln>
        </xdr:spPr>
      </xdr:pic>
      <xdr:pic>
        <xdr:nvPicPr>
          <xdr:cNvPr id="78" name="Picture 77"/>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61803" y="52781200"/>
            <a:ext cx="2877333" cy="2160000"/>
          </a:xfrm>
          <a:prstGeom prst="rect">
            <a:avLst/>
          </a:prstGeom>
          <a:ln>
            <a:solidFill>
              <a:schemeClr val="tx1"/>
            </a:solidFill>
          </a:ln>
        </xdr:spPr>
      </xdr:pic>
      <xdr:pic>
        <xdr:nvPicPr>
          <xdr:cNvPr id="79" name="Picture 78"/>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3364543" y="52781200"/>
            <a:ext cx="2877333" cy="2160000"/>
          </a:xfrm>
          <a:prstGeom prst="rect">
            <a:avLst/>
          </a:prstGeom>
          <a:ln>
            <a:solidFill>
              <a:schemeClr val="tx1"/>
            </a:solidFill>
          </a:ln>
        </xdr:spPr>
      </xdr:pic>
      <xdr:pic>
        <xdr:nvPicPr>
          <xdr:cNvPr id="80" name="Picture 79"/>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361803" y="55052978"/>
            <a:ext cx="2877333" cy="2160000"/>
          </a:xfrm>
          <a:prstGeom prst="rect">
            <a:avLst/>
          </a:prstGeom>
          <a:ln>
            <a:solidFill>
              <a:schemeClr val="tx1"/>
            </a:solidFill>
          </a:ln>
        </xdr:spPr>
      </xdr:pic>
      <xdr:pic>
        <xdr:nvPicPr>
          <xdr:cNvPr id="81" name="Picture 80"/>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2652869" y="59228234"/>
            <a:ext cx="1348594" cy="1585716"/>
          </a:xfrm>
          <a:prstGeom prst="rect">
            <a:avLst/>
          </a:prstGeom>
          <a:ln>
            <a:solidFill>
              <a:schemeClr val="tx1"/>
            </a:solidFill>
          </a:ln>
        </xdr:spPr>
      </xdr:pic>
      <xdr:pic>
        <xdr:nvPicPr>
          <xdr:cNvPr id="82" name="Picture 81"/>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364543" y="55052978"/>
            <a:ext cx="2877333" cy="2160000"/>
          </a:xfrm>
          <a:prstGeom prst="rect">
            <a:avLst/>
          </a:prstGeom>
          <a:ln>
            <a:solidFill>
              <a:schemeClr val="tx1"/>
            </a:solidFill>
          </a:ln>
        </xdr:spPr>
      </xdr:pic>
      <xdr:pic>
        <xdr:nvPicPr>
          <xdr:cNvPr id="83" name="Picture 82"/>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361802" y="57324756"/>
            <a:ext cx="2877333" cy="1806444"/>
          </a:xfrm>
          <a:prstGeom prst="rect">
            <a:avLst/>
          </a:prstGeom>
          <a:ln>
            <a:solidFill>
              <a:schemeClr val="tx1"/>
            </a:solidFill>
          </a:ln>
        </xdr:spPr>
      </xdr:pic>
      <xdr:pic>
        <xdr:nvPicPr>
          <xdr:cNvPr id="84" name="Picture 83"/>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120650" y="59228234"/>
            <a:ext cx="2397778" cy="1585716"/>
          </a:xfrm>
          <a:prstGeom prst="rect">
            <a:avLst/>
          </a:prstGeom>
          <a:ln>
            <a:solidFill>
              <a:schemeClr val="tx1"/>
            </a:solidFill>
          </a:ln>
        </xdr:spPr>
      </xdr:pic>
      <xdr:sp macro="" textlink="">
        <xdr:nvSpPr>
          <xdr:cNvPr id="85" name="TextBox 84"/>
          <xdr:cNvSpPr txBox="1"/>
        </xdr:nvSpPr>
        <xdr:spPr>
          <a:xfrm>
            <a:off x="1098403" y="53803550"/>
            <a:ext cx="64684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Bldg A</a:t>
            </a:r>
          </a:p>
        </xdr:txBody>
      </xdr:sp>
      <xdr:sp macro="" textlink="">
        <xdr:nvSpPr>
          <xdr:cNvPr id="86" name="TextBox 85"/>
          <xdr:cNvSpPr txBox="1"/>
        </xdr:nvSpPr>
        <xdr:spPr>
          <a:xfrm>
            <a:off x="4202743" y="54267100"/>
            <a:ext cx="64684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Bldg A</a:t>
            </a:r>
          </a:p>
        </xdr:txBody>
      </xdr:sp>
      <xdr:sp macro="" textlink="">
        <xdr:nvSpPr>
          <xdr:cNvPr id="87" name="TextBox 86"/>
          <xdr:cNvSpPr txBox="1"/>
        </xdr:nvSpPr>
        <xdr:spPr>
          <a:xfrm>
            <a:off x="1581003" y="56462678"/>
            <a:ext cx="64684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Bldg B</a:t>
            </a:r>
          </a:p>
        </xdr:txBody>
      </xdr:sp>
      <xdr:sp macro="" textlink="">
        <xdr:nvSpPr>
          <xdr:cNvPr id="88" name="TextBox 87"/>
          <xdr:cNvSpPr txBox="1"/>
        </xdr:nvSpPr>
        <xdr:spPr>
          <a:xfrm>
            <a:off x="4812343" y="56151528"/>
            <a:ext cx="64684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Bldg C</a:t>
            </a:r>
          </a:p>
        </xdr:txBody>
      </xdr:sp>
      <xdr:sp macro="" textlink="">
        <xdr:nvSpPr>
          <xdr:cNvPr id="89" name="TextBox 88"/>
          <xdr:cNvSpPr txBox="1"/>
        </xdr:nvSpPr>
        <xdr:spPr>
          <a:xfrm>
            <a:off x="1517502" y="58442356"/>
            <a:ext cx="653449" cy="311496"/>
          </a:xfrm>
          <a:prstGeom prst="rect">
            <a:avLst/>
          </a:prstGeom>
          <a:solidFill>
            <a:schemeClr val="accent4">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Bldg D</a:t>
            </a:r>
          </a:p>
        </xdr:txBody>
      </xdr:sp>
      <xdr:sp macro="" textlink="">
        <xdr:nvSpPr>
          <xdr:cNvPr id="90" name="TextBox 89"/>
          <xdr:cNvSpPr txBox="1"/>
        </xdr:nvSpPr>
        <xdr:spPr>
          <a:xfrm>
            <a:off x="4285293" y="58315356"/>
            <a:ext cx="65344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Bldg D</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99acres.com/superb-maximus-residency-panvel-navi-mumbai-npxid-r429892" TargetMode="External"/><Relationship Id="rId7" Type="http://schemas.openxmlformats.org/officeDocument/2006/relationships/vmlDrawing" Target="../drawings/vmlDrawing2.vml"/><Relationship Id="rId2" Type="http://schemas.openxmlformats.org/officeDocument/2006/relationships/hyperlink" Target="https://liveinfinite.in/" TargetMode="External"/><Relationship Id="rId1" Type="http://schemas.openxmlformats.org/officeDocument/2006/relationships/hyperlink" Target="https://maps.app.goo.gl/vvczctDPrbYTJjdS6"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44"/>
  <sheetViews>
    <sheetView tabSelected="1" view="pageBreakPreview" topLeftCell="A242" zoomScaleNormal="100" zoomScaleSheetLayoutView="100" zoomScalePageLayoutView="85" workbookViewId="0">
      <selection activeCell="I247" sqref="I247"/>
    </sheetView>
  </sheetViews>
  <sheetFormatPr defaultColWidth="9.1796875" defaultRowHeight="15.5" x14ac:dyDescent="0.35"/>
  <cols>
    <col min="1" max="1" width="11.453125" style="39" customWidth="1"/>
    <col min="2" max="2" width="12" style="39" customWidth="1"/>
    <col min="3" max="3" width="12.7265625" style="39" customWidth="1"/>
    <col min="4" max="4" width="13.7265625" style="39" customWidth="1"/>
    <col min="5" max="5" width="11.7265625" style="39" customWidth="1"/>
    <col min="6" max="6" width="11.1796875" style="39" customWidth="1"/>
    <col min="7" max="8" width="11" style="39" customWidth="1"/>
    <col min="9" max="9" width="17.453125" style="20" customWidth="1"/>
    <col min="10" max="10" width="11.453125" style="20" customWidth="1"/>
    <col min="11" max="11" width="11.26953125" style="20" bestFit="1" customWidth="1"/>
    <col min="12" max="12" width="13.81640625" style="20" bestFit="1" customWidth="1"/>
    <col min="13" max="13" width="11.81640625" style="20" customWidth="1"/>
    <col min="14" max="14" width="12.54296875" style="20" customWidth="1"/>
    <col min="15" max="15" width="12.1796875" style="20" customWidth="1"/>
    <col min="16" max="16" width="11.7265625" style="20" customWidth="1"/>
    <col min="17" max="18" width="9.1796875" style="20"/>
    <col min="19" max="19" width="10.81640625" style="20" bestFit="1" customWidth="1"/>
    <col min="20" max="20" width="10.7265625" style="20" customWidth="1"/>
    <col min="21" max="247" width="9.1796875" style="20"/>
    <col min="248" max="248" width="8.7265625" style="20" customWidth="1"/>
    <col min="249" max="249" width="9.81640625" style="20" customWidth="1"/>
    <col min="250" max="250" width="14.453125" style="20" customWidth="1"/>
    <col min="251" max="251" width="7.26953125" style="20" customWidth="1"/>
    <col min="252" max="252" width="5.54296875" style="20" customWidth="1"/>
    <col min="253" max="253" width="9" style="20" customWidth="1"/>
    <col min="254" max="255" width="9.81640625" style="20" customWidth="1"/>
    <col min="256" max="256" width="11.1796875" style="20" customWidth="1"/>
    <col min="257" max="257" width="2.81640625" style="20" customWidth="1"/>
    <col min="258" max="258" width="3.54296875" style="20" customWidth="1"/>
    <col min="259" max="503" width="9.1796875" style="20"/>
    <col min="504" max="504" width="8.7265625" style="20" customWidth="1"/>
    <col min="505" max="505" width="9.81640625" style="20" customWidth="1"/>
    <col min="506" max="506" width="14.453125" style="20" customWidth="1"/>
    <col min="507" max="507" width="7.26953125" style="20" customWidth="1"/>
    <col min="508" max="508" width="5.54296875" style="20" customWidth="1"/>
    <col min="509" max="509" width="9" style="20" customWidth="1"/>
    <col min="510" max="511" width="9.81640625" style="20" customWidth="1"/>
    <col min="512" max="512" width="11.1796875" style="20" customWidth="1"/>
    <col min="513" max="513" width="2.81640625" style="20" customWidth="1"/>
    <col min="514" max="514" width="3.54296875" style="20" customWidth="1"/>
    <col min="515" max="759" width="9.1796875" style="20"/>
    <col min="760" max="760" width="8.7265625" style="20" customWidth="1"/>
    <col min="761" max="761" width="9.81640625" style="20" customWidth="1"/>
    <col min="762" max="762" width="14.453125" style="20" customWidth="1"/>
    <col min="763" max="763" width="7.26953125" style="20" customWidth="1"/>
    <col min="764" max="764" width="5.54296875" style="20" customWidth="1"/>
    <col min="765" max="765" width="9" style="20" customWidth="1"/>
    <col min="766" max="767" width="9.81640625" style="20" customWidth="1"/>
    <col min="768" max="768" width="11.1796875" style="20" customWidth="1"/>
    <col min="769" max="769" width="2.81640625" style="20" customWidth="1"/>
    <col min="770" max="770" width="3.54296875" style="20" customWidth="1"/>
    <col min="771" max="1015" width="9.1796875" style="20"/>
    <col min="1016" max="1016" width="8.7265625" style="20" customWidth="1"/>
    <col min="1017" max="1017" width="9.81640625" style="20" customWidth="1"/>
    <col min="1018" max="1018" width="14.453125" style="20" customWidth="1"/>
    <col min="1019" max="1019" width="7.26953125" style="20" customWidth="1"/>
    <col min="1020" max="1020" width="5.54296875" style="20" customWidth="1"/>
    <col min="1021" max="1021" width="9" style="20" customWidth="1"/>
    <col min="1022" max="1023" width="9.81640625" style="20" customWidth="1"/>
    <col min="1024" max="1024" width="11.1796875" style="20" customWidth="1"/>
    <col min="1025" max="1025" width="2.81640625" style="20" customWidth="1"/>
    <col min="1026" max="1026" width="3.54296875" style="20" customWidth="1"/>
    <col min="1027" max="1271" width="9.1796875" style="20"/>
    <col min="1272" max="1272" width="8.7265625" style="20" customWidth="1"/>
    <col min="1273" max="1273" width="9.81640625" style="20" customWidth="1"/>
    <col min="1274" max="1274" width="14.453125" style="20" customWidth="1"/>
    <col min="1275" max="1275" width="7.26953125" style="20" customWidth="1"/>
    <col min="1276" max="1276" width="5.54296875" style="20" customWidth="1"/>
    <col min="1277" max="1277" width="9" style="20" customWidth="1"/>
    <col min="1278" max="1279" width="9.81640625" style="20" customWidth="1"/>
    <col min="1280" max="1280" width="11.1796875" style="20" customWidth="1"/>
    <col min="1281" max="1281" width="2.81640625" style="20" customWidth="1"/>
    <col min="1282" max="1282" width="3.54296875" style="20" customWidth="1"/>
    <col min="1283" max="1527" width="9.1796875" style="20"/>
    <col min="1528" max="1528" width="8.7265625" style="20" customWidth="1"/>
    <col min="1529" max="1529" width="9.81640625" style="20" customWidth="1"/>
    <col min="1530" max="1530" width="14.453125" style="20" customWidth="1"/>
    <col min="1531" max="1531" width="7.26953125" style="20" customWidth="1"/>
    <col min="1532" max="1532" width="5.54296875" style="20" customWidth="1"/>
    <col min="1533" max="1533" width="9" style="20" customWidth="1"/>
    <col min="1534" max="1535" width="9.81640625" style="20" customWidth="1"/>
    <col min="1536" max="1536" width="11.1796875" style="20" customWidth="1"/>
    <col min="1537" max="1537" width="2.81640625" style="20" customWidth="1"/>
    <col min="1538" max="1538" width="3.54296875" style="20" customWidth="1"/>
    <col min="1539" max="1783" width="9.1796875" style="20"/>
    <col min="1784" max="1784" width="8.7265625" style="20" customWidth="1"/>
    <col min="1785" max="1785" width="9.81640625" style="20" customWidth="1"/>
    <col min="1786" max="1786" width="14.453125" style="20" customWidth="1"/>
    <col min="1787" max="1787" width="7.26953125" style="20" customWidth="1"/>
    <col min="1788" max="1788" width="5.54296875" style="20" customWidth="1"/>
    <col min="1789" max="1789" width="9" style="20" customWidth="1"/>
    <col min="1790" max="1791" width="9.81640625" style="20" customWidth="1"/>
    <col min="1792" max="1792" width="11.1796875" style="20" customWidth="1"/>
    <col min="1793" max="1793" width="2.81640625" style="20" customWidth="1"/>
    <col min="1794" max="1794" width="3.54296875" style="20" customWidth="1"/>
    <col min="1795" max="2039" width="9.1796875" style="20"/>
    <col min="2040" max="2040" width="8.7265625" style="20" customWidth="1"/>
    <col min="2041" max="2041" width="9.81640625" style="20" customWidth="1"/>
    <col min="2042" max="2042" width="14.453125" style="20" customWidth="1"/>
    <col min="2043" max="2043" width="7.26953125" style="20" customWidth="1"/>
    <col min="2044" max="2044" width="5.54296875" style="20" customWidth="1"/>
    <col min="2045" max="2045" width="9" style="20" customWidth="1"/>
    <col min="2046" max="2047" width="9.81640625" style="20" customWidth="1"/>
    <col min="2048" max="2048" width="11.1796875" style="20" customWidth="1"/>
    <col min="2049" max="2049" width="2.81640625" style="20" customWidth="1"/>
    <col min="2050" max="2050" width="3.54296875" style="20" customWidth="1"/>
    <col min="2051" max="2295" width="9.1796875" style="20"/>
    <col min="2296" max="2296" width="8.7265625" style="20" customWidth="1"/>
    <col min="2297" max="2297" width="9.81640625" style="20" customWidth="1"/>
    <col min="2298" max="2298" width="14.453125" style="20" customWidth="1"/>
    <col min="2299" max="2299" width="7.26953125" style="20" customWidth="1"/>
    <col min="2300" max="2300" width="5.54296875" style="20" customWidth="1"/>
    <col min="2301" max="2301" width="9" style="20" customWidth="1"/>
    <col min="2302" max="2303" width="9.81640625" style="20" customWidth="1"/>
    <col min="2304" max="2304" width="11.1796875" style="20" customWidth="1"/>
    <col min="2305" max="2305" width="2.81640625" style="20" customWidth="1"/>
    <col min="2306" max="2306" width="3.54296875" style="20" customWidth="1"/>
    <col min="2307" max="2551" width="9.1796875" style="20"/>
    <col min="2552" max="2552" width="8.7265625" style="20" customWidth="1"/>
    <col min="2553" max="2553" width="9.81640625" style="20" customWidth="1"/>
    <col min="2554" max="2554" width="14.453125" style="20" customWidth="1"/>
    <col min="2555" max="2555" width="7.26953125" style="20" customWidth="1"/>
    <col min="2556" max="2556" width="5.54296875" style="20" customWidth="1"/>
    <col min="2557" max="2557" width="9" style="20" customWidth="1"/>
    <col min="2558" max="2559" width="9.81640625" style="20" customWidth="1"/>
    <col min="2560" max="2560" width="11.1796875" style="20" customWidth="1"/>
    <col min="2561" max="2561" width="2.81640625" style="20" customWidth="1"/>
    <col min="2562" max="2562" width="3.54296875" style="20" customWidth="1"/>
    <col min="2563" max="2807" width="9.1796875" style="20"/>
    <col min="2808" max="2808" width="8.7265625" style="20" customWidth="1"/>
    <col min="2809" max="2809" width="9.81640625" style="20" customWidth="1"/>
    <col min="2810" max="2810" width="14.453125" style="20" customWidth="1"/>
    <col min="2811" max="2811" width="7.26953125" style="20" customWidth="1"/>
    <col min="2812" max="2812" width="5.54296875" style="20" customWidth="1"/>
    <col min="2813" max="2813" width="9" style="20" customWidth="1"/>
    <col min="2814" max="2815" width="9.81640625" style="20" customWidth="1"/>
    <col min="2816" max="2816" width="11.1796875" style="20" customWidth="1"/>
    <col min="2817" max="2817" width="2.81640625" style="20" customWidth="1"/>
    <col min="2818" max="2818" width="3.54296875" style="20" customWidth="1"/>
    <col min="2819" max="3063" width="9.1796875" style="20"/>
    <col min="3064" max="3064" width="8.7265625" style="20" customWidth="1"/>
    <col min="3065" max="3065" width="9.81640625" style="20" customWidth="1"/>
    <col min="3066" max="3066" width="14.453125" style="20" customWidth="1"/>
    <col min="3067" max="3067" width="7.26953125" style="20" customWidth="1"/>
    <col min="3068" max="3068" width="5.54296875" style="20" customWidth="1"/>
    <col min="3069" max="3069" width="9" style="20" customWidth="1"/>
    <col min="3070" max="3071" width="9.81640625" style="20" customWidth="1"/>
    <col min="3072" max="3072" width="11.1796875" style="20" customWidth="1"/>
    <col min="3073" max="3073" width="2.81640625" style="20" customWidth="1"/>
    <col min="3074" max="3074" width="3.54296875" style="20" customWidth="1"/>
    <col min="3075" max="3319" width="9.1796875" style="20"/>
    <col min="3320" max="3320" width="8.7265625" style="20" customWidth="1"/>
    <col min="3321" max="3321" width="9.81640625" style="20" customWidth="1"/>
    <col min="3322" max="3322" width="14.453125" style="20" customWidth="1"/>
    <col min="3323" max="3323" width="7.26953125" style="20" customWidth="1"/>
    <col min="3324" max="3324" width="5.54296875" style="20" customWidth="1"/>
    <col min="3325" max="3325" width="9" style="20" customWidth="1"/>
    <col min="3326" max="3327" width="9.81640625" style="20" customWidth="1"/>
    <col min="3328" max="3328" width="11.1796875" style="20" customWidth="1"/>
    <col min="3329" max="3329" width="2.81640625" style="20" customWidth="1"/>
    <col min="3330" max="3330" width="3.54296875" style="20" customWidth="1"/>
    <col min="3331" max="3575" width="9.1796875" style="20"/>
    <col min="3576" max="3576" width="8.7265625" style="20" customWidth="1"/>
    <col min="3577" max="3577" width="9.81640625" style="20" customWidth="1"/>
    <col min="3578" max="3578" width="14.453125" style="20" customWidth="1"/>
    <col min="3579" max="3579" width="7.26953125" style="20" customWidth="1"/>
    <col min="3580" max="3580" width="5.54296875" style="20" customWidth="1"/>
    <col min="3581" max="3581" width="9" style="20" customWidth="1"/>
    <col min="3582" max="3583" width="9.81640625" style="20" customWidth="1"/>
    <col min="3584" max="3584" width="11.1796875" style="20" customWidth="1"/>
    <col min="3585" max="3585" width="2.81640625" style="20" customWidth="1"/>
    <col min="3586" max="3586" width="3.54296875" style="20" customWidth="1"/>
    <col min="3587" max="3831" width="9.1796875" style="20"/>
    <col min="3832" max="3832" width="8.7265625" style="20" customWidth="1"/>
    <col min="3833" max="3833" width="9.81640625" style="20" customWidth="1"/>
    <col min="3834" max="3834" width="14.453125" style="20" customWidth="1"/>
    <col min="3835" max="3835" width="7.26953125" style="20" customWidth="1"/>
    <col min="3836" max="3836" width="5.54296875" style="20" customWidth="1"/>
    <col min="3837" max="3837" width="9" style="20" customWidth="1"/>
    <col min="3838" max="3839" width="9.81640625" style="20" customWidth="1"/>
    <col min="3840" max="3840" width="11.1796875" style="20" customWidth="1"/>
    <col min="3841" max="3841" width="2.81640625" style="20" customWidth="1"/>
    <col min="3842" max="3842" width="3.54296875" style="20" customWidth="1"/>
    <col min="3843" max="4087" width="9.1796875" style="20"/>
    <col min="4088" max="4088" width="8.7265625" style="20" customWidth="1"/>
    <col min="4089" max="4089" width="9.81640625" style="20" customWidth="1"/>
    <col min="4090" max="4090" width="14.453125" style="20" customWidth="1"/>
    <col min="4091" max="4091" width="7.26953125" style="20" customWidth="1"/>
    <col min="4092" max="4092" width="5.54296875" style="20" customWidth="1"/>
    <col min="4093" max="4093" width="9" style="20" customWidth="1"/>
    <col min="4094" max="4095" width="9.81640625" style="20" customWidth="1"/>
    <col min="4096" max="4096" width="11.1796875" style="20" customWidth="1"/>
    <col min="4097" max="4097" width="2.81640625" style="20" customWidth="1"/>
    <col min="4098" max="4098" width="3.54296875" style="20" customWidth="1"/>
    <col min="4099" max="4343" width="9.1796875" style="20"/>
    <col min="4344" max="4344" width="8.7265625" style="20" customWidth="1"/>
    <col min="4345" max="4345" width="9.81640625" style="20" customWidth="1"/>
    <col min="4346" max="4346" width="14.453125" style="20" customWidth="1"/>
    <col min="4347" max="4347" width="7.26953125" style="20" customWidth="1"/>
    <col min="4348" max="4348" width="5.54296875" style="20" customWidth="1"/>
    <col min="4349" max="4349" width="9" style="20" customWidth="1"/>
    <col min="4350" max="4351" width="9.81640625" style="20" customWidth="1"/>
    <col min="4352" max="4352" width="11.1796875" style="20" customWidth="1"/>
    <col min="4353" max="4353" width="2.81640625" style="20" customWidth="1"/>
    <col min="4354" max="4354" width="3.54296875" style="20" customWidth="1"/>
    <col min="4355" max="4599" width="9.1796875" style="20"/>
    <col min="4600" max="4600" width="8.7265625" style="20" customWidth="1"/>
    <col min="4601" max="4601" width="9.81640625" style="20" customWidth="1"/>
    <col min="4602" max="4602" width="14.453125" style="20" customWidth="1"/>
    <col min="4603" max="4603" width="7.26953125" style="20" customWidth="1"/>
    <col min="4604" max="4604" width="5.54296875" style="20" customWidth="1"/>
    <col min="4605" max="4605" width="9" style="20" customWidth="1"/>
    <col min="4606" max="4607" width="9.81640625" style="20" customWidth="1"/>
    <col min="4608" max="4608" width="11.1796875" style="20" customWidth="1"/>
    <col min="4609" max="4609" width="2.81640625" style="20" customWidth="1"/>
    <col min="4610" max="4610" width="3.54296875" style="20" customWidth="1"/>
    <col min="4611" max="4855" width="9.1796875" style="20"/>
    <col min="4856" max="4856" width="8.7265625" style="20" customWidth="1"/>
    <col min="4857" max="4857" width="9.81640625" style="20" customWidth="1"/>
    <col min="4858" max="4858" width="14.453125" style="20" customWidth="1"/>
    <col min="4859" max="4859" width="7.26953125" style="20" customWidth="1"/>
    <col min="4860" max="4860" width="5.54296875" style="20" customWidth="1"/>
    <col min="4861" max="4861" width="9" style="20" customWidth="1"/>
    <col min="4862" max="4863" width="9.81640625" style="20" customWidth="1"/>
    <col min="4864" max="4864" width="11.1796875" style="20" customWidth="1"/>
    <col min="4865" max="4865" width="2.81640625" style="20" customWidth="1"/>
    <col min="4866" max="4866" width="3.54296875" style="20" customWidth="1"/>
    <col min="4867" max="5111" width="9.1796875" style="20"/>
    <col min="5112" max="5112" width="8.7265625" style="20" customWidth="1"/>
    <col min="5113" max="5113" width="9.81640625" style="20" customWidth="1"/>
    <col min="5114" max="5114" width="14.453125" style="20" customWidth="1"/>
    <col min="5115" max="5115" width="7.26953125" style="20" customWidth="1"/>
    <col min="5116" max="5116" width="5.54296875" style="20" customWidth="1"/>
    <col min="5117" max="5117" width="9" style="20" customWidth="1"/>
    <col min="5118" max="5119" width="9.81640625" style="20" customWidth="1"/>
    <col min="5120" max="5120" width="11.1796875" style="20" customWidth="1"/>
    <col min="5121" max="5121" width="2.81640625" style="20" customWidth="1"/>
    <col min="5122" max="5122" width="3.54296875" style="20" customWidth="1"/>
    <col min="5123" max="5367" width="9.1796875" style="20"/>
    <col min="5368" max="5368" width="8.7265625" style="20" customWidth="1"/>
    <col min="5369" max="5369" width="9.81640625" style="20" customWidth="1"/>
    <col min="5370" max="5370" width="14.453125" style="20" customWidth="1"/>
    <col min="5371" max="5371" width="7.26953125" style="20" customWidth="1"/>
    <col min="5372" max="5372" width="5.54296875" style="20" customWidth="1"/>
    <col min="5373" max="5373" width="9" style="20" customWidth="1"/>
    <col min="5374" max="5375" width="9.81640625" style="20" customWidth="1"/>
    <col min="5376" max="5376" width="11.1796875" style="20" customWidth="1"/>
    <col min="5377" max="5377" width="2.81640625" style="20" customWidth="1"/>
    <col min="5378" max="5378" width="3.54296875" style="20" customWidth="1"/>
    <col min="5379" max="5623" width="9.1796875" style="20"/>
    <col min="5624" max="5624" width="8.7265625" style="20" customWidth="1"/>
    <col min="5625" max="5625" width="9.81640625" style="20" customWidth="1"/>
    <col min="5626" max="5626" width="14.453125" style="20" customWidth="1"/>
    <col min="5627" max="5627" width="7.26953125" style="20" customWidth="1"/>
    <col min="5628" max="5628" width="5.54296875" style="20" customWidth="1"/>
    <col min="5629" max="5629" width="9" style="20" customWidth="1"/>
    <col min="5630" max="5631" width="9.81640625" style="20" customWidth="1"/>
    <col min="5632" max="5632" width="11.1796875" style="20" customWidth="1"/>
    <col min="5633" max="5633" width="2.81640625" style="20" customWidth="1"/>
    <col min="5634" max="5634" width="3.54296875" style="20" customWidth="1"/>
    <col min="5635" max="5879" width="9.1796875" style="20"/>
    <col min="5880" max="5880" width="8.7265625" style="20" customWidth="1"/>
    <col min="5881" max="5881" width="9.81640625" style="20" customWidth="1"/>
    <col min="5882" max="5882" width="14.453125" style="20" customWidth="1"/>
    <col min="5883" max="5883" width="7.26953125" style="20" customWidth="1"/>
    <col min="5884" max="5884" width="5.54296875" style="20" customWidth="1"/>
    <col min="5885" max="5885" width="9" style="20" customWidth="1"/>
    <col min="5886" max="5887" width="9.81640625" style="20" customWidth="1"/>
    <col min="5888" max="5888" width="11.1796875" style="20" customWidth="1"/>
    <col min="5889" max="5889" width="2.81640625" style="20" customWidth="1"/>
    <col min="5890" max="5890" width="3.54296875" style="20" customWidth="1"/>
    <col min="5891" max="6135" width="9.1796875" style="20"/>
    <col min="6136" max="6136" width="8.7265625" style="20" customWidth="1"/>
    <col min="6137" max="6137" width="9.81640625" style="20" customWidth="1"/>
    <col min="6138" max="6138" width="14.453125" style="20" customWidth="1"/>
    <col min="6139" max="6139" width="7.26953125" style="20" customWidth="1"/>
    <col min="6140" max="6140" width="5.54296875" style="20" customWidth="1"/>
    <col min="6141" max="6141" width="9" style="20" customWidth="1"/>
    <col min="6142" max="6143" width="9.81640625" style="20" customWidth="1"/>
    <col min="6144" max="6144" width="11.1796875" style="20" customWidth="1"/>
    <col min="6145" max="6145" width="2.81640625" style="20" customWidth="1"/>
    <col min="6146" max="6146" width="3.54296875" style="20" customWidth="1"/>
    <col min="6147" max="6391" width="9.1796875" style="20"/>
    <col min="6392" max="6392" width="8.7265625" style="20" customWidth="1"/>
    <col min="6393" max="6393" width="9.81640625" style="20" customWidth="1"/>
    <col min="6394" max="6394" width="14.453125" style="20" customWidth="1"/>
    <col min="6395" max="6395" width="7.26953125" style="20" customWidth="1"/>
    <col min="6396" max="6396" width="5.54296875" style="20" customWidth="1"/>
    <col min="6397" max="6397" width="9" style="20" customWidth="1"/>
    <col min="6398" max="6399" width="9.81640625" style="20" customWidth="1"/>
    <col min="6400" max="6400" width="11.1796875" style="20" customWidth="1"/>
    <col min="6401" max="6401" width="2.81640625" style="20" customWidth="1"/>
    <col min="6402" max="6402" width="3.54296875" style="20" customWidth="1"/>
    <col min="6403" max="6647" width="9.1796875" style="20"/>
    <col min="6648" max="6648" width="8.7265625" style="20" customWidth="1"/>
    <col min="6649" max="6649" width="9.81640625" style="20" customWidth="1"/>
    <col min="6650" max="6650" width="14.453125" style="20" customWidth="1"/>
    <col min="6651" max="6651" width="7.26953125" style="20" customWidth="1"/>
    <col min="6652" max="6652" width="5.54296875" style="20" customWidth="1"/>
    <col min="6653" max="6653" width="9" style="20" customWidth="1"/>
    <col min="6654" max="6655" width="9.81640625" style="20" customWidth="1"/>
    <col min="6656" max="6656" width="11.1796875" style="20" customWidth="1"/>
    <col min="6657" max="6657" width="2.81640625" style="20" customWidth="1"/>
    <col min="6658" max="6658" width="3.54296875" style="20" customWidth="1"/>
    <col min="6659" max="6903" width="9.1796875" style="20"/>
    <col min="6904" max="6904" width="8.7265625" style="20" customWidth="1"/>
    <col min="6905" max="6905" width="9.81640625" style="20" customWidth="1"/>
    <col min="6906" max="6906" width="14.453125" style="20" customWidth="1"/>
    <col min="6907" max="6907" width="7.26953125" style="20" customWidth="1"/>
    <col min="6908" max="6908" width="5.54296875" style="20" customWidth="1"/>
    <col min="6909" max="6909" width="9" style="20" customWidth="1"/>
    <col min="6910" max="6911" width="9.81640625" style="20" customWidth="1"/>
    <col min="6912" max="6912" width="11.1796875" style="20" customWidth="1"/>
    <col min="6913" max="6913" width="2.81640625" style="20" customWidth="1"/>
    <col min="6914" max="6914" width="3.54296875" style="20" customWidth="1"/>
    <col min="6915" max="7159" width="9.1796875" style="20"/>
    <col min="7160" max="7160" width="8.7265625" style="20" customWidth="1"/>
    <col min="7161" max="7161" width="9.81640625" style="20" customWidth="1"/>
    <col min="7162" max="7162" width="14.453125" style="20" customWidth="1"/>
    <col min="7163" max="7163" width="7.26953125" style="20" customWidth="1"/>
    <col min="7164" max="7164" width="5.54296875" style="20" customWidth="1"/>
    <col min="7165" max="7165" width="9" style="20" customWidth="1"/>
    <col min="7166" max="7167" width="9.81640625" style="20" customWidth="1"/>
    <col min="7168" max="7168" width="11.1796875" style="20" customWidth="1"/>
    <col min="7169" max="7169" width="2.81640625" style="20" customWidth="1"/>
    <col min="7170" max="7170" width="3.54296875" style="20" customWidth="1"/>
    <col min="7171" max="7415" width="9.1796875" style="20"/>
    <col min="7416" max="7416" width="8.7265625" style="20" customWidth="1"/>
    <col min="7417" max="7417" width="9.81640625" style="20" customWidth="1"/>
    <col min="7418" max="7418" width="14.453125" style="20" customWidth="1"/>
    <col min="7419" max="7419" width="7.26953125" style="20" customWidth="1"/>
    <col min="7420" max="7420" width="5.54296875" style="20" customWidth="1"/>
    <col min="7421" max="7421" width="9" style="20" customWidth="1"/>
    <col min="7422" max="7423" width="9.81640625" style="20" customWidth="1"/>
    <col min="7424" max="7424" width="11.1796875" style="20" customWidth="1"/>
    <col min="7425" max="7425" width="2.81640625" style="20" customWidth="1"/>
    <col min="7426" max="7426" width="3.54296875" style="20" customWidth="1"/>
    <col min="7427" max="7671" width="9.1796875" style="20"/>
    <col min="7672" max="7672" width="8.7265625" style="20" customWidth="1"/>
    <col min="7673" max="7673" width="9.81640625" style="20" customWidth="1"/>
    <col min="7674" max="7674" width="14.453125" style="20" customWidth="1"/>
    <col min="7675" max="7675" width="7.26953125" style="20" customWidth="1"/>
    <col min="7676" max="7676" width="5.54296875" style="20" customWidth="1"/>
    <col min="7677" max="7677" width="9" style="20" customWidth="1"/>
    <col min="7678" max="7679" width="9.81640625" style="20" customWidth="1"/>
    <col min="7680" max="7680" width="11.1796875" style="20" customWidth="1"/>
    <col min="7681" max="7681" width="2.81640625" style="20" customWidth="1"/>
    <col min="7682" max="7682" width="3.54296875" style="20" customWidth="1"/>
    <col min="7683" max="7927" width="9.1796875" style="20"/>
    <col min="7928" max="7928" width="8.7265625" style="20" customWidth="1"/>
    <col min="7929" max="7929" width="9.81640625" style="20" customWidth="1"/>
    <col min="7930" max="7930" width="14.453125" style="20" customWidth="1"/>
    <col min="7931" max="7931" width="7.26953125" style="20" customWidth="1"/>
    <col min="7932" max="7932" width="5.54296875" style="20" customWidth="1"/>
    <col min="7933" max="7933" width="9" style="20" customWidth="1"/>
    <col min="7934" max="7935" width="9.81640625" style="20" customWidth="1"/>
    <col min="7936" max="7936" width="11.1796875" style="20" customWidth="1"/>
    <col min="7937" max="7937" width="2.81640625" style="20" customWidth="1"/>
    <col min="7938" max="7938" width="3.54296875" style="20" customWidth="1"/>
    <col min="7939" max="8183" width="9.1796875" style="20"/>
    <col min="8184" max="8184" width="8.7265625" style="20" customWidth="1"/>
    <col min="8185" max="8185" width="9.81640625" style="20" customWidth="1"/>
    <col min="8186" max="8186" width="14.453125" style="20" customWidth="1"/>
    <col min="8187" max="8187" width="7.26953125" style="20" customWidth="1"/>
    <col min="8188" max="8188" width="5.54296875" style="20" customWidth="1"/>
    <col min="8189" max="8189" width="9" style="20" customWidth="1"/>
    <col min="8190" max="8191" width="9.81640625" style="20" customWidth="1"/>
    <col min="8192" max="8192" width="11.1796875" style="20" customWidth="1"/>
    <col min="8193" max="8193" width="2.81640625" style="20" customWidth="1"/>
    <col min="8194" max="8194" width="3.54296875" style="20" customWidth="1"/>
    <col min="8195" max="8439" width="9.1796875" style="20"/>
    <col min="8440" max="8440" width="8.7265625" style="20" customWidth="1"/>
    <col min="8441" max="8441" width="9.81640625" style="20" customWidth="1"/>
    <col min="8442" max="8442" width="14.453125" style="20" customWidth="1"/>
    <col min="8443" max="8443" width="7.26953125" style="20" customWidth="1"/>
    <col min="8444" max="8444" width="5.54296875" style="20" customWidth="1"/>
    <col min="8445" max="8445" width="9" style="20" customWidth="1"/>
    <col min="8446" max="8447" width="9.81640625" style="20" customWidth="1"/>
    <col min="8448" max="8448" width="11.1796875" style="20" customWidth="1"/>
    <col min="8449" max="8449" width="2.81640625" style="20" customWidth="1"/>
    <col min="8450" max="8450" width="3.54296875" style="20" customWidth="1"/>
    <col min="8451" max="8695" width="9.1796875" style="20"/>
    <col min="8696" max="8696" width="8.7265625" style="20" customWidth="1"/>
    <col min="8697" max="8697" width="9.81640625" style="20" customWidth="1"/>
    <col min="8698" max="8698" width="14.453125" style="20" customWidth="1"/>
    <col min="8699" max="8699" width="7.26953125" style="20" customWidth="1"/>
    <col min="8700" max="8700" width="5.54296875" style="20" customWidth="1"/>
    <col min="8701" max="8701" width="9" style="20" customWidth="1"/>
    <col min="8702" max="8703" width="9.81640625" style="20" customWidth="1"/>
    <col min="8704" max="8704" width="11.1796875" style="20" customWidth="1"/>
    <col min="8705" max="8705" width="2.81640625" style="20" customWidth="1"/>
    <col min="8706" max="8706" width="3.54296875" style="20" customWidth="1"/>
    <col min="8707" max="8951" width="9.1796875" style="20"/>
    <col min="8952" max="8952" width="8.7265625" style="20" customWidth="1"/>
    <col min="8953" max="8953" width="9.81640625" style="20" customWidth="1"/>
    <col min="8954" max="8954" width="14.453125" style="20" customWidth="1"/>
    <col min="8955" max="8955" width="7.26953125" style="20" customWidth="1"/>
    <col min="8956" max="8956" width="5.54296875" style="20" customWidth="1"/>
    <col min="8957" max="8957" width="9" style="20" customWidth="1"/>
    <col min="8958" max="8959" width="9.81640625" style="20" customWidth="1"/>
    <col min="8960" max="8960" width="11.1796875" style="20" customWidth="1"/>
    <col min="8961" max="8961" width="2.81640625" style="20" customWidth="1"/>
    <col min="8962" max="8962" width="3.54296875" style="20" customWidth="1"/>
    <col min="8963" max="9207" width="9.1796875" style="20"/>
    <col min="9208" max="9208" width="8.7265625" style="20" customWidth="1"/>
    <col min="9209" max="9209" width="9.81640625" style="20" customWidth="1"/>
    <col min="9210" max="9210" width="14.453125" style="20" customWidth="1"/>
    <col min="9211" max="9211" width="7.26953125" style="20" customWidth="1"/>
    <col min="9212" max="9212" width="5.54296875" style="20" customWidth="1"/>
    <col min="9213" max="9213" width="9" style="20" customWidth="1"/>
    <col min="9214" max="9215" width="9.81640625" style="20" customWidth="1"/>
    <col min="9216" max="9216" width="11.1796875" style="20" customWidth="1"/>
    <col min="9217" max="9217" width="2.81640625" style="20" customWidth="1"/>
    <col min="9218" max="9218" width="3.54296875" style="20" customWidth="1"/>
    <col min="9219" max="9463" width="9.1796875" style="20"/>
    <col min="9464" max="9464" width="8.7265625" style="20" customWidth="1"/>
    <col min="9465" max="9465" width="9.81640625" style="20" customWidth="1"/>
    <col min="9466" max="9466" width="14.453125" style="20" customWidth="1"/>
    <col min="9467" max="9467" width="7.26953125" style="20" customWidth="1"/>
    <col min="9468" max="9468" width="5.54296875" style="20" customWidth="1"/>
    <col min="9469" max="9469" width="9" style="20" customWidth="1"/>
    <col min="9470" max="9471" width="9.81640625" style="20" customWidth="1"/>
    <col min="9472" max="9472" width="11.1796875" style="20" customWidth="1"/>
    <col min="9473" max="9473" width="2.81640625" style="20" customWidth="1"/>
    <col min="9474" max="9474" width="3.54296875" style="20" customWidth="1"/>
    <col min="9475" max="9719" width="9.1796875" style="20"/>
    <col min="9720" max="9720" width="8.7265625" style="20" customWidth="1"/>
    <col min="9721" max="9721" width="9.81640625" style="20" customWidth="1"/>
    <col min="9722" max="9722" width="14.453125" style="20" customWidth="1"/>
    <col min="9723" max="9723" width="7.26953125" style="20" customWidth="1"/>
    <col min="9724" max="9724" width="5.54296875" style="20" customWidth="1"/>
    <col min="9725" max="9725" width="9" style="20" customWidth="1"/>
    <col min="9726" max="9727" width="9.81640625" style="20" customWidth="1"/>
    <col min="9728" max="9728" width="11.1796875" style="20" customWidth="1"/>
    <col min="9729" max="9729" width="2.81640625" style="20" customWidth="1"/>
    <col min="9730" max="9730" width="3.54296875" style="20" customWidth="1"/>
    <col min="9731" max="9975" width="9.1796875" style="20"/>
    <col min="9976" max="9976" width="8.7265625" style="20" customWidth="1"/>
    <col min="9977" max="9977" width="9.81640625" style="20" customWidth="1"/>
    <col min="9978" max="9978" width="14.453125" style="20" customWidth="1"/>
    <col min="9979" max="9979" width="7.26953125" style="20" customWidth="1"/>
    <col min="9980" max="9980" width="5.54296875" style="20" customWidth="1"/>
    <col min="9981" max="9981" width="9" style="20" customWidth="1"/>
    <col min="9982" max="9983" width="9.81640625" style="20" customWidth="1"/>
    <col min="9984" max="9984" width="11.1796875" style="20" customWidth="1"/>
    <col min="9985" max="9985" width="2.81640625" style="20" customWidth="1"/>
    <col min="9986" max="9986" width="3.54296875" style="20" customWidth="1"/>
    <col min="9987" max="10231" width="9.1796875" style="20"/>
    <col min="10232" max="10232" width="8.7265625" style="20" customWidth="1"/>
    <col min="10233" max="10233" width="9.81640625" style="20" customWidth="1"/>
    <col min="10234" max="10234" width="14.453125" style="20" customWidth="1"/>
    <col min="10235" max="10235" width="7.26953125" style="20" customWidth="1"/>
    <col min="10236" max="10236" width="5.54296875" style="20" customWidth="1"/>
    <col min="10237" max="10237" width="9" style="20" customWidth="1"/>
    <col min="10238" max="10239" width="9.81640625" style="20" customWidth="1"/>
    <col min="10240" max="10240" width="11.1796875" style="20" customWidth="1"/>
    <col min="10241" max="10241" width="2.81640625" style="20" customWidth="1"/>
    <col min="10242" max="10242" width="3.54296875" style="20" customWidth="1"/>
    <col min="10243" max="10487" width="9.1796875" style="20"/>
    <col min="10488" max="10488" width="8.7265625" style="20" customWidth="1"/>
    <col min="10489" max="10489" width="9.81640625" style="20" customWidth="1"/>
    <col min="10490" max="10490" width="14.453125" style="20" customWidth="1"/>
    <col min="10491" max="10491" width="7.26953125" style="20" customWidth="1"/>
    <col min="10492" max="10492" width="5.54296875" style="20" customWidth="1"/>
    <col min="10493" max="10493" width="9" style="20" customWidth="1"/>
    <col min="10494" max="10495" width="9.81640625" style="20" customWidth="1"/>
    <col min="10496" max="10496" width="11.1796875" style="20" customWidth="1"/>
    <col min="10497" max="10497" width="2.81640625" style="20" customWidth="1"/>
    <col min="10498" max="10498" width="3.54296875" style="20" customWidth="1"/>
    <col min="10499" max="10743" width="9.1796875" style="20"/>
    <col min="10744" max="10744" width="8.7265625" style="20" customWidth="1"/>
    <col min="10745" max="10745" width="9.81640625" style="20" customWidth="1"/>
    <col min="10746" max="10746" width="14.453125" style="20" customWidth="1"/>
    <col min="10747" max="10747" width="7.26953125" style="20" customWidth="1"/>
    <col min="10748" max="10748" width="5.54296875" style="20" customWidth="1"/>
    <col min="10749" max="10749" width="9" style="20" customWidth="1"/>
    <col min="10750" max="10751" width="9.81640625" style="20" customWidth="1"/>
    <col min="10752" max="10752" width="11.1796875" style="20" customWidth="1"/>
    <col min="10753" max="10753" width="2.81640625" style="20" customWidth="1"/>
    <col min="10754" max="10754" width="3.54296875" style="20" customWidth="1"/>
    <col min="10755" max="10999" width="9.1796875" style="20"/>
    <col min="11000" max="11000" width="8.7265625" style="20" customWidth="1"/>
    <col min="11001" max="11001" width="9.81640625" style="20" customWidth="1"/>
    <col min="11002" max="11002" width="14.453125" style="20" customWidth="1"/>
    <col min="11003" max="11003" width="7.26953125" style="20" customWidth="1"/>
    <col min="11004" max="11004" width="5.54296875" style="20" customWidth="1"/>
    <col min="11005" max="11005" width="9" style="20" customWidth="1"/>
    <col min="11006" max="11007" width="9.81640625" style="20" customWidth="1"/>
    <col min="11008" max="11008" width="11.1796875" style="20" customWidth="1"/>
    <col min="11009" max="11009" width="2.81640625" style="20" customWidth="1"/>
    <col min="11010" max="11010" width="3.54296875" style="20" customWidth="1"/>
    <col min="11011" max="11255" width="9.1796875" style="20"/>
    <col min="11256" max="11256" width="8.7265625" style="20" customWidth="1"/>
    <col min="11257" max="11257" width="9.81640625" style="20" customWidth="1"/>
    <col min="11258" max="11258" width="14.453125" style="20" customWidth="1"/>
    <col min="11259" max="11259" width="7.26953125" style="20" customWidth="1"/>
    <col min="11260" max="11260" width="5.54296875" style="20" customWidth="1"/>
    <col min="11261" max="11261" width="9" style="20" customWidth="1"/>
    <col min="11262" max="11263" width="9.81640625" style="20" customWidth="1"/>
    <col min="11264" max="11264" width="11.1796875" style="20" customWidth="1"/>
    <col min="11265" max="11265" width="2.81640625" style="20" customWidth="1"/>
    <col min="11266" max="11266" width="3.54296875" style="20" customWidth="1"/>
    <col min="11267" max="11511" width="9.1796875" style="20"/>
    <col min="11512" max="11512" width="8.7265625" style="20" customWidth="1"/>
    <col min="11513" max="11513" width="9.81640625" style="20" customWidth="1"/>
    <col min="11514" max="11514" width="14.453125" style="20" customWidth="1"/>
    <col min="11515" max="11515" width="7.26953125" style="20" customWidth="1"/>
    <col min="11516" max="11516" width="5.54296875" style="20" customWidth="1"/>
    <col min="11517" max="11517" width="9" style="20" customWidth="1"/>
    <col min="11518" max="11519" width="9.81640625" style="20" customWidth="1"/>
    <col min="11520" max="11520" width="11.1796875" style="20" customWidth="1"/>
    <col min="11521" max="11521" width="2.81640625" style="20" customWidth="1"/>
    <col min="11522" max="11522" width="3.54296875" style="20" customWidth="1"/>
    <col min="11523" max="11767" width="9.1796875" style="20"/>
    <col min="11768" max="11768" width="8.7265625" style="20" customWidth="1"/>
    <col min="11769" max="11769" width="9.81640625" style="20" customWidth="1"/>
    <col min="11770" max="11770" width="14.453125" style="20" customWidth="1"/>
    <col min="11771" max="11771" width="7.26953125" style="20" customWidth="1"/>
    <col min="11772" max="11772" width="5.54296875" style="20" customWidth="1"/>
    <col min="11773" max="11773" width="9" style="20" customWidth="1"/>
    <col min="11774" max="11775" width="9.81640625" style="20" customWidth="1"/>
    <col min="11776" max="11776" width="11.1796875" style="20" customWidth="1"/>
    <col min="11777" max="11777" width="2.81640625" style="20" customWidth="1"/>
    <col min="11778" max="11778" width="3.54296875" style="20" customWidth="1"/>
    <col min="11779" max="12023" width="9.1796875" style="20"/>
    <col min="12024" max="12024" width="8.7265625" style="20" customWidth="1"/>
    <col min="12025" max="12025" width="9.81640625" style="20" customWidth="1"/>
    <col min="12026" max="12026" width="14.453125" style="20" customWidth="1"/>
    <col min="12027" max="12027" width="7.26953125" style="20" customWidth="1"/>
    <col min="12028" max="12028" width="5.54296875" style="20" customWidth="1"/>
    <col min="12029" max="12029" width="9" style="20" customWidth="1"/>
    <col min="12030" max="12031" width="9.81640625" style="20" customWidth="1"/>
    <col min="12032" max="12032" width="11.1796875" style="20" customWidth="1"/>
    <col min="12033" max="12033" width="2.81640625" style="20" customWidth="1"/>
    <col min="12034" max="12034" width="3.54296875" style="20" customWidth="1"/>
    <col min="12035" max="12279" width="9.1796875" style="20"/>
    <col min="12280" max="12280" width="8.7265625" style="20" customWidth="1"/>
    <col min="12281" max="12281" width="9.81640625" style="20" customWidth="1"/>
    <col min="12282" max="12282" width="14.453125" style="20" customWidth="1"/>
    <col min="12283" max="12283" width="7.26953125" style="20" customWidth="1"/>
    <col min="12284" max="12284" width="5.54296875" style="20" customWidth="1"/>
    <col min="12285" max="12285" width="9" style="20" customWidth="1"/>
    <col min="12286" max="12287" width="9.81640625" style="20" customWidth="1"/>
    <col min="12288" max="12288" width="11.1796875" style="20" customWidth="1"/>
    <col min="12289" max="12289" width="2.81640625" style="20" customWidth="1"/>
    <col min="12290" max="12290" width="3.54296875" style="20" customWidth="1"/>
    <col min="12291" max="12535" width="9.1796875" style="20"/>
    <col min="12536" max="12536" width="8.7265625" style="20" customWidth="1"/>
    <col min="12537" max="12537" width="9.81640625" style="20" customWidth="1"/>
    <col min="12538" max="12538" width="14.453125" style="20" customWidth="1"/>
    <col min="12539" max="12539" width="7.26953125" style="20" customWidth="1"/>
    <col min="12540" max="12540" width="5.54296875" style="20" customWidth="1"/>
    <col min="12541" max="12541" width="9" style="20" customWidth="1"/>
    <col min="12542" max="12543" width="9.81640625" style="20" customWidth="1"/>
    <col min="12544" max="12544" width="11.1796875" style="20" customWidth="1"/>
    <col min="12545" max="12545" width="2.81640625" style="20" customWidth="1"/>
    <col min="12546" max="12546" width="3.54296875" style="20" customWidth="1"/>
    <col min="12547" max="12791" width="9.1796875" style="20"/>
    <col min="12792" max="12792" width="8.7265625" style="20" customWidth="1"/>
    <col min="12793" max="12793" width="9.81640625" style="20" customWidth="1"/>
    <col min="12794" max="12794" width="14.453125" style="20" customWidth="1"/>
    <col min="12795" max="12795" width="7.26953125" style="20" customWidth="1"/>
    <col min="12796" max="12796" width="5.54296875" style="20" customWidth="1"/>
    <col min="12797" max="12797" width="9" style="20" customWidth="1"/>
    <col min="12798" max="12799" width="9.81640625" style="20" customWidth="1"/>
    <col min="12800" max="12800" width="11.1796875" style="20" customWidth="1"/>
    <col min="12801" max="12801" width="2.81640625" style="20" customWidth="1"/>
    <col min="12802" max="12802" width="3.54296875" style="20" customWidth="1"/>
    <col min="12803" max="13047" width="9.1796875" style="20"/>
    <col min="13048" max="13048" width="8.7265625" style="20" customWidth="1"/>
    <col min="13049" max="13049" width="9.81640625" style="20" customWidth="1"/>
    <col min="13050" max="13050" width="14.453125" style="20" customWidth="1"/>
    <col min="13051" max="13051" width="7.26953125" style="20" customWidth="1"/>
    <col min="13052" max="13052" width="5.54296875" style="20" customWidth="1"/>
    <col min="13053" max="13053" width="9" style="20" customWidth="1"/>
    <col min="13054" max="13055" width="9.81640625" style="20" customWidth="1"/>
    <col min="13056" max="13056" width="11.1796875" style="20" customWidth="1"/>
    <col min="13057" max="13057" width="2.81640625" style="20" customWidth="1"/>
    <col min="13058" max="13058" width="3.54296875" style="20" customWidth="1"/>
    <col min="13059" max="13303" width="9.1796875" style="20"/>
    <col min="13304" max="13304" width="8.7265625" style="20" customWidth="1"/>
    <col min="13305" max="13305" width="9.81640625" style="20" customWidth="1"/>
    <col min="13306" max="13306" width="14.453125" style="20" customWidth="1"/>
    <col min="13307" max="13307" width="7.26953125" style="20" customWidth="1"/>
    <col min="13308" max="13308" width="5.54296875" style="20" customWidth="1"/>
    <col min="13309" max="13309" width="9" style="20" customWidth="1"/>
    <col min="13310" max="13311" width="9.81640625" style="20" customWidth="1"/>
    <col min="13312" max="13312" width="11.1796875" style="20" customWidth="1"/>
    <col min="13313" max="13313" width="2.81640625" style="20" customWidth="1"/>
    <col min="13314" max="13314" width="3.54296875" style="20" customWidth="1"/>
    <col min="13315" max="13559" width="9.1796875" style="20"/>
    <col min="13560" max="13560" width="8.7265625" style="20" customWidth="1"/>
    <col min="13561" max="13561" width="9.81640625" style="20" customWidth="1"/>
    <col min="13562" max="13562" width="14.453125" style="20" customWidth="1"/>
    <col min="13563" max="13563" width="7.26953125" style="20" customWidth="1"/>
    <col min="13564" max="13564" width="5.54296875" style="20" customWidth="1"/>
    <col min="13565" max="13565" width="9" style="20" customWidth="1"/>
    <col min="13566" max="13567" width="9.81640625" style="20" customWidth="1"/>
    <col min="13568" max="13568" width="11.1796875" style="20" customWidth="1"/>
    <col min="13569" max="13569" width="2.81640625" style="20" customWidth="1"/>
    <col min="13570" max="13570" width="3.54296875" style="20" customWidth="1"/>
    <col min="13571" max="13815" width="9.1796875" style="20"/>
    <col min="13816" max="13816" width="8.7265625" style="20" customWidth="1"/>
    <col min="13817" max="13817" width="9.81640625" style="20" customWidth="1"/>
    <col min="13818" max="13818" width="14.453125" style="20" customWidth="1"/>
    <col min="13819" max="13819" width="7.26953125" style="20" customWidth="1"/>
    <col min="13820" max="13820" width="5.54296875" style="20" customWidth="1"/>
    <col min="13821" max="13821" width="9" style="20" customWidth="1"/>
    <col min="13822" max="13823" width="9.81640625" style="20" customWidth="1"/>
    <col min="13824" max="13824" width="11.1796875" style="20" customWidth="1"/>
    <col min="13825" max="13825" width="2.81640625" style="20" customWidth="1"/>
    <col min="13826" max="13826" width="3.54296875" style="20" customWidth="1"/>
    <col min="13827" max="14071" width="9.1796875" style="20"/>
    <col min="14072" max="14072" width="8.7265625" style="20" customWidth="1"/>
    <col min="14073" max="14073" width="9.81640625" style="20" customWidth="1"/>
    <col min="14074" max="14074" width="14.453125" style="20" customWidth="1"/>
    <col min="14075" max="14075" width="7.26953125" style="20" customWidth="1"/>
    <col min="14076" max="14076" width="5.54296875" style="20" customWidth="1"/>
    <col min="14077" max="14077" width="9" style="20" customWidth="1"/>
    <col min="14078" max="14079" width="9.81640625" style="20" customWidth="1"/>
    <col min="14080" max="14080" width="11.1796875" style="20" customWidth="1"/>
    <col min="14081" max="14081" width="2.81640625" style="20" customWidth="1"/>
    <col min="14082" max="14082" width="3.54296875" style="20" customWidth="1"/>
    <col min="14083" max="14327" width="9.1796875" style="20"/>
    <col min="14328" max="14328" width="8.7265625" style="20" customWidth="1"/>
    <col min="14329" max="14329" width="9.81640625" style="20" customWidth="1"/>
    <col min="14330" max="14330" width="14.453125" style="20" customWidth="1"/>
    <col min="14331" max="14331" width="7.26953125" style="20" customWidth="1"/>
    <col min="14332" max="14332" width="5.54296875" style="20" customWidth="1"/>
    <col min="14333" max="14333" width="9" style="20" customWidth="1"/>
    <col min="14334" max="14335" width="9.81640625" style="20" customWidth="1"/>
    <col min="14336" max="14336" width="11.1796875" style="20" customWidth="1"/>
    <col min="14337" max="14337" width="2.81640625" style="20" customWidth="1"/>
    <col min="14338" max="14338" width="3.54296875" style="20" customWidth="1"/>
    <col min="14339" max="14583" width="9.1796875" style="20"/>
    <col min="14584" max="14584" width="8.7265625" style="20" customWidth="1"/>
    <col min="14585" max="14585" width="9.81640625" style="20" customWidth="1"/>
    <col min="14586" max="14586" width="14.453125" style="20" customWidth="1"/>
    <col min="14587" max="14587" width="7.26953125" style="20" customWidth="1"/>
    <col min="14588" max="14588" width="5.54296875" style="20" customWidth="1"/>
    <col min="14589" max="14589" width="9" style="20" customWidth="1"/>
    <col min="14590" max="14591" width="9.81640625" style="20" customWidth="1"/>
    <col min="14592" max="14592" width="11.1796875" style="20" customWidth="1"/>
    <col min="14593" max="14593" width="2.81640625" style="20" customWidth="1"/>
    <col min="14594" max="14594" width="3.54296875" style="20" customWidth="1"/>
    <col min="14595" max="14839" width="9.1796875" style="20"/>
    <col min="14840" max="14840" width="8.7265625" style="20" customWidth="1"/>
    <col min="14841" max="14841" width="9.81640625" style="20" customWidth="1"/>
    <col min="14842" max="14842" width="14.453125" style="20" customWidth="1"/>
    <col min="14843" max="14843" width="7.26953125" style="20" customWidth="1"/>
    <col min="14844" max="14844" width="5.54296875" style="20" customWidth="1"/>
    <col min="14845" max="14845" width="9" style="20" customWidth="1"/>
    <col min="14846" max="14847" width="9.81640625" style="20" customWidth="1"/>
    <col min="14848" max="14848" width="11.1796875" style="20" customWidth="1"/>
    <col min="14849" max="14849" width="2.81640625" style="20" customWidth="1"/>
    <col min="14850" max="14850" width="3.54296875" style="20" customWidth="1"/>
    <col min="14851" max="15095" width="9.1796875" style="20"/>
    <col min="15096" max="15096" width="8.7265625" style="20" customWidth="1"/>
    <col min="15097" max="15097" width="9.81640625" style="20" customWidth="1"/>
    <col min="15098" max="15098" width="14.453125" style="20" customWidth="1"/>
    <col min="15099" max="15099" width="7.26953125" style="20" customWidth="1"/>
    <col min="15100" max="15100" width="5.54296875" style="20" customWidth="1"/>
    <col min="15101" max="15101" width="9" style="20" customWidth="1"/>
    <col min="15102" max="15103" width="9.81640625" style="20" customWidth="1"/>
    <col min="15104" max="15104" width="11.1796875" style="20" customWidth="1"/>
    <col min="15105" max="15105" width="2.81640625" style="20" customWidth="1"/>
    <col min="15106" max="15106" width="3.54296875" style="20" customWidth="1"/>
    <col min="15107" max="15351" width="9.1796875" style="20"/>
    <col min="15352" max="15352" width="8.7265625" style="20" customWidth="1"/>
    <col min="15353" max="15353" width="9.81640625" style="20" customWidth="1"/>
    <col min="15354" max="15354" width="14.453125" style="20" customWidth="1"/>
    <col min="15355" max="15355" width="7.26953125" style="20" customWidth="1"/>
    <col min="15356" max="15356" width="5.54296875" style="20" customWidth="1"/>
    <col min="15357" max="15357" width="9" style="20" customWidth="1"/>
    <col min="15358" max="15359" width="9.81640625" style="20" customWidth="1"/>
    <col min="15360" max="15360" width="11.1796875" style="20" customWidth="1"/>
    <col min="15361" max="15361" width="2.81640625" style="20" customWidth="1"/>
    <col min="15362" max="15362" width="3.54296875" style="20" customWidth="1"/>
    <col min="15363" max="15607" width="9.1796875" style="20"/>
    <col min="15608" max="15608" width="8.7265625" style="20" customWidth="1"/>
    <col min="15609" max="15609" width="9.81640625" style="20" customWidth="1"/>
    <col min="15610" max="15610" width="14.453125" style="20" customWidth="1"/>
    <col min="15611" max="15611" width="7.26953125" style="20" customWidth="1"/>
    <col min="15612" max="15612" width="5.54296875" style="20" customWidth="1"/>
    <col min="15613" max="15613" width="9" style="20" customWidth="1"/>
    <col min="15614" max="15615" width="9.81640625" style="20" customWidth="1"/>
    <col min="15616" max="15616" width="11.1796875" style="20" customWidth="1"/>
    <col min="15617" max="15617" width="2.81640625" style="20" customWidth="1"/>
    <col min="15618" max="15618" width="3.54296875" style="20" customWidth="1"/>
    <col min="15619" max="15863" width="9.1796875" style="20"/>
    <col min="15864" max="15864" width="8.7265625" style="20" customWidth="1"/>
    <col min="15865" max="15865" width="9.81640625" style="20" customWidth="1"/>
    <col min="15866" max="15866" width="14.453125" style="20" customWidth="1"/>
    <col min="15867" max="15867" width="7.26953125" style="20" customWidth="1"/>
    <col min="15868" max="15868" width="5.54296875" style="20" customWidth="1"/>
    <col min="15869" max="15869" width="9" style="20" customWidth="1"/>
    <col min="15870" max="15871" width="9.81640625" style="20" customWidth="1"/>
    <col min="15872" max="15872" width="11.1796875" style="20" customWidth="1"/>
    <col min="15873" max="15873" width="2.81640625" style="20" customWidth="1"/>
    <col min="15874" max="15874" width="3.54296875" style="20" customWidth="1"/>
    <col min="15875" max="16119" width="9.1796875" style="20"/>
    <col min="16120" max="16120" width="8.7265625" style="20" customWidth="1"/>
    <col min="16121" max="16121" width="9.81640625" style="20" customWidth="1"/>
    <col min="16122" max="16122" width="14.453125" style="20" customWidth="1"/>
    <col min="16123" max="16123" width="7.26953125" style="20" customWidth="1"/>
    <col min="16124" max="16124" width="5.54296875" style="20" customWidth="1"/>
    <col min="16125" max="16125" width="9" style="20" customWidth="1"/>
    <col min="16126" max="16127" width="9.81640625" style="20" customWidth="1"/>
    <col min="16128" max="16128" width="11.1796875" style="20" customWidth="1"/>
    <col min="16129" max="16129" width="2.81640625" style="20" customWidth="1"/>
    <col min="16130" max="16130" width="3.54296875" style="20" customWidth="1"/>
    <col min="16131" max="16384" width="9.1796875" style="20"/>
  </cols>
  <sheetData>
    <row r="1" spans="1:26" ht="46.5" customHeight="1" x14ac:dyDescent="0.35">
      <c r="A1" s="202" t="s">
        <v>157</v>
      </c>
      <c r="B1" s="202"/>
      <c r="C1" s="202"/>
      <c r="D1" s="202"/>
      <c r="E1" s="202"/>
      <c r="F1" s="202"/>
      <c r="G1" s="202"/>
      <c r="H1" s="202"/>
    </row>
    <row r="2" spans="1:26" ht="16.5" customHeight="1" x14ac:dyDescent="0.35">
      <c r="A2" s="203" t="s">
        <v>0</v>
      </c>
      <c r="B2" s="203"/>
      <c r="C2" s="203"/>
      <c r="D2" s="203"/>
      <c r="E2" s="203"/>
      <c r="F2" s="203"/>
      <c r="G2" s="203"/>
      <c r="H2" s="203"/>
    </row>
    <row r="3" spans="1:26" x14ac:dyDescent="0.35">
      <c r="A3" s="204" t="s">
        <v>1</v>
      </c>
      <c r="B3" s="204"/>
      <c r="C3" s="204"/>
      <c r="D3" s="204"/>
      <c r="E3" s="204" t="str">
        <f ca="1">TEXT(TODAY(),"DD/MM/YYYY")</f>
        <v>28/07/2025</v>
      </c>
      <c r="F3" s="204"/>
      <c r="G3" s="204"/>
      <c r="H3" s="204"/>
      <c r="K3" s="53" t="s">
        <v>225</v>
      </c>
      <c r="L3" s="52" t="s">
        <v>223</v>
      </c>
      <c r="M3" s="52" t="s">
        <v>228</v>
      </c>
      <c r="N3" s="52" t="s">
        <v>226</v>
      </c>
      <c r="O3" s="52" t="s">
        <v>344</v>
      </c>
      <c r="P3" s="52" t="s">
        <v>229</v>
      </c>
    </row>
    <row r="4" spans="1:26" ht="15" customHeight="1" x14ac:dyDescent="0.35">
      <c r="A4" s="204" t="s">
        <v>222</v>
      </c>
      <c r="B4" s="204"/>
      <c r="C4" s="204"/>
      <c r="D4" s="204"/>
      <c r="E4" s="204" t="s">
        <v>223</v>
      </c>
      <c r="F4" s="204"/>
      <c r="G4" s="204"/>
      <c r="H4" s="204"/>
      <c r="K4" s="51" t="s">
        <v>224</v>
      </c>
      <c r="L4" s="52" t="s">
        <v>162</v>
      </c>
      <c r="M4" s="52" t="s">
        <v>233</v>
      </c>
      <c r="N4" s="52" t="s">
        <v>235</v>
      </c>
      <c r="O4" s="52" t="s">
        <v>330</v>
      </c>
      <c r="P4" s="52"/>
    </row>
    <row r="5" spans="1:26" ht="15" customHeight="1" x14ac:dyDescent="0.35">
      <c r="A5" s="204" t="s">
        <v>2</v>
      </c>
      <c r="B5" s="204"/>
      <c r="C5" s="204"/>
      <c r="D5" s="204"/>
      <c r="E5" s="204" t="s">
        <v>231</v>
      </c>
      <c r="F5" s="204"/>
      <c r="G5" s="204"/>
      <c r="H5" s="204"/>
      <c r="K5" s="51"/>
      <c r="L5" s="52" t="s">
        <v>230</v>
      </c>
      <c r="M5" s="52" t="s">
        <v>234</v>
      </c>
      <c r="N5" s="52" t="s">
        <v>236</v>
      </c>
      <c r="O5" s="52" t="s">
        <v>331</v>
      </c>
      <c r="P5" s="52"/>
    </row>
    <row r="6" spans="1:26" x14ac:dyDescent="0.35">
      <c r="A6" s="204" t="s">
        <v>3</v>
      </c>
      <c r="B6" s="204"/>
      <c r="C6" s="204"/>
      <c r="D6" s="204"/>
      <c r="E6" s="205">
        <v>45866</v>
      </c>
      <c r="F6" s="204"/>
      <c r="G6" s="204"/>
      <c r="H6" s="204"/>
      <c r="I6" s="21"/>
      <c r="K6" s="51"/>
      <c r="L6" s="52" t="s">
        <v>231</v>
      </c>
      <c r="M6" s="52" t="s">
        <v>342</v>
      </c>
      <c r="N6" s="52"/>
      <c r="O6" s="52" t="s">
        <v>332</v>
      </c>
      <c r="P6" s="52"/>
    </row>
    <row r="7" spans="1:26" ht="16.5" customHeight="1" x14ac:dyDescent="0.35">
      <c r="A7" s="204" t="s">
        <v>4</v>
      </c>
      <c r="B7" s="204"/>
      <c r="C7" s="204"/>
      <c r="D7" s="204"/>
      <c r="E7" s="204" t="s">
        <v>360</v>
      </c>
      <c r="F7" s="204"/>
      <c r="G7" s="204"/>
      <c r="H7" s="204"/>
      <c r="K7" s="51"/>
      <c r="L7" s="52" t="s">
        <v>232</v>
      </c>
      <c r="M7" s="52"/>
      <c r="N7" s="52"/>
      <c r="O7" s="52" t="s">
        <v>332</v>
      </c>
      <c r="P7" s="52"/>
    </row>
    <row r="8" spans="1:26" ht="15" customHeight="1" x14ac:dyDescent="0.35">
      <c r="A8" s="204" t="s">
        <v>5</v>
      </c>
      <c r="B8" s="204"/>
      <c r="C8" s="204"/>
      <c r="D8" s="204"/>
      <c r="E8" s="204" t="str">
        <f>E7</f>
        <v>M/s. Superb Maa Developers LLP</v>
      </c>
      <c r="F8" s="204"/>
      <c r="G8" s="204"/>
      <c r="H8" s="204"/>
      <c r="K8" s="51"/>
      <c r="L8" s="52"/>
      <c r="M8" s="52"/>
      <c r="N8" s="52"/>
      <c r="O8" s="52" t="s">
        <v>333</v>
      </c>
      <c r="P8" s="52"/>
    </row>
    <row r="9" spans="1:26" x14ac:dyDescent="0.35">
      <c r="A9" s="204" t="s">
        <v>6</v>
      </c>
      <c r="B9" s="204"/>
      <c r="C9" s="204"/>
      <c r="D9" s="204"/>
      <c r="E9" s="135" t="s">
        <v>423</v>
      </c>
      <c r="F9" s="135"/>
      <c r="G9" s="135"/>
      <c r="H9" s="135"/>
      <c r="K9" s="51"/>
      <c r="L9" s="52"/>
      <c r="M9" s="52"/>
      <c r="N9" s="52"/>
      <c r="O9" s="52" t="s">
        <v>334</v>
      </c>
      <c r="P9" s="52"/>
    </row>
    <row r="10" spans="1:26" x14ac:dyDescent="0.35">
      <c r="A10" s="204" t="s">
        <v>159</v>
      </c>
      <c r="B10" s="204"/>
      <c r="C10" s="204"/>
      <c r="D10" s="204"/>
      <c r="E10" s="204" t="s">
        <v>361</v>
      </c>
      <c r="F10" s="204"/>
      <c r="G10" s="204"/>
      <c r="H10" s="204"/>
      <c r="K10" s="51"/>
      <c r="L10" s="52"/>
      <c r="M10" s="52"/>
      <c r="N10" s="52"/>
      <c r="O10" s="52" t="s">
        <v>335</v>
      </c>
      <c r="P10" s="52"/>
    </row>
    <row r="11" spans="1:26" hidden="1" x14ac:dyDescent="0.35">
      <c r="A11" s="204" t="s">
        <v>160</v>
      </c>
      <c r="B11" s="204"/>
      <c r="C11" s="204"/>
      <c r="D11" s="204"/>
      <c r="E11" s="204" t="s">
        <v>361</v>
      </c>
      <c r="F11" s="204"/>
      <c r="G11" s="204"/>
      <c r="H11" s="204"/>
      <c r="I11" s="21"/>
      <c r="O11" s="52" t="s">
        <v>336</v>
      </c>
    </row>
    <row r="12" spans="1:26" x14ac:dyDescent="0.35">
      <c r="A12" s="204" t="s">
        <v>7</v>
      </c>
      <c r="B12" s="204"/>
      <c r="C12" s="204"/>
      <c r="D12" s="204"/>
      <c r="E12" s="204" t="s">
        <v>362</v>
      </c>
      <c r="F12" s="204"/>
      <c r="G12" s="204"/>
      <c r="H12" s="204"/>
    </row>
    <row r="13" spans="1:26" x14ac:dyDescent="0.35">
      <c r="A13" s="204" t="s">
        <v>163</v>
      </c>
      <c r="B13" s="204"/>
      <c r="C13" s="204"/>
      <c r="D13" s="204"/>
      <c r="E13" s="204" t="s">
        <v>28</v>
      </c>
      <c r="F13" s="204"/>
      <c r="G13" s="204"/>
      <c r="H13" s="204"/>
      <c r="S13" s="52" t="s">
        <v>169</v>
      </c>
      <c r="T13" s="52" t="s">
        <v>178</v>
      </c>
      <c r="U13" s="52" t="s">
        <v>164</v>
      </c>
      <c r="V13" s="52" t="s">
        <v>183</v>
      </c>
      <c r="W13" s="52" t="s">
        <v>201</v>
      </c>
      <c r="X13"/>
      <c r="Y13" t="s">
        <v>183</v>
      </c>
      <c r="Z13" t="e">
        <f ca="1">OFFSET($S$13,1,MATCH($G20,$S$13:$W$13,0)-1,15,1)</f>
        <v>#VALUE!</v>
      </c>
    </row>
    <row r="14" spans="1:26" x14ac:dyDescent="0.35">
      <c r="A14" s="120" t="s">
        <v>268</v>
      </c>
      <c r="B14" s="120"/>
      <c r="C14" s="120"/>
      <c r="D14" s="120"/>
      <c r="E14" s="206" t="s">
        <v>363</v>
      </c>
      <c r="F14" s="206"/>
      <c r="G14" s="206"/>
      <c r="H14" s="206"/>
      <c r="S14" s="52" t="s">
        <v>169</v>
      </c>
      <c r="T14" s="52" t="s">
        <v>176</v>
      </c>
      <c r="U14" s="52" t="s">
        <v>198</v>
      </c>
      <c r="V14" s="52" t="s">
        <v>184</v>
      </c>
      <c r="W14" s="52" t="s">
        <v>202</v>
      </c>
      <c r="X14"/>
      <c r="Y14"/>
      <c r="Z14"/>
    </row>
    <row r="15" spans="1:26" x14ac:dyDescent="0.35">
      <c r="A15" s="120" t="s">
        <v>8</v>
      </c>
      <c r="B15" s="120"/>
      <c r="C15" s="120"/>
      <c r="D15" s="120"/>
      <c r="E15" s="206" t="s">
        <v>364</v>
      </c>
      <c r="F15" s="204"/>
      <c r="G15" s="204"/>
      <c r="H15" s="204"/>
      <c r="I15" s="167" t="e">
        <f ca="1">OFFSET($D$5,1,MATCH($J13,$D$5:$H$5,0)-1,15,1)</f>
        <v>#N/A</v>
      </c>
      <c r="J15" s="168"/>
      <c r="K15" s="168"/>
      <c r="L15" s="168"/>
      <c r="M15" s="168"/>
      <c r="N15" s="168"/>
      <c r="O15" s="168"/>
      <c r="P15" s="168"/>
      <c r="S15" s="52" t="s">
        <v>170</v>
      </c>
      <c r="T15" s="52" t="s">
        <v>177</v>
      </c>
      <c r="U15" s="52" t="s">
        <v>199</v>
      </c>
      <c r="V15" s="52" t="s">
        <v>185</v>
      </c>
      <c r="W15" s="52" t="s">
        <v>215</v>
      </c>
      <c r="X15"/>
      <c r="Y15"/>
      <c r="Z15"/>
    </row>
    <row r="16" spans="1:26" ht="48.75" customHeight="1" x14ac:dyDescent="0.35">
      <c r="A16" s="149" t="s">
        <v>9</v>
      </c>
      <c r="B16" s="149"/>
      <c r="C16" s="149" t="str">
        <f>CONCATENATE((IF(OR(E9="",E9="NA"),"",E9)),", ",(IF(OR(A17="",A17="NA"),"",A17)),".",(IF(OR(C17="",C17="NA"),"",C17)),", near ",(IF(OR(C22="",C22="NA"),"",C22)),", ",(IF(OR(C19="",C19="NA"),"",C19)),", ",(IF(OR(C18="",C18="NA"),"",C18)),", ",(IF(OR(G19="",G19="NA"),"",G19)),", ",(IF(OR(C20="",C20="NA"),"",C20)),", ",(IF(OR(C21="",C21="NA"),"",C21)),", ",(IF(OR(G20="",G20="NA"),"",G20))," - ",(IF(OR(G21="",G21="NA"),"",G21)),".")</f>
        <v>Maximus Residency Phase I, Survey No.136, 138/1, 140/8/A &amp; 140/9, near Kasalkhand Zilha Primary School, Sawala Apta Road, Panvel, Ashte, Panvel, Panvel, Raigad - 410221.</v>
      </c>
      <c r="D16" s="149"/>
      <c r="E16" s="149"/>
      <c r="F16" s="149"/>
      <c r="G16" s="149"/>
      <c r="H16" s="149"/>
      <c r="S16" s="52" t="s">
        <v>171</v>
      </c>
      <c r="T16" s="52" t="s">
        <v>179</v>
      </c>
      <c r="U16" s="52" t="s">
        <v>200</v>
      </c>
      <c r="V16" s="52" t="s">
        <v>186</v>
      </c>
      <c r="W16" s="52" t="s">
        <v>203</v>
      </c>
      <c r="X16"/>
      <c r="Y16"/>
      <c r="Z16"/>
    </row>
    <row r="17" spans="1:26" x14ac:dyDescent="0.35">
      <c r="A17" s="206" t="s">
        <v>365</v>
      </c>
      <c r="B17" s="206"/>
      <c r="C17" s="206" t="s">
        <v>366</v>
      </c>
      <c r="D17" s="206"/>
      <c r="E17" s="206"/>
      <c r="F17" s="206"/>
      <c r="G17" s="206"/>
      <c r="H17" s="206"/>
      <c r="S17" s="52" t="s">
        <v>172</v>
      </c>
      <c r="T17" s="52" t="s">
        <v>180</v>
      </c>
      <c r="U17" s="52" t="s">
        <v>164</v>
      </c>
      <c r="V17" s="52" t="s">
        <v>187</v>
      </c>
      <c r="W17" s="52" t="s">
        <v>204</v>
      </c>
      <c r="X17"/>
      <c r="Y17"/>
      <c r="Z17"/>
    </row>
    <row r="18" spans="1:26" ht="15.75" customHeight="1" x14ac:dyDescent="0.35">
      <c r="A18" s="206" t="s">
        <v>155</v>
      </c>
      <c r="B18" s="206"/>
      <c r="C18" s="206" t="s">
        <v>185</v>
      </c>
      <c r="D18" s="206"/>
      <c r="E18" s="206"/>
      <c r="F18" s="206"/>
      <c r="G18" s="206"/>
      <c r="H18" s="206"/>
      <c r="S18" s="52" t="s">
        <v>173</v>
      </c>
      <c r="T18" s="52" t="s">
        <v>178</v>
      </c>
      <c r="U18" s="52"/>
      <c r="V18" s="52" t="s">
        <v>188</v>
      </c>
      <c r="W18" s="52" t="s">
        <v>205</v>
      </c>
      <c r="X18"/>
      <c r="Y18"/>
      <c r="Z18"/>
    </row>
    <row r="19" spans="1:26" ht="15.75" customHeight="1" x14ac:dyDescent="0.35">
      <c r="A19" s="149" t="s">
        <v>10</v>
      </c>
      <c r="B19" s="149"/>
      <c r="C19" s="204" t="s">
        <v>370</v>
      </c>
      <c r="D19" s="204"/>
      <c r="E19" s="149" t="s">
        <v>69</v>
      </c>
      <c r="F19" s="149"/>
      <c r="G19" s="206" t="s">
        <v>367</v>
      </c>
      <c r="H19" s="206"/>
      <c r="S19" s="52" t="s">
        <v>174</v>
      </c>
      <c r="T19" s="52" t="s">
        <v>181</v>
      </c>
      <c r="U19" s="52"/>
      <c r="V19" s="52" t="s">
        <v>189</v>
      </c>
      <c r="W19" s="52" t="s">
        <v>206</v>
      </c>
      <c r="X19"/>
      <c r="Y19"/>
      <c r="Z19"/>
    </row>
    <row r="20" spans="1:26" x14ac:dyDescent="0.35">
      <c r="A20" s="120" t="s">
        <v>12</v>
      </c>
      <c r="B20" s="120"/>
      <c r="C20" s="206" t="s">
        <v>185</v>
      </c>
      <c r="D20" s="206"/>
      <c r="E20" s="149" t="s">
        <v>11</v>
      </c>
      <c r="F20" s="149"/>
      <c r="G20" s="207" t="s">
        <v>183</v>
      </c>
      <c r="H20" s="207"/>
      <c r="S20" s="52" t="s">
        <v>175</v>
      </c>
      <c r="T20" s="52" t="s">
        <v>182</v>
      </c>
      <c r="U20" s="52"/>
      <c r="V20" s="52" t="s">
        <v>190</v>
      </c>
      <c r="W20" s="52" t="s">
        <v>207</v>
      </c>
      <c r="X20"/>
      <c r="Y20"/>
      <c r="Z20"/>
    </row>
    <row r="21" spans="1:26" x14ac:dyDescent="0.35">
      <c r="A21" s="120" t="s">
        <v>70</v>
      </c>
      <c r="B21" s="120"/>
      <c r="C21" s="206" t="s">
        <v>185</v>
      </c>
      <c r="D21" s="206"/>
      <c r="E21" s="149" t="s">
        <v>13</v>
      </c>
      <c r="F21" s="149"/>
      <c r="G21" s="206">
        <v>410221</v>
      </c>
      <c r="H21" s="206"/>
      <c r="S21" s="52"/>
      <c r="T21" s="52"/>
      <c r="U21" s="52"/>
      <c r="V21" s="52" t="s">
        <v>191</v>
      </c>
      <c r="W21" s="52" t="s">
        <v>208</v>
      </c>
      <c r="X21"/>
      <c r="Y21"/>
      <c r="Z21"/>
    </row>
    <row r="22" spans="1:26" ht="32.25" customHeight="1" x14ac:dyDescent="0.35">
      <c r="A22" s="120" t="s">
        <v>115</v>
      </c>
      <c r="B22" s="120"/>
      <c r="C22" s="206" t="s">
        <v>371</v>
      </c>
      <c r="D22" s="206"/>
      <c r="E22" s="149" t="s">
        <v>14</v>
      </c>
      <c r="F22" s="149"/>
      <c r="G22" s="206" t="s">
        <v>372</v>
      </c>
      <c r="H22" s="206"/>
      <c r="S22" s="52"/>
      <c r="T22" s="52"/>
      <c r="U22" s="52"/>
      <c r="V22" s="52" t="s">
        <v>192</v>
      </c>
      <c r="W22" s="52" t="s">
        <v>209</v>
      </c>
      <c r="X22"/>
      <c r="Y22"/>
      <c r="Z22"/>
    </row>
    <row r="23" spans="1:26" ht="15" customHeight="1" x14ac:dyDescent="0.35">
      <c r="A23" s="149" t="s">
        <v>71</v>
      </c>
      <c r="B23" s="149"/>
      <c r="C23" s="149"/>
      <c r="D23" s="149"/>
      <c r="E23" s="204" t="s">
        <v>15</v>
      </c>
      <c r="F23" s="204"/>
      <c r="G23" s="204"/>
      <c r="H23" s="204"/>
      <c r="S23" s="52"/>
      <c r="T23" s="52"/>
      <c r="U23" s="52"/>
      <c r="V23" s="52" t="s">
        <v>193</v>
      </c>
      <c r="W23" s="52" t="s">
        <v>210</v>
      </c>
      <c r="X23"/>
      <c r="Y23"/>
      <c r="Z23"/>
    </row>
    <row r="24" spans="1:26" ht="18.75" customHeight="1" x14ac:dyDescent="0.35">
      <c r="A24" s="149"/>
      <c r="B24" s="149"/>
      <c r="C24" s="149"/>
      <c r="D24" s="149"/>
      <c r="E24" s="204"/>
      <c r="F24" s="204"/>
      <c r="G24" s="204"/>
      <c r="H24" s="204"/>
      <c r="S24" s="52"/>
      <c r="T24" s="52"/>
      <c r="U24" s="52"/>
      <c r="V24" s="52" t="s">
        <v>194</v>
      </c>
      <c r="W24" s="52" t="s">
        <v>211</v>
      </c>
      <c r="X24"/>
      <c r="Y24"/>
      <c r="Z24"/>
    </row>
    <row r="25" spans="1:26" ht="15" customHeight="1" x14ac:dyDescent="0.35">
      <c r="A25" s="149" t="s">
        <v>16</v>
      </c>
      <c r="B25" s="149"/>
      <c r="C25" s="149"/>
      <c r="D25" s="149"/>
      <c r="E25" s="206" t="s">
        <v>17</v>
      </c>
      <c r="F25" s="206"/>
      <c r="G25" s="206"/>
      <c r="H25" s="206"/>
      <c r="S25" s="52"/>
      <c r="T25" s="52"/>
      <c r="U25" s="52"/>
      <c r="V25" s="52" t="s">
        <v>195</v>
      </c>
      <c r="W25" s="52" t="s">
        <v>212</v>
      </c>
      <c r="X25"/>
      <c r="Y25"/>
      <c r="Z25"/>
    </row>
    <row r="26" spans="1:26" ht="15" customHeight="1" x14ac:dyDescent="0.35">
      <c r="A26" s="120" t="s">
        <v>18</v>
      </c>
      <c r="B26" s="120"/>
      <c r="C26" s="120"/>
      <c r="D26" s="120"/>
      <c r="E26" s="206" t="str">
        <f>IF(AND(G20="Mumbai"),"Upper Class","Middle Class")</f>
        <v>Middle Class</v>
      </c>
      <c r="F26" s="206"/>
      <c r="G26" s="206"/>
      <c r="H26" s="206"/>
      <c r="S26" s="52"/>
      <c r="T26" s="52"/>
      <c r="U26" s="52"/>
      <c r="V26" s="52" t="s">
        <v>196</v>
      </c>
      <c r="W26" s="52" t="s">
        <v>213</v>
      </c>
      <c r="X26"/>
      <c r="Y26"/>
      <c r="Z26"/>
    </row>
    <row r="27" spans="1:26" x14ac:dyDescent="0.35">
      <c r="A27" s="120" t="s">
        <v>19</v>
      </c>
      <c r="B27" s="120"/>
      <c r="C27" s="120"/>
      <c r="D27" s="120"/>
      <c r="E27" s="206" t="s">
        <v>20</v>
      </c>
      <c r="F27" s="206"/>
      <c r="G27" s="206"/>
      <c r="H27" s="206"/>
      <c r="S27" s="52"/>
      <c r="T27" s="52"/>
      <c r="U27" s="52"/>
      <c r="V27" s="52" t="s">
        <v>197</v>
      </c>
      <c r="W27" s="52" t="s">
        <v>214</v>
      </c>
      <c r="X27"/>
      <c r="Y27"/>
      <c r="Z27"/>
    </row>
    <row r="28" spans="1:26" ht="15.75" customHeight="1" x14ac:dyDescent="0.35">
      <c r="A28" s="120" t="s">
        <v>21</v>
      </c>
      <c r="B28" s="120"/>
      <c r="C28" s="120"/>
      <c r="D28" s="120"/>
      <c r="E28" s="206" t="str">
        <f>IF(AND(G20="Mumbai"),"Developed","Developing")</f>
        <v>Developing</v>
      </c>
      <c r="F28" s="206"/>
      <c r="G28" s="206"/>
      <c r="H28" s="206"/>
    </row>
    <row r="29" spans="1:26" x14ac:dyDescent="0.35">
      <c r="A29" s="120" t="s">
        <v>22</v>
      </c>
      <c r="B29" s="120"/>
      <c r="C29" s="120"/>
      <c r="D29" s="120"/>
      <c r="E29" s="206" t="s">
        <v>23</v>
      </c>
      <c r="F29" s="206"/>
      <c r="G29" s="206"/>
      <c r="H29" s="206"/>
    </row>
    <row r="30" spans="1:26" ht="15.75" customHeight="1" x14ac:dyDescent="0.35">
      <c r="A30" s="120" t="s">
        <v>76</v>
      </c>
      <c r="B30" s="120"/>
      <c r="C30" s="120"/>
      <c r="D30" s="120"/>
      <c r="E30" s="206" t="s">
        <v>77</v>
      </c>
      <c r="F30" s="206"/>
      <c r="G30" s="206"/>
      <c r="H30" s="206"/>
    </row>
    <row r="31" spans="1:26" ht="15" customHeight="1" x14ac:dyDescent="0.35">
      <c r="A31" s="120" t="s">
        <v>30</v>
      </c>
      <c r="B31" s="120"/>
      <c r="C31" s="120"/>
      <c r="D31" s="120"/>
      <c r="E31" s="206"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v>
      </c>
      <c r="F31" s="206"/>
      <c r="G31" s="206"/>
      <c r="H31" s="206"/>
    </row>
    <row r="32" spans="1:26" ht="15.75" customHeight="1" x14ac:dyDescent="0.35">
      <c r="A32" s="120" t="s">
        <v>88</v>
      </c>
      <c r="B32" s="120"/>
      <c r="C32" s="120"/>
      <c r="D32" s="120"/>
      <c r="E32" s="206" t="s">
        <v>31</v>
      </c>
      <c r="F32" s="206"/>
      <c r="G32" s="206"/>
      <c r="H32" s="206"/>
    </row>
    <row r="33" spans="1:19" s="21" customFormat="1" x14ac:dyDescent="0.35">
      <c r="A33" s="215" t="s">
        <v>89</v>
      </c>
      <c r="B33" s="215"/>
      <c r="C33" s="212" t="s">
        <v>165</v>
      </c>
      <c r="D33" s="213"/>
      <c r="E33" s="214"/>
      <c r="F33" s="212" t="s">
        <v>29</v>
      </c>
      <c r="G33" s="213"/>
      <c r="H33" s="214"/>
      <c r="S33" s="21" t="e">
        <f ca="1">OFFSET($S$13,1,MATCH($G20,$S$13:$W$13,0)-1,15,1)</f>
        <v>#VALUE!</v>
      </c>
    </row>
    <row r="34" spans="1:19" s="21" customFormat="1" x14ac:dyDescent="0.35">
      <c r="A34" s="208" t="s">
        <v>24</v>
      </c>
      <c r="B34" s="208" t="s">
        <v>28</v>
      </c>
      <c r="C34" s="209" t="s">
        <v>374</v>
      </c>
      <c r="D34" s="210"/>
      <c r="E34" s="211"/>
      <c r="F34" s="209" t="s">
        <v>376</v>
      </c>
      <c r="G34" s="210"/>
      <c r="H34" s="211"/>
    </row>
    <row r="35" spans="1:19" x14ac:dyDescent="0.35">
      <c r="A35" s="208" t="s">
        <v>25</v>
      </c>
      <c r="B35" s="208" t="s">
        <v>28</v>
      </c>
      <c r="C35" s="209" t="s">
        <v>373</v>
      </c>
      <c r="D35" s="210"/>
      <c r="E35" s="211"/>
      <c r="F35" s="209" t="s">
        <v>375</v>
      </c>
      <c r="G35" s="210"/>
      <c r="H35" s="211"/>
    </row>
    <row r="36" spans="1:19" s="21" customFormat="1" x14ac:dyDescent="0.35">
      <c r="A36" s="208" t="s">
        <v>27</v>
      </c>
      <c r="B36" s="208" t="s">
        <v>28</v>
      </c>
      <c r="C36" s="209" t="s">
        <v>374</v>
      </c>
      <c r="D36" s="210"/>
      <c r="E36" s="211"/>
      <c r="F36" s="209" t="s">
        <v>376</v>
      </c>
      <c r="G36" s="210"/>
      <c r="H36" s="211"/>
    </row>
    <row r="37" spans="1:19" x14ac:dyDescent="0.35">
      <c r="A37" s="208" t="s">
        <v>26</v>
      </c>
      <c r="B37" s="208" t="s">
        <v>28</v>
      </c>
      <c r="C37" s="209" t="s">
        <v>374</v>
      </c>
      <c r="D37" s="210"/>
      <c r="E37" s="211"/>
      <c r="F37" s="209" t="s">
        <v>376</v>
      </c>
      <c r="G37" s="210"/>
      <c r="H37" s="211"/>
    </row>
    <row r="38" spans="1:19" x14ac:dyDescent="0.35">
      <c r="A38" s="120" t="s">
        <v>269</v>
      </c>
      <c r="B38" s="120"/>
      <c r="C38" s="120"/>
      <c r="D38" s="120"/>
      <c r="E38" s="120"/>
      <c r="F38" s="120"/>
      <c r="G38" s="120"/>
      <c r="H38" s="120"/>
    </row>
    <row r="39" spans="1:19" ht="15.75" customHeight="1" x14ac:dyDescent="0.35">
      <c r="A39" s="120" t="s">
        <v>158</v>
      </c>
      <c r="B39" s="120"/>
      <c r="C39" s="199" t="s">
        <v>368</v>
      </c>
      <c r="D39" s="199"/>
      <c r="E39" s="199"/>
      <c r="F39" s="199"/>
      <c r="G39" s="199"/>
      <c r="H39" s="199"/>
    </row>
    <row r="40" spans="1:19" x14ac:dyDescent="0.35">
      <c r="A40" s="120" t="s">
        <v>154</v>
      </c>
      <c r="B40" s="120"/>
      <c r="C40" s="235" t="s">
        <v>369</v>
      </c>
      <c r="D40" s="206"/>
      <c r="E40" s="206"/>
      <c r="F40" s="206"/>
      <c r="G40" s="206"/>
      <c r="H40" s="206"/>
    </row>
    <row r="41" spans="1:19" x14ac:dyDescent="0.35">
      <c r="A41" s="199" t="s">
        <v>32</v>
      </c>
      <c r="B41" s="199"/>
      <c r="C41" s="199"/>
      <c r="D41" s="199"/>
      <c r="E41" s="199"/>
      <c r="F41" s="199"/>
      <c r="G41" s="199"/>
      <c r="H41" s="199"/>
    </row>
    <row r="42" spans="1:19" x14ac:dyDescent="0.35">
      <c r="A42" s="120" t="s">
        <v>33</v>
      </c>
      <c r="B42" s="120"/>
      <c r="C42" s="120"/>
      <c r="D42" s="120"/>
      <c r="E42" s="228">
        <v>19999.32</v>
      </c>
      <c r="F42" s="228"/>
      <c r="G42" s="228"/>
      <c r="H42" s="228"/>
    </row>
    <row r="43" spans="1:19" x14ac:dyDescent="0.35">
      <c r="A43" s="120" t="s">
        <v>34</v>
      </c>
      <c r="B43" s="120"/>
      <c r="C43" s="120"/>
      <c r="D43" s="120"/>
      <c r="E43" s="186">
        <f>21999.25/E42</f>
        <v>1.0999998999965999</v>
      </c>
      <c r="F43" s="186"/>
      <c r="G43" s="186"/>
      <c r="H43" s="186"/>
    </row>
    <row r="44" spans="1:19" x14ac:dyDescent="0.35">
      <c r="A44" s="120" t="s">
        <v>35</v>
      </c>
      <c r="B44" s="120"/>
      <c r="C44" s="120"/>
      <c r="D44" s="120"/>
      <c r="E44" s="186">
        <f>E46/E42-E43</f>
        <v>1.5061372086650948</v>
      </c>
      <c r="F44" s="186"/>
      <c r="G44" s="186"/>
      <c r="H44" s="186"/>
    </row>
    <row r="45" spans="1:19" x14ac:dyDescent="0.35">
      <c r="A45" s="120" t="s">
        <v>36</v>
      </c>
      <c r="B45" s="120"/>
      <c r="C45" s="120"/>
      <c r="D45" s="120"/>
      <c r="E45" s="186">
        <f>E43+E44</f>
        <v>2.6061371086616947</v>
      </c>
      <c r="F45" s="186"/>
      <c r="G45" s="186"/>
      <c r="H45" s="186"/>
    </row>
    <row r="46" spans="1:19" x14ac:dyDescent="0.35">
      <c r="A46" s="120" t="s">
        <v>87</v>
      </c>
      <c r="B46" s="120"/>
      <c r="C46" s="120"/>
      <c r="D46" s="120"/>
      <c r="E46" s="217">
        <v>52120.97</v>
      </c>
      <c r="F46" s="217"/>
      <c r="G46" s="217"/>
      <c r="H46" s="217"/>
    </row>
    <row r="47" spans="1:19" x14ac:dyDescent="0.35">
      <c r="A47" s="204" t="s">
        <v>37</v>
      </c>
      <c r="B47" s="204"/>
      <c r="C47" s="204"/>
      <c r="D47" s="204"/>
      <c r="E47" s="204" t="s">
        <v>377</v>
      </c>
      <c r="F47" s="204"/>
      <c r="G47" s="204"/>
      <c r="H47" s="204"/>
    </row>
    <row r="48" spans="1:19" x14ac:dyDescent="0.35">
      <c r="A48" s="199" t="s">
        <v>38</v>
      </c>
      <c r="B48" s="199"/>
      <c r="C48" s="199"/>
      <c r="D48" s="199"/>
      <c r="E48" s="199"/>
      <c r="F48" s="199"/>
      <c r="G48" s="199"/>
      <c r="H48" s="199"/>
    </row>
    <row r="49" spans="1:24" ht="33.75" customHeight="1" x14ac:dyDescent="0.35">
      <c r="A49" s="143" t="s">
        <v>144</v>
      </c>
      <c r="B49" s="144"/>
      <c r="C49" s="219" t="s">
        <v>247</v>
      </c>
      <c r="D49" s="220"/>
      <c r="E49" s="220"/>
      <c r="F49" s="220"/>
      <c r="G49" s="220"/>
      <c r="H49" s="221"/>
      <c r="R49" t="s">
        <v>242</v>
      </c>
      <c r="S49" s="54" t="s">
        <v>164</v>
      </c>
      <c r="T49" s="54" t="s">
        <v>169</v>
      </c>
      <c r="U49" s="54" t="s">
        <v>183</v>
      </c>
      <c r="V49" s="54" t="s">
        <v>178</v>
      </c>
    </row>
    <row r="50" spans="1:24" ht="15.75" customHeight="1" x14ac:dyDescent="0.35">
      <c r="A50" s="143" t="s">
        <v>39</v>
      </c>
      <c r="B50" s="144"/>
      <c r="C50" s="143" t="s">
        <v>378</v>
      </c>
      <c r="D50" s="151"/>
      <c r="E50" s="144"/>
      <c r="F50" s="17" t="s">
        <v>40</v>
      </c>
      <c r="G50" s="152">
        <v>45366</v>
      </c>
      <c r="H50" s="153"/>
      <c r="R50"/>
      <c r="S50" s="54" t="s">
        <v>243</v>
      </c>
      <c r="T50" s="54" t="s">
        <v>248</v>
      </c>
      <c r="U50" s="54" t="s">
        <v>259</v>
      </c>
      <c r="V50" s="54" t="s">
        <v>264</v>
      </c>
    </row>
    <row r="51" spans="1:24" x14ac:dyDescent="0.35">
      <c r="A51" s="143" t="s">
        <v>41</v>
      </c>
      <c r="B51" s="144"/>
      <c r="C51" s="143" t="str">
        <f>C50</f>
        <v>MSRDC/B/2024/APL/00011</v>
      </c>
      <c r="D51" s="151"/>
      <c r="E51" s="144"/>
      <c r="F51" s="17" t="s">
        <v>40</v>
      </c>
      <c r="G51" s="152">
        <f>G50</f>
        <v>45366</v>
      </c>
      <c r="H51" s="153"/>
      <c r="R51"/>
      <c r="S51" s="54" t="s">
        <v>244</v>
      </c>
      <c r="T51" s="54" t="s">
        <v>345</v>
      </c>
      <c r="U51" s="54" t="s">
        <v>257</v>
      </c>
      <c r="V51" s="54" t="s">
        <v>265</v>
      </c>
    </row>
    <row r="52" spans="1:24" s="22" customFormat="1" ht="15.75" customHeight="1" x14ac:dyDescent="0.35">
      <c r="A52" s="225" t="s">
        <v>148</v>
      </c>
      <c r="B52" s="227"/>
      <c r="C52" s="225" t="str">
        <f>C51</f>
        <v>MSRDC/B/2024/APL/00011</v>
      </c>
      <c r="D52" s="226"/>
      <c r="E52" s="227"/>
      <c r="F52" s="17" t="s">
        <v>40</v>
      </c>
      <c r="G52" s="152">
        <v>45366</v>
      </c>
      <c r="H52" s="153"/>
      <c r="I52" s="21" t="str">
        <f ca="1">IF(G52&gt;EDATE(E3,-48),"NO REMARK","CC REMARK FOR CC")</f>
        <v>NO REMARK</v>
      </c>
      <c r="J52" s="74"/>
      <c r="R52"/>
      <c r="S52" s="54" t="s">
        <v>245</v>
      </c>
      <c r="T52" s="54" t="s">
        <v>250</v>
      </c>
      <c r="U52" s="54" t="s">
        <v>247</v>
      </c>
      <c r="V52" s="54" t="s">
        <v>266</v>
      </c>
    </row>
    <row r="53" spans="1:24" s="22" customFormat="1" x14ac:dyDescent="0.35">
      <c r="A53" s="233"/>
      <c r="B53" s="234"/>
      <c r="C53" s="143" t="s">
        <v>379</v>
      </c>
      <c r="D53" s="151"/>
      <c r="E53" s="151"/>
      <c r="F53" s="151"/>
      <c r="G53" s="151"/>
      <c r="H53" s="144"/>
      <c r="R53"/>
      <c r="S53" s="54"/>
      <c r="T53" s="54"/>
      <c r="U53" s="54"/>
      <c r="V53" s="70"/>
    </row>
    <row r="54" spans="1:24" s="22" customFormat="1" hidden="1" x14ac:dyDescent="0.35">
      <c r="A54" s="177" t="s">
        <v>270</v>
      </c>
      <c r="B54" s="178"/>
      <c r="C54" s="143"/>
      <c r="D54" s="151"/>
      <c r="E54" s="144"/>
      <c r="F54" s="17" t="s">
        <v>40</v>
      </c>
      <c r="G54" s="152"/>
      <c r="H54" s="153"/>
      <c r="K54" s="75">
        <f>EDATE(G52,-48)</f>
        <v>43905</v>
      </c>
      <c r="L54" s="22" t="str">
        <f ca="1">IF(G52&gt;EDATE(E3,-48),"NO REMARK","CC REMARK FOR CC")</f>
        <v>NO REMARK</v>
      </c>
      <c r="R54"/>
      <c r="S54" s="54" t="s">
        <v>245</v>
      </c>
      <c r="T54" s="54" t="s">
        <v>250</v>
      </c>
      <c r="U54" s="54" t="s">
        <v>247</v>
      </c>
      <c r="V54" s="54" t="s">
        <v>266</v>
      </c>
    </row>
    <row r="55" spans="1:24" s="22" customFormat="1" ht="32.25" hidden="1" customHeight="1" x14ac:dyDescent="0.35">
      <c r="A55" s="179"/>
      <c r="B55" s="180"/>
      <c r="C55" s="230"/>
      <c r="D55" s="231"/>
      <c r="E55" s="231"/>
      <c r="F55" s="231"/>
      <c r="G55" s="231"/>
      <c r="H55" s="232"/>
      <c r="R55"/>
      <c r="S55" s="54" t="s">
        <v>247</v>
      </c>
      <c r="T55" s="54" t="s">
        <v>251</v>
      </c>
      <c r="U55" s="54" t="s">
        <v>261</v>
      </c>
      <c r="V55" s="71"/>
      <c r="W55" s="20"/>
      <c r="X55" s="20"/>
    </row>
    <row r="56" spans="1:24" s="22" customFormat="1" ht="34.5" hidden="1" customHeight="1" x14ac:dyDescent="0.35">
      <c r="A56" s="177" t="s">
        <v>271</v>
      </c>
      <c r="B56" s="178"/>
      <c r="C56" s="143">
        <f>C55</f>
        <v>0</v>
      </c>
      <c r="D56" s="151"/>
      <c r="E56" s="144"/>
      <c r="F56" s="17" t="s">
        <v>40</v>
      </c>
      <c r="G56" s="152">
        <f>G55</f>
        <v>0</v>
      </c>
      <c r="H56" s="153"/>
      <c r="R56"/>
      <c r="S56" s="71"/>
      <c r="T56" s="54" t="s">
        <v>252</v>
      </c>
      <c r="U56" s="54" t="s">
        <v>262</v>
      </c>
      <c r="V56" s="71"/>
      <c r="W56" s="20"/>
      <c r="X56" s="20"/>
    </row>
    <row r="57" spans="1:24" s="22" customFormat="1" ht="41.25" hidden="1" customHeight="1" x14ac:dyDescent="0.35">
      <c r="A57" s="179"/>
      <c r="B57" s="180"/>
      <c r="C57" s="143"/>
      <c r="D57" s="151"/>
      <c r="E57" s="151"/>
      <c r="F57" s="151"/>
      <c r="G57" s="151"/>
      <c r="H57" s="144"/>
      <c r="R57"/>
      <c r="S57" s="71"/>
      <c r="T57" s="54" t="s">
        <v>254</v>
      </c>
      <c r="U57" s="54" t="s">
        <v>263</v>
      </c>
      <c r="V57" s="71"/>
      <c r="W57" s="20"/>
      <c r="X57" s="20"/>
    </row>
    <row r="58" spans="1:24" s="22" customFormat="1" ht="15.75" customHeight="1" x14ac:dyDescent="0.35">
      <c r="A58" s="155" t="s">
        <v>340</v>
      </c>
      <c r="B58" s="156"/>
      <c r="C58" s="143" t="s">
        <v>380</v>
      </c>
      <c r="D58" s="151"/>
      <c r="E58" s="144"/>
      <c r="F58" s="17" t="s">
        <v>40</v>
      </c>
      <c r="G58" s="152">
        <v>45299</v>
      </c>
      <c r="H58" s="153"/>
      <c r="R58"/>
      <c r="S58" s="71"/>
      <c r="T58" s="54" t="s">
        <v>255</v>
      </c>
      <c r="U58" s="71" t="s">
        <v>285</v>
      </c>
      <c r="V58" s="71"/>
      <c r="W58" s="20"/>
      <c r="X58" s="20"/>
    </row>
    <row r="59" spans="1:24" s="22" customFormat="1" ht="49.5" customHeight="1" x14ac:dyDescent="0.35">
      <c r="A59" s="164"/>
      <c r="B59" s="166"/>
      <c r="C59" s="149" t="s">
        <v>381</v>
      </c>
      <c r="D59" s="149"/>
      <c r="E59" s="149"/>
      <c r="F59" s="17" t="s">
        <v>341</v>
      </c>
      <c r="G59" s="152">
        <v>48220</v>
      </c>
      <c r="H59" s="153"/>
      <c r="I59" s="22" t="s">
        <v>383</v>
      </c>
      <c r="R59"/>
      <c r="S59" s="71"/>
      <c r="T59" s="54" t="s">
        <v>256</v>
      </c>
      <c r="U59" s="71"/>
      <c r="V59" s="71"/>
      <c r="W59" s="20"/>
      <c r="X59" s="20"/>
    </row>
    <row r="60" spans="1:24" s="22" customFormat="1" ht="15.75" customHeight="1" x14ac:dyDescent="0.35">
      <c r="A60" s="155" t="s">
        <v>385</v>
      </c>
      <c r="B60" s="156"/>
      <c r="C60" s="143" t="s">
        <v>384</v>
      </c>
      <c r="D60" s="151"/>
      <c r="E60" s="144"/>
      <c r="F60" s="17" t="s">
        <v>40</v>
      </c>
      <c r="G60" s="152">
        <v>45238</v>
      </c>
      <c r="H60" s="153"/>
      <c r="K60" s="75"/>
      <c r="R60"/>
      <c r="S60" s="54" t="s">
        <v>245</v>
      </c>
      <c r="T60" s="54" t="s">
        <v>250</v>
      </c>
      <c r="U60" s="54" t="s">
        <v>247</v>
      </c>
      <c r="V60" s="54" t="s">
        <v>266</v>
      </c>
    </row>
    <row r="61" spans="1:24" x14ac:dyDescent="0.35">
      <c r="A61" s="170" t="s">
        <v>42</v>
      </c>
      <c r="B61" s="171"/>
      <c r="C61" s="170" t="s">
        <v>101</v>
      </c>
      <c r="D61" s="172"/>
      <c r="E61" s="171"/>
      <c r="F61" s="43" t="s">
        <v>40</v>
      </c>
      <c r="G61" s="175" t="s">
        <v>28</v>
      </c>
      <c r="H61" s="176"/>
      <c r="R61"/>
      <c r="S61" s="71"/>
      <c r="T61" s="54" t="s">
        <v>258</v>
      </c>
      <c r="U61" s="71"/>
      <c r="V61" s="71"/>
    </row>
    <row r="62" spans="1:24" x14ac:dyDescent="0.35">
      <c r="A62" s="201" t="s">
        <v>44</v>
      </c>
      <c r="B62" s="201"/>
      <c r="C62" s="201"/>
      <c r="D62" s="201"/>
      <c r="E62" s="201"/>
      <c r="F62" s="201"/>
      <c r="G62" s="201"/>
      <c r="H62" s="201"/>
      <c r="S62" s="71"/>
      <c r="T62" s="54" t="s">
        <v>267</v>
      </c>
      <c r="U62" s="71"/>
      <c r="V62" s="71"/>
    </row>
    <row r="63" spans="1:24" x14ac:dyDescent="0.35">
      <c r="A63" s="149" t="s">
        <v>86</v>
      </c>
      <c r="B63" s="149"/>
      <c r="C63" s="149"/>
      <c r="D63" s="120">
        <f>E46</f>
        <v>52120.97</v>
      </c>
      <c r="E63" s="120"/>
      <c r="F63" s="120"/>
      <c r="G63" s="120"/>
      <c r="H63" s="120"/>
      <c r="R63"/>
    </row>
    <row r="64" spans="1:24" x14ac:dyDescent="0.35">
      <c r="A64" s="206" t="s">
        <v>45</v>
      </c>
      <c r="B64" s="204"/>
      <c r="C64" s="204"/>
      <c r="D64" s="174" t="s">
        <v>414</v>
      </c>
      <c r="E64" s="174"/>
      <c r="F64" s="174"/>
      <c r="G64" s="174"/>
      <c r="H64" s="174"/>
      <c r="I64" s="23"/>
      <c r="R64"/>
    </row>
    <row r="65" spans="1:19" ht="65.25" customHeight="1" x14ac:dyDescent="0.35">
      <c r="A65" s="155" t="s">
        <v>46</v>
      </c>
      <c r="B65" s="160"/>
      <c r="C65" s="156"/>
      <c r="D65" s="150" t="s">
        <v>386</v>
      </c>
      <c r="E65" s="218"/>
      <c r="F65" s="218"/>
      <c r="G65" s="218"/>
      <c r="H65" s="218"/>
      <c r="R65"/>
    </row>
    <row r="66" spans="1:19" ht="15.75" customHeight="1" x14ac:dyDescent="0.35">
      <c r="A66" s="155" t="s">
        <v>84</v>
      </c>
      <c r="B66" s="160"/>
      <c r="C66" s="156"/>
      <c r="D66" s="222" t="s">
        <v>387</v>
      </c>
      <c r="E66" s="223"/>
      <c r="F66" s="223"/>
      <c r="G66" s="223"/>
      <c r="H66" s="224"/>
      <c r="I66" s="89" t="s">
        <v>382</v>
      </c>
      <c r="R66"/>
    </row>
    <row r="67" spans="1:19" ht="15.75" customHeight="1" x14ac:dyDescent="0.35">
      <c r="A67" s="161"/>
      <c r="B67" s="162"/>
      <c r="C67" s="163"/>
      <c r="D67" s="145" t="s">
        <v>388</v>
      </c>
      <c r="E67" s="146"/>
      <c r="F67" s="146"/>
      <c r="G67" s="146"/>
      <c r="H67" s="147"/>
      <c r="R67"/>
    </row>
    <row r="68" spans="1:19" ht="15.75" customHeight="1" x14ac:dyDescent="0.35">
      <c r="A68" s="161"/>
      <c r="B68" s="162"/>
      <c r="C68" s="163"/>
      <c r="D68" s="145" t="s">
        <v>389</v>
      </c>
      <c r="E68" s="146"/>
      <c r="F68" s="146"/>
      <c r="G68" s="146"/>
      <c r="H68" s="147"/>
      <c r="S68"/>
    </row>
    <row r="69" spans="1:19" ht="15.75" customHeight="1" x14ac:dyDescent="0.35">
      <c r="A69" s="164"/>
      <c r="B69" s="165"/>
      <c r="C69" s="166"/>
      <c r="D69" s="157" t="s">
        <v>390</v>
      </c>
      <c r="E69" s="158"/>
      <c r="F69" s="158"/>
      <c r="G69" s="158"/>
      <c r="H69" s="159"/>
      <c r="S69"/>
    </row>
    <row r="70" spans="1:19" ht="15.75" customHeight="1" x14ac:dyDescent="0.35">
      <c r="A70" s="120" t="s">
        <v>43</v>
      </c>
      <c r="B70" s="120"/>
      <c r="C70" s="120"/>
      <c r="D70" s="229" t="s">
        <v>391</v>
      </c>
      <c r="E70" s="229"/>
      <c r="F70" s="229"/>
      <c r="G70" s="229"/>
      <c r="H70" s="229"/>
      <c r="J70" s="24"/>
      <c r="K70" s="23"/>
      <c r="N70" s="23"/>
      <c r="S70"/>
    </row>
    <row r="71" spans="1:19" ht="15.75" customHeight="1" x14ac:dyDescent="0.35">
      <c r="A71" s="120" t="s">
        <v>82</v>
      </c>
      <c r="B71" s="120"/>
      <c r="C71" s="120"/>
      <c r="D71" s="216" t="str">
        <f>(IF(G61="NA","60 Years After Completion",IF(G61&lt;&gt;"NA",""&amp;60-ROUNDDOWN((E3-G61)/360,0)&amp;" Years"," ")))</f>
        <v>60 Years After Completion</v>
      </c>
      <c r="E71" s="216"/>
      <c r="F71" s="216"/>
      <c r="G71" s="216"/>
      <c r="H71" s="216"/>
      <c r="N71" s="23"/>
      <c r="S71"/>
    </row>
    <row r="72" spans="1:19" ht="15.75" customHeight="1" x14ac:dyDescent="0.35">
      <c r="A72" s="120" t="s">
        <v>83</v>
      </c>
      <c r="B72" s="120"/>
      <c r="C72" s="120"/>
      <c r="D72" s="149" t="s">
        <v>23</v>
      </c>
      <c r="E72" s="149"/>
      <c r="F72" s="149"/>
      <c r="G72" s="149"/>
      <c r="H72" s="149"/>
      <c r="J72" s="25"/>
      <c r="K72" s="25"/>
      <c r="S72"/>
    </row>
    <row r="73" spans="1:19" ht="69.75" customHeight="1" x14ac:dyDescent="0.35">
      <c r="A73" s="204" t="s">
        <v>402</v>
      </c>
      <c r="B73" s="204"/>
      <c r="C73" s="204"/>
      <c r="D73" s="206" t="s">
        <v>401</v>
      </c>
      <c r="E73" s="149"/>
      <c r="F73" s="149"/>
      <c r="G73" s="149"/>
      <c r="H73" s="149"/>
      <c r="S73"/>
    </row>
    <row r="74" spans="1:19" x14ac:dyDescent="0.35">
      <c r="A74" s="149" t="s">
        <v>141</v>
      </c>
      <c r="B74" s="149"/>
      <c r="C74" s="149"/>
      <c r="D74" s="149" t="s">
        <v>28</v>
      </c>
      <c r="E74" s="149"/>
      <c r="F74" s="149"/>
      <c r="G74" s="149"/>
      <c r="H74" s="149"/>
      <c r="I74" s="26"/>
      <c r="J74" s="26"/>
      <c r="K74" s="26"/>
      <c r="L74" s="26"/>
      <c r="M74" s="26"/>
      <c r="N74" s="26"/>
    </row>
    <row r="75" spans="1:19" ht="15.75" customHeight="1" x14ac:dyDescent="0.35">
      <c r="A75" s="120" t="s">
        <v>81</v>
      </c>
      <c r="B75" s="120"/>
      <c r="C75" s="120"/>
      <c r="D75" s="206" t="str">
        <f ca="1">(IF(G81&gt;95%,"Nothing",IF(G81&gt;0%,"Cement, Aggregate, Steel, etc",IF(G81=0%,"Work not yet Started"))))</f>
        <v>Cement, Aggregate, Steel, etc</v>
      </c>
      <c r="E75" s="206"/>
      <c r="F75" s="206"/>
      <c r="G75" s="206"/>
      <c r="H75" s="206"/>
      <c r="J75" s="25"/>
      <c r="S75"/>
    </row>
    <row r="76" spans="1:19" ht="33.75" customHeight="1" thickBot="1" x14ac:dyDescent="0.4">
      <c r="A76" s="149" t="s">
        <v>114</v>
      </c>
      <c r="B76" s="149"/>
      <c r="C76" s="149"/>
      <c r="D76" s="206" t="str">
        <f ca="1">(IF(D75="Nothing","Yes",IF(D75="Cement, Aggregate, Steel, etc","Under Construction",IF(D75="Work not yet Started","Work not yet Started"))))</f>
        <v>Under Construction</v>
      </c>
      <c r="E76" s="206"/>
      <c r="F76" s="206" t="str">
        <f ca="1">(IF(D75="Nothing","Yes",IF(D75="Cement, Aggregate, Steel, etc","Under Construction",IF(D75="Work not yet Started","Work not yet Started"))))</f>
        <v>Under Construction</v>
      </c>
      <c r="G76" s="206"/>
      <c r="H76" s="206"/>
      <c r="S76"/>
    </row>
    <row r="77" spans="1:19" ht="15.75" customHeight="1" x14ac:dyDescent="0.35">
      <c r="A77" s="251" t="s">
        <v>133</v>
      </c>
      <c r="B77" s="251"/>
      <c r="C77" s="251" t="str">
        <f>D66</f>
        <v>Building A = G + 3P + 1st to 34th Floor</v>
      </c>
      <c r="D77" s="251"/>
      <c r="E77" s="251"/>
      <c r="F77" s="251"/>
      <c r="G77" s="251"/>
      <c r="H77" s="251"/>
      <c r="I77" s="244" t="str">
        <f ca="1">IF(D90=100%,"All work Completed. Possession granted to the Building.",IF(D89=100%,"All work Completed, Waiting for OC",I78&amp;""&amp;I79&amp;""&amp;J78&amp;""&amp;J77&amp;" "&amp;J79))</f>
        <v xml:space="preserve">Excavation, Plinth Completed </v>
      </c>
      <c r="J77" s="48" t="str">
        <f ca="1">(IF(C83=(D78+F78+H78),"",IF(C83&gt;0,", RCC upto "&amp;C83&amp;" Slab","")))&amp;(IF(C84=H78,"",IF(C84&gt;0,", Brickwork upto "&amp;C84&amp;" Floor","")))&amp;(IF(C85=H78,"",IF(C85&gt;0,", Internal Plaster upto "&amp;C85&amp;" Floor","")))&amp;(IF(C86=H78,"",IF(C86&gt;0,", External Plaster upto "&amp;C86&amp;" Floor","")))&amp;(IF(C87=H78,"",IF(C87&gt;0,", Flooring upto "&amp;C87&amp;" Floor","")))&amp;(IF(C88=H78,"",IF(C88&gt;0,", Painting upto "&amp;C88&amp;" Floor","")))&amp;(IF(C89=H78,"",IF(C89&gt;0,", Finishing upto "&amp;C89&amp;" Floor","")))&amp;(IF(C90=H78,"",IF(C90&gt;0,", Possession upto "&amp;C90&amp;" Floor","")))</f>
        <v/>
      </c>
      <c r="K77" s="21" t="s">
        <v>421</v>
      </c>
      <c r="S77"/>
    </row>
    <row r="78" spans="1:19" x14ac:dyDescent="0.35">
      <c r="A78" s="45" t="s">
        <v>135</v>
      </c>
      <c r="B78" s="45">
        <f>IF(AND(ISNUMBER(SEARCH("1B",C77))),1,IF(AND(ISNUMBER(SEARCH("2B",C77))),2,IF(AND(ISNUMBER(SEARCH("3B",C77))),3,IF(AND(ISNUMBER(SEARCH("4B",C77))),4,IF(ISNUMBER(SEARCH("5B",C77)),5,0)))))</f>
        <v>0</v>
      </c>
      <c r="C78" s="45" t="s">
        <v>68</v>
      </c>
      <c r="D78" s="45">
        <v>1</v>
      </c>
      <c r="E78" s="45" t="s">
        <v>67</v>
      </c>
      <c r="F78" s="45">
        <v>3</v>
      </c>
      <c r="G78" s="46" t="s">
        <v>75</v>
      </c>
      <c r="H78" s="45">
        <f ca="1">--TRIM(RIGHT(SUBSTITUTE(LEFT(C77,_xlfn.AGGREGATE(16,6,FIND({0,1,2,3,4,5,6,7,8,9},C77,ROW(INDIRECT("1:"&amp;LEN(C77)))),1))," ",REPT(" ",LEN(C77))),LEN(C77)))</f>
        <v>34</v>
      </c>
      <c r="I78" s="245" t="str">
        <f ca="1">IF(D81=100%,"Excavation","")&amp;IF(D82=100%,", Plinth","")&amp;IF(D83=100%,", RCC Slab","")&amp;IF(D84=100%,", Brickwork","")&amp;IF(D85=100%,", Internal Plaster","")&amp;IF(D86=100%,", External Plaster","")&amp;IF(D87=100%,", Flooring","")&amp;IF(D88=100%,", Painting","")&amp;IF(D89=100%,", Building common Amenities","")</f>
        <v>Excavation, Plinth</v>
      </c>
      <c r="J78" s="50" t="str">
        <f ca="1">(IF(C81=0,"Work not yet Started.",IF(D81=25%,"Piling work in process",IF(D81=50%,"Excavation work in process",IF(D81=100%,"","0")))))&amp;(IF(C82=0%,"",IF(C82=J83,", Footing work is process",IF(C82=J84,", Footing work Completed",IF(C82=J85,", 1st Basement Completed",IF(C82=J86,", 1st &amp; 2nd Basement Completed",IF(C82=J87,", 1st to 3rd Basement Completed",IF(C82=J88,", 1st to 4th Basement Completed",IF(C82=J89,", Plinth work is process",IF(C82=J90,"","0"))))))))))</f>
        <v/>
      </c>
      <c r="S78"/>
    </row>
    <row r="79" spans="1:19" x14ac:dyDescent="0.35">
      <c r="A79" s="135" t="s">
        <v>85</v>
      </c>
      <c r="B79" s="135"/>
      <c r="C79" s="132" t="str">
        <f ca="1">I77</f>
        <v xml:space="preserve">Excavation, Plinth Completed </v>
      </c>
      <c r="D79" s="132"/>
      <c r="E79" s="132"/>
      <c r="F79" s="132"/>
      <c r="G79" s="132"/>
      <c r="H79" s="132"/>
      <c r="I79" s="245" t="str">
        <f ca="1">IF(I78&lt;&gt;""," Completed","")</f>
        <v xml:space="preserve"> Completed</v>
      </c>
      <c r="J79" s="50" t="str">
        <f ca="1">IF(J77&lt;&gt;"","Completed","")</f>
        <v/>
      </c>
      <c r="S79"/>
    </row>
    <row r="80" spans="1:19" ht="15.75" customHeight="1" x14ac:dyDescent="0.35">
      <c r="A80" s="126" t="s">
        <v>47</v>
      </c>
      <c r="B80" s="126"/>
      <c r="C80" s="99" t="s">
        <v>132</v>
      </c>
      <c r="D80" s="99" t="s">
        <v>78</v>
      </c>
      <c r="E80" s="126" t="s">
        <v>80</v>
      </c>
      <c r="F80" s="126"/>
      <c r="G80" s="126" t="s">
        <v>79</v>
      </c>
      <c r="H80" s="126"/>
      <c r="I80" s="13" t="s">
        <v>134</v>
      </c>
      <c r="J80" s="27">
        <f ca="1">H78*25%</f>
        <v>8.5</v>
      </c>
      <c r="S80"/>
    </row>
    <row r="81" spans="1:19" x14ac:dyDescent="0.35">
      <c r="A81" s="126" t="s">
        <v>121</v>
      </c>
      <c r="B81" s="126"/>
      <c r="C81" s="96">
        <f ca="1">J82</f>
        <v>34</v>
      </c>
      <c r="D81" s="18">
        <f ca="1">((100/H78)*C81)/100</f>
        <v>1</v>
      </c>
      <c r="E81" s="252">
        <f ca="1">(((C82/H78*10)+(40/(D78+F78+H78)*C83)+(7.5/(H78)*C84)+(7.5/(H78)*C85)+(10/H78*C86)+(10/H78*C87)+(5/H78*C88)+(5/H78*C89)+(5/H78*C90))/100)</f>
        <v>0.1</v>
      </c>
      <c r="F81" s="252"/>
      <c r="G81" s="252">
        <f ca="1">((((C81/H78)*20)+((C82/H78)*25)+(30/(H78+F78+D78)*C83)+(5/H78*C84)+(5/H78*C85)+(5/H78*C86)+(5/H78*C87)+(0/H78*C88)+(0/H78*C89)+(5/H78*C90))/100)</f>
        <v>0.45</v>
      </c>
      <c r="H81" s="252"/>
      <c r="I81" s="13" t="s">
        <v>96</v>
      </c>
      <c r="J81" s="28">
        <f ca="1">H78*50%</f>
        <v>17</v>
      </c>
    </row>
    <row r="82" spans="1:19" x14ac:dyDescent="0.35">
      <c r="A82" s="126" t="s">
        <v>48</v>
      </c>
      <c r="B82" s="126"/>
      <c r="C82" s="97">
        <f ca="1">J90</f>
        <v>34</v>
      </c>
      <c r="D82" s="18">
        <f ca="1">((100/H78)*C82)/100</f>
        <v>1</v>
      </c>
      <c r="E82" s="252"/>
      <c r="F82" s="252"/>
      <c r="G82" s="252"/>
      <c r="H82" s="252"/>
      <c r="I82" s="13" t="s">
        <v>97</v>
      </c>
      <c r="J82" s="28">
        <f ca="1">H78</f>
        <v>34</v>
      </c>
      <c r="S82"/>
    </row>
    <row r="83" spans="1:19" ht="15.75" customHeight="1" x14ac:dyDescent="0.35">
      <c r="A83" s="126" t="s">
        <v>122</v>
      </c>
      <c r="B83" s="126"/>
      <c r="C83" s="96">
        <v>0</v>
      </c>
      <c r="D83" s="18">
        <f ca="1">((100/(D78+F78+H78))*C83)/100</f>
        <v>0</v>
      </c>
      <c r="E83" s="252"/>
      <c r="F83" s="252"/>
      <c r="G83" s="252"/>
      <c r="H83" s="252"/>
      <c r="I83" s="13" t="s">
        <v>98</v>
      </c>
      <c r="J83" s="29">
        <f ca="1">(IF(B78&gt;1,(H78/(B78+2)),H78/4))</f>
        <v>8.5</v>
      </c>
      <c r="S83"/>
    </row>
    <row r="84" spans="1:19" ht="15.75" customHeight="1" x14ac:dyDescent="0.35">
      <c r="A84" s="126" t="s">
        <v>129</v>
      </c>
      <c r="B84" s="126" t="s">
        <v>123</v>
      </c>
      <c r="C84" s="96">
        <v>0</v>
      </c>
      <c r="D84" s="18">
        <f ca="1">((100/H78)*C84)/100</f>
        <v>0</v>
      </c>
      <c r="E84" s="252"/>
      <c r="F84" s="252"/>
      <c r="G84" s="252"/>
      <c r="H84" s="252"/>
      <c r="I84" s="13" t="s">
        <v>99</v>
      </c>
      <c r="J84" s="29">
        <f ca="1">(IF(B78&gt;1,(H78/(B78+2)+J83),H78/4+J83))</f>
        <v>17</v>
      </c>
    </row>
    <row r="85" spans="1:19" ht="15.75" customHeight="1" x14ac:dyDescent="0.35">
      <c r="A85" s="126" t="s">
        <v>130</v>
      </c>
      <c r="B85" s="126" t="s">
        <v>123</v>
      </c>
      <c r="C85" s="96">
        <v>0</v>
      </c>
      <c r="D85" s="18">
        <f ca="1">((100/H78)*C85)/100</f>
        <v>0</v>
      </c>
      <c r="E85" s="252"/>
      <c r="F85" s="252"/>
      <c r="G85" s="252"/>
      <c r="H85" s="252"/>
      <c r="I85" s="13" t="s">
        <v>139</v>
      </c>
      <c r="J85" s="29">
        <f>(IF(B78&gt;1,(H78/(B78+2)+J84),0))</f>
        <v>0</v>
      </c>
    </row>
    <row r="86" spans="1:19" ht="15" customHeight="1" x14ac:dyDescent="0.35">
      <c r="A86" s="126" t="s">
        <v>128</v>
      </c>
      <c r="B86" s="126" t="s">
        <v>125</v>
      </c>
      <c r="C86" s="96">
        <v>0</v>
      </c>
      <c r="D86" s="18">
        <f ca="1">((100/(H78))*C86)/100</f>
        <v>0</v>
      </c>
      <c r="E86" s="252"/>
      <c r="F86" s="252"/>
      <c r="G86" s="252"/>
      <c r="H86" s="252"/>
      <c r="I86" s="13" t="s">
        <v>136</v>
      </c>
      <c r="J86" s="29">
        <f>(IF(B78&gt;2,(H78/(B78+2)+J85),0))</f>
        <v>0</v>
      </c>
    </row>
    <row r="87" spans="1:19" ht="15.75" customHeight="1" x14ac:dyDescent="0.35">
      <c r="A87" s="126" t="s">
        <v>124</v>
      </c>
      <c r="B87" s="126" t="s">
        <v>124</v>
      </c>
      <c r="C87" s="96">
        <v>0</v>
      </c>
      <c r="D87" s="18">
        <f ca="1">((100/H78)*C87)/100</f>
        <v>0</v>
      </c>
      <c r="E87" s="252"/>
      <c r="F87" s="252"/>
      <c r="G87" s="252"/>
      <c r="H87" s="252"/>
      <c r="I87" s="13" t="s">
        <v>137</v>
      </c>
      <c r="J87" s="30">
        <f>(IF(B78&gt;3,(H78/(B78+2)+J86),0))</f>
        <v>0</v>
      </c>
    </row>
    <row r="88" spans="1:19" ht="15.75" customHeight="1" x14ac:dyDescent="0.35">
      <c r="A88" s="126" t="s">
        <v>131</v>
      </c>
      <c r="B88" s="126"/>
      <c r="C88" s="96">
        <v>0</v>
      </c>
      <c r="D88" s="18">
        <f ca="1">((100/H78)*C88)/100</f>
        <v>0</v>
      </c>
      <c r="E88" s="252"/>
      <c r="F88" s="252"/>
      <c r="G88" s="252"/>
      <c r="H88" s="252"/>
      <c r="I88" s="13" t="s">
        <v>138</v>
      </c>
      <c r="J88" s="29">
        <f>(IF(B78&gt;4,(H78/(B78+2)+J87),0))</f>
        <v>0</v>
      </c>
    </row>
    <row r="89" spans="1:19" ht="15.75" customHeight="1" x14ac:dyDescent="0.35">
      <c r="A89" s="126" t="s">
        <v>126</v>
      </c>
      <c r="B89" s="126" t="s">
        <v>126</v>
      </c>
      <c r="C89" s="96">
        <v>0</v>
      </c>
      <c r="D89" s="18">
        <f ca="1">((100/(H78))*C89)/100</f>
        <v>0</v>
      </c>
      <c r="E89" s="252"/>
      <c r="F89" s="252"/>
      <c r="G89" s="252"/>
      <c r="H89" s="252"/>
      <c r="I89" s="13" t="s">
        <v>140</v>
      </c>
      <c r="J89" s="29">
        <f ca="1">(IF(B78=1,(H78/(B78+3)+J84),IF(B78=0,(H78/4+J84),IF(B78&gt;1,0))))</f>
        <v>25.5</v>
      </c>
    </row>
    <row r="90" spans="1:19" ht="16" thickBot="1" x14ac:dyDescent="0.4">
      <c r="A90" s="126" t="s">
        <v>127</v>
      </c>
      <c r="B90" s="126"/>
      <c r="C90" s="96">
        <v>0</v>
      </c>
      <c r="D90" s="18">
        <f ca="1">((100/(H78))*C90)/100</f>
        <v>0</v>
      </c>
      <c r="E90" s="252"/>
      <c r="F90" s="252"/>
      <c r="G90" s="252"/>
      <c r="H90" s="252"/>
      <c r="I90" s="14" t="s">
        <v>100</v>
      </c>
      <c r="J90" s="31">
        <f ca="1">(IF(B78&gt;1.5,(H78/(B78+2)+J84+MAX(0,J85-J84)+MAX(0,J86-J85)+MAX(0,J87-J86)+MAX(0,J88-J87)+MAX(0,J89-J88)),IF(B78=1,(H78/(B78+3)+J89),IF(B78=0,H78/4+J89))))</f>
        <v>34</v>
      </c>
    </row>
    <row r="91" spans="1:19" ht="15.75" customHeight="1" x14ac:dyDescent="0.35">
      <c r="A91" s="246" t="s">
        <v>133</v>
      </c>
      <c r="B91" s="247"/>
      <c r="C91" s="248" t="str">
        <f>D67</f>
        <v>Building B = G + 3P + 1st to 34th Floor</v>
      </c>
      <c r="D91" s="249"/>
      <c r="E91" s="249"/>
      <c r="F91" s="249"/>
      <c r="G91" s="249"/>
      <c r="H91" s="250"/>
      <c r="I91" s="47" t="str">
        <f ca="1">IF(D104=100%,"All work Completed. Possession granted to the Building.",IF(D103=100%,"All work Completed, Waiting for OC",I92&amp;""&amp;I93&amp;""&amp;J92&amp;""&amp;J91&amp;" "&amp;J93))</f>
        <v xml:space="preserve">Excavation Completed </v>
      </c>
      <c r="J91" s="48" t="str">
        <f ca="1">(IF(C97=(D92+F92+H92),"",IF(C97&gt;0,", RCC upto "&amp;C97&amp;" Slab","")))&amp;(IF(C98=H92,"",IF(C98&gt;0,", Brickwork upto "&amp;C98&amp;" Floor","")))&amp;(IF(C99=H92,"",IF(C99&gt;0,", Internal Plaster upto "&amp;C99&amp;" Floor","")))&amp;(IF(C100=H92,"",IF(C100&gt;0,", External Plaster upto "&amp;C100&amp;" Floor","")))&amp;(IF(C101=H92,"",IF(C101&gt;0,", Flooring upto "&amp;C101&amp;" Floor","")))&amp;(IF(C102=H92,"",IF(C102&gt;0,", Painting upto "&amp;C102&amp;" Floor","")))&amp;(IF(C103=H92,"",IF(C103&gt;0,", Finishing upto "&amp;C103&amp;" Floor","")))&amp;(IF(C104=H92,"",IF(C104&gt;0,", Possession upto "&amp;C104&amp;" Floor","")))</f>
        <v/>
      </c>
      <c r="S91"/>
    </row>
    <row r="92" spans="1:19" x14ac:dyDescent="0.35">
      <c r="A92" s="15" t="s">
        <v>135</v>
      </c>
      <c r="B92" s="45">
        <f>IF(AND(ISNUMBER(SEARCH("1B",C91))),1,IF(AND(ISNUMBER(SEARCH("2B",C91))),2,IF(AND(ISNUMBER(SEARCH("3B",C91))),3,IF(AND(ISNUMBER(SEARCH("4B",C91))),4,IF(ISNUMBER(SEARCH("5B",C91)),5,0)))))</f>
        <v>0</v>
      </c>
      <c r="C92" s="45" t="s">
        <v>68</v>
      </c>
      <c r="D92" s="45">
        <v>1</v>
      </c>
      <c r="E92" s="45" t="s">
        <v>67</v>
      </c>
      <c r="F92" s="45">
        <v>3</v>
      </c>
      <c r="G92" s="46" t="s">
        <v>75</v>
      </c>
      <c r="H92" s="16">
        <f ca="1">--TRIM(RIGHT(SUBSTITUTE(LEFT(C91,_xlfn.AGGREGATE(16,6,FIND({0,1,2,3,4,5,6,7,8,9},C91,ROW(INDIRECT("1:"&amp;LEN(C91)))),1))," ",REPT(" ",LEN(C91))),LEN(C91)))</f>
        <v>34</v>
      </c>
      <c r="I92" s="49" t="str">
        <f ca="1">IF(D95=100%,"Excavation","")&amp;IF(D96=100%,", Plinth","")&amp;IF(D97=100%,", RCC Slab","")&amp;IF(D98=100%,", Brickwork","")&amp;IF(D99=100%,", Internal Plaster","")&amp;IF(D100=100%,", External Plaster","")&amp;IF(D101=100%,", Flooring","")&amp;IF(D102=100%,", Painting","")&amp;IF(D103=100%,", Building common Amenities","")</f>
        <v>Excavation</v>
      </c>
      <c r="J92" s="50" t="str">
        <f ca="1">(IF(C95=0,"Work not yet Started.",IF(D95=25%,"Piling work in process",IF(D95=50%,"Excavation work in process",IF(D95=100%,"","0")))))&amp;(IF(C96=0%,"",IF(C96=J97,", Footing work is process",IF(C96=J98,", Footing work Completed",IF(C96=J99,", 1st Basement Completed",IF(C96=J100,", 1st &amp; 2nd Basement Completed",IF(C96=J101,", 1st to 3rd Basement Completed",IF(C96=J102,", 1st to 4th Basement Completed",IF(C96=J103,", Plinth work is process",IF(C96=J104,"","0"))))))))))</f>
        <v/>
      </c>
      <c r="S92"/>
    </row>
    <row r="93" spans="1:19" x14ac:dyDescent="0.35">
      <c r="A93" s="134" t="s">
        <v>85</v>
      </c>
      <c r="B93" s="135"/>
      <c r="C93" s="132" t="str">
        <f ca="1">I91</f>
        <v xml:space="preserve">Excavation Completed </v>
      </c>
      <c r="D93" s="132"/>
      <c r="E93" s="132"/>
      <c r="F93" s="132"/>
      <c r="G93" s="132"/>
      <c r="H93" s="133"/>
      <c r="I93" s="49" t="str">
        <f ca="1">IF(I92&lt;&gt;""," Completed","")</f>
        <v xml:space="preserve"> Completed</v>
      </c>
      <c r="J93" s="50" t="str">
        <f ca="1">IF(J91&lt;&gt;"","Completed","")</f>
        <v/>
      </c>
      <c r="S93"/>
    </row>
    <row r="94" spans="1:19" ht="15.75" customHeight="1" x14ac:dyDescent="0.35">
      <c r="A94" s="125" t="s">
        <v>47</v>
      </c>
      <c r="B94" s="126"/>
      <c r="C94" s="42" t="s">
        <v>132</v>
      </c>
      <c r="D94" s="42" t="s">
        <v>78</v>
      </c>
      <c r="E94" s="126" t="s">
        <v>80</v>
      </c>
      <c r="F94" s="126"/>
      <c r="G94" s="126" t="s">
        <v>79</v>
      </c>
      <c r="H94" s="136"/>
      <c r="I94" s="13" t="s">
        <v>134</v>
      </c>
      <c r="J94" s="27">
        <f ca="1">H92*25%</f>
        <v>8.5</v>
      </c>
      <c r="S94"/>
    </row>
    <row r="95" spans="1:19" x14ac:dyDescent="0.35">
      <c r="A95" s="125" t="s">
        <v>121</v>
      </c>
      <c r="B95" s="126"/>
      <c r="C95" s="96">
        <f ca="1">J96</f>
        <v>34</v>
      </c>
      <c r="D95" s="18">
        <f ca="1">((100/H92)*C95)/100</f>
        <v>1</v>
      </c>
      <c r="E95" s="137">
        <f ca="1">(((C96/H92*10)+(40/(D92+F92+H92)*C97)+(7.5/(H92)*C98)+(7.5/(H92)*C99)+(10/H92*C100)+(10/H92*C101)+(5/H92*C102)+(5/H92*C103)+(5/H92*C104))/100)</f>
        <v>0</v>
      </c>
      <c r="F95" s="138"/>
      <c r="G95" s="137">
        <f ca="1">((((C95/H92)*20)+((C96/H92)*25)+(30/(H92+F92+D92)*C97)+(5/H92*C98)+(5/H92*C99)+(5/H92*C100)+(5/H92*C101)+(0/H92*C102)+(0/H92*C103)+(5/H92*C104))/100)</f>
        <v>0.2</v>
      </c>
      <c r="H95" s="188"/>
      <c r="I95" s="13" t="s">
        <v>96</v>
      </c>
      <c r="J95" s="28">
        <f ca="1">H92*50%</f>
        <v>17</v>
      </c>
    </row>
    <row r="96" spans="1:19" x14ac:dyDescent="0.35">
      <c r="A96" s="125" t="s">
        <v>48</v>
      </c>
      <c r="B96" s="126"/>
      <c r="C96" s="97">
        <v>0</v>
      </c>
      <c r="D96" s="18">
        <f ca="1">((100/H92)*C96)/100</f>
        <v>0</v>
      </c>
      <c r="E96" s="139"/>
      <c r="F96" s="140"/>
      <c r="G96" s="139"/>
      <c r="H96" s="189"/>
      <c r="I96" s="13" t="s">
        <v>97</v>
      </c>
      <c r="J96" s="28">
        <f ca="1">H92</f>
        <v>34</v>
      </c>
      <c r="S96"/>
    </row>
    <row r="97" spans="1:19" ht="15.75" customHeight="1" x14ac:dyDescent="0.35">
      <c r="A97" s="125" t="s">
        <v>122</v>
      </c>
      <c r="B97" s="126"/>
      <c r="C97" s="96">
        <v>0</v>
      </c>
      <c r="D97" s="18">
        <f ca="1">((100/(D92+F92+H92))*C97)/100</f>
        <v>0</v>
      </c>
      <c r="E97" s="139"/>
      <c r="F97" s="140"/>
      <c r="G97" s="139"/>
      <c r="H97" s="189"/>
      <c r="I97" s="13" t="s">
        <v>98</v>
      </c>
      <c r="J97" s="29">
        <f ca="1">(IF(B92&gt;1,(H92/(B92+2)),H92/4))</f>
        <v>8.5</v>
      </c>
      <c r="S97"/>
    </row>
    <row r="98" spans="1:19" ht="15.75" customHeight="1" x14ac:dyDescent="0.35">
      <c r="A98" s="125" t="s">
        <v>129</v>
      </c>
      <c r="B98" s="126" t="s">
        <v>123</v>
      </c>
      <c r="C98" s="96">
        <v>0</v>
      </c>
      <c r="D98" s="18">
        <f ca="1">((100/H92)*C98)/100</f>
        <v>0</v>
      </c>
      <c r="E98" s="139"/>
      <c r="F98" s="140"/>
      <c r="G98" s="139"/>
      <c r="H98" s="189"/>
      <c r="I98" s="13" t="s">
        <v>99</v>
      </c>
      <c r="J98" s="29">
        <f ca="1">(IF(B92&gt;1,(H92/(B92+2)+J97),H92/4+J97))</f>
        <v>17</v>
      </c>
    </row>
    <row r="99" spans="1:19" ht="15.75" customHeight="1" x14ac:dyDescent="0.35">
      <c r="A99" s="125" t="s">
        <v>130</v>
      </c>
      <c r="B99" s="126" t="s">
        <v>123</v>
      </c>
      <c r="C99" s="96">
        <v>0</v>
      </c>
      <c r="D99" s="18">
        <f ca="1">((100/H92)*C99)/100</f>
        <v>0</v>
      </c>
      <c r="E99" s="139"/>
      <c r="F99" s="140"/>
      <c r="G99" s="139"/>
      <c r="H99" s="189"/>
      <c r="I99" s="13" t="s">
        <v>139</v>
      </c>
      <c r="J99" s="29">
        <f>(IF(B92&gt;1,(H92/(B92+2)+J98),0))</f>
        <v>0</v>
      </c>
    </row>
    <row r="100" spans="1:19" ht="15" customHeight="1" x14ac:dyDescent="0.35">
      <c r="A100" s="125" t="s">
        <v>128</v>
      </c>
      <c r="B100" s="126" t="s">
        <v>125</v>
      </c>
      <c r="C100" s="96">
        <v>0</v>
      </c>
      <c r="D100" s="18">
        <f ca="1">((100/(H92))*C100)/100</f>
        <v>0</v>
      </c>
      <c r="E100" s="139"/>
      <c r="F100" s="140"/>
      <c r="G100" s="139"/>
      <c r="H100" s="189"/>
      <c r="I100" s="13" t="s">
        <v>136</v>
      </c>
      <c r="J100" s="29">
        <f>(IF(B92&gt;2,(H92/(B92+2)+J99),0))</f>
        <v>0</v>
      </c>
    </row>
    <row r="101" spans="1:19" ht="15.75" customHeight="1" x14ac:dyDescent="0.35">
      <c r="A101" s="125" t="s">
        <v>124</v>
      </c>
      <c r="B101" s="126" t="s">
        <v>124</v>
      </c>
      <c r="C101" s="96">
        <v>0</v>
      </c>
      <c r="D101" s="18">
        <f ca="1">((100/H92)*C101)/100</f>
        <v>0</v>
      </c>
      <c r="E101" s="139"/>
      <c r="F101" s="140"/>
      <c r="G101" s="139"/>
      <c r="H101" s="189"/>
      <c r="I101" s="13" t="s">
        <v>137</v>
      </c>
      <c r="J101" s="30">
        <f>(IF(B92&gt;3,(H92/(B92+2)+J100),0))</f>
        <v>0</v>
      </c>
    </row>
    <row r="102" spans="1:19" ht="15.75" customHeight="1" x14ac:dyDescent="0.35">
      <c r="A102" s="125" t="s">
        <v>131</v>
      </c>
      <c r="B102" s="126"/>
      <c r="C102" s="96">
        <v>0</v>
      </c>
      <c r="D102" s="18">
        <f ca="1">((100/H92)*C102)/100</f>
        <v>0</v>
      </c>
      <c r="E102" s="139"/>
      <c r="F102" s="140"/>
      <c r="G102" s="139"/>
      <c r="H102" s="189"/>
      <c r="I102" s="13" t="s">
        <v>138</v>
      </c>
      <c r="J102" s="29">
        <f>(IF(B92&gt;4,(H92/(B92+2)+J101),0))</f>
        <v>0</v>
      </c>
    </row>
    <row r="103" spans="1:19" ht="15.75" customHeight="1" x14ac:dyDescent="0.35">
      <c r="A103" s="125" t="s">
        <v>126</v>
      </c>
      <c r="B103" s="126" t="s">
        <v>126</v>
      </c>
      <c r="C103" s="96">
        <v>0</v>
      </c>
      <c r="D103" s="18">
        <f ca="1">((100/(H92))*C103)/100</f>
        <v>0</v>
      </c>
      <c r="E103" s="139"/>
      <c r="F103" s="140"/>
      <c r="G103" s="139"/>
      <c r="H103" s="189"/>
      <c r="I103" s="13" t="s">
        <v>140</v>
      </c>
      <c r="J103" s="29">
        <f ca="1">(IF(B92=1,(H92/(B92+3)+J98),IF(B92=0,(H92/4+J98),IF(B92&gt;1,0))))</f>
        <v>25.5</v>
      </c>
    </row>
    <row r="104" spans="1:19" ht="16" thickBot="1" x14ac:dyDescent="0.4">
      <c r="A104" s="116" t="s">
        <v>127</v>
      </c>
      <c r="B104" s="117"/>
      <c r="C104" s="98">
        <v>0</v>
      </c>
      <c r="D104" s="19">
        <f ca="1">((100/(H92))*C104)/100</f>
        <v>0</v>
      </c>
      <c r="E104" s="141"/>
      <c r="F104" s="142"/>
      <c r="G104" s="141"/>
      <c r="H104" s="190"/>
      <c r="I104" s="14" t="s">
        <v>100</v>
      </c>
      <c r="J104" s="31">
        <f ca="1">(IF(B92&gt;1.5,(H92/(B92+2)+J98+MAX(0,J99-J98)+MAX(0,J100-J99)+MAX(0,J101-J100)+MAX(0,J102-J101)+MAX(0,J103-J102)),IF(B92=1,(H92/(B92+3)+J103),IF(B92=0,H92/4+J103))))</f>
        <v>34</v>
      </c>
    </row>
    <row r="105" spans="1:19" ht="15.75" customHeight="1" x14ac:dyDescent="0.35">
      <c r="A105" s="127" t="s">
        <v>133</v>
      </c>
      <c r="B105" s="128"/>
      <c r="C105" s="129" t="str">
        <f>D68</f>
        <v>Building C = G + 3P + 1st to 34th Floor</v>
      </c>
      <c r="D105" s="130"/>
      <c r="E105" s="130"/>
      <c r="F105" s="130"/>
      <c r="G105" s="130"/>
      <c r="H105" s="131"/>
      <c r="I105" s="47" t="str">
        <f ca="1">IF(D118=100%,"All work Completed. Possession granted to the Building.",IF(D117=100%,"All work Completed, Waiting for OC",I106&amp;""&amp;I107&amp;""&amp;J106&amp;""&amp;J105&amp;" "&amp;J107))</f>
        <v xml:space="preserve">Excavation, Plinth Completed </v>
      </c>
      <c r="J105" s="48" t="str">
        <f ca="1">(IF(C111=(D106+F106+H106),"",IF(C111&gt;0,", RCC upto "&amp;C111&amp;" Slab","")))&amp;(IF(C112=H106,"",IF(C112&gt;0,", Brickwork upto "&amp;C112&amp;" Floor","")))&amp;(IF(C113=H106,"",IF(C113&gt;0,", Internal Plaster upto "&amp;C113&amp;" Floor","")))&amp;(IF(C114=H106,"",IF(C114&gt;0,", External Plaster upto "&amp;C114&amp;" Floor","")))&amp;(IF(C115=H106,"",IF(C115&gt;0,", Flooring upto "&amp;C115&amp;" Floor","")))&amp;(IF(C116=H106,"",IF(C116&gt;0,", Painting upto "&amp;C116&amp;" Floor","")))&amp;(IF(C117=H106,"",IF(C117&gt;0,", Finishing upto "&amp;C117&amp;" Floor","")))&amp;(IF(C118=H106,"",IF(C118&gt;0,", Possession upto "&amp;C118&amp;" Floor","")))</f>
        <v/>
      </c>
      <c r="S105"/>
    </row>
    <row r="106" spans="1:19" x14ac:dyDescent="0.35">
      <c r="A106" s="15" t="s">
        <v>135</v>
      </c>
      <c r="B106" s="45">
        <f>IF(AND(ISNUMBER(SEARCH("1B",C105))),1,IF(AND(ISNUMBER(SEARCH("2B",C105))),2,IF(AND(ISNUMBER(SEARCH("3B",C105))),3,IF(AND(ISNUMBER(SEARCH("4B",C105))),4,IF(ISNUMBER(SEARCH("5B",C105)),5,0)))))</f>
        <v>0</v>
      </c>
      <c r="C106" s="45" t="s">
        <v>68</v>
      </c>
      <c r="D106" s="45">
        <v>1</v>
      </c>
      <c r="E106" s="45" t="s">
        <v>67</v>
      </c>
      <c r="F106" s="45">
        <v>3</v>
      </c>
      <c r="G106" s="46" t="s">
        <v>75</v>
      </c>
      <c r="H106" s="16">
        <f ca="1">--TRIM(RIGHT(SUBSTITUTE(LEFT(C105,_xlfn.AGGREGATE(16,6,FIND({0,1,2,3,4,5,6,7,8,9},C105,ROW(INDIRECT("1:"&amp;LEN(C105)))),1))," ",REPT(" ",LEN(C105))),LEN(C105)))</f>
        <v>34</v>
      </c>
      <c r="I106" s="49" t="str">
        <f ca="1">IF(D109=100%,"Excavation","")&amp;IF(D110=100%,", Plinth","")&amp;IF(D111=100%,", RCC Slab","")&amp;IF(D112=100%,", Brickwork","")&amp;IF(D113=100%,", Internal Plaster","")&amp;IF(D114=100%,", External Plaster","")&amp;IF(D115=100%,", Flooring","")&amp;IF(D116=100%,", Painting","")&amp;IF(D117=100%,", Building common Amenities","")</f>
        <v>Excavation, Plinth</v>
      </c>
      <c r="J106" s="50" t="str">
        <f ca="1">(IF(C109=0,"Work not yet Started.",IF(D109=25%,"Piling work in process",IF(D109=50%,"Excavation work in process",IF(D109=100%,"","0")))))&amp;(IF(C110=0%,"",IF(C110=J111,", Footing work is process",IF(C110=J112,", Footing work Completed",IF(C110=J113,", 1st Basement Completed",IF(C110=J114,", 1st &amp; 2nd Basement Completed",IF(C110=J115,", 1st to 3rd Basement Completed",IF(C110=J116,", 1st to 4th Basement Completed",IF(C110=J117,", Plinth work is process",IF(C110=J118,"","0"))))))))))</f>
        <v/>
      </c>
      <c r="S106"/>
    </row>
    <row r="107" spans="1:19" x14ac:dyDescent="0.35">
      <c r="A107" s="134" t="s">
        <v>85</v>
      </c>
      <c r="B107" s="135"/>
      <c r="C107" s="132" t="str">
        <f ca="1">I105</f>
        <v xml:space="preserve">Excavation, Plinth Completed </v>
      </c>
      <c r="D107" s="132"/>
      <c r="E107" s="132"/>
      <c r="F107" s="132"/>
      <c r="G107" s="132"/>
      <c r="H107" s="133"/>
      <c r="I107" s="49" t="str">
        <f ca="1">IF(I106&lt;&gt;""," Completed","")</f>
        <v xml:space="preserve"> Completed</v>
      </c>
      <c r="J107" s="50" t="str">
        <f ca="1">IF(J105&lt;&gt;"","Completed","")</f>
        <v/>
      </c>
      <c r="S107"/>
    </row>
    <row r="108" spans="1:19" ht="15.75" customHeight="1" x14ac:dyDescent="0.35">
      <c r="A108" s="125" t="s">
        <v>47</v>
      </c>
      <c r="B108" s="126"/>
      <c r="C108" s="42" t="s">
        <v>132</v>
      </c>
      <c r="D108" s="42" t="s">
        <v>78</v>
      </c>
      <c r="E108" s="126" t="s">
        <v>80</v>
      </c>
      <c r="F108" s="126"/>
      <c r="G108" s="126" t="s">
        <v>79</v>
      </c>
      <c r="H108" s="136"/>
      <c r="I108" s="13" t="s">
        <v>134</v>
      </c>
      <c r="J108" s="27">
        <f ca="1">H106*25%</f>
        <v>8.5</v>
      </c>
      <c r="S108"/>
    </row>
    <row r="109" spans="1:19" x14ac:dyDescent="0.35">
      <c r="A109" s="126" t="s">
        <v>121</v>
      </c>
      <c r="B109" s="126"/>
      <c r="C109" s="96">
        <f ca="1">J110</f>
        <v>34</v>
      </c>
      <c r="D109" s="18">
        <f ca="1">((100/H106)*C109)/100</f>
        <v>1</v>
      </c>
      <c r="E109" s="252">
        <f ca="1">(((C110/H106*10)+(40/(D106+F106+H106)*C111)+(7.5/(H106)*C112)+(7.5/(H106)*C113)+(10/H106*C114)+(10/H106*C115)+(5/H106*C116)+(5/H106*C117)+(5/H106*C118))/100)</f>
        <v>0.1</v>
      </c>
      <c r="F109" s="252"/>
      <c r="G109" s="252">
        <f ca="1">((((C109/H106)*20)+((C110/H106)*25)+(30/(H106+F106+D106)*C111)+(5/H106*C112)+(5/H106*C113)+(5/H106*C114)+(5/H106*C115)+(0/H106*C116)+(0/H106*C117)+(5/H106*C118))/100)</f>
        <v>0.45</v>
      </c>
      <c r="H109" s="252"/>
      <c r="I109" s="13" t="s">
        <v>96</v>
      </c>
      <c r="J109" s="28">
        <f ca="1">H106*50%</f>
        <v>17</v>
      </c>
    </row>
    <row r="110" spans="1:19" x14ac:dyDescent="0.35">
      <c r="A110" s="126" t="s">
        <v>48</v>
      </c>
      <c r="B110" s="126"/>
      <c r="C110" s="97">
        <f ca="1">J118</f>
        <v>34</v>
      </c>
      <c r="D110" s="18">
        <f ca="1">((100/H106)*C110)/100</f>
        <v>1</v>
      </c>
      <c r="E110" s="252"/>
      <c r="F110" s="252"/>
      <c r="G110" s="252"/>
      <c r="H110" s="252"/>
      <c r="I110" s="13" t="s">
        <v>97</v>
      </c>
      <c r="J110" s="28">
        <f ca="1">H106</f>
        <v>34</v>
      </c>
      <c r="S110"/>
    </row>
    <row r="111" spans="1:19" ht="15.75" customHeight="1" x14ac:dyDescent="0.35">
      <c r="A111" s="126" t="s">
        <v>122</v>
      </c>
      <c r="B111" s="126"/>
      <c r="C111" s="96">
        <v>0</v>
      </c>
      <c r="D111" s="18">
        <f ca="1">((100/(D106+F106+H106))*C111)/100</f>
        <v>0</v>
      </c>
      <c r="E111" s="252"/>
      <c r="F111" s="252"/>
      <c r="G111" s="252"/>
      <c r="H111" s="252"/>
      <c r="I111" s="13" t="s">
        <v>98</v>
      </c>
      <c r="J111" s="29">
        <f ca="1">(IF(B106&gt;1,(H106/(B106+2)),H106/4))</f>
        <v>8.5</v>
      </c>
      <c r="S111"/>
    </row>
    <row r="112" spans="1:19" ht="15.75" customHeight="1" x14ac:dyDescent="0.35">
      <c r="A112" s="126" t="s">
        <v>129</v>
      </c>
      <c r="B112" s="126" t="s">
        <v>123</v>
      </c>
      <c r="C112" s="96">
        <v>0</v>
      </c>
      <c r="D112" s="18">
        <f ca="1">((100/H106)*C112)/100</f>
        <v>0</v>
      </c>
      <c r="E112" s="252"/>
      <c r="F112" s="252"/>
      <c r="G112" s="252"/>
      <c r="H112" s="252"/>
      <c r="I112" s="13" t="s">
        <v>99</v>
      </c>
      <c r="J112" s="29">
        <f ca="1">(IF(B106&gt;1,(H106/(B106+2)+J111),H106/4+J111))</f>
        <v>17</v>
      </c>
    </row>
    <row r="113" spans="1:19" ht="15.75" customHeight="1" x14ac:dyDescent="0.35">
      <c r="A113" s="126" t="s">
        <v>130</v>
      </c>
      <c r="B113" s="126" t="s">
        <v>123</v>
      </c>
      <c r="C113" s="96">
        <v>0</v>
      </c>
      <c r="D113" s="18">
        <f ca="1">((100/H106)*C113)/100</f>
        <v>0</v>
      </c>
      <c r="E113" s="252"/>
      <c r="F113" s="252"/>
      <c r="G113" s="252"/>
      <c r="H113" s="252"/>
      <c r="I113" s="13" t="s">
        <v>139</v>
      </c>
      <c r="J113" s="29">
        <f>(IF(B106&gt;1,(H106/(B106+2)+J112),0))</f>
        <v>0</v>
      </c>
    </row>
    <row r="114" spans="1:19" ht="15" customHeight="1" x14ac:dyDescent="0.35">
      <c r="A114" s="126" t="s">
        <v>128</v>
      </c>
      <c r="B114" s="126" t="s">
        <v>125</v>
      </c>
      <c r="C114" s="96">
        <v>0</v>
      </c>
      <c r="D114" s="18">
        <f ca="1">((100/(H106))*C114)/100</f>
        <v>0</v>
      </c>
      <c r="E114" s="252"/>
      <c r="F114" s="252"/>
      <c r="G114" s="252"/>
      <c r="H114" s="252"/>
      <c r="I114" s="13" t="s">
        <v>136</v>
      </c>
      <c r="J114" s="29">
        <f>(IF(B106&gt;2,(H106/(B106+2)+J113),0))</f>
        <v>0</v>
      </c>
    </row>
    <row r="115" spans="1:19" ht="15.75" customHeight="1" x14ac:dyDescent="0.35">
      <c r="A115" s="126" t="s">
        <v>124</v>
      </c>
      <c r="B115" s="126" t="s">
        <v>124</v>
      </c>
      <c r="C115" s="96">
        <v>0</v>
      </c>
      <c r="D115" s="18">
        <f ca="1">((100/H106)*C115)/100</f>
        <v>0</v>
      </c>
      <c r="E115" s="252"/>
      <c r="F115" s="252"/>
      <c r="G115" s="252"/>
      <c r="H115" s="252"/>
      <c r="I115" s="13" t="s">
        <v>137</v>
      </c>
      <c r="J115" s="30">
        <f>(IF(B106&gt;3,(H106/(B106+2)+J114),0))</f>
        <v>0</v>
      </c>
    </row>
    <row r="116" spans="1:19" ht="15.75" customHeight="1" x14ac:dyDescent="0.35">
      <c r="A116" s="126" t="s">
        <v>131</v>
      </c>
      <c r="B116" s="126"/>
      <c r="C116" s="96">
        <v>0</v>
      </c>
      <c r="D116" s="18">
        <f ca="1">((100/H106)*C116)/100</f>
        <v>0</v>
      </c>
      <c r="E116" s="252"/>
      <c r="F116" s="252"/>
      <c r="G116" s="252"/>
      <c r="H116" s="252"/>
      <c r="I116" s="13" t="s">
        <v>138</v>
      </c>
      <c r="J116" s="29">
        <f>(IF(B106&gt;4,(H106/(B106+2)+J115),0))</f>
        <v>0</v>
      </c>
    </row>
    <row r="117" spans="1:19" ht="15.75" customHeight="1" x14ac:dyDescent="0.35">
      <c r="A117" s="126" t="s">
        <v>126</v>
      </c>
      <c r="B117" s="126" t="s">
        <v>126</v>
      </c>
      <c r="C117" s="96">
        <v>0</v>
      </c>
      <c r="D117" s="18">
        <f ca="1">((100/(H106))*C117)/100</f>
        <v>0</v>
      </c>
      <c r="E117" s="252"/>
      <c r="F117" s="252"/>
      <c r="G117" s="252"/>
      <c r="H117" s="252"/>
      <c r="I117" s="13" t="s">
        <v>140</v>
      </c>
      <c r="J117" s="29">
        <f ca="1">(IF(B106=1,(H106/(B106+3)+J112),IF(B106=0,(H106/4+J112),IF(B106&gt;1,0))))</f>
        <v>25.5</v>
      </c>
    </row>
    <row r="118" spans="1:19" ht="16" thickBot="1" x14ac:dyDescent="0.4">
      <c r="A118" s="126" t="s">
        <v>127</v>
      </c>
      <c r="B118" s="126"/>
      <c r="C118" s="96">
        <v>0</v>
      </c>
      <c r="D118" s="18">
        <f ca="1">((100/(H106))*C118)/100</f>
        <v>0</v>
      </c>
      <c r="E118" s="252"/>
      <c r="F118" s="252"/>
      <c r="G118" s="252"/>
      <c r="H118" s="252"/>
      <c r="I118" s="14" t="s">
        <v>100</v>
      </c>
      <c r="J118" s="31">
        <f ca="1">(IF(B106&gt;1.5,(H106/(B106+2)+J112+MAX(0,J113-J112)+MAX(0,J114-J113)+MAX(0,J115-J114)+MAX(0,J116-J115)+MAX(0,J117-J116)),IF(B106=1,(H106/(B106+3)+J117),IF(B106=0,H106/4+J117))))</f>
        <v>34</v>
      </c>
    </row>
    <row r="119" spans="1:19" ht="15.75" customHeight="1" x14ac:dyDescent="0.35">
      <c r="A119" s="251" t="s">
        <v>133</v>
      </c>
      <c r="B119" s="251"/>
      <c r="C119" s="251" t="str">
        <f>D69</f>
        <v>Building D = G + 3P + 1st to 34th Floor</v>
      </c>
      <c r="D119" s="251"/>
      <c r="E119" s="251"/>
      <c r="F119" s="251"/>
      <c r="G119" s="251"/>
      <c r="H119" s="251"/>
      <c r="I119" s="244" t="str">
        <f ca="1">IF(D132=100%,"All work Completed. Possession granted to the Building.",IF(D131=100%,"All work Completed, Waiting for OC",I120&amp;""&amp;I121&amp;""&amp;J120&amp;""&amp;J119&amp;" "&amp;J121))</f>
        <v xml:space="preserve">Excavation Completed, Footing work Completed </v>
      </c>
      <c r="J119" s="48" t="str">
        <f ca="1">(IF(C125=(D120+F120+H120),"",IF(C125&gt;0,", RCC upto "&amp;C125&amp;" Slab","")))&amp;(IF(C126=H120,"",IF(C126&gt;0,", Brickwork upto "&amp;C126&amp;" Floor","")))&amp;(IF(C127=H120,"",IF(C127&gt;0,", Internal Plaster upto "&amp;C127&amp;" Floor","")))&amp;(IF(C128=H120,"",IF(C128&gt;0,", External Plaster upto "&amp;C128&amp;" Floor","")))&amp;(IF(C129=H120,"",IF(C129&gt;0,", Flooring upto "&amp;C129&amp;" Floor","")))&amp;(IF(C130=H120,"",IF(C130&gt;0,", Painting upto "&amp;C130&amp;" Floor","")))&amp;(IF(C131=H120,"",IF(C131&gt;0,", Finishing upto "&amp;C131&amp;" Floor","")))&amp;(IF(C132=H120,"",IF(C132&gt;0,", Possession upto "&amp;C132&amp;" Floor","")))</f>
        <v/>
      </c>
      <c r="S119"/>
    </row>
    <row r="120" spans="1:19" x14ac:dyDescent="0.35">
      <c r="A120" s="45" t="s">
        <v>135</v>
      </c>
      <c r="B120" s="45">
        <f>IF(AND(ISNUMBER(SEARCH("1B",C119))),1,IF(AND(ISNUMBER(SEARCH("2B",C119))),2,IF(AND(ISNUMBER(SEARCH("3B",C119))),3,IF(AND(ISNUMBER(SEARCH("4B",C119))),4,IF(ISNUMBER(SEARCH("5B",C119)),5,0)))))</f>
        <v>0</v>
      </c>
      <c r="C120" s="45" t="s">
        <v>68</v>
      </c>
      <c r="D120" s="45">
        <v>1</v>
      </c>
      <c r="E120" s="45" t="s">
        <v>67</v>
      </c>
      <c r="F120" s="45">
        <v>3</v>
      </c>
      <c r="G120" s="46" t="s">
        <v>75</v>
      </c>
      <c r="H120" s="45">
        <f ca="1">--TRIM(RIGHT(SUBSTITUTE(LEFT(C119,_xlfn.AGGREGATE(16,6,FIND({0,1,2,3,4,5,6,7,8,9},C119,ROW(INDIRECT("1:"&amp;LEN(C119)))),1))," ",REPT(" ",LEN(C119))),LEN(C119)))</f>
        <v>34</v>
      </c>
      <c r="I120" s="245" t="str">
        <f ca="1">IF(D123=100%,"Excavation","")&amp;IF(D124=100%,", Plinth","")&amp;IF(D125=100%,", RCC Slab","")&amp;IF(D126=100%,", Brickwork","")&amp;IF(D127=100%,", Internal Plaster","")&amp;IF(D128=100%,", External Plaster","")&amp;IF(D129=100%,", Flooring","")&amp;IF(D130=100%,", Painting","")&amp;IF(D131=100%,", Building common Amenities","")</f>
        <v>Excavation</v>
      </c>
      <c r="J120" s="50" t="str">
        <f ca="1">(IF(C123=0,"Work not yet Started.",IF(D123=25%,"Piling work in process",IF(D123=50%,"Excavation work in process",IF(D123=100%,"","0")))))&amp;(IF(C124=0%,"",IF(C124=J125,", Footing work is process",IF(C124=J126,", Footing work Completed",IF(C124=J127,", 1st Basement Completed",IF(C124=J128,", 1st &amp; 2nd Basement Completed",IF(C124=J129,", 1st to 3rd Basement Completed",IF(C124=J130,", 1st to 4th Basement Completed",IF(C124=J131,", Plinth work is process",IF(C124=J132,"","0"))))))))))</f>
        <v>, Footing work Completed</v>
      </c>
      <c r="S120"/>
    </row>
    <row r="121" spans="1:19" x14ac:dyDescent="0.35">
      <c r="A121" s="135" t="s">
        <v>85</v>
      </c>
      <c r="B121" s="135"/>
      <c r="C121" s="132" t="str">
        <f ca="1">I119</f>
        <v xml:space="preserve">Excavation Completed, Footing work Completed </v>
      </c>
      <c r="D121" s="132"/>
      <c r="E121" s="132"/>
      <c r="F121" s="132"/>
      <c r="G121" s="132"/>
      <c r="H121" s="132"/>
      <c r="I121" s="245" t="str">
        <f ca="1">IF(I120&lt;&gt;""," Completed","")</f>
        <v xml:space="preserve"> Completed</v>
      </c>
      <c r="J121" s="50" t="str">
        <f ca="1">IF(J119&lt;&gt;"","Completed","")</f>
        <v/>
      </c>
      <c r="S121"/>
    </row>
    <row r="122" spans="1:19" ht="15.75" customHeight="1" x14ac:dyDescent="0.35">
      <c r="A122" s="126" t="s">
        <v>47</v>
      </c>
      <c r="B122" s="126"/>
      <c r="C122" s="99" t="s">
        <v>132</v>
      </c>
      <c r="D122" s="99" t="s">
        <v>78</v>
      </c>
      <c r="E122" s="126" t="s">
        <v>80</v>
      </c>
      <c r="F122" s="126"/>
      <c r="G122" s="126" t="s">
        <v>79</v>
      </c>
      <c r="H122" s="126"/>
      <c r="I122" s="13" t="s">
        <v>134</v>
      </c>
      <c r="J122" s="27">
        <f ca="1">H120*25%</f>
        <v>8.5</v>
      </c>
      <c r="S122"/>
    </row>
    <row r="123" spans="1:19" x14ac:dyDescent="0.35">
      <c r="A123" s="126" t="s">
        <v>121</v>
      </c>
      <c r="B123" s="126"/>
      <c r="C123" s="96">
        <f ca="1">J124</f>
        <v>34</v>
      </c>
      <c r="D123" s="18">
        <f ca="1">((100/H120)*C123)/100</f>
        <v>1</v>
      </c>
      <c r="E123" s="252">
        <f ca="1">(((C124/H120*10)+(40/(D120+F120+H120)*C125)+(7.5/(H120)*C126)+(7.5/(H120)*C127)+(10/H120*C128)+(10/H120*C129)+(5/H120*C130)+(5/H120*C131)+(5/H120*C132))/100)</f>
        <v>0.05</v>
      </c>
      <c r="F123" s="252"/>
      <c r="G123" s="252">
        <f ca="1">((((C123/H120)*20)+((C124/H120)*25)+(30/(H120+F120+D120)*C125)+(5/H120*C126)+(5/H120*C127)+(5/H120*C128)+(5/H120*C129)+(0/H120*C130)+(0/H120*C131)+(5/H120*C132))/100)</f>
        <v>0.32500000000000001</v>
      </c>
      <c r="H123" s="252"/>
      <c r="I123" s="13" t="s">
        <v>96</v>
      </c>
      <c r="J123" s="28">
        <f ca="1">H120*50%</f>
        <v>17</v>
      </c>
    </row>
    <row r="124" spans="1:19" x14ac:dyDescent="0.35">
      <c r="A124" s="126" t="s">
        <v>48</v>
      </c>
      <c r="B124" s="126"/>
      <c r="C124" s="97">
        <f ca="1">J126</f>
        <v>17</v>
      </c>
      <c r="D124" s="18">
        <f ca="1">((100/H120)*C124)/100</f>
        <v>0.5</v>
      </c>
      <c r="E124" s="252"/>
      <c r="F124" s="252"/>
      <c r="G124" s="252"/>
      <c r="H124" s="252"/>
      <c r="I124" s="13" t="s">
        <v>97</v>
      </c>
      <c r="J124" s="28">
        <f ca="1">H120</f>
        <v>34</v>
      </c>
      <c r="S124"/>
    </row>
    <row r="125" spans="1:19" ht="15.75" customHeight="1" x14ac:dyDescent="0.35">
      <c r="A125" s="126" t="s">
        <v>122</v>
      </c>
      <c r="B125" s="126"/>
      <c r="C125" s="96">
        <v>0</v>
      </c>
      <c r="D125" s="18">
        <f ca="1">((100/(D120+F120+H120))*C125)/100</f>
        <v>0</v>
      </c>
      <c r="E125" s="252"/>
      <c r="F125" s="252"/>
      <c r="G125" s="252"/>
      <c r="H125" s="252"/>
      <c r="I125" s="13" t="s">
        <v>98</v>
      </c>
      <c r="J125" s="29">
        <f ca="1">(IF(B120&gt;1,(H120/(B120+2)),H120/4))</f>
        <v>8.5</v>
      </c>
      <c r="S125"/>
    </row>
    <row r="126" spans="1:19" ht="15.75" customHeight="1" x14ac:dyDescent="0.35">
      <c r="A126" s="126" t="s">
        <v>129</v>
      </c>
      <c r="B126" s="126" t="s">
        <v>123</v>
      </c>
      <c r="C126" s="96">
        <v>0</v>
      </c>
      <c r="D126" s="18">
        <f ca="1">((100/H120)*C126)/100</f>
        <v>0</v>
      </c>
      <c r="E126" s="252"/>
      <c r="F126" s="252"/>
      <c r="G126" s="252"/>
      <c r="H126" s="252"/>
      <c r="I126" s="13" t="s">
        <v>99</v>
      </c>
      <c r="J126" s="29">
        <f ca="1">(IF(B120&gt;1,(H120/(B120+2)+J125),H120/4+J125))</f>
        <v>17</v>
      </c>
    </row>
    <row r="127" spans="1:19" ht="15.75" customHeight="1" x14ac:dyDescent="0.35">
      <c r="A127" s="126" t="s">
        <v>130</v>
      </c>
      <c r="B127" s="126" t="s">
        <v>123</v>
      </c>
      <c r="C127" s="96">
        <v>0</v>
      </c>
      <c r="D127" s="18">
        <f ca="1">((100/H120)*C127)/100</f>
        <v>0</v>
      </c>
      <c r="E127" s="252"/>
      <c r="F127" s="252"/>
      <c r="G127" s="252"/>
      <c r="H127" s="252"/>
      <c r="I127" s="13" t="s">
        <v>139</v>
      </c>
      <c r="J127" s="29">
        <f>(IF(B120&gt;1,(H120/(B120+2)+J126),0))</f>
        <v>0</v>
      </c>
    </row>
    <row r="128" spans="1:19" ht="15" customHeight="1" x14ac:dyDescent="0.35">
      <c r="A128" s="126" t="s">
        <v>128</v>
      </c>
      <c r="B128" s="126" t="s">
        <v>125</v>
      </c>
      <c r="C128" s="96">
        <v>0</v>
      </c>
      <c r="D128" s="18">
        <f ca="1">((100/(H120))*C128)/100</f>
        <v>0</v>
      </c>
      <c r="E128" s="252"/>
      <c r="F128" s="252"/>
      <c r="G128" s="252"/>
      <c r="H128" s="252"/>
      <c r="I128" s="13" t="s">
        <v>136</v>
      </c>
      <c r="J128" s="29">
        <f>(IF(B120&gt;2,(H120/(B120+2)+J127),0))</f>
        <v>0</v>
      </c>
    </row>
    <row r="129" spans="1:22" ht="15.75" customHeight="1" x14ac:dyDescent="0.35">
      <c r="A129" s="126" t="s">
        <v>124</v>
      </c>
      <c r="B129" s="126" t="s">
        <v>124</v>
      </c>
      <c r="C129" s="96">
        <v>0</v>
      </c>
      <c r="D129" s="18">
        <f ca="1">((100/H120)*C129)/100</f>
        <v>0</v>
      </c>
      <c r="E129" s="252"/>
      <c r="F129" s="252"/>
      <c r="G129" s="252"/>
      <c r="H129" s="252"/>
      <c r="I129" s="13" t="s">
        <v>137</v>
      </c>
      <c r="J129" s="30">
        <f>(IF(B120&gt;3,(H120/(B120+2)+J128),0))</f>
        <v>0</v>
      </c>
    </row>
    <row r="130" spans="1:22" ht="15.75" customHeight="1" x14ac:dyDescent="0.35">
      <c r="A130" s="126" t="s">
        <v>131</v>
      </c>
      <c r="B130" s="126"/>
      <c r="C130" s="96">
        <v>0</v>
      </c>
      <c r="D130" s="18">
        <f ca="1">((100/H120)*C130)/100</f>
        <v>0</v>
      </c>
      <c r="E130" s="252"/>
      <c r="F130" s="252"/>
      <c r="G130" s="252"/>
      <c r="H130" s="252"/>
      <c r="I130" s="13" t="s">
        <v>138</v>
      </c>
      <c r="J130" s="29">
        <f>(IF(B120&gt;4,(H120/(B120+2)+J129),0))</f>
        <v>0</v>
      </c>
    </row>
    <row r="131" spans="1:22" ht="15.75" customHeight="1" x14ac:dyDescent="0.35">
      <c r="A131" s="126" t="s">
        <v>126</v>
      </c>
      <c r="B131" s="126" t="s">
        <v>126</v>
      </c>
      <c r="C131" s="96">
        <v>0</v>
      </c>
      <c r="D131" s="18">
        <f ca="1">((100/(H120))*C131)/100</f>
        <v>0</v>
      </c>
      <c r="E131" s="252"/>
      <c r="F131" s="252"/>
      <c r="G131" s="252"/>
      <c r="H131" s="252"/>
      <c r="I131" s="13" t="s">
        <v>140</v>
      </c>
      <c r="J131" s="29">
        <f ca="1">(IF(B120=1,(H120/(B120+3)+J126),IF(B120=0,(H120/4+J126),IF(B120&gt;1,0))))</f>
        <v>25.5</v>
      </c>
    </row>
    <row r="132" spans="1:22" ht="16" thickBot="1" x14ac:dyDescent="0.4">
      <c r="A132" s="126" t="s">
        <v>127</v>
      </c>
      <c r="B132" s="126"/>
      <c r="C132" s="96">
        <v>0</v>
      </c>
      <c r="D132" s="18">
        <f ca="1">((100/(H120))*C132)/100</f>
        <v>0</v>
      </c>
      <c r="E132" s="252"/>
      <c r="F132" s="252"/>
      <c r="G132" s="252"/>
      <c r="H132" s="252"/>
      <c r="I132" s="14" t="s">
        <v>100</v>
      </c>
      <c r="J132" s="31">
        <f ca="1">(IF(B120&gt;1.5,(H120/(B120+2)+J126+MAX(0,J127-J126)+MAX(0,J128-J127)+MAX(0,J129-J128)+MAX(0,J130-J129)+MAX(0,J131-J130)),IF(B120=1,(H120/(B120+3)+J131),IF(B120=0,H120/4+J131))))</f>
        <v>34</v>
      </c>
    </row>
    <row r="133" spans="1:22" x14ac:dyDescent="0.35">
      <c r="A133" s="118" t="s">
        <v>149</v>
      </c>
      <c r="B133" s="118"/>
      <c r="C133" s="118"/>
      <c r="D133" s="118"/>
      <c r="E133" s="118"/>
      <c r="F133" s="121" t="s">
        <v>153</v>
      </c>
      <c r="G133" s="121"/>
      <c r="H133" s="121"/>
      <c r="R133" t="s">
        <v>242</v>
      </c>
      <c r="S133" t="s">
        <v>164</v>
      </c>
      <c r="T133" t="s">
        <v>169</v>
      </c>
      <c r="U133" t="s">
        <v>183</v>
      </c>
      <c r="V133" t="s">
        <v>178</v>
      </c>
    </row>
    <row r="134" spans="1:22" x14ac:dyDescent="0.35">
      <c r="A134" s="120" t="s">
        <v>151</v>
      </c>
      <c r="B134" s="120"/>
      <c r="C134" s="120"/>
      <c r="D134" s="120"/>
      <c r="E134" s="120"/>
      <c r="F134" s="119">
        <v>6400</v>
      </c>
      <c r="G134" s="119"/>
      <c r="H134" s="119"/>
      <c r="R134"/>
      <c r="S134">
        <v>800000</v>
      </c>
      <c r="T134">
        <v>150000</v>
      </c>
      <c r="U134">
        <v>100000</v>
      </c>
      <c r="V134">
        <v>100000</v>
      </c>
    </row>
    <row r="135" spans="1:22" hidden="1" x14ac:dyDescent="0.35">
      <c r="A135" s="120" t="s">
        <v>150</v>
      </c>
      <c r="B135" s="120"/>
      <c r="C135" s="120"/>
      <c r="D135" s="120"/>
      <c r="E135" s="120"/>
      <c r="F135" s="119"/>
      <c r="G135" s="119"/>
      <c r="H135" s="119"/>
      <c r="I135" s="21"/>
      <c r="J135" s="88"/>
      <c r="R135"/>
      <c r="S135">
        <v>900000</v>
      </c>
      <c r="T135">
        <v>200000</v>
      </c>
      <c r="U135">
        <v>150000</v>
      </c>
      <c r="V135">
        <v>150000</v>
      </c>
    </row>
    <row r="136" spans="1:22" hidden="1" x14ac:dyDescent="0.35">
      <c r="A136" s="120" t="s">
        <v>152</v>
      </c>
      <c r="B136" s="120"/>
      <c r="C136" s="120"/>
      <c r="D136" s="120"/>
      <c r="E136" s="120"/>
      <c r="F136" s="119"/>
      <c r="G136" s="119"/>
      <c r="H136" s="119"/>
      <c r="I136" s="21"/>
      <c r="J136" s="88"/>
      <c r="R136"/>
      <c r="S136">
        <v>1000000</v>
      </c>
      <c r="T136">
        <v>250000</v>
      </c>
      <c r="U136">
        <v>200000</v>
      </c>
      <c r="V136">
        <v>200000</v>
      </c>
    </row>
    <row r="137" spans="1:22" s="32" customFormat="1" hidden="1" x14ac:dyDescent="0.35">
      <c r="A137" s="120" t="s">
        <v>166</v>
      </c>
      <c r="B137" s="120"/>
      <c r="C137" s="120"/>
      <c r="D137" s="120"/>
      <c r="E137" s="120"/>
      <c r="F137" s="119"/>
      <c r="G137" s="119"/>
      <c r="H137" s="119"/>
      <c r="I137" s="21"/>
      <c r="J137" s="88"/>
      <c r="R137"/>
      <c r="S137">
        <v>1100000</v>
      </c>
      <c r="T137">
        <v>300000</v>
      </c>
      <c r="U137">
        <v>250000</v>
      </c>
      <c r="V137" s="22">
        <v>250000</v>
      </c>
    </row>
    <row r="138" spans="1:22" s="32" customFormat="1" hidden="1" x14ac:dyDescent="0.35">
      <c r="A138" s="120" t="s">
        <v>90</v>
      </c>
      <c r="B138" s="120"/>
      <c r="C138" s="120"/>
      <c r="D138" s="120"/>
      <c r="E138" s="120"/>
      <c r="F138" s="119"/>
      <c r="G138" s="119"/>
      <c r="H138" s="119"/>
      <c r="R138"/>
      <c r="S138">
        <v>1200000</v>
      </c>
      <c r="T138">
        <v>350000</v>
      </c>
      <c r="U138">
        <v>300000</v>
      </c>
      <c r="V138">
        <v>300000</v>
      </c>
    </row>
    <row r="139" spans="1:22" s="32" customFormat="1" hidden="1" x14ac:dyDescent="0.35">
      <c r="A139" s="120" t="s">
        <v>91</v>
      </c>
      <c r="B139" s="120"/>
      <c r="C139" s="120"/>
      <c r="D139" s="120"/>
      <c r="E139" s="120"/>
      <c r="F139" s="119"/>
      <c r="G139" s="119"/>
      <c r="H139" s="119"/>
      <c r="R139"/>
      <c r="S139">
        <v>1300000</v>
      </c>
      <c r="T139">
        <v>400000</v>
      </c>
      <c r="U139">
        <v>350000</v>
      </c>
      <c r="V139" s="22">
        <v>400000</v>
      </c>
    </row>
    <row r="140" spans="1:22" s="32" customFormat="1" hidden="1" x14ac:dyDescent="0.35">
      <c r="A140" s="120" t="s">
        <v>92</v>
      </c>
      <c r="B140" s="120"/>
      <c r="C140" s="120"/>
      <c r="D140" s="120"/>
      <c r="E140" s="120"/>
      <c r="F140" s="119"/>
      <c r="G140" s="119"/>
      <c r="H140" s="119"/>
      <c r="R140"/>
      <c r="S140">
        <v>1400000</v>
      </c>
      <c r="T140">
        <v>500000</v>
      </c>
      <c r="U140">
        <v>400000</v>
      </c>
      <c r="V140"/>
    </row>
    <row r="141" spans="1:22" s="32" customFormat="1" hidden="1" x14ac:dyDescent="0.35">
      <c r="A141" s="120" t="s">
        <v>93</v>
      </c>
      <c r="B141" s="120"/>
      <c r="C141" s="120"/>
      <c r="D141" s="120"/>
      <c r="E141" s="120"/>
      <c r="F141" s="119"/>
      <c r="G141" s="119"/>
      <c r="H141" s="119"/>
      <c r="R141"/>
      <c r="S141">
        <v>1500000</v>
      </c>
      <c r="T141">
        <v>600000</v>
      </c>
      <c r="U141">
        <v>500000</v>
      </c>
      <c r="V141" s="22"/>
    </row>
    <row r="142" spans="1:22" s="32" customFormat="1" hidden="1" x14ac:dyDescent="0.35">
      <c r="A142" s="120" t="s">
        <v>94</v>
      </c>
      <c r="B142" s="120"/>
      <c r="C142" s="120"/>
      <c r="D142" s="120"/>
      <c r="E142" s="120"/>
      <c r="F142" s="119"/>
      <c r="G142" s="119"/>
      <c r="H142" s="119"/>
      <c r="R142"/>
      <c r="S142">
        <v>1600000</v>
      </c>
      <c r="T142">
        <v>700000</v>
      </c>
      <c r="U142">
        <v>600000</v>
      </c>
      <c r="V142"/>
    </row>
    <row r="143" spans="1:22" s="32" customFormat="1" hidden="1" x14ac:dyDescent="0.35">
      <c r="A143" s="120" t="s">
        <v>95</v>
      </c>
      <c r="B143" s="120"/>
      <c r="C143" s="120"/>
      <c r="D143" s="120"/>
      <c r="E143" s="120"/>
      <c r="F143" s="119"/>
      <c r="G143" s="119"/>
      <c r="H143" s="119"/>
      <c r="R143"/>
      <c r="S143">
        <v>1700000</v>
      </c>
      <c r="T143">
        <v>800000</v>
      </c>
      <c r="U143"/>
      <c r="V143" s="22"/>
    </row>
    <row r="144" spans="1:22" x14ac:dyDescent="0.35">
      <c r="A144" s="120" t="s">
        <v>49</v>
      </c>
      <c r="B144" s="120"/>
      <c r="C144" s="120"/>
      <c r="D144" s="120"/>
      <c r="E144" s="120"/>
      <c r="F144" s="119">
        <v>300000</v>
      </c>
      <c r="G144" s="119"/>
      <c r="H144" s="119"/>
      <c r="R144"/>
      <c r="S144">
        <v>1800000</v>
      </c>
      <c r="T144">
        <v>900000</v>
      </c>
      <c r="U144"/>
    </row>
    <row r="145" spans="1:22" s="33" customFormat="1" x14ac:dyDescent="0.35">
      <c r="A145" s="199" t="s">
        <v>50</v>
      </c>
      <c r="B145" s="199"/>
      <c r="C145" s="199"/>
      <c r="D145" s="199"/>
      <c r="E145" s="199"/>
      <c r="F145" s="119">
        <f>F134*0.8</f>
        <v>5120</v>
      </c>
      <c r="G145" s="119"/>
      <c r="H145" s="119"/>
      <c r="R145" s="20"/>
      <c r="S145" s="20"/>
      <c r="T145">
        <v>1000000</v>
      </c>
      <c r="U145"/>
      <c r="V145" s="20"/>
    </row>
    <row r="146" spans="1:22" s="34" customFormat="1" x14ac:dyDescent="0.35">
      <c r="A146" s="200" t="s">
        <v>66</v>
      </c>
      <c r="B146" s="200"/>
      <c r="C146" s="200"/>
      <c r="D146" s="200"/>
      <c r="E146" s="200"/>
      <c r="F146" s="200"/>
      <c r="G146" s="200"/>
      <c r="H146" s="200"/>
      <c r="T146"/>
    </row>
    <row r="147" spans="1:22" s="34" customFormat="1" ht="15.75" customHeight="1" x14ac:dyDescent="0.35">
      <c r="A147" s="192" t="s">
        <v>51</v>
      </c>
      <c r="B147" s="192"/>
      <c r="C147" s="173" t="s">
        <v>73</v>
      </c>
      <c r="D147" s="173"/>
      <c r="E147" s="187" t="s">
        <v>52</v>
      </c>
      <c r="F147" s="187"/>
      <c r="G147" s="192" t="s">
        <v>53</v>
      </c>
      <c r="H147" s="192"/>
      <c r="T147"/>
    </row>
    <row r="148" spans="1:22" s="34" customFormat="1" x14ac:dyDescent="0.35">
      <c r="A148" s="154" t="s">
        <v>392</v>
      </c>
      <c r="B148" s="154"/>
      <c r="C148" s="124">
        <f>COUNT(D161:D166)*19+COUNT(D168,D170:D173)*5</f>
        <v>139</v>
      </c>
      <c r="D148" s="124"/>
      <c r="E148" s="124">
        <f t="shared" ref="E148" si="0">SUM(F161:F166)*19+SUM(F168,F170:F173)*5</f>
        <v>125881.64316000001</v>
      </c>
      <c r="F148" s="124"/>
      <c r="G148" s="124">
        <f>SUM(H161:H166)*19+SUM(H168,H170:H173)*5</f>
        <v>188822.46474</v>
      </c>
      <c r="H148" s="124"/>
      <c r="I148" s="34" t="s">
        <v>410</v>
      </c>
      <c r="T148"/>
    </row>
    <row r="149" spans="1:22" s="34" customFormat="1" x14ac:dyDescent="0.35">
      <c r="A149" s="154" t="s">
        <v>393</v>
      </c>
      <c r="B149" s="154"/>
      <c r="C149" s="124">
        <f>COUNT(D178:D183)*19+COUNT(D185,D187:D190)*5</f>
        <v>139</v>
      </c>
      <c r="D149" s="124"/>
      <c r="E149" s="124">
        <f t="shared" ref="E149" si="1">SUM(F178:F183)*19+SUM(F185,F187:F190)*5</f>
        <v>125881.64316000001</v>
      </c>
      <c r="F149" s="124"/>
      <c r="G149" s="124">
        <f>SUM(H178:H183)*19+SUM(H185,H187:H190)*5</f>
        <v>188822.46474</v>
      </c>
      <c r="H149" s="124"/>
      <c r="I149" s="34" t="s">
        <v>410</v>
      </c>
      <c r="T149"/>
    </row>
    <row r="150" spans="1:22" s="34" customFormat="1" x14ac:dyDescent="0.35">
      <c r="A150" s="154" t="s">
        <v>394</v>
      </c>
      <c r="B150" s="154"/>
      <c r="C150" s="124">
        <f>COUNT(D195:D202)*19+COUNT(D204:D205,D207:D211)*5</f>
        <v>187</v>
      </c>
      <c r="D150" s="124"/>
      <c r="E150" s="124">
        <f t="shared" ref="E150" si="2">SUM(F195:F202)*19+SUM(F204:F205,F207:F211)*5</f>
        <v>107611.62609599999</v>
      </c>
      <c r="F150" s="124"/>
      <c r="G150" s="124">
        <f>SUM(H195:H202)*19+SUM(H204:H205,H207:H211)*5</f>
        <v>161417.439144</v>
      </c>
      <c r="H150" s="124"/>
      <c r="I150" s="34" t="s">
        <v>410</v>
      </c>
      <c r="T150"/>
    </row>
    <row r="151" spans="1:22" s="34" customFormat="1" x14ac:dyDescent="0.35">
      <c r="A151" s="154" t="s">
        <v>395</v>
      </c>
      <c r="B151" s="154"/>
      <c r="C151" s="124">
        <f>COUNT(D216:D223)*19+COUNT(D225:D226,D228:D232)*5</f>
        <v>187</v>
      </c>
      <c r="D151" s="124"/>
      <c r="E151" s="124">
        <f t="shared" ref="E151" si="3">SUM(F216:F223)*19+SUM(F225:F226,F228:F232)*5</f>
        <v>107611.62609599999</v>
      </c>
      <c r="F151" s="124"/>
      <c r="G151" s="124">
        <f>SUM(H216:H223)*19+SUM(H225:H226,H228:H232)*5</f>
        <v>161417.439144</v>
      </c>
      <c r="H151" s="124"/>
      <c r="I151" s="34" t="s">
        <v>410</v>
      </c>
      <c r="T151"/>
    </row>
    <row r="152" spans="1:22" s="34" customFormat="1" x14ac:dyDescent="0.35">
      <c r="A152" s="200" t="s">
        <v>143</v>
      </c>
      <c r="B152" s="200"/>
      <c r="C152" s="193">
        <f>SUM(C148:C151)</f>
        <v>652</v>
      </c>
      <c r="D152" s="173"/>
      <c r="E152" s="238">
        <f>SUM(E148:E151)</f>
        <v>466986.538512</v>
      </c>
      <c r="F152" s="187"/>
      <c r="G152" s="192">
        <f>SUM(G148:G151)</f>
        <v>700479.80776800006</v>
      </c>
      <c r="H152" s="192"/>
      <c r="T152"/>
    </row>
    <row r="153" spans="1:22" s="33" customFormat="1" x14ac:dyDescent="0.35">
      <c r="A153" s="181" t="s">
        <v>343</v>
      </c>
      <c r="B153" s="181"/>
      <c r="C153" s="181"/>
      <c r="D153" s="181"/>
      <c r="E153" s="181"/>
      <c r="F153" s="181"/>
      <c r="G153" s="181"/>
      <c r="H153" s="181"/>
      <c r="T153" s="34"/>
    </row>
    <row r="154" spans="1:22" x14ac:dyDescent="0.35">
      <c r="A154" s="169" t="s">
        <v>407</v>
      </c>
      <c r="B154" s="169"/>
      <c r="C154" s="169"/>
      <c r="D154" s="169"/>
      <c r="E154" s="169"/>
      <c r="F154" s="169"/>
      <c r="G154" s="169"/>
      <c r="H154" s="169"/>
      <c r="I154" s="20" t="s">
        <v>416</v>
      </c>
      <c r="J154" s="89" t="s">
        <v>417</v>
      </c>
      <c r="T154" s="34"/>
    </row>
    <row r="155" spans="1:22" ht="47.25" customHeight="1" x14ac:dyDescent="0.35">
      <c r="A155" s="182" t="s">
        <v>411</v>
      </c>
      <c r="B155" s="122" t="s">
        <v>167</v>
      </c>
      <c r="C155" s="122" t="s">
        <v>54</v>
      </c>
      <c r="D155" s="122" t="s">
        <v>221</v>
      </c>
      <c r="E155" s="122" t="s">
        <v>399</v>
      </c>
      <c r="F155" s="184" t="s">
        <v>55</v>
      </c>
      <c r="G155" s="236" t="s">
        <v>56</v>
      </c>
      <c r="H155" s="60" t="s">
        <v>142</v>
      </c>
      <c r="I155" s="90" t="s">
        <v>418</v>
      </c>
      <c r="T155" s="36"/>
    </row>
    <row r="156" spans="1:22" s="36" customFormat="1" x14ac:dyDescent="0.35">
      <c r="A156" s="183"/>
      <c r="B156" s="123"/>
      <c r="C156" s="123"/>
      <c r="D156" s="123"/>
      <c r="E156" s="123"/>
      <c r="F156" s="185"/>
      <c r="G156" s="237"/>
      <c r="H156" s="94">
        <v>0.5</v>
      </c>
      <c r="I156" s="35">
        <f>10.764</f>
        <v>10.763999999999999</v>
      </c>
    </row>
    <row r="157" spans="1:22" s="36" customFormat="1" x14ac:dyDescent="0.35">
      <c r="A157" s="112" t="s">
        <v>392</v>
      </c>
      <c r="B157" s="113"/>
      <c r="C157" s="113"/>
      <c r="D157" s="113"/>
      <c r="E157" s="113"/>
      <c r="F157" s="113"/>
      <c r="G157" s="113"/>
      <c r="H157" s="114"/>
      <c r="J157" s="35"/>
    </row>
    <row r="158" spans="1:22" s="36" customFormat="1" ht="30.75" customHeight="1" x14ac:dyDescent="0.35">
      <c r="A158" s="112" t="s">
        <v>396</v>
      </c>
      <c r="B158" s="113"/>
      <c r="C158" s="113"/>
      <c r="D158" s="113"/>
      <c r="E158" s="113"/>
      <c r="F158" s="113"/>
      <c r="G158" s="113"/>
      <c r="H158" s="114"/>
      <c r="J158" s="35"/>
    </row>
    <row r="159" spans="1:22" s="36" customFormat="1" ht="15.75" customHeight="1" x14ac:dyDescent="0.35">
      <c r="A159" s="112" t="s">
        <v>422</v>
      </c>
      <c r="B159" s="113"/>
      <c r="C159" s="113"/>
      <c r="D159" s="113"/>
      <c r="E159" s="113"/>
      <c r="F159" s="113"/>
      <c r="G159" s="113"/>
      <c r="H159" s="114"/>
      <c r="J159" s="35"/>
    </row>
    <row r="160" spans="1:22" s="36" customFormat="1" x14ac:dyDescent="0.35">
      <c r="A160" s="112" t="s">
        <v>397</v>
      </c>
      <c r="B160" s="113"/>
      <c r="C160" s="113"/>
      <c r="D160" s="113"/>
      <c r="E160" s="113"/>
      <c r="F160" s="113"/>
      <c r="G160" s="113"/>
      <c r="H160" s="114"/>
      <c r="I160" s="36">
        <f>19</f>
        <v>19</v>
      </c>
      <c r="J160" s="35"/>
    </row>
    <row r="161" spans="1:20" s="36" customFormat="1" ht="15.75" customHeight="1" x14ac:dyDescent="0.35">
      <c r="A161" s="100">
        <v>1</v>
      </c>
      <c r="B161" s="101"/>
      <c r="C161" s="41" t="s">
        <v>398</v>
      </c>
      <c r="D161" s="93">
        <f>(89.74)*(10.764)</f>
        <v>965.9613599999999</v>
      </c>
      <c r="E161" s="93">
        <f>(5.5*1.2+3.05*1.1+3.05*1)*(10.764)</f>
        <v>139.98581999999999</v>
      </c>
      <c r="F161" s="41">
        <f t="shared" ref="F161:F166" si="4">D161+E161</f>
        <v>1105.9471799999999</v>
      </c>
      <c r="G161" s="41">
        <v>0</v>
      </c>
      <c r="H161" s="41">
        <f t="shared" ref="H161:H166" si="5">F161*(($H$156)+1)+(IF(G161&lt;101,G161,IF(G161&lt;201,G161/2,IF(G161&lt;=301,G161/3,G161/4))))</f>
        <v>1658.9207699999997</v>
      </c>
      <c r="I161" s="92">
        <f>3.05*7.46+0.9*4.3+2.45*3.05+3.05*3.05+3.05*4.17+4.12*3.05+2.2*1.35+1.37*2.45+1.22*2.15+5.5+1.5*0.9</f>
        <v>84.481999999999985</v>
      </c>
      <c r="L161" s="102"/>
      <c r="M161" s="102"/>
      <c r="N161" s="35"/>
    </row>
    <row r="162" spans="1:20" s="36" customFormat="1" ht="15.75" customHeight="1" x14ac:dyDescent="0.35">
      <c r="A162" s="100">
        <f>A161+1</f>
        <v>2</v>
      </c>
      <c r="B162" s="101"/>
      <c r="C162" s="41" t="s">
        <v>400</v>
      </c>
      <c r="D162" s="93">
        <f>(65.83)*(10.764)</f>
        <v>708.59411999999998</v>
      </c>
      <c r="E162" s="93">
        <f>(5.5*1.2)*(10.764)</f>
        <v>71.042399999999986</v>
      </c>
      <c r="F162" s="41">
        <f t="shared" si="4"/>
        <v>779.63652000000002</v>
      </c>
      <c r="G162" s="41">
        <v>0</v>
      </c>
      <c r="H162" s="41">
        <f t="shared" si="5"/>
        <v>1169.45478</v>
      </c>
      <c r="I162" s="92">
        <f>3.05*5.65+1.35*1.61+0.96*2.47+2.45*3.05+3.05*3.05+3.051*4.171+2.45*1.35+2.15*1.35+5*1</f>
        <v>62.487921</v>
      </c>
      <c r="L162" s="102"/>
      <c r="M162" s="102"/>
      <c r="N162" s="35"/>
    </row>
    <row r="163" spans="1:20" s="36" customFormat="1" ht="15.75" customHeight="1" x14ac:dyDescent="0.35">
      <c r="A163" s="100">
        <f>A162+1</f>
        <v>3</v>
      </c>
      <c r="B163" s="101"/>
      <c r="C163" s="41" t="s">
        <v>400</v>
      </c>
      <c r="D163" s="93">
        <f>(65.83)*(10.764)</f>
        <v>708.59411999999998</v>
      </c>
      <c r="E163" s="93">
        <f>(5.5*1.2)*(10.764)</f>
        <v>71.042399999999986</v>
      </c>
      <c r="F163" s="41">
        <f t="shared" si="4"/>
        <v>779.63652000000002</v>
      </c>
      <c r="G163" s="41">
        <v>0</v>
      </c>
      <c r="H163" s="41">
        <f t="shared" si="5"/>
        <v>1169.45478</v>
      </c>
      <c r="I163" s="35"/>
      <c r="L163" s="102"/>
      <c r="M163" s="102"/>
      <c r="N163" s="35"/>
    </row>
    <row r="164" spans="1:20" s="36" customFormat="1" ht="15.75" customHeight="1" x14ac:dyDescent="0.35">
      <c r="A164" s="100">
        <f>A163+1</f>
        <v>4</v>
      </c>
      <c r="B164" s="101"/>
      <c r="C164" s="41" t="s">
        <v>400</v>
      </c>
      <c r="D164" s="93">
        <f>(65.83)*(10.764)</f>
        <v>708.59411999999998</v>
      </c>
      <c r="E164" s="93">
        <f>(5.5*1.2)*(10.764)</f>
        <v>71.042399999999986</v>
      </c>
      <c r="F164" s="41">
        <f t="shared" si="4"/>
        <v>779.63652000000002</v>
      </c>
      <c r="G164" s="41">
        <v>0</v>
      </c>
      <c r="H164" s="41">
        <f t="shared" si="5"/>
        <v>1169.45478</v>
      </c>
      <c r="I164" s="35"/>
      <c r="L164" s="102"/>
      <c r="M164" s="102"/>
      <c r="N164" s="35"/>
      <c r="T164" s="20"/>
    </row>
    <row r="165" spans="1:20" s="36" customFormat="1" ht="15.75" customHeight="1" x14ac:dyDescent="0.35">
      <c r="A165" s="100">
        <f>A164+1</f>
        <v>5</v>
      </c>
      <c r="B165" s="101"/>
      <c r="C165" s="41" t="s">
        <v>400</v>
      </c>
      <c r="D165" s="93">
        <f>(65.83)*(10.764)</f>
        <v>708.59411999999998</v>
      </c>
      <c r="E165" s="93">
        <f>(5.5*1.2)*(10.764)</f>
        <v>71.042399999999986</v>
      </c>
      <c r="F165" s="41">
        <f t="shared" si="4"/>
        <v>779.63652000000002</v>
      </c>
      <c r="G165" s="41">
        <v>0</v>
      </c>
      <c r="H165" s="41">
        <f t="shared" si="5"/>
        <v>1169.45478</v>
      </c>
      <c r="I165" s="35"/>
      <c r="L165" s="102"/>
      <c r="M165" s="102"/>
      <c r="N165" s="35"/>
    </row>
    <row r="166" spans="1:20" s="36" customFormat="1" ht="15.75" customHeight="1" x14ac:dyDescent="0.35">
      <c r="A166" s="100">
        <f>A165+1</f>
        <v>6</v>
      </c>
      <c r="B166" s="101"/>
      <c r="C166" s="41" t="s">
        <v>398</v>
      </c>
      <c r="D166" s="93">
        <f>(89.74)*(10.764)</f>
        <v>965.9613599999999</v>
      </c>
      <c r="E166" s="93">
        <f>(5.5*1.2+3.05*1.1+3.05*1)*(10.764)</f>
        <v>139.98581999999999</v>
      </c>
      <c r="F166" s="41">
        <f t="shared" si="4"/>
        <v>1105.9471799999999</v>
      </c>
      <c r="G166" s="41">
        <v>0</v>
      </c>
      <c r="H166" s="41">
        <f t="shared" si="5"/>
        <v>1658.9207699999997</v>
      </c>
      <c r="I166" s="35"/>
      <c r="L166" s="102"/>
      <c r="M166" s="102"/>
      <c r="N166" s="35"/>
      <c r="T166" s="20"/>
    </row>
    <row r="167" spans="1:20" s="36" customFormat="1" x14ac:dyDescent="0.35">
      <c r="A167" s="112" t="s">
        <v>403</v>
      </c>
      <c r="B167" s="113"/>
      <c r="C167" s="113"/>
      <c r="D167" s="113"/>
      <c r="E167" s="113"/>
      <c r="F167" s="113"/>
      <c r="G167" s="113"/>
      <c r="H167" s="114"/>
      <c r="I167" s="36">
        <f>5</f>
        <v>5</v>
      </c>
      <c r="J167" s="35"/>
    </row>
    <row r="168" spans="1:20" s="36" customFormat="1" ht="15.75" customHeight="1" x14ac:dyDescent="0.35">
      <c r="A168" s="100">
        <v>1</v>
      </c>
      <c r="B168" s="101"/>
      <c r="C168" s="41" t="s">
        <v>404</v>
      </c>
      <c r="D168" s="93">
        <f>(124.1)*(10.764)</f>
        <v>1335.8123999999998</v>
      </c>
      <c r="E168" s="93">
        <f>(5.5*1.2+3.05*1.1+3.05*1)*(10.764)</f>
        <v>139.98581999999999</v>
      </c>
      <c r="F168" s="41">
        <f>D168+E168</f>
        <v>1475.7982199999997</v>
      </c>
      <c r="G168" s="41">
        <v>0</v>
      </c>
      <c r="H168" s="41">
        <f>F168*(($H$156)+1)+(IF(G168&lt;101,G168,IF(G168&lt;201,G168/2,IF(G168&lt;=301,G168/3,G168/4))))</f>
        <v>2213.6973299999995</v>
      </c>
      <c r="I168" s="92">
        <f>5.7*4.17+3.79*3.29+3.05*3.05+3.05*3.05+3.05*4.17+4.12*3.05+3.05*3.05+1.7*2.47+2.45*1.35+1.22*2.15+2.2*1.35+1.37*2.45+5.7*1+4*1+1.9*1.1</f>
        <v>117.67610000000001</v>
      </c>
      <c r="L168" s="102"/>
      <c r="M168" s="102"/>
      <c r="N168" s="35"/>
    </row>
    <row r="169" spans="1:20" s="36" customFormat="1" ht="15.75" customHeight="1" x14ac:dyDescent="0.35">
      <c r="A169" s="100">
        <f>A168+1</f>
        <v>2</v>
      </c>
      <c r="B169" s="101"/>
      <c r="C169" s="41" t="s">
        <v>405</v>
      </c>
      <c r="D169" s="100" t="s">
        <v>406</v>
      </c>
      <c r="E169" s="115"/>
      <c r="F169" s="115"/>
      <c r="G169" s="115"/>
      <c r="H169" s="101"/>
      <c r="I169" s="91"/>
      <c r="L169" s="102"/>
      <c r="M169" s="102"/>
      <c r="N169" s="35"/>
    </row>
    <row r="170" spans="1:20" s="36" customFormat="1" ht="15.75" customHeight="1" x14ac:dyDescent="0.35">
      <c r="A170" s="100">
        <f>A169+1</f>
        <v>3</v>
      </c>
      <c r="B170" s="101"/>
      <c r="C170" s="41" t="s">
        <v>400</v>
      </c>
      <c r="D170" s="93">
        <f>(65.83)*(10.764)</f>
        <v>708.59411999999998</v>
      </c>
      <c r="E170" s="93">
        <f>(5.5*1.2)*(10.764)</f>
        <v>71.042399999999986</v>
      </c>
      <c r="F170" s="41">
        <f>D170+E170</f>
        <v>779.63652000000002</v>
      </c>
      <c r="G170" s="41">
        <v>0</v>
      </c>
      <c r="H170" s="41">
        <f>F170*(($H$156)+1)+(IF(G170&lt;101,G170,IF(G170&lt;201,G170/2,IF(G170&lt;=301,G170/3,G170/4))))</f>
        <v>1169.45478</v>
      </c>
      <c r="I170" s="91"/>
      <c r="L170" s="102"/>
      <c r="M170" s="102"/>
      <c r="N170" s="35"/>
    </row>
    <row r="171" spans="1:20" s="36" customFormat="1" ht="15.75" customHeight="1" x14ac:dyDescent="0.35">
      <c r="A171" s="100">
        <f>A170+1</f>
        <v>4</v>
      </c>
      <c r="B171" s="101"/>
      <c r="C171" s="41" t="s">
        <v>400</v>
      </c>
      <c r="D171" s="93">
        <f>(65.83)*(10.764)</f>
        <v>708.59411999999998</v>
      </c>
      <c r="E171" s="93">
        <f>(5.5*1.2)*(10.764)</f>
        <v>71.042399999999986</v>
      </c>
      <c r="F171" s="41">
        <f>D171+E171</f>
        <v>779.63652000000002</v>
      </c>
      <c r="G171" s="41">
        <v>0</v>
      </c>
      <c r="H171" s="41">
        <f>F171*(($H$156)+1)+(IF(G171&lt;101,G171,IF(G171&lt;201,G171/2,IF(G171&lt;=301,G171/3,G171/4))))</f>
        <v>1169.45478</v>
      </c>
      <c r="I171" s="35"/>
      <c r="L171" s="102"/>
      <c r="M171" s="102"/>
      <c r="N171" s="35"/>
      <c r="T171" s="20"/>
    </row>
    <row r="172" spans="1:20" s="36" customFormat="1" ht="15.75" customHeight="1" x14ac:dyDescent="0.35">
      <c r="A172" s="100">
        <f>A171+1</f>
        <v>5</v>
      </c>
      <c r="B172" s="101"/>
      <c r="C172" s="41" t="s">
        <v>400</v>
      </c>
      <c r="D172" s="93">
        <f>(65.83)*(10.764)</f>
        <v>708.59411999999998</v>
      </c>
      <c r="E172" s="93">
        <f>(5.5*1.2)*(10.764)</f>
        <v>71.042399999999986</v>
      </c>
      <c r="F172" s="41">
        <f>D172+E172</f>
        <v>779.63652000000002</v>
      </c>
      <c r="G172" s="41">
        <v>0</v>
      </c>
      <c r="H172" s="41">
        <f>F172*(($H$156)+1)+(IF(G172&lt;101,G172,IF(G172&lt;201,G172/2,IF(G172&lt;=301,G172/3,G172/4))))</f>
        <v>1169.45478</v>
      </c>
      <c r="I172" s="35"/>
      <c r="L172" s="102"/>
      <c r="M172" s="102"/>
      <c r="N172" s="35"/>
    </row>
    <row r="173" spans="1:20" s="36" customFormat="1" ht="15.75" customHeight="1" x14ac:dyDescent="0.35">
      <c r="A173" s="100">
        <f>A172+1</f>
        <v>6</v>
      </c>
      <c r="B173" s="101"/>
      <c r="C173" s="41" t="s">
        <v>398</v>
      </c>
      <c r="D173" s="93">
        <f>(89.74)*(10.764)</f>
        <v>965.9613599999999</v>
      </c>
      <c r="E173" s="93">
        <f>(5.5*1.2+3.05*1.1+3.05*1)*(10.764)</f>
        <v>139.98581999999999</v>
      </c>
      <c r="F173" s="41">
        <f>D173+E173</f>
        <v>1105.9471799999999</v>
      </c>
      <c r="G173" s="41">
        <v>0</v>
      </c>
      <c r="H173" s="41">
        <f>F173*(($H$156)+1)+(IF(G173&lt;101,G173,IF(G173&lt;201,G173/2,IF(G173&lt;=301,G173/3,G173/4))))</f>
        <v>1658.9207699999997</v>
      </c>
      <c r="I173" s="35"/>
      <c r="L173" s="102"/>
      <c r="M173" s="102"/>
      <c r="N173" s="35"/>
      <c r="T173" s="20"/>
    </row>
    <row r="174" spans="1:20" s="36" customFormat="1" x14ac:dyDescent="0.35">
      <c r="A174" s="112" t="s">
        <v>393</v>
      </c>
      <c r="B174" s="113"/>
      <c r="C174" s="113"/>
      <c r="D174" s="113"/>
      <c r="E174" s="113"/>
      <c r="F174" s="113"/>
      <c r="G174" s="113"/>
      <c r="H174" s="114"/>
      <c r="J174" s="35"/>
    </row>
    <row r="175" spans="1:20" s="36" customFormat="1" ht="30.75" customHeight="1" x14ac:dyDescent="0.35">
      <c r="A175" s="112" t="s">
        <v>396</v>
      </c>
      <c r="B175" s="113"/>
      <c r="C175" s="113"/>
      <c r="D175" s="113"/>
      <c r="E175" s="113"/>
      <c r="F175" s="113"/>
      <c r="G175" s="113"/>
      <c r="H175" s="114"/>
      <c r="J175" s="35"/>
    </row>
    <row r="176" spans="1:20" s="36" customFormat="1" ht="15.75" customHeight="1" x14ac:dyDescent="0.35">
      <c r="A176" s="112" t="s">
        <v>422</v>
      </c>
      <c r="B176" s="113"/>
      <c r="C176" s="113"/>
      <c r="D176" s="113"/>
      <c r="E176" s="113"/>
      <c r="F176" s="113"/>
      <c r="G176" s="113"/>
      <c r="H176" s="114"/>
      <c r="J176" s="35"/>
    </row>
    <row r="177" spans="1:20" s="36" customFormat="1" x14ac:dyDescent="0.35">
      <c r="A177" s="112" t="s">
        <v>397</v>
      </c>
      <c r="B177" s="113"/>
      <c r="C177" s="113"/>
      <c r="D177" s="113"/>
      <c r="E177" s="113"/>
      <c r="F177" s="113"/>
      <c r="G177" s="113"/>
      <c r="H177" s="114"/>
      <c r="I177" s="36">
        <f>19</f>
        <v>19</v>
      </c>
      <c r="J177" s="35"/>
    </row>
    <row r="178" spans="1:20" s="36" customFormat="1" ht="15.75" customHeight="1" x14ac:dyDescent="0.35">
      <c r="A178" s="100">
        <v>1</v>
      </c>
      <c r="B178" s="101"/>
      <c r="C178" s="41" t="s">
        <v>398</v>
      </c>
      <c r="D178" s="93">
        <f>(89.74)*(10.764)</f>
        <v>965.9613599999999</v>
      </c>
      <c r="E178" s="93">
        <f>(5.5*1.2+3.05*1.1+3.05*1)*(10.764)</f>
        <v>139.98581999999999</v>
      </c>
      <c r="F178" s="41">
        <f t="shared" ref="F178:F183" si="6">D178+E178</f>
        <v>1105.9471799999999</v>
      </c>
      <c r="G178" s="41">
        <v>0</v>
      </c>
      <c r="H178" s="41">
        <f t="shared" ref="H178:H183" si="7">F178*(($H$156)+1)+(IF(G178&lt;101,G178,IF(G178&lt;201,G178/2,IF(G178&lt;=301,G178/3,G178/4))))</f>
        <v>1658.9207699999997</v>
      </c>
      <c r="I178" s="92">
        <f>3.05*7.46+0.9*4.3+2.45*3.05+3.05*3.05+3.05*4.17+4.12*3.05+2.2*1.35+1.37*2.45+1.22*2.15+5.5+1.5*0.9</f>
        <v>84.481999999999985</v>
      </c>
      <c r="L178" s="102"/>
      <c r="M178" s="102"/>
      <c r="N178" s="35"/>
    </row>
    <row r="179" spans="1:20" s="36" customFormat="1" ht="15.75" customHeight="1" x14ac:dyDescent="0.35">
      <c r="A179" s="100">
        <f>A178+1</f>
        <v>2</v>
      </c>
      <c r="B179" s="101"/>
      <c r="C179" s="41" t="s">
        <v>400</v>
      </c>
      <c r="D179" s="93">
        <f>(65.83)*(10.764)</f>
        <v>708.59411999999998</v>
      </c>
      <c r="E179" s="93">
        <f>(5.5*1.2)*(10.764)</f>
        <v>71.042399999999986</v>
      </c>
      <c r="F179" s="41">
        <f t="shared" si="6"/>
        <v>779.63652000000002</v>
      </c>
      <c r="G179" s="41">
        <v>0</v>
      </c>
      <c r="H179" s="41">
        <f t="shared" si="7"/>
        <v>1169.45478</v>
      </c>
      <c r="I179" s="92">
        <f>3.05*5.65+1.35*1.61+0.96*2.47+2.45*3.05+3.05*3.05+3.051*4.171+2.45*1.35+2.15*1.35+5*1</f>
        <v>62.487921</v>
      </c>
      <c r="L179" s="102"/>
      <c r="M179" s="102"/>
      <c r="N179" s="35"/>
    </row>
    <row r="180" spans="1:20" s="36" customFormat="1" ht="15.75" customHeight="1" x14ac:dyDescent="0.35">
      <c r="A180" s="100">
        <f>A179+1</f>
        <v>3</v>
      </c>
      <c r="B180" s="101"/>
      <c r="C180" s="41" t="s">
        <v>400</v>
      </c>
      <c r="D180" s="93">
        <f>(65.83)*(10.764)</f>
        <v>708.59411999999998</v>
      </c>
      <c r="E180" s="93">
        <f>(5.5*1.2)*(10.764)</f>
        <v>71.042399999999986</v>
      </c>
      <c r="F180" s="41">
        <f t="shared" si="6"/>
        <v>779.63652000000002</v>
      </c>
      <c r="G180" s="41">
        <v>0</v>
      </c>
      <c r="H180" s="41">
        <f t="shared" si="7"/>
        <v>1169.45478</v>
      </c>
      <c r="I180" s="35"/>
      <c r="L180" s="102"/>
      <c r="M180" s="102"/>
      <c r="N180" s="35"/>
    </row>
    <row r="181" spans="1:20" s="36" customFormat="1" ht="15.75" customHeight="1" x14ac:dyDescent="0.35">
      <c r="A181" s="100">
        <f>A180+1</f>
        <v>4</v>
      </c>
      <c r="B181" s="101"/>
      <c r="C181" s="41" t="s">
        <v>400</v>
      </c>
      <c r="D181" s="93">
        <f>(65.83)*(10.764)</f>
        <v>708.59411999999998</v>
      </c>
      <c r="E181" s="93">
        <f>(5.5*1.2)*(10.764)</f>
        <v>71.042399999999986</v>
      </c>
      <c r="F181" s="41">
        <f t="shared" si="6"/>
        <v>779.63652000000002</v>
      </c>
      <c r="G181" s="41">
        <v>0</v>
      </c>
      <c r="H181" s="41">
        <f t="shared" si="7"/>
        <v>1169.45478</v>
      </c>
      <c r="I181" s="35"/>
      <c r="L181" s="102"/>
      <c r="M181" s="102"/>
      <c r="N181" s="35"/>
      <c r="T181" s="20"/>
    </row>
    <row r="182" spans="1:20" s="36" customFormat="1" ht="15.75" customHeight="1" x14ac:dyDescent="0.35">
      <c r="A182" s="100">
        <f>A181+1</f>
        <v>5</v>
      </c>
      <c r="B182" s="101"/>
      <c r="C182" s="41" t="s">
        <v>400</v>
      </c>
      <c r="D182" s="93">
        <f>(65.83)*(10.764)</f>
        <v>708.59411999999998</v>
      </c>
      <c r="E182" s="93">
        <f>(5.5*1.2)*(10.764)</f>
        <v>71.042399999999986</v>
      </c>
      <c r="F182" s="41">
        <f t="shared" si="6"/>
        <v>779.63652000000002</v>
      </c>
      <c r="G182" s="41">
        <v>0</v>
      </c>
      <c r="H182" s="41">
        <f t="shared" si="7"/>
        <v>1169.45478</v>
      </c>
      <c r="I182" s="35"/>
      <c r="L182" s="102"/>
      <c r="M182" s="102"/>
      <c r="N182" s="35"/>
    </row>
    <row r="183" spans="1:20" s="36" customFormat="1" ht="15.75" customHeight="1" x14ac:dyDescent="0.35">
      <c r="A183" s="100">
        <f>A182+1</f>
        <v>6</v>
      </c>
      <c r="B183" s="101"/>
      <c r="C183" s="41" t="s">
        <v>398</v>
      </c>
      <c r="D183" s="93">
        <f>(89.74)*(10.764)</f>
        <v>965.9613599999999</v>
      </c>
      <c r="E183" s="93">
        <f>(5.5*1.2+3.05*1.1+3.05*1)*(10.764)</f>
        <v>139.98581999999999</v>
      </c>
      <c r="F183" s="41">
        <f t="shared" si="6"/>
        <v>1105.9471799999999</v>
      </c>
      <c r="G183" s="41">
        <v>0</v>
      </c>
      <c r="H183" s="41">
        <f t="shared" si="7"/>
        <v>1658.9207699999997</v>
      </c>
      <c r="I183" s="35"/>
      <c r="L183" s="102"/>
      <c r="M183" s="102"/>
      <c r="N183" s="35"/>
      <c r="T183" s="20"/>
    </row>
    <row r="184" spans="1:20" s="36" customFormat="1" x14ac:dyDescent="0.35">
      <c r="A184" s="112" t="s">
        <v>403</v>
      </c>
      <c r="B184" s="113"/>
      <c r="C184" s="113"/>
      <c r="D184" s="113"/>
      <c r="E184" s="113"/>
      <c r="F184" s="113"/>
      <c r="G184" s="113"/>
      <c r="H184" s="114"/>
      <c r="I184" s="36">
        <f>5</f>
        <v>5</v>
      </c>
      <c r="J184" s="35"/>
    </row>
    <row r="185" spans="1:20" s="36" customFormat="1" ht="15.75" customHeight="1" x14ac:dyDescent="0.35">
      <c r="A185" s="100">
        <v>1</v>
      </c>
      <c r="B185" s="101"/>
      <c r="C185" s="41" t="s">
        <v>404</v>
      </c>
      <c r="D185" s="93">
        <f>(124.1)*(10.764)</f>
        <v>1335.8123999999998</v>
      </c>
      <c r="E185" s="93">
        <f>(5.5*1.2+3.05*1.1+3.05*1)*(10.764)</f>
        <v>139.98581999999999</v>
      </c>
      <c r="F185" s="41">
        <f>D185+E185</f>
        <v>1475.7982199999997</v>
      </c>
      <c r="G185" s="41">
        <v>0</v>
      </c>
      <c r="H185" s="41">
        <f>F185*(($H$156)+1)+(IF(G185&lt;101,G185,IF(G185&lt;201,G185/2,IF(G185&lt;=301,G185/3,G185/4))))</f>
        <v>2213.6973299999995</v>
      </c>
      <c r="I185" s="92">
        <f>5.7*4.17+3.79*3.29+3.05*3.05+3.05*3.05+3.05*4.17+4.12*3.05+3.05*3.05+1.7*2.47+2.45*1.35+1.22*2.15+2.2*1.35+1.37*2.45+5.7*1+4*1+1.9*1.1</f>
        <v>117.67610000000001</v>
      </c>
      <c r="L185" s="102"/>
      <c r="M185" s="102"/>
      <c r="N185" s="35"/>
    </row>
    <row r="186" spans="1:20" s="36" customFormat="1" ht="15.75" customHeight="1" x14ac:dyDescent="0.35">
      <c r="A186" s="100">
        <f>A185+1</f>
        <v>2</v>
      </c>
      <c r="B186" s="101"/>
      <c r="C186" s="41" t="s">
        <v>405</v>
      </c>
      <c r="D186" s="100" t="s">
        <v>406</v>
      </c>
      <c r="E186" s="115"/>
      <c r="F186" s="115"/>
      <c r="G186" s="115"/>
      <c r="H186" s="101"/>
      <c r="I186" s="91"/>
      <c r="L186" s="102"/>
      <c r="M186" s="102"/>
      <c r="N186" s="35"/>
    </row>
    <row r="187" spans="1:20" s="36" customFormat="1" ht="15.75" customHeight="1" x14ac:dyDescent="0.35">
      <c r="A187" s="100">
        <f>A186+1</f>
        <v>3</v>
      </c>
      <c r="B187" s="101"/>
      <c r="C187" s="41" t="s">
        <v>400</v>
      </c>
      <c r="D187" s="93">
        <f>(65.83)*(10.764)</f>
        <v>708.59411999999998</v>
      </c>
      <c r="E187" s="93">
        <f>(5.5*1.2)*(10.764)</f>
        <v>71.042399999999986</v>
      </c>
      <c r="F187" s="41">
        <f>D187+E187</f>
        <v>779.63652000000002</v>
      </c>
      <c r="G187" s="41">
        <v>0</v>
      </c>
      <c r="H187" s="41">
        <f>F187*(($H$156)+1)+(IF(G187&lt;101,G187,IF(G187&lt;201,G187/2,IF(G187&lt;=301,G187/3,G187/4))))</f>
        <v>1169.45478</v>
      </c>
      <c r="I187" s="91"/>
      <c r="L187" s="102"/>
      <c r="M187" s="102"/>
      <c r="N187" s="35"/>
    </row>
    <row r="188" spans="1:20" s="36" customFormat="1" ht="15.75" customHeight="1" x14ac:dyDescent="0.35">
      <c r="A188" s="100">
        <f>A187+1</f>
        <v>4</v>
      </c>
      <c r="B188" s="101"/>
      <c r="C188" s="41" t="s">
        <v>400</v>
      </c>
      <c r="D188" s="93">
        <f>(65.83)*(10.764)</f>
        <v>708.59411999999998</v>
      </c>
      <c r="E188" s="93">
        <f>(5.5*1.2)*(10.764)</f>
        <v>71.042399999999986</v>
      </c>
      <c r="F188" s="41">
        <f>D188+E188</f>
        <v>779.63652000000002</v>
      </c>
      <c r="G188" s="41">
        <v>0</v>
      </c>
      <c r="H188" s="41">
        <f>F188*(($H$156)+1)+(IF(G188&lt;101,G188,IF(G188&lt;201,G188/2,IF(G188&lt;=301,G188/3,G188/4))))</f>
        <v>1169.45478</v>
      </c>
      <c r="I188" s="35"/>
      <c r="L188" s="102"/>
      <c r="M188" s="102"/>
      <c r="N188" s="35"/>
      <c r="T188" s="20"/>
    </row>
    <row r="189" spans="1:20" s="36" customFormat="1" ht="15.75" customHeight="1" x14ac:dyDescent="0.35">
      <c r="A189" s="100">
        <f>A188+1</f>
        <v>5</v>
      </c>
      <c r="B189" s="101"/>
      <c r="C189" s="41" t="s">
        <v>400</v>
      </c>
      <c r="D189" s="93">
        <f>(65.83)*(10.764)</f>
        <v>708.59411999999998</v>
      </c>
      <c r="E189" s="93">
        <f>(5.5*1.2)*(10.764)</f>
        <v>71.042399999999986</v>
      </c>
      <c r="F189" s="41">
        <f>D189+E189</f>
        <v>779.63652000000002</v>
      </c>
      <c r="G189" s="41">
        <v>0</v>
      </c>
      <c r="H189" s="41">
        <f>F189*(($H$156)+1)+(IF(G189&lt;101,G189,IF(G189&lt;201,G189/2,IF(G189&lt;=301,G189/3,G189/4))))</f>
        <v>1169.45478</v>
      </c>
      <c r="I189" s="35"/>
      <c r="L189" s="102"/>
      <c r="M189" s="102"/>
      <c r="N189" s="35"/>
    </row>
    <row r="190" spans="1:20" s="36" customFormat="1" ht="15.75" customHeight="1" x14ac:dyDescent="0.35">
      <c r="A190" s="100">
        <f>A189+1</f>
        <v>6</v>
      </c>
      <c r="B190" s="101"/>
      <c r="C190" s="41" t="s">
        <v>398</v>
      </c>
      <c r="D190" s="93">
        <f>(89.74)*(10.764)</f>
        <v>965.9613599999999</v>
      </c>
      <c r="E190" s="93">
        <f>(5.5*1.2+3.05*1.1+3.05*1)*(10.764)</f>
        <v>139.98581999999999</v>
      </c>
      <c r="F190" s="41">
        <f>D190+E190</f>
        <v>1105.9471799999999</v>
      </c>
      <c r="G190" s="41">
        <v>0</v>
      </c>
      <c r="H190" s="41">
        <f>F190*(($H$156)+1)+(IF(G190&lt;101,G190,IF(G190&lt;201,G190/2,IF(G190&lt;=301,G190/3,G190/4))))</f>
        <v>1658.9207699999997</v>
      </c>
      <c r="I190" s="35"/>
      <c r="L190" s="102"/>
      <c r="M190" s="102"/>
      <c r="N190" s="35"/>
      <c r="T190" s="20"/>
    </row>
    <row r="191" spans="1:20" s="36" customFormat="1" x14ac:dyDescent="0.35">
      <c r="A191" s="112" t="s">
        <v>394</v>
      </c>
      <c r="B191" s="113"/>
      <c r="C191" s="113"/>
      <c r="D191" s="113"/>
      <c r="E191" s="113"/>
      <c r="F191" s="113"/>
      <c r="G191" s="113"/>
      <c r="H191" s="114"/>
      <c r="J191" s="35"/>
    </row>
    <row r="192" spans="1:20" s="36" customFormat="1" ht="30.75" customHeight="1" x14ac:dyDescent="0.35">
      <c r="A192" s="112" t="s">
        <v>396</v>
      </c>
      <c r="B192" s="113"/>
      <c r="C192" s="113"/>
      <c r="D192" s="113"/>
      <c r="E192" s="113"/>
      <c r="F192" s="113"/>
      <c r="G192" s="113"/>
      <c r="H192" s="114"/>
      <c r="J192" s="35"/>
    </row>
    <row r="193" spans="1:20" s="36" customFormat="1" x14ac:dyDescent="0.35">
      <c r="A193" s="112" t="s">
        <v>422</v>
      </c>
      <c r="B193" s="113"/>
      <c r="C193" s="113"/>
      <c r="D193" s="113"/>
      <c r="E193" s="113"/>
      <c r="F193" s="113"/>
      <c r="G193" s="113"/>
      <c r="H193" s="114"/>
      <c r="J193" s="35"/>
    </row>
    <row r="194" spans="1:20" s="36" customFormat="1" x14ac:dyDescent="0.35">
      <c r="A194" s="112" t="s">
        <v>397</v>
      </c>
      <c r="B194" s="113"/>
      <c r="C194" s="113"/>
      <c r="D194" s="113"/>
      <c r="E194" s="113"/>
      <c r="F194" s="113"/>
      <c r="G194" s="113"/>
      <c r="H194" s="114"/>
      <c r="I194" s="36">
        <f>19</f>
        <v>19</v>
      </c>
      <c r="J194" s="90" t="s">
        <v>419</v>
      </c>
    </row>
    <row r="195" spans="1:20" s="36" customFormat="1" ht="15.75" customHeight="1" x14ac:dyDescent="0.35">
      <c r="A195" s="100">
        <v>1</v>
      </c>
      <c r="B195" s="101"/>
      <c r="C195" s="41" t="s">
        <v>400</v>
      </c>
      <c r="D195" s="93">
        <f>(54.65)*(10.764)</f>
        <v>588.25259999999992</v>
      </c>
      <c r="E195" s="93">
        <f>(2.74*1.2+2.12*1)*(10.764)</f>
        <v>58.211711999999999</v>
      </c>
      <c r="F195" s="41">
        <f t="shared" ref="F195:F202" si="8">D195+E195</f>
        <v>646.46431199999995</v>
      </c>
      <c r="G195" s="41">
        <v>0</v>
      </c>
      <c r="H195" s="41">
        <f t="shared" ref="H195:H202" si="9">F195*(($H$156)+1)+(IF(G195&lt;101,G195,IF(G195&lt;201,G195/2,IF(G195&lt;=301,G195/3,G195/4))))</f>
        <v>969.69646799999987</v>
      </c>
      <c r="I195" s="92">
        <f>2.74*5.25+0.61*2.4+2.12*3.05+2.75*3.05+3.66*3.3+1.23*2.27+1.22*2.27+2.7*1</f>
        <v>51.042000000000002</v>
      </c>
      <c r="J195" s="95" t="s">
        <v>420</v>
      </c>
      <c r="L195" s="102"/>
      <c r="M195" s="102"/>
      <c r="N195" s="35"/>
    </row>
    <row r="196" spans="1:20" s="36" customFormat="1" ht="15.75" customHeight="1" x14ac:dyDescent="0.35">
      <c r="A196" s="100">
        <f t="shared" ref="A196:A202" si="10">A195+1</f>
        <v>2</v>
      </c>
      <c r="B196" s="101"/>
      <c r="C196" s="41" t="s">
        <v>408</v>
      </c>
      <c r="D196" s="93">
        <f>(44.26)*(10.764)</f>
        <v>476.41463999999996</v>
      </c>
      <c r="E196" s="93">
        <f>(3.05*1.2+2.12*1)*(10.764)</f>
        <v>62.21591999999999</v>
      </c>
      <c r="F196" s="41">
        <f t="shared" si="8"/>
        <v>538.63055999999995</v>
      </c>
      <c r="G196" s="41">
        <v>0</v>
      </c>
      <c r="H196" s="41">
        <f t="shared" si="9"/>
        <v>807.94583999999986</v>
      </c>
      <c r="I196" s="92">
        <f>3.05*5.25+2.12*3.05+2.74*4.07+2.13*1.37+1.35*2.27+2.5*1</f>
        <v>42.11290000000001</v>
      </c>
      <c r="L196" s="102"/>
      <c r="M196" s="102"/>
      <c r="N196" s="35"/>
    </row>
    <row r="197" spans="1:20" s="36" customFormat="1" ht="15.75" customHeight="1" x14ac:dyDescent="0.35">
      <c r="A197" s="100">
        <f t="shared" si="10"/>
        <v>3</v>
      </c>
      <c r="B197" s="101"/>
      <c r="C197" s="41" t="s">
        <v>408</v>
      </c>
      <c r="D197" s="93">
        <f>(44.26)*(10.764)</f>
        <v>476.41463999999996</v>
      </c>
      <c r="E197" s="93">
        <f>(3.05*1.2+2.12*1)*(10.764)</f>
        <v>62.21591999999999</v>
      </c>
      <c r="F197" s="41">
        <f t="shared" si="8"/>
        <v>538.63055999999995</v>
      </c>
      <c r="G197" s="41">
        <v>0</v>
      </c>
      <c r="H197" s="41">
        <f t="shared" si="9"/>
        <v>807.94583999999986</v>
      </c>
      <c r="I197" s="35"/>
      <c r="L197" s="102"/>
      <c r="M197" s="102"/>
      <c r="N197" s="35"/>
    </row>
    <row r="198" spans="1:20" s="36" customFormat="1" ht="15.75" customHeight="1" x14ac:dyDescent="0.35">
      <c r="A198" s="100">
        <f t="shared" si="10"/>
        <v>4</v>
      </c>
      <c r="B198" s="101"/>
      <c r="C198" s="41" t="s">
        <v>400</v>
      </c>
      <c r="D198" s="93">
        <f>(54.65)*(10.764)</f>
        <v>588.25259999999992</v>
      </c>
      <c r="E198" s="93">
        <f>(2.74*1.2+2.12*1)*(10.764)</f>
        <v>58.211711999999999</v>
      </c>
      <c r="F198" s="41">
        <f t="shared" si="8"/>
        <v>646.46431199999995</v>
      </c>
      <c r="G198" s="41">
        <v>0</v>
      </c>
      <c r="H198" s="41">
        <f t="shared" si="9"/>
        <v>969.69646799999987</v>
      </c>
      <c r="I198" s="35"/>
      <c r="L198" s="102"/>
      <c r="M198" s="102"/>
      <c r="N198" s="35"/>
      <c r="T198" s="20"/>
    </row>
    <row r="199" spans="1:20" s="36" customFormat="1" ht="15.75" customHeight="1" x14ac:dyDescent="0.35">
      <c r="A199" s="100">
        <f t="shared" si="10"/>
        <v>5</v>
      </c>
      <c r="B199" s="101"/>
      <c r="C199" s="41" t="s">
        <v>400</v>
      </c>
      <c r="D199" s="93">
        <f>(50.23)*(10.764)</f>
        <v>540.67571999999996</v>
      </c>
      <c r="E199" s="93">
        <f>(3.05*1.2+2.39*1)*(10.764)</f>
        <v>65.122199999999992</v>
      </c>
      <c r="F199" s="41">
        <f t="shared" si="8"/>
        <v>605.79791999999998</v>
      </c>
      <c r="G199" s="41">
        <v>0</v>
      </c>
      <c r="H199" s="41">
        <f t="shared" si="9"/>
        <v>908.69687999999996</v>
      </c>
      <c r="I199" s="92">
        <f>3.05*4.76+2.39*2.96+2.73*2.27+2.73*3.6+1.33*2.06+1.21*2.06+3.1*1</f>
        <v>45.9499</v>
      </c>
      <c r="L199" s="102"/>
      <c r="M199" s="102"/>
      <c r="N199" s="35"/>
    </row>
    <row r="200" spans="1:20" s="36" customFormat="1" ht="15.75" customHeight="1" x14ac:dyDescent="0.35">
      <c r="A200" s="100">
        <f t="shared" si="10"/>
        <v>6</v>
      </c>
      <c r="B200" s="101"/>
      <c r="C200" s="41" t="s">
        <v>400</v>
      </c>
      <c r="D200" s="93">
        <f>(50.23)*(10.764)</f>
        <v>540.67571999999996</v>
      </c>
      <c r="E200" s="93">
        <f>(3.05*1.2+2.39*1)*(10.764)</f>
        <v>65.122199999999992</v>
      </c>
      <c r="F200" s="41">
        <f t="shared" si="8"/>
        <v>605.79791999999998</v>
      </c>
      <c r="G200" s="41">
        <v>0</v>
      </c>
      <c r="H200" s="41">
        <f t="shared" si="9"/>
        <v>908.69687999999996</v>
      </c>
      <c r="I200" s="35"/>
      <c r="L200" s="102"/>
      <c r="M200" s="102"/>
      <c r="N200" s="35"/>
      <c r="T200" s="20"/>
    </row>
    <row r="201" spans="1:20" s="36" customFormat="1" ht="15.75" customHeight="1" x14ac:dyDescent="0.35">
      <c r="A201" s="100">
        <f t="shared" si="10"/>
        <v>7</v>
      </c>
      <c r="B201" s="101"/>
      <c r="C201" s="41" t="s">
        <v>408</v>
      </c>
      <c r="D201" s="93">
        <f>(40.36)*(10.764)</f>
        <v>434.43503999999996</v>
      </c>
      <c r="E201" s="93">
        <f>(3.05*1+2.13*1)*(10.764)</f>
        <v>55.757519999999992</v>
      </c>
      <c r="F201" s="41">
        <f t="shared" si="8"/>
        <v>490.19255999999996</v>
      </c>
      <c r="G201" s="41">
        <v>0</v>
      </c>
      <c r="H201" s="41">
        <f t="shared" si="9"/>
        <v>735.28883999999994</v>
      </c>
      <c r="I201" s="92">
        <f>3.05*5.45+2.65*2.13+2.75*3.35+1.29*2.12+2.12*1.25+1.5*1</f>
        <v>38.3643</v>
      </c>
      <c r="L201" s="102"/>
      <c r="M201" s="102"/>
      <c r="N201" s="35"/>
    </row>
    <row r="202" spans="1:20" s="36" customFormat="1" ht="15.75" customHeight="1" x14ac:dyDescent="0.35">
      <c r="A202" s="100">
        <f t="shared" si="10"/>
        <v>8</v>
      </c>
      <c r="B202" s="101"/>
      <c r="C202" s="41" t="s">
        <v>408</v>
      </c>
      <c r="D202" s="93">
        <f>(40.36)*(10.764)</f>
        <v>434.43503999999996</v>
      </c>
      <c r="E202" s="93">
        <f>(3.05*1+2.13*1)*(10.764)</f>
        <v>55.757519999999992</v>
      </c>
      <c r="F202" s="41">
        <f t="shared" si="8"/>
        <v>490.19255999999996</v>
      </c>
      <c r="G202" s="41">
        <v>0</v>
      </c>
      <c r="H202" s="41">
        <f t="shared" si="9"/>
        <v>735.28883999999994</v>
      </c>
      <c r="I202" s="35"/>
      <c r="L202" s="102"/>
      <c r="M202" s="102"/>
      <c r="N202" s="35"/>
      <c r="T202" s="20"/>
    </row>
    <row r="203" spans="1:20" s="36" customFormat="1" ht="15.75" customHeight="1" x14ac:dyDescent="0.35">
      <c r="A203" s="112" t="s">
        <v>403</v>
      </c>
      <c r="B203" s="113"/>
      <c r="C203" s="113"/>
      <c r="D203" s="113"/>
      <c r="E203" s="113"/>
      <c r="F203" s="113"/>
      <c r="G203" s="113"/>
      <c r="H203" s="114"/>
      <c r="I203" s="36">
        <f>5</f>
        <v>5</v>
      </c>
      <c r="J203" s="90" t="s">
        <v>419</v>
      </c>
    </row>
    <row r="204" spans="1:20" s="36" customFormat="1" ht="15.75" customHeight="1" x14ac:dyDescent="0.35">
      <c r="A204" s="100">
        <v>1</v>
      </c>
      <c r="B204" s="101"/>
      <c r="C204" s="41" t="s">
        <v>400</v>
      </c>
      <c r="D204" s="93">
        <f>(54.65)*(10.764)</f>
        <v>588.25259999999992</v>
      </c>
      <c r="E204" s="93">
        <f>(2.74*1.2+2.12*1)*(10.764)</f>
        <v>58.211711999999999</v>
      </c>
      <c r="F204" s="41">
        <f>D204+E204</f>
        <v>646.46431199999995</v>
      </c>
      <c r="G204" s="41">
        <v>0</v>
      </c>
      <c r="H204" s="41">
        <f>F204*(($H$156)+1)+(IF(G204&lt;101,G204,IF(G204&lt;201,G204/2,IF(G204&lt;=301,G204/3,G204/4))))</f>
        <v>969.69646799999987</v>
      </c>
      <c r="I204" s="91"/>
      <c r="J204" s="95" t="s">
        <v>420</v>
      </c>
      <c r="L204" s="102"/>
      <c r="M204" s="102"/>
      <c r="N204" s="35"/>
    </row>
    <row r="205" spans="1:20" s="36" customFormat="1" ht="15.75" customHeight="1" x14ac:dyDescent="0.35">
      <c r="A205" s="100">
        <f t="shared" ref="A205:A211" si="11">A204+1</f>
        <v>2</v>
      </c>
      <c r="B205" s="101"/>
      <c r="C205" s="41" t="s">
        <v>400</v>
      </c>
      <c r="D205" s="93">
        <f>(59.36)*(10.764)</f>
        <v>638.95103999999992</v>
      </c>
      <c r="E205" s="93">
        <f>(3.05*1.2+2.12*1)*(10.764)</f>
        <v>62.21591999999999</v>
      </c>
      <c r="F205" s="41">
        <f>D205+E205</f>
        <v>701.1669599999999</v>
      </c>
      <c r="G205" s="41">
        <v>0</v>
      </c>
      <c r="H205" s="41">
        <f>F205*(($H$156)+1)+(IF(G205&lt;101,G205,IF(G205&lt;201,G205/2,IF(G205&lt;=301,G205/3,G205/4))))</f>
        <v>1051.7504399999998</v>
      </c>
      <c r="I205" s="92">
        <f>3.05*5.25+1.5*3.3+2.12*3.05+2.74*4.07+2.74*4.07+2.13*1.37+2.13*1.37+3.6*1</f>
        <v>59.168300000000009</v>
      </c>
      <c r="L205" s="102"/>
      <c r="M205" s="102"/>
      <c r="N205" s="35"/>
    </row>
    <row r="206" spans="1:20" s="36" customFormat="1" ht="15.75" customHeight="1" x14ac:dyDescent="0.35">
      <c r="A206" s="100">
        <f t="shared" si="11"/>
        <v>3</v>
      </c>
      <c r="B206" s="101"/>
      <c r="C206" s="41" t="s">
        <v>409</v>
      </c>
      <c r="D206" s="100" t="s">
        <v>406</v>
      </c>
      <c r="E206" s="115"/>
      <c r="F206" s="115"/>
      <c r="G206" s="115"/>
      <c r="H206" s="101"/>
      <c r="I206" s="35"/>
      <c r="L206" s="102"/>
      <c r="M206" s="102"/>
      <c r="N206" s="35"/>
    </row>
    <row r="207" spans="1:20" s="36" customFormat="1" ht="15.75" customHeight="1" x14ac:dyDescent="0.35">
      <c r="A207" s="100">
        <f t="shared" si="11"/>
        <v>4</v>
      </c>
      <c r="B207" s="101"/>
      <c r="C207" s="41" t="s">
        <v>400</v>
      </c>
      <c r="D207" s="93">
        <f>(54.65)*(10.764)</f>
        <v>588.25259999999992</v>
      </c>
      <c r="E207" s="93">
        <f>(2.74*1.2+2.12*1)*(10.764)</f>
        <v>58.211711999999999</v>
      </c>
      <c r="F207" s="41">
        <f>D207+E207</f>
        <v>646.46431199999995</v>
      </c>
      <c r="G207" s="41">
        <v>0</v>
      </c>
      <c r="H207" s="41">
        <f>F207*(($H$156)+1)+(IF(G207&lt;101,G207,IF(G207&lt;201,G207/2,IF(G207&lt;=301,G207/3,G207/4))))</f>
        <v>969.69646799999987</v>
      </c>
      <c r="I207" s="35"/>
      <c r="L207" s="102"/>
      <c r="M207" s="102"/>
      <c r="N207" s="35"/>
      <c r="T207" s="20"/>
    </row>
    <row r="208" spans="1:20" s="36" customFormat="1" ht="15.75" customHeight="1" x14ac:dyDescent="0.35">
      <c r="A208" s="100">
        <f t="shared" si="11"/>
        <v>5</v>
      </c>
      <c r="B208" s="101"/>
      <c r="C208" s="41" t="s">
        <v>400</v>
      </c>
      <c r="D208" s="93">
        <f>(50.23)*(10.764)</f>
        <v>540.67571999999996</v>
      </c>
      <c r="E208" s="93">
        <f>(3.05*1.2+2.39*1)*(10.764)</f>
        <v>65.122199999999992</v>
      </c>
      <c r="F208" s="41">
        <f>D208+E208</f>
        <v>605.79791999999998</v>
      </c>
      <c r="G208" s="41">
        <v>0</v>
      </c>
      <c r="H208" s="41">
        <f>F208*(($H$156)+1)+(IF(G208&lt;101,G208,IF(G208&lt;201,G208/2,IF(G208&lt;=301,G208/3,G208/4))))</f>
        <v>908.69687999999996</v>
      </c>
      <c r="I208" s="35"/>
      <c r="L208" s="102"/>
      <c r="M208" s="102"/>
      <c r="N208" s="35"/>
    </row>
    <row r="209" spans="1:20" s="36" customFormat="1" ht="15.75" customHeight="1" x14ac:dyDescent="0.35">
      <c r="A209" s="100">
        <f t="shared" si="11"/>
        <v>6</v>
      </c>
      <c r="B209" s="101"/>
      <c r="C209" s="41" t="s">
        <v>400</v>
      </c>
      <c r="D209" s="93">
        <f>(50.23)*(10.764)</f>
        <v>540.67571999999996</v>
      </c>
      <c r="E209" s="93">
        <f>(3.05*1.2+2.39*1)*(10.764)</f>
        <v>65.122199999999992</v>
      </c>
      <c r="F209" s="41">
        <f>D209+E209</f>
        <v>605.79791999999998</v>
      </c>
      <c r="G209" s="41">
        <v>0</v>
      </c>
      <c r="H209" s="41">
        <f>F209*(($H$156)+1)+(IF(G209&lt;101,G209,IF(G209&lt;201,G209/2,IF(G209&lt;=301,G209/3,G209/4))))</f>
        <v>908.69687999999996</v>
      </c>
      <c r="I209" s="35"/>
      <c r="L209" s="102"/>
      <c r="M209" s="102"/>
      <c r="N209" s="35"/>
      <c r="T209" s="20"/>
    </row>
    <row r="210" spans="1:20" s="36" customFormat="1" ht="15.75" customHeight="1" x14ac:dyDescent="0.35">
      <c r="A210" s="100">
        <f t="shared" si="11"/>
        <v>7</v>
      </c>
      <c r="B210" s="101"/>
      <c r="C210" s="41" t="s">
        <v>408</v>
      </c>
      <c r="D210" s="93">
        <f>(40.36)*(10.764)</f>
        <v>434.43503999999996</v>
      </c>
      <c r="E210" s="93">
        <f>(3.05*1+2.13*1)*(10.764)</f>
        <v>55.757519999999992</v>
      </c>
      <c r="F210" s="41">
        <f>D210+E210</f>
        <v>490.19255999999996</v>
      </c>
      <c r="G210" s="41">
        <v>0</v>
      </c>
      <c r="H210" s="41">
        <f>F210*(($H$156)+1)+(IF(G210&lt;101,G210,IF(G210&lt;201,G210/2,IF(G210&lt;=301,G210/3,G210/4))))</f>
        <v>735.28883999999994</v>
      </c>
      <c r="I210" s="35"/>
      <c r="L210" s="102"/>
      <c r="M210" s="102"/>
      <c r="N210" s="35"/>
    </row>
    <row r="211" spans="1:20" s="36" customFormat="1" ht="15.75" customHeight="1" x14ac:dyDescent="0.35">
      <c r="A211" s="100">
        <f t="shared" si="11"/>
        <v>8</v>
      </c>
      <c r="B211" s="101"/>
      <c r="C211" s="41" t="s">
        <v>408</v>
      </c>
      <c r="D211" s="93">
        <f>(40.36)*(10.764)</f>
        <v>434.43503999999996</v>
      </c>
      <c r="E211" s="93">
        <f>(3.05*1+2.13*1)*(10.764)</f>
        <v>55.757519999999992</v>
      </c>
      <c r="F211" s="41">
        <f>D211+E211</f>
        <v>490.19255999999996</v>
      </c>
      <c r="G211" s="41">
        <v>0</v>
      </c>
      <c r="H211" s="41">
        <f>F211*(($H$156)+1)+(IF(G211&lt;101,G211,IF(G211&lt;201,G211/2,IF(G211&lt;=301,G211/3,G211/4))))</f>
        <v>735.28883999999994</v>
      </c>
      <c r="I211" s="35"/>
      <c r="L211" s="102"/>
      <c r="M211" s="102"/>
      <c r="N211" s="35"/>
      <c r="T211" s="20"/>
    </row>
    <row r="212" spans="1:20" s="36" customFormat="1" x14ac:dyDescent="0.35">
      <c r="A212" s="112" t="s">
        <v>395</v>
      </c>
      <c r="B212" s="113"/>
      <c r="C212" s="113"/>
      <c r="D212" s="113"/>
      <c r="E212" s="113"/>
      <c r="F212" s="113"/>
      <c r="G212" s="113"/>
      <c r="H212" s="114"/>
      <c r="J212" s="35"/>
    </row>
    <row r="213" spans="1:20" s="36" customFormat="1" ht="30.75" customHeight="1" x14ac:dyDescent="0.35">
      <c r="A213" s="112" t="s">
        <v>396</v>
      </c>
      <c r="B213" s="113"/>
      <c r="C213" s="113"/>
      <c r="D213" s="113"/>
      <c r="E213" s="113"/>
      <c r="F213" s="113"/>
      <c r="G213" s="113"/>
      <c r="H213" s="114"/>
      <c r="J213" s="35"/>
    </row>
    <row r="214" spans="1:20" s="36" customFormat="1" ht="15.75" customHeight="1" x14ac:dyDescent="0.35">
      <c r="A214" s="112" t="s">
        <v>422</v>
      </c>
      <c r="B214" s="113"/>
      <c r="C214" s="113"/>
      <c r="D214" s="113"/>
      <c r="E214" s="113"/>
      <c r="F214" s="113"/>
      <c r="G214" s="113"/>
      <c r="H214" s="114"/>
      <c r="J214" s="35"/>
    </row>
    <row r="215" spans="1:20" s="36" customFormat="1" x14ac:dyDescent="0.35">
      <c r="A215" s="112" t="s">
        <v>397</v>
      </c>
      <c r="B215" s="113"/>
      <c r="C215" s="113"/>
      <c r="D215" s="113"/>
      <c r="E215" s="113"/>
      <c r="F215" s="113"/>
      <c r="G215" s="113"/>
      <c r="H215" s="114"/>
      <c r="I215" s="36">
        <f>19</f>
        <v>19</v>
      </c>
      <c r="J215" s="90" t="s">
        <v>419</v>
      </c>
    </row>
    <row r="216" spans="1:20" s="36" customFormat="1" ht="15.75" customHeight="1" x14ac:dyDescent="0.35">
      <c r="A216" s="100">
        <v>1</v>
      </c>
      <c r="B216" s="101"/>
      <c r="C216" s="41" t="s">
        <v>400</v>
      </c>
      <c r="D216" s="93">
        <f>(54.65)*(10.764)</f>
        <v>588.25259999999992</v>
      </c>
      <c r="E216" s="93">
        <f>(2.74*1.2+2.12*1)*(10.764)</f>
        <v>58.211711999999999</v>
      </c>
      <c r="F216" s="41">
        <f t="shared" ref="F216:F223" si="12">D216+E216</f>
        <v>646.46431199999995</v>
      </c>
      <c r="G216" s="41">
        <v>0</v>
      </c>
      <c r="H216" s="41">
        <f t="shared" ref="H216:H223" si="13">F216*(($H$156)+1)+(IF(G216&lt;101,G216,IF(G216&lt;201,G216/2,IF(G216&lt;=301,G216/3,G216/4))))</f>
        <v>969.69646799999987</v>
      </c>
      <c r="I216" s="92">
        <f>2.74*5.25+0.61*2.4+2.12*3.05+2.75*3.05+3.66*3.3+1.23*2.27+1.22*2.27+2.7*1</f>
        <v>51.042000000000002</v>
      </c>
      <c r="J216" s="95" t="s">
        <v>420</v>
      </c>
      <c r="L216" s="102"/>
      <c r="M216" s="102"/>
      <c r="N216" s="35"/>
    </row>
    <row r="217" spans="1:20" s="36" customFormat="1" ht="15.75" customHeight="1" x14ac:dyDescent="0.35">
      <c r="A217" s="100">
        <f t="shared" ref="A217:A223" si="14">A216+1</f>
        <v>2</v>
      </c>
      <c r="B217" s="101"/>
      <c r="C217" s="41" t="s">
        <v>408</v>
      </c>
      <c r="D217" s="93">
        <f>(44.26)*(10.764)</f>
        <v>476.41463999999996</v>
      </c>
      <c r="E217" s="93">
        <f>(3.05*1.2+2.12*1)*(10.764)</f>
        <v>62.21591999999999</v>
      </c>
      <c r="F217" s="41">
        <f t="shared" si="12"/>
        <v>538.63055999999995</v>
      </c>
      <c r="G217" s="41">
        <v>0</v>
      </c>
      <c r="H217" s="41">
        <f t="shared" si="13"/>
        <v>807.94583999999986</v>
      </c>
      <c r="I217" s="92">
        <f>3.05*5.25+2.12*3.05+2.74*4.07+2.13*1.37+1.35*2.27+2.5*1</f>
        <v>42.11290000000001</v>
      </c>
      <c r="L217" s="102"/>
      <c r="M217" s="102"/>
      <c r="N217" s="35"/>
    </row>
    <row r="218" spans="1:20" s="36" customFormat="1" ht="15.75" customHeight="1" x14ac:dyDescent="0.35">
      <c r="A218" s="100">
        <f t="shared" si="14"/>
        <v>3</v>
      </c>
      <c r="B218" s="101"/>
      <c r="C218" s="41" t="s">
        <v>408</v>
      </c>
      <c r="D218" s="93">
        <f>(44.26)*(10.764)</f>
        <v>476.41463999999996</v>
      </c>
      <c r="E218" s="93">
        <f>(3.05*1.2+2.12*1)*(10.764)</f>
        <v>62.21591999999999</v>
      </c>
      <c r="F218" s="41">
        <f t="shared" si="12"/>
        <v>538.63055999999995</v>
      </c>
      <c r="G218" s="41">
        <v>0</v>
      </c>
      <c r="H218" s="41">
        <f t="shared" si="13"/>
        <v>807.94583999999986</v>
      </c>
      <c r="I218" s="35"/>
      <c r="L218" s="102"/>
      <c r="M218" s="102"/>
      <c r="N218" s="35"/>
    </row>
    <row r="219" spans="1:20" s="36" customFormat="1" ht="15.75" customHeight="1" x14ac:dyDescent="0.35">
      <c r="A219" s="100">
        <f t="shared" si="14"/>
        <v>4</v>
      </c>
      <c r="B219" s="101"/>
      <c r="C219" s="41" t="s">
        <v>400</v>
      </c>
      <c r="D219" s="93">
        <f>(54.65)*(10.764)</f>
        <v>588.25259999999992</v>
      </c>
      <c r="E219" s="93">
        <f>(2.74*1.2+2.12*1)*(10.764)</f>
        <v>58.211711999999999</v>
      </c>
      <c r="F219" s="41">
        <f t="shared" si="12"/>
        <v>646.46431199999995</v>
      </c>
      <c r="G219" s="41">
        <v>0</v>
      </c>
      <c r="H219" s="41">
        <f t="shared" si="13"/>
        <v>969.69646799999987</v>
      </c>
      <c r="I219" s="35"/>
      <c r="L219" s="102"/>
      <c r="M219" s="102"/>
      <c r="N219" s="35"/>
      <c r="T219" s="20"/>
    </row>
    <row r="220" spans="1:20" s="36" customFormat="1" ht="15.75" customHeight="1" x14ac:dyDescent="0.35">
      <c r="A220" s="100">
        <f t="shared" si="14"/>
        <v>5</v>
      </c>
      <c r="B220" s="101"/>
      <c r="C220" s="41" t="s">
        <v>400</v>
      </c>
      <c r="D220" s="93">
        <f>(50.23)*(10.764)</f>
        <v>540.67571999999996</v>
      </c>
      <c r="E220" s="93">
        <f>(3.05*1.2+2.39*1)*(10.764)</f>
        <v>65.122199999999992</v>
      </c>
      <c r="F220" s="41">
        <f t="shared" si="12"/>
        <v>605.79791999999998</v>
      </c>
      <c r="G220" s="41">
        <v>0</v>
      </c>
      <c r="H220" s="41">
        <f t="shared" si="13"/>
        <v>908.69687999999996</v>
      </c>
      <c r="I220" s="92">
        <f>3.05*4.76+2.39*2.96+2.73*2.27+2.73*3.6+1.33*2.06+1.21*2.06+3.1*1</f>
        <v>45.9499</v>
      </c>
      <c r="L220" s="102"/>
      <c r="M220" s="102"/>
      <c r="N220" s="35"/>
    </row>
    <row r="221" spans="1:20" s="36" customFormat="1" ht="15.75" customHeight="1" x14ac:dyDescent="0.35">
      <c r="A221" s="100">
        <f t="shared" si="14"/>
        <v>6</v>
      </c>
      <c r="B221" s="101"/>
      <c r="C221" s="41" t="s">
        <v>400</v>
      </c>
      <c r="D221" s="93">
        <f>(50.23)*(10.764)</f>
        <v>540.67571999999996</v>
      </c>
      <c r="E221" s="93">
        <f>(3.05*1.2+2.39*1)*(10.764)</f>
        <v>65.122199999999992</v>
      </c>
      <c r="F221" s="41">
        <f t="shared" si="12"/>
        <v>605.79791999999998</v>
      </c>
      <c r="G221" s="41">
        <v>0</v>
      </c>
      <c r="H221" s="41">
        <f t="shared" si="13"/>
        <v>908.69687999999996</v>
      </c>
      <c r="I221" s="35"/>
      <c r="L221" s="102"/>
      <c r="M221" s="102"/>
      <c r="N221" s="35"/>
      <c r="T221" s="20"/>
    </row>
    <row r="222" spans="1:20" s="36" customFormat="1" ht="15.75" customHeight="1" x14ac:dyDescent="0.35">
      <c r="A222" s="100">
        <f t="shared" si="14"/>
        <v>7</v>
      </c>
      <c r="B222" s="101"/>
      <c r="C222" s="41" t="s">
        <v>408</v>
      </c>
      <c r="D222" s="93">
        <f>(40.36)*(10.764)</f>
        <v>434.43503999999996</v>
      </c>
      <c r="E222" s="93">
        <f>(3.05*1+2.13*1)*(10.764)</f>
        <v>55.757519999999992</v>
      </c>
      <c r="F222" s="41">
        <f t="shared" si="12"/>
        <v>490.19255999999996</v>
      </c>
      <c r="G222" s="41">
        <v>0</v>
      </c>
      <c r="H222" s="41">
        <f t="shared" si="13"/>
        <v>735.28883999999994</v>
      </c>
      <c r="I222" s="92">
        <f>3.05*5.45+2.65*2.13+2.75*3.35+1.29*2.12+2.12*1.25+1.5*1</f>
        <v>38.3643</v>
      </c>
      <c r="L222" s="102"/>
      <c r="M222" s="102"/>
      <c r="N222" s="35"/>
    </row>
    <row r="223" spans="1:20" s="36" customFormat="1" ht="15.75" customHeight="1" x14ac:dyDescent="0.35">
      <c r="A223" s="100">
        <f t="shared" si="14"/>
        <v>8</v>
      </c>
      <c r="B223" s="101"/>
      <c r="C223" s="41" t="s">
        <v>408</v>
      </c>
      <c r="D223" s="93">
        <f>(40.36)*(10.764)</f>
        <v>434.43503999999996</v>
      </c>
      <c r="E223" s="93">
        <f>(3.05*1+2.13*1)*(10.764)</f>
        <v>55.757519999999992</v>
      </c>
      <c r="F223" s="41">
        <f t="shared" si="12"/>
        <v>490.19255999999996</v>
      </c>
      <c r="G223" s="41">
        <v>0</v>
      </c>
      <c r="H223" s="41">
        <f t="shared" si="13"/>
        <v>735.28883999999994</v>
      </c>
      <c r="I223" s="35"/>
      <c r="L223" s="102"/>
      <c r="M223" s="102"/>
      <c r="N223" s="35"/>
      <c r="T223" s="20"/>
    </row>
    <row r="224" spans="1:20" s="36" customFormat="1" ht="15.75" customHeight="1" x14ac:dyDescent="0.35">
      <c r="A224" s="112" t="s">
        <v>403</v>
      </c>
      <c r="B224" s="113"/>
      <c r="C224" s="113"/>
      <c r="D224" s="113"/>
      <c r="E224" s="113"/>
      <c r="F224" s="113"/>
      <c r="G224" s="113"/>
      <c r="H224" s="114"/>
      <c r="I224" s="36">
        <f>5</f>
        <v>5</v>
      </c>
      <c r="J224" s="90" t="s">
        <v>419</v>
      </c>
    </row>
    <row r="225" spans="1:20" s="36" customFormat="1" ht="15.75" customHeight="1" x14ac:dyDescent="0.35">
      <c r="A225" s="100">
        <v>1</v>
      </c>
      <c r="B225" s="101"/>
      <c r="C225" s="41" t="s">
        <v>400</v>
      </c>
      <c r="D225" s="93">
        <f>(54.65)*(10.764)</f>
        <v>588.25259999999992</v>
      </c>
      <c r="E225" s="93">
        <f>(2.74*1.2+2.12*1)*(10.764)</f>
        <v>58.211711999999999</v>
      </c>
      <c r="F225" s="41">
        <f>D225+E225</f>
        <v>646.46431199999995</v>
      </c>
      <c r="G225" s="41">
        <v>0</v>
      </c>
      <c r="H225" s="41">
        <f>F225*(($H$156)+1)+(IF(G225&lt;101,G225,IF(G225&lt;201,G225/2,IF(G225&lt;=301,G225/3,G225/4))))</f>
        <v>969.69646799999987</v>
      </c>
      <c r="I225" s="91"/>
      <c r="J225" s="95" t="s">
        <v>420</v>
      </c>
      <c r="L225" s="102"/>
      <c r="M225" s="102"/>
      <c r="N225" s="35"/>
    </row>
    <row r="226" spans="1:20" s="36" customFormat="1" ht="15.75" customHeight="1" x14ac:dyDescent="0.35">
      <c r="A226" s="100">
        <f t="shared" ref="A226:A232" si="15">A225+1</f>
        <v>2</v>
      </c>
      <c r="B226" s="101"/>
      <c r="C226" s="41" t="s">
        <v>400</v>
      </c>
      <c r="D226" s="93">
        <f>(59.36)*(10.764)</f>
        <v>638.95103999999992</v>
      </c>
      <c r="E226" s="93">
        <f>(3.05*1.2+2.12*1)*(10.764)</f>
        <v>62.21591999999999</v>
      </c>
      <c r="F226" s="41">
        <f>D226+E226</f>
        <v>701.1669599999999</v>
      </c>
      <c r="G226" s="41">
        <v>0</v>
      </c>
      <c r="H226" s="41">
        <f>F226*(($H$156)+1)+(IF(G226&lt;101,G226,IF(G226&lt;201,G226/2,IF(G226&lt;=301,G226/3,G226/4))))</f>
        <v>1051.7504399999998</v>
      </c>
      <c r="I226" s="92">
        <f>3.05*5.25+1.5*3.3+2.12*3.05+2.74*4.07+2.74*4.07+2.13*1.37+2.13*1.37+3.6*1</f>
        <v>59.168300000000009</v>
      </c>
      <c r="L226" s="102"/>
      <c r="M226" s="102"/>
      <c r="N226" s="35"/>
    </row>
    <row r="227" spans="1:20" s="36" customFormat="1" ht="15.75" customHeight="1" x14ac:dyDescent="0.35">
      <c r="A227" s="100">
        <f t="shared" si="15"/>
        <v>3</v>
      </c>
      <c r="B227" s="101"/>
      <c r="C227" s="41" t="s">
        <v>409</v>
      </c>
      <c r="D227" s="100" t="s">
        <v>406</v>
      </c>
      <c r="E227" s="115"/>
      <c r="F227" s="115"/>
      <c r="G227" s="115"/>
      <c r="H227" s="101"/>
      <c r="I227" s="35"/>
      <c r="L227" s="102"/>
      <c r="M227" s="102"/>
      <c r="N227" s="35"/>
    </row>
    <row r="228" spans="1:20" s="36" customFormat="1" ht="15.75" customHeight="1" x14ac:dyDescent="0.35">
      <c r="A228" s="100">
        <f t="shared" si="15"/>
        <v>4</v>
      </c>
      <c r="B228" s="101"/>
      <c r="C228" s="41" t="s">
        <v>400</v>
      </c>
      <c r="D228" s="93">
        <f>(54.65)*(10.764)</f>
        <v>588.25259999999992</v>
      </c>
      <c r="E228" s="93">
        <f>(2.74*1.2+2.12*1)*(10.764)</f>
        <v>58.211711999999999</v>
      </c>
      <c r="F228" s="41">
        <f>D228+E228</f>
        <v>646.46431199999995</v>
      </c>
      <c r="G228" s="41">
        <v>0</v>
      </c>
      <c r="H228" s="41">
        <f>F228*(($H$156)+1)+(IF(G228&lt;101,G228,IF(G228&lt;201,G228/2,IF(G228&lt;=301,G228/3,G228/4))))</f>
        <v>969.69646799999987</v>
      </c>
      <c r="I228" s="35"/>
      <c r="L228" s="102"/>
      <c r="M228" s="102"/>
      <c r="N228" s="35"/>
      <c r="T228" s="20"/>
    </row>
    <row r="229" spans="1:20" s="36" customFormat="1" ht="15.75" customHeight="1" x14ac:dyDescent="0.35">
      <c r="A229" s="100">
        <f t="shared" si="15"/>
        <v>5</v>
      </c>
      <c r="B229" s="101"/>
      <c r="C229" s="41" t="s">
        <v>400</v>
      </c>
      <c r="D229" s="93">
        <f>(50.23)*(10.764)</f>
        <v>540.67571999999996</v>
      </c>
      <c r="E229" s="93">
        <f>(3.05*1.2+2.39*1)*(10.764)</f>
        <v>65.122199999999992</v>
      </c>
      <c r="F229" s="41">
        <f>D229+E229</f>
        <v>605.79791999999998</v>
      </c>
      <c r="G229" s="41">
        <v>0</v>
      </c>
      <c r="H229" s="41">
        <f>F229*(($H$156)+1)+(IF(G229&lt;101,G229,IF(G229&lt;201,G229/2,IF(G229&lt;=301,G229/3,G229/4))))</f>
        <v>908.69687999999996</v>
      </c>
      <c r="I229" s="35"/>
      <c r="L229" s="102"/>
      <c r="M229" s="102"/>
      <c r="N229" s="35"/>
    </row>
    <row r="230" spans="1:20" s="36" customFormat="1" ht="15.75" customHeight="1" x14ac:dyDescent="0.35">
      <c r="A230" s="100">
        <f t="shared" si="15"/>
        <v>6</v>
      </c>
      <c r="B230" s="101"/>
      <c r="C230" s="41" t="s">
        <v>400</v>
      </c>
      <c r="D230" s="93">
        <f>(50.23)*(10.764)</f>
        <v>540.67571999999996</v>
      </c>
      <c r="E230" s="93">
        <f>(3.05*1.2+2.39*1)*(10.764)</f>
        <v>65.122199999999992</v>
      </c>
      <c r="F230" s="41">
        <f>D230+E230</f>
        <v>605.79791999999998</v>
      </c>
      <c r="G230" s="41">
        <v>0</v>
      </c>
      <c r="H230" s="41">
        <f>F230*(($H$156)+1)+(IF(G230&lt;101,G230,IF(G230&lt;201,G230/2,IF(G230&lt;=301,G230/3,G230/4))))</f>
        <v>908.69687999999996</v>
      </c>
      <c r="I230" s="35"/>
      <c r="L230" s="102"/>
      <c r="M230" s="102"/>
      <c r="N230" s="35"/>
      <c r="T230" s="20"/>
    </row>
    <row r="231" spans="1:20" s="36" customFormat="1" ht="15.75" customHeight="1" x14ac:dyDescent="0.35">
      <c r="A231" s="100">
        <f t="shared" si="15"/>
        <v>7</v>
      </c>
      <c r="B231" s="101"/>
      <c r="C231" s="41" t="s">
        <v>408</v>
      </c>
      <c r="D231" s="93">
        <f>(40.36)*(10.764)</f>
        <v>434.43503999999996</v>
      </c>
      <c r="E231" s="93">
        <f>(3.05*1+2.13*1)*(10.764)</f>
        <v>55.757519999999992</v>
      </c>
      <c r="F231" s="41">
        <f>D231+E231</f>
        <v>490.19255999999996</v>
      </c>
      <c r="G231" s="41">
        <v>0</v>
      </c>
      <c r="H231" s="41">
        <f>F231*(($H$156)+1)+(IF(G231&lt;101,G231,IF(G231&lt;201,G231/2,IF(G231&lt;=301,G231/3,G231/4))))</f>
        <v>735.28883999999994</v>
      </c>
      <c r="I231" s="35"/>
      <c r="L231" s="102"/>
      <c r="M231" s="102"/>
      <c r="N231" s="35"/>
    </row>
    <row r="232" spans="1:20" s="36" customFormat="1" ht="15.75" customHeight="1" x14ac:dyDescent="0.35">
      <c r="A232" s="100">
        <f t="shared" si="15"/>
        <v>8</v>
      </c>
      <c r="B232" s="101"/>
      <c r="C232" s="41" t="s">
        <v>408</v>
      </c>
      <c r="D232" s="93">
        <f>(40.36)*(10.764)</f>
        <v>434.43503999999996</v>
      </c>
      <c r="E232" s="93">
        <f>(3.05*1+2.13*1)*(10.764)</f>
        <v>55.757519999999992</v>
      </c>
      <c r="F232" s="41">
        <f>D232+E232</f>
        <v>490.19255999999996</v>
      </c>
      <c r="G232" s="41">
        <v>0</v>
      </c>
      <c r="H232" s="41">
        <f>F232*(($H$156)+1)+(IF(G232&lt;101,G232,IF(G232&lt;201,G232/2,IF(G232&lt;=301,G232/3,G232/4))))</f>
        <v>735.28883999999994</v>
      </c>
      <c r="I232" s="35"/>
      <c r="L232" s="102"/>
      <c r="M232" s="102"/>
      <c r="N232" s="35"/>
      <c r="T232" s="20"/>
    </row>
    <row r="233" spans="1:20" s="34" customFormat="1" x14ac:dyDescent="0.35">
      <c r="A233" s="148" t="s">
        <v>64</v>
      </c>
      <c r="B233" s="148"/>
      <c r="C233" s="148"/>
      <c r="D233" s="148"/>
      <c r="E233" s="148"/>
      <c r="F233" s="148"/>
      <c r="G233" s="148"/>
      <c r="H233" s="148"/>
      <c r="T233" s="36"/>
    </row>
    <row r="234" spans="1:20" s="34" customFormat="1" ht="32" customHeight="1" x14ac:dyDescent="0.35">
      <c r="A234" s="44" t="s">
        <v>146</v>
      </c>
      <c r="B234" s="106" t="s">
        <v>425</v>
      </c>
      <c r="C234" s="107"/>
      <c r="D234" s="107"/>
      <c r="E234" s="107"/>
      <c r="F234" s="107"/>
      <c r="G234" s="107"/>
      <c r="H234" s="108"/>
      <c r="T234" s="36"/>
    </row>
    <row r="235" spans="1:20" s="34" customFormat="1" x14ac:dyDescent="0.35">
      <c r="A235" s="44" t="s">
        <v>146</v>
      </c>
      <c r="B235" s="106" t="str">
        <f>(IF(H155="Saleable area Loading :","We have considered Saleable area of Flats as per our Calculation.","We considered Saleable area of Flat as per Builder area Sheet."))</f>
        <v>We have considered Saleable area of Flats as per our Calculation.</v>
      </c>
      <c r="C235" s="107"/>
      <c r="D235" s="107"/>
      <c r="E235" s="107"/>
      <c r="F235" s="107"/>
      <c r="G235" s="107"/>
      <c r="H235" s="108"/>
      <c r="T235" s="36"/>
    </row>
    <row r="236" spans="1:20" s="34" customFormat="1" x14ac:dyDescent="0.35">
      <c r="A236" s="44" t="s">
        <v>146</v>
      </c>
      <c r="B236" s="109" t="s">
        <v>116</v>
      </c>
      <c r="C236" s="110"/>
      <c r="D236" s="110"/>
      <c r="E236" s="110"/>
      <c r="F236" s="110"/>
      <c r="G236" s="110"/>
      <c r="H236" s="111"/>
      <c r="T236" s="36"/>
    </row>
    <row r="237" spans="1:20" s="34" customFormat="1" x14ac:dyDescent="0.35">
      <c r="A237" s="44" t="s">
        <v>146</v>
      </c>
      <c r="B237" s="103" t="s">
        <v>412</v>
      </c>
      <c r="C237" s="104"/>
      <c r="D237" s="104"/>
      <c r="E237" s="104"/>
      <c r="F237" s="104"/>
      <c r="G237" s="104"/>
      <c r="H237" s="105"/>
      <c r="T237" s="36"/>
    </row>
    <row r="238" spans="1:20" s="34" customFormat="1" x14ac:dyDescent="0.35">
      <c r="A238" s="44" t="s">
        <v>146</v>
      </c>
      <c r="B238" s="109" t="s">
        <v>145</v>
      </c>
      <c r="C238" s="110"/>
      <c r="D238" s="110"/>
      <c r="E238" s="110"/>
      <c r="F238" s="110"/>
      <c r="G238" s="110"/>
      <c r="H238" s="111"/>
    </row>
    <row r="239" spans="1:20" s="34" customFormat="1" x14ac:dyDescent="0.35">
      <c r="A239" s="44" t="s">
        <v>146</v>
      </c>
      <c r="B239" s="109" t="s">
        <v>117</v>
      </c>
      <c r="C239" s="110"/>
      <c r="D239" s="110"/>
      <c r="E239" s="110"/>
      <c r="F239" s="110"/>
      <c r="G239" s="110"/>
      <c r="H239" s="111"/>
    </row>
    <row r="240" spans="1:20" s="34" customFormat="1" ht="30.75" customHeight="1" x14ac:dyDescent="0.35">
      <c r="A240" s="44" t="s">
        <v>146</v>
      </c>
      <c r="B240" s="103" t="s">
        <v>147</v>
      </c>
      <c r="C240" s="104"/>
      <c r="D240" s="104"/>
      <c r="E240" s="104"/>
      <c r="F240" s="104"/>
      <c r="G240" s="104"/>
      <c r="H240" s="105"/>
    </row>
    <row r="241" spans="1:20" s="34" customFormat="1" x14ac:dyDescent="0.35">
      <c r="A241" s="44" t="s">
        <v>146</v>
      </c>
      <c r="B241" s="109" t="s">
        <v>118</v>
      </c>
      <c r="C241" s="110"/>
      <c r="D241" s="110"/>
      <c r="E241" s="110"/>
      <c r="F241" s="110"/>
      <c r="G241" s="110"/>
      <c r="H241" s="111"/>
    </row>
    <row r="242" spans="1:20" s="34" customFormat="1" x14ac:dyDescent="0.35">
      <c r="A242" s="44" t="s">
        <v>146</v>
      </c>
      <c r="B242" s="103" t="s">
        <v>413</v>
      </c>
      <c r="C242" s="104"/>
      <c r="D242" s="104"/>
      <c r="E242" s="104"/>
      <c r="F242" s="104"/>
      <c r="G242" s="104"/>
      <c r="H242" s="105"/>
    </row>
    <row r="243" spans="1:20" s="34" customFormat="1" x14ac:dyDescent="0.35">
      <c r="A243" s="44" t="s">
        <v>146</v>
      </c>
      <c r="B243" s="103" t="s">
        <v>338</v>
      </c>
      <c r="C243" s="104"/>
      <c r="D243" s="104"/>
      <c r="E243" s="104"/>
      <c r="F243" s="104"/>
      <c r="G243" s="104"/>
      <c r="H243" s="105"/>
    </row>
    <row r="244" spans="1:20" s="34" customFormat="1" hidden="1" x14ac:dyDescent="0.35">
      <c r="A244" s="44" t="s">
        <v>146</v>
      </c>
      <c r="B244" s="194" t="str">
        <f ca="1">IF(G52&gt;EDATE(E3,-48),"NO REMARK FOR CC","REMARK FOR CC")</f>
        <v>NO REMARK FOR CC</v>
      </c>
      <c r="C244" s="195"/>
      <c r="D244" s="195"/>
      <c r="E244" s="195"/>
      <c r="F244" s="195"/>
      <c r="G244" s="195"/>
      <c r="H244" s="196"/>
    </row>
    <row r="245" spans="1:20" s="34" customFormat="1" ht="81.75" hidden="1" customHeight="1" x14ac:dyDescent="0.35">
      <c r="A245" s="44" t="s">
        <v>146</v>
      </c>
      <c r="B245" s="103" t="s">
        <v>339</v>
      </c>
      <c r="C245" s="104"/>
      <c r="D245" s="104"/>
      <c r="E245" s="104"/>
      <c r="F245" s="104"/>
      <c r="G245" s="104"/>
      <c r="H245" s="105"/>
    </row>
    <row r="246" spans="1:20" x14ac:dyDescent="0.35">
      <c r="A246" s="201" t="s">
        <v>57</v>
      </c>
      <c r="B246" s="201"/>
      <c r="C246" s="201"/>
      <c r="D246" s="201"/>
      <c r="E246" s="201"/>
      <c r="F246" s="201"/>
      <c r="G246" s="201"/>
      <c r="H246" s="201"/>
      <c r="T246" s="34"/>
    </row>
    <row r="247" spans="1:20" x14ac:dyDescent="0.35">
      <c r="A247" s="120" t="s">
        <v>58</v>
      </c>
      <c r="B247" s="120"/>
      <c r="C247" s="120"/>
      <c r="D247" s="120"/>
      <c r="E247" s="120"/>
      <c r="F247" s="120"/>
      <c r="G247" s="120"/>
      <c r="H247" s="120"/>
      <c r="T247" s="34"/>
    </row>
    <row r="248" spans="1:20" ht="15.75" customHeight="1" x14ac:dyDescent="0.35">
      <c r="A248" s="191" t="s">
        <v>59</v>
      </c>
      <c r="B248" s="191"/>
      <c r="C248" s="191"/>
      <c r="D248" s="191"/>
      <c r="E248" s="191"/>
      <c r="F248" s="191"/>
      <c r="G248" s="191"/>
      <c r="H248" s="191"/>
      <c r="T248" s="34"/>
    </row>
    <row r="249" spans="1:20" x14ac:dyDescent="0.35">
      <c r="A249" s="120" t="s">
        <v>60</v>
      </c>
      <c r="B249" s="120"/>
      <c r="C249" s="120"/>
      <c r="D249" s="120"/>
      <c r="E249" s="120"/>
      <c r="F249" s="120"/>
      <c r="G249" s="120"/>
      <c r="H249" s="120"/>
      <c r="T249" s="34"/>
    </row>
    <row r="250" spans="1:20" x14ac:dyDescent="0.35">
      <c r="A250" s="120" t="s">
        <v>61</v>
      </c>
      <c r="B250" s="120"/>
      <c r="C250" s="120"/>
      <c r="D250" s="120"/>
      <c r="E250" s="120"/>
      <c r="F250" s="120"/>
      <c r="G250" s="120"/>
      <c r="H250" s="120"/>
      <c r="T250" s="34"/>
    </row>
    <row r="251" spans="1:20" x14ac:dyDescent="0.35">
      <c r="A251" s="120" t="s">
        <v>119</v>
      </c>
      <c r="B251" s="120"/>
      <c r="C251" s="120"/>
      <c r="D251" s="120"/>
      <c r="E251" s="120"/>
      <c r="F251" s="120"/>
      <c r="G251" s="120"/>
      <c r="H251" s="120"/>
      <c r="T251" s="34"/>
    </row>
    <row r="252" spans="1:20" ht="36" customHeight="1" x14ac:dyDescent="0.35">
      <c r="A252" s="149" t="s">
        <v>120</v>
      </c>
      <c r="B252" s="149"/>
      <c r="C252" s="149"/>
      <c r="D252" s="149"/>
      <c r="E252" s="149"/>
      <c r="F252" s="149"/>
      <c r="G252" s="149"/>
      <c r="H252" s="149"/>
    </row>
    <row r="253" spans="1:20" x14ac:dyDescent="0.35">
      <c r="A253" s="198" t="s">
        <v>72</v>
      </c>
      <c r="B253" s="198"/>
      <c r="C253" s="198" t="s">
        <v>415</v>
      </c>
      <c r="D253" s="198"/>
      <c r="E253" s="198" t="s">
        <v>102</v>
      </c>
      <c r="F253" s="198"/>
      <c r="G253" s="198" t="s">
        <v>424</v>
      </c>
      <c r="H253" s="198"/>
    </row>
    <row r="254" spans="1:20" x14ac:dyDescent="0.35">
      <c r="A254" s="197" t="s">
        <v>74</v>
      </c>
      <c r="B254" s="197"/>
      <c r="C254" s="197"/>
      <c r="D254" s="197"/>
      <c r="E254" s="197"/>
      <c r="F254" s="197"/>
      <c r="G254" s="197"/>
      <c r="H254" s="197"/>
    </row>
    <row r="255" spans="1:20" x14ac:dyDescent="0.35">
      <c r="A255" s="197"/>
      <c r="B255" s="197"/>
      <c r="C255" s="197"/>
      <c r="D255" s="197"/>
      <c r="E255" s="197"/>
      <c r="F255" s="197"/>
      <c r="G255" s="197"/>
      <c r="H255" s="197"/>
    </row>
    <row r="256" spans="1:20" x14ac:dyDescent="0.35">
      <c r="A256" s="197"/>
      <c r="B256" s="197"/>
      <c r="C256" s="197"/>
      <c r="D256" s="197"/>
      <c r="E256" s="197"/>
      <c r="F256" s="197"/>
      <c r="G256" s="197"/>
      <c r="H256" s="197"/>
    </row>
    <row r="257" spans="1:8" x14ac:dyDescent="0.35">
      <c r="A257" s="197"/>
      <c r="B257" s="197"/>
      <c r="C257" s="197"/>
      <c r="D257" s="197"/>
      <c r="E257" s="197"/>
      <c r="F257" s="197"/>
      <c r="G257" s="197"/>
      <c r="H257" s="197"/>
    </row>
    <row r="258" spans="1:8" x14ac:dyDescent="0.35">
      <c r="A258" s="37" t="s">
        <v>62</v>
      </c>
      <c r="B258" s="38"/>
      <c r="C258" s="38"/>
      <c r="D258" s="37" t="str">
        <f>E9</f>
        <v>Maximus Residency Phase I</v>
      </c>
      <c r="F258" s="38"/>
      <c r="G258" s="38"/>
      <c r="H258" s="38"/>
    </row>
    <row r="259" spans="1:8" x14ac:dyDescent="0.35">
      <c r="A259" s="38"/>
      <c r="B259" s="38"/>
      <c r="C259" s="38"/>
      <c r="D259" s="38"/>
      <c r="E259" s="38"/>
      <c r="F259" s="38"/>
      <c r="G259" s="38"/>
      <c r="H259" s="38"/>
    </row>
    <row r="260" spans="1:8" x14ac:dyDescent="0.35">
      <c r="A260" s="38"/>
      <c r="B260" s="38"/>
      <c r="C260" s="38"/>
      <c r="D260" s="38"/>
      <c r="E260" s="38"/>
      <c r="F260" s="38"/>
      <c r="G260" s="38"/>
      <c r="H260" s="38"/>
    </row>
    <row r="261" spans="1:8" ht="15" customHeight="1" x14ac:dyDescent="0.35"/>
    <row r="301" spans="1:1" x14ac:dyDescent="0.35">
      <c r="A301" s="40" t="s">
        <v>156</v>
      </c>
    </row>
    <row r="344" spans="1:1" x14ac:dyDescent="0.35">
      <c r="A344" s="40" t="s">
        <v>63</v>
      </c>
    </row>
  </sheetData>
  <mergeCells count="457">
    <mergeCell ref="G108:H108"/>
    <mergeCell ref="A109:B109"/>
    <mergeCell ref="E109:F118"/>
    <mergeCell ref="G109:H118"/>
    <mergeCell ref="A110:B110"/>
    <mergeCell ref="A111:B111"/>
    <mergeCell ref="A112:B112"/>
    <mergeCell ref="A114:B114"/>
    <mergeCell ref="A115:B115"/>
    <mergeCell ref="A118:B118"/>
    <mergeCell ref="A40:B40"/>
    <mergeCell ref="C40:H40"/>
    <mergeCell ref="C155:C156"/>
    <mergeCell ref="G155:G156"/>
    <mergeCell ref="L164:M164"/>
    <mergeCell ref="L161:M161"/>
    <mergeCell ref="A162:B162"/>
    <mergeCell ref="L162:M162"/>
    <mergeCell ref="A163:B163"/>
    <mergeCell ref="L163:M163"/>
    <mergeCell ref="A113:B113"/>
    <mergeCell ref="A116:B116"/>
    <mergeCell ref="A117:B117"/>
    <mergeCell ref="A83:B83"/>
    <mergeCell ref="E81:F90"/>
    <mergeCell ref="G81:H90"/>
    <mergeCell ref="A138:E138"/>
    <mergeCell ref="A152:B152"/>
    <mergeCell ref="E152:F152"/>
    <mergeCell ref="A143:E143"/>
    <mergeCell ref="G152:H152"/>
    <mergeCell ref="C149:D149"/>
    <mergeCell ref="E149:F149"/>
    <mergeCell ref="A149:B149"/>
    <mergeCell ref="A38:H38"/>
    <mergeCell ref="A37:B37"/>
    <mergeCell ref="C37:E37"/>
    <mergeCell ref="A42:D42"/>
    <mergeCell ref="E42:H42"/>
    <mergeCell ref="A41:H41"/>
    <mergeCell ref="A70:C70"/>
    <mergeCell ref="A71:C71"/>
    <mergeCell ref="D70:H70"/>
    <mergeCell ref="F37:H37"/>
    <mergeCell ref="C51:E51"/>
    <mergeCell ref="C50:E50"/>
    <mergeCell ref="G50:H50"/>
    <mergeCell ref="A51:B51"/>
    <mergeCell ref="G56:H56"/>
    <mergeCell ref="A58:B59"/>
    <mergeCell ref="C58:E58"/>
    <mergeCell ref="G58:H58"/>
    <mergeCell ref="G51:H51"/>
    <mergeCell ref="A39:B39"/>
    <mergeCell ref="C39:H39"/>
    <mergeCell ref="C55:H55"/>
    <mergeCell ref="A52:B53"/>
    <mergeCell ref="C54:E54"/>
    <mergeCell ref="A46:D46"/>
    <mergeCell ref="A47:D47"/>
    <mergeCell ref="D71:H71"/>
    <mergeCell ref="A44:D44"/>
    <mergeCell ref="E44:H44"/>
    <mergeCell ref="E45:H45"/>
    <mergeCell ref="E46:H46"/>
    <mergeCell ref="E47:H47"/>
    <mergeCell ref="C57:H57"/>
    <mergeCell ref="A48:H48"/>
    <mergeCell ref="D65:H65"/>
    <mergeCell ref="A65:C65"/>
    <mergeCell ref="A45:D45"/>
    <mergeCell ref="A49:B49"/>
    <mergeCell ref="C49:H49"/>
    <mergeCell ref="D66:H66"/>
    <mergeCell ref="D67:H67"/>
    <mergeCell ref="G52:H52"/>
    <mergeCell ref="A62:H62"/>
    <mergeCell ref="C53:H53"/>
    <mergeCell ref="A63:C63"/>
    <mergeCell ref="C52:E52"/>
    <mergeCell ref="C56:E56"/>
    <mergeCell ref="C59:E59"/>
    <mergeCell ref="G54:H54"/>
    <mergeCell ref="A56:B57"/>
    <mergeCell ref="G59:H59"/>
    <mergeCell ref="A79:B79"/>
    <mergeCell ref="A77:B77"/>
    <mergeCell ref="C77:H77"/>
    <mergeCell ref="A72:C72"/>
    <mergeCell ref="D72:H72"/>
    <mergeCell ref="C79:H79"/>
    <mergeCell ref="A73:C73"/>
    <mergeCell ref="D73:H73"/>
    <mergeCell ref="A76:C76"/>
    <mergeCell ref="D76:H76"/>
    <mergeCell ref="A75:C75"/>
    <mergeCell ref="A64:C64"/>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54:H257"/>
    <mergeCell ref="A253:B253"/>
    <mergeCell ref="E253:F253"/>
    <mergeCell ref="C253:D253"/>
    <mergeCell ref="G253:H253"/>
    <mergeCell ref="A144:E144"/>
    <mergeCell ref="F144:H144"/>
    <mergeCell ref="A145:E145"/>
    <mergeCell ref="F145:H145"/>
    <mergeCell ref="A148:B148"/>
    <mergeCell ref="A249:H249"/>
    <mergeCell ref="A146:H146"/>
    <mergeCell ref="A252:H252"/>
    <mergeCell ref="A250:H250"/>
    <mergeCell ref="A246:H246"/>
    <mergeCell ref="G147:H147"/>
    <mergeCell ref="B238:H238"/>
    <mergeCell ref="A197:B197"/>
    <mergeCell ref="C148:D148"/>
    <mergeCell ref="E148:F148"/>
    <mergeCell ref="G148:H148"/>
    <mergeCell ref="B242:H242"/>
    <mergeCell ref="B241:H241"/>
    <mergeCell ref="B239:H239"/>
    <mergeCell ref="A251:H251"/>
    <mergeCell ref="A248:H248"/>
    <mergeCell ref="A189:B189"/>
    <mergeCell ref="A147:B147"/>
    <mergeCell ref="D155:D156"/>
    <mergeCell ref="E155:E156"/>
    <mergeCell ref="A99:B99"/>
    <mergeCell ref="A101:B101"/>
    <mergeCell ref="F134:H134"/>
    <mergeCell ref="A104:B104"/>
    <mergeCell ref="F140:H140"/>
    <mergeCell ref="C152:D152"/>
    <mergeCell ref="A158:H158"/>
    <mergeCell ref="B237:H237"/>
    <mergeCell ref="A201:B201"/>
    <mergeCell ref="A202:B202"/>
    <mergeCell ref="A205:B205"/>
    <mergeCell ref="B244:H244"/>
    <mergeCell ref="A136:E136"/>
    <mergeCell ref="A105:B105"/>
    <mergeCell ref="C105:H105"/>
    <mergeCell ref="A107:B107"/>
    <mergeCell ref="C107:H107"/>
    <mergeCell ref="A123:B123"/>
    <mergeCell ref="A140:E140"/>
    <mergeCell ref="E147:F147"/>
    <mergeCell ref="A247:H247"/>
    <mergeCell ref="A139:E139"/>
    <mergeCell ref="A87:B87"/>
    <mergeCell ref="A119:B119"/>
    <mergeCell ref="C119:H119"/>
    <mergeCell ref="A121:B121"/>
    <mergeCell ref="C121:H121"/>
    <mergeCell ref="A122:B122"/>
    <mergeCell ref="E122:F122"/>
    <mergeCell ref="G122:H122"/>
    <mergeCell ref="G123:H132"/>
    <mergeCell ref="A124:B124"/>
    <mergeCell ref="A125:B125"/>
    <mergeCell ref="A126:B126"/>
    <mergeCell ref="A127:B127"/>
    <mergeCell ref="A128:B128"/>
    <mergeCell ref="A129:B129"/>
    <mergeCell ref="A130:B130"/>
    <mergeCell ref="G95:H104"/>
    <mergeCell ref="A131:B131"/>
    <mergeCell ref="A108:B108"/>
    <mergeCell ref="E108:F108"/>
    <mergeCell ref="I15:P15"/>
    <mergeCell ref="F143:H143"/>
    <mergeCell ref="F141:H141"/>
    <mergeCell ref="A190:B190"/>
    <mergeCell ref="A154:H154"/>
    <mergeCell ref="A142:E142"/>
    <mergeCell ref="A61:B61"/>
    <mergeCell ref="C61:E61"/>
    <mergeCell ref="D63:H63"/>
    <mergeCell ref="F142:H142"/>
    <mergeCell ref="C147:D147"/>
    <mergeCell ref="D74:H74"/>
    <mergeCell ref="D64:H64"/>
    <mergeCell ref="G61:H61"/>
    <mergeCell ref="A54:B55"/>
    <mergeCell ref="A153:H153"/>
    <mergeCell ref="A155:A156"/>
    <mergeCell ref="F155:F156"/>
    <mergeCell ref="G149:H149"/>
    <mergeCell ref="A150:B150"/>
    <mergeCell ref="C150:D150"/>
    <mergeCell ref="E43:H43"/>
    <mergeCell ref="A43:D43"/>
    <mergeCell ref="A86:B86"/>
    <mergeCell ref="A50:B50"/>
    <mergeCell ref="D68:H68"/>
    <mergeCell ref="A233:H233"/>
    <mergeCell ref="A198:B198"/>
    <mergeCell ref="A199:B199"/>
    <mergeCell ref="A194:H194"/>
    <mergeCell ref="A74:C74"/>
    <mergeCell ref="D75:H75"/>
    <mergeCell ref="A81:B81"/>
    <mergeCell ref="G80:H80"/>
    <mergeCell ref="A89:B89"/>
    <mergeCell ref="A90:B90"/>
    <mergeCell ref="A85:B85"/>
    <mergeCell ref="A84:B84"/>
    <mergeCell ref="E80:F80"/>
    <mergeCell ref="C60:E60"/>
    <mergeCell ref="G60:H60"/>
    <mergeCell ref="A82:B82"/>
    <mergeCell ref="E150:F150"/>
    <mergeCell ref="G150:H150"/>
    <mergeCell ref="A151:B151"/>
    <mergeCell ref="A60:B60"/>
    <mergeCell ref="D69:H69"/>
    <mergeCell ref="A66:C69"/>
    <mergeCell ref="A80:B80"/>
    <mergeCell ref="A88:B88"/>
    <mergeCell ref="A91:B91"/>
    <mergeCell ref="C91:H91"/>
    <mergeCell ref="A95:B95"/>
    <mergeCell ref="C93:H93"/>
    <mergeCell ref="A96:B96"/>
    <mergeCell ref="A97:B97"/>
    <mergeCell ref="A93:B93"/>
    <mergeCell ref="G94:H94"/>
    <mergeCell ref="A94:B94"/>
    <mergeCell ref="E94:F94"/>
    <mergeCell ref="E95:F104"/>
    <mergeCell ref="A102:B102"/>
    <mergeCell ref="A103:B103"/>
    <mergeCell ref="A98:B98"/>
    <mergeCell ref="A100:B100"/>
    <mergeCell ref="A132:B132"/>
    <mergeCell ref="A157:H157"/>
    <mergeCell ref="A159:H159"/>
    <mergeCell ref="A160:H160"/>
    <mergeCell ref="A165:B165"/>
    <mergeCell ref="L165:M165"/>
    <mergeCell ref="A166:B166"/>
    <mergeCell ref="L166:M166"/>
    <mergeCell ref="A133:E133"/>
    <mergeCell ref="F137:H137"/>
    <mergeCell ref="A137:E137"/>
    <mergeCell ref="F133:H133"/>
    <mergeCell ref="F138:H138"/>
    <mergeCell ref="F139:H139"/>
    <mergeCell ref="A141:E141"/>
    <mergeCell ref="A134:E134"/>
    <mergeCell ref="B155:B156"/>
    <mergeCell ref="C151:D151"/>
    <mergeCell ref="E151:F151"/>
    <mergeCell ref="G151:H151"/>
    <mergeCell ref="F135:H135"/>
    <mergeCell ref="A135:E135"/>
    <mergeCell ref="E123:F132"/>
    <mergeCell ref="F136:H136"/>
    <mergeCell ref="A167:H167"/>
    <mergeCell ref="A168:B168"/>
    <mergeCell ref="L168:M168"/>
    <mergeCell ref="A164:B164"/>
    <mergeCell ref="A161:B161"/>
    <mergeCell ref="A169:B169"/>
    <mergeCell ref="L169:M169"/>
    <mergeCell ref="A170:B170"/>
    <mergeCell ref="L170:M170"/>
    <mergeCell ref="A171:B171"/>
    <mergeCell ref="L171:M171"/>
    <mergeCell ref="A172:B172"/>
    <mergeCell ref="L172:M172"/>
    <mergeCell ref="A173:B173"/>
    <mergeCell ref="L173:M173"/>
    <mergeCell ref="D169:H169"/>
    <mergeCell ref="A174:H174"/>
    <mergeCell ref="A175:H175"/>
    <mergeCell ref="A176:H176"/>
    <mergeCell ref="A177:H177"/>
    <mergeCell ref="A178:B178"/>
    <mergeCell ref="L178:M178"/>
    <mergeCell ref="A179:B179"/>
    <mergeCell ref="L179:M179"/>
    <mergeCell ref="A180:B180"/>
    <mergeCell ref="L180:M180"/>
    <mergeCell ref="A181:B181"/>
    <mergeCell ref="L181:M181"/>
    <mergeCell ref="A182:B182"/>
    <mergeCell ref="L182:M182"/>
    <mergeCell ref="A183:B183"/>
    <mergeCell ref="L183:M183"/>
    <mergeCell ref="A184:H184"/>
    <mergeCell ref="A185:B185"/>
    <mergeCell ref="L185:M185"/>
    <mergeCell ref="A186:B186"/>
    <mergeCell ref="D186:H186"/>
    <mergeCell ref="L186:M186"/>
    <mergeCell ref="A187:B187"/>
    <mergeCell ref="L187:M187"/>
    <mergeCell ref="A188:B188"/>
    <mergeCell ref="L189:M189"/>
    <mergeCell ref="L190:M190"/>
    <mergeCell ref="A191:H191"/>
    <mergeCell ref="L188:M188"/>
    <mergeCell ref="A192:H192"/>
    <mergeCell ref="A193:H193"/>
    <mergeCell ref="A195:B195"/>
    <mergeCell ref="L195:M195"/>
    <mergeCell ref="L196:M196"/>
    <mergeCell ref="L197:M197"/>
    <mergeCell ref="L198:M198"/>
    <mergeCell ref="L199:M199"/>
    <mergeCell ref="A200:B200"/>
    <mergeCell ref="L200:M200"/>
    <mergeCell ref="A196:B196"/>
    <mergeCell ref="L201:M201"/>
    <mergeCell ref="L202:M202"/>
    <mergeCell ref="A203:H203"/>
    <mergeCell ref="L204:M204"/>
    <mergeCell ref="L205:M205"/>
    <mergeCell ref="A206:B206"/>
    <mergeCell ref="L206:M206"/>
    <mergeCell ref="A207:B207"/>
    <mergeCell ref="L207:M207"/>
    <mergeCell ref="A204:B204"/>
    <mergeCell ref="A208:B208"/>
    <mergeCell ref="L208:M208"/>
    <mergeCell ref="A209:B209"/>
    <mergeCell ref="L209:M209"/>
    <mergeCell ref="A210:B210"/>
    <mergeCell ref="L210:M210"/>
    <mergeCell ref="A211:B211"/>
    <mergeCell ref="L211:M211"/>
    <mergeCell ref="D206:H206"/>
    <mergeCell ref="A212:H212"/>
    <mergeCell ref="A213:H213"/>
    <mergeCell ref="A214:H214"/>
    <mergeCell ref="A215:H215"/>
    <mergeCell ref="A216:B216"/>
    <mergeCell ref="L216:M216"/>
    <mergeCell ref="A217:B217"/>
    <mergeCell ref="L217:M217"/>
    <mergeCell ref="A218:B218"/>
    <mergeCell ref="L218:M218"/>
    <mergeCell ref="A219:B219"/>
    <mergeCell ref="L219:M219"/>
    <mergeCell ref="A220:B220"/>
    <mergeCell ref="L220:M220"/>
    <mergeCell ref="A221:B221"/>
    <mergeCell ref="L221:M221"/>
    <mergeCell ref="A222:B222"/>
    <mergeCell ref="L222:M222"/>
    <mergeCell ref="A223:B223"/>
    <mergeCell ref="L223:M223"/>
    <mergeCell ref="A224:H224"/>
    <mergeCell ref="A225:B225"/>
    <mergeCell ref="L225:M225"/>
    <mergeCell ref="A226:B226"/>
    <mergeCell ref="L226:M226"/>
    <mergeCell ref="A227:B227"/>
    <mergeCell ref="D227:H227"/>
    <mergeCell ref="L227:M227"/>
    <mergeCell ref="A228:B228"/>
    <mergeCell ref="L228:M228"/>
    <mergeCell ref="A229:B229"/>
    <mergeCell ref="L229:M229"/>
    <mergeCell ref="A230:B230"/>
    <mergeCell ref="L230:M230"/>
    <mergeCell ref="A231:B231"/>
    <mergeCell ref="L231:M231"/>
    <mergeCell ref="A232:B232"/>
    <mergeCell ref="L232:M232"/>
    <mergeCell ref="B245:H245"/>
    <mergeCell ref="B240:H240"/>
    <mergeCell ref="B234:H234"/>
    <mergeCell ref="B235:H235"/>
    <mergeCell ref="B236:H236"/>
    <mergeCell ref="B243:H243"/>
  </mergeCells>
  <dataValidations count="15">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G253:H253">
      <formula1>"Kunal Kadam,Pranita Mhatre,Shruti Fule,Pooja Kawale,Gaurav Panchal,Shruti Tathare, Dipti Gothawade,Saurav Panse, Sachin Sawant"</formula1>
    </dataValidation>
    <dataValidation type="list" allowBlank="1" showInputMessage="1" showErrorMessage="1" sqref="F133:H133">
      <formula1>"On Saleable Area,On Builtup Area,On Carpet Area,On Plot Area"</formula1>
    </dataValidation>
    <dataValidation type="list" allowBlank="1" showInputMessage="1" showErrorMessage="1" sqref="F144:H144">
      <formula1>OFFSET($S$133,1,MATCH($G20,$S$133:$W$133,0)-1,15,1)</formula1>
    </dataValidation>
    <dataValidation type="list" allowBlank="1" showInputMessage="1" showErrorMessage="1" sqref="B155:B156">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5:E156">
      <formula1>"Fungible area,Balcony Area,Chajja Area,Cornice Area,AP Area,WS Area"</formula1>
    </dataValidation>
    <dataValidation type="list" allowBlank="1" showInputMessage="1" showErrorMessage="1" sqref="H156">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55">
      <formula1>"Saleable area Loading :,Builder Saleable Area"</formula1>
    </dataValidation>
    <dataValidation type="list" allowBlank="1" showInputMessage="1" showErrorMessage="1" sqref="D155:D156">
      <formula1>"Carpet area,RERA Carpet area"</formula1>
    </dataValidation>
  </dataValidations>
  <hyperlinks>
    <hyperlink ref="C40" r:id="rId1"/>
    <hyperlink ref="I66" r:id="rId2"/>
    <hyperlink ref="J154" r:id="rId3"/>
  </hyperlinks>
  <printOptions horizontalCentered="1"/>
  <pageMargins left="0.39370078740157483" right="0.39370078740157483" top="0.82677165354330717" bottom="0.78740157480314965" header="0.15748031496062992" footer="0.19685039370078741"/>
  <pageSetup paperSize="2" fitToHeight="0" orientation="portrait" r:id="rId4"/>
  <headerFooter>
    <oddHeader>&amp;C&amp;G</oddHeader>
    <oddFooter>&amp;L&amp;"Times New Roman,Bold"&amp;12Ref No: &amp;F&amp;R&amp;"Times New Roman,Bold"&amp;12&amp;P</oddFooter>
  </headerFooter>
  <rowBreaks count="3" manualBreakCount="3">
    <brk id="257" max="16383" man="1"/>
    <brk id="300" max="16383" man="1"/>
    <brk id="343" max="16383" man="1"/>
  </rowBreaks>
  <drawing r:id="rId5"/>
  <legacy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39" t="s">
        <v>103</v>
      </c>
      <c r="C3" s="239"/>
      <c r="D3" s="239"/>
      <c r="E3" s="239"/>
      <c r="F3" s="239"/>
      <c r="G3" s="239"/>
      <c r="H3" s="239"/>
    </row>
    <row r="4" spans="1:9" x14ac:dyDescent="0.35">
      <c r="A4" s="2"/>
      <c r="B4" s="3" t="s">
        <v>104</v>
      </c>
      <c r="C4" s="3" t="s">
        <v>105</v>
      </c>
      <c r="D4" s="3" t="s">
        <v>65</v>
      </c>
      <c r="E4" s="3" t="s">
        <v>106</v>
      </c>
      <c r="F4" s="3" t="s">
        <v>112</v>
      </c>
      <c r="G4" s="3" t="s">
        <v>113</v>
      </c>
      <c r="H4" s="3" t="s">
        <v>107</v>
      </c>
    </row>
    <row r="5" spans="1:9" ht="15" customHeight="1" x14ac:dyDescent="0.35">
      <c r="A5" s="2"/>
      <c r="B5" s="5" t="s">
        <v>108</v>
      </c>
      <c r="C5" s="6"/>
      <c r="D5" s="5"/>
      <c r="E5" s="5"/>
      <c r="F5" s="7">
        <f>E5*1.6</f>
        <v>0</v>
      </c>
      <c r="G5" s="7" t="e">
        <f>H5/F5</f>
        <v>#DIV/0!</v>
      </c>
      <c r="H5" s="8"/>
    </row>
    <row r="6" spans="1:9" x14ac:dyDescent="0.35">
      <c r="A6" s="2"/>
      <c r="B6" s="5" t="s">
        <v>108</v>
      </c>
      <c r="C6" s="9"/>
      <c r="D6" s="5"/>
      <c r="E6" s="5"/>
      <c r="F6" s="7">
        <f t="shared" ref="F6:F11" si="0">E6*1.6</f>
        <v>0</v>
      </c>
      <c r="G6" s="7" t="e">
        <f t="shared" ref="G6:G11" si="1">H6/F6</f>
        <v>#DIV/0!</v>
      </c>
      <c r="H6" s="8"/>
    </row>
    <row r="7" spans="1:9" ht="15" customHeight="1" x14ac:dyDescent="0.35">
      <c r="A7" s="2"/>
      <c r="B7" s="5" t="s">
        <v>108</v>
      </c>
      <c r="C7" s="6"/>
      <c r="D7" s="5"/>
      <c r="E7" s="5"/>
      <c r="F7" s="7">
        <f t="shared" si="0"/>
        <v>0</v>
      </c>
      <c r="G7" s="7" t="e">
        <f t="shared" si="1"/>
        <v>#DIV/0!</v>
      </c>
      <c r="H7" s="8"/>
    </row>
    <row r="8" spans="1:9" x14ac:dyDescent="0.35">
      <c r="A8" s="2"/>
      <c r="B8" s="5" t="s">
        <v>108</v>
      </c>
      <c r="C8" s="9"/>
      <c r="D8" s="5"/>
      <c r="E8" s="5"/>
      <c r="F8" s="7">
        <f t="shared" si="0"/>
        <v>0</v>
      </c>
      <c r="G8" s="7" t="e">
        <f t="shared" si="1"/>
        <v>#DIV/0!</v>
      </c>
      <c r="H8" s="8"/>
    </row>
    <row r="9" spans="1:9" ht="15" customHeight="1" x14ac:dyDescent="0.35">
      <c r="A9" s="2"/>
      <c r="B9" s="5" t="s">
        <v>108</v>
      </c>
      <c r="C9" s="9"/>
      <c r="D9" s="5"/>
      <c r="E9" s="5"/>
      <c r="F9" s="7">
        <f t="shared" si="0"/>
        <v>0</v>
      </c>
      <c r="G9" s="7" t="e">
        <f t="shared" si="1"/>
        <v>#DIV/0!</v>
      </c>
      <c r="H9" s="8"/>
    </row>
    <row r="10" spans="1:9" ht="15" customHeight="1" x14ac:dyDescent="0.35">
      <c r="A10" s="2"/>
      <c r="B10" s="5" t="s">
        <v>109</v>
      </c>
      <c r="C10" s="6"/>
      <c r="D10" s="5"/>
      <c r="E10" s="5"/>
      <c r="F10" s="7">
        <f t="shared" si="0"/>
        <v>0</v>
      </c>
      <c r="G10" s="7" t="e">
        <f t="shared" si="1"/>
        <v>#DIV/0!</v>
      </c>
      <c r="H10" s="8"/>
    </row>
    <row r="11" spans="1:9" ht="15" customHeight="1" x14ac:dyDescent="0.35">
      <c r="A11" s="2"/>
      <c r="B11" s="5" t="s">
        <v>109</v>
      </c>
      <c r="C11" s="6"/>
      <c r="D11" s="5"/>
      <c r="E11" s="5"/>
      <c r="F11" s="7">
        <f t="shared" si="0"/>
        <v>0</v>
      </c>
      <c r="G11" s="7" t="e">
        <f t="shared" si="1"/>
        <v>#DIV/0!</v>
      </c>
      <c r="H11" s="8"/>
    </row>
    <row r="12" spans="1:9" ht="15" customHeight="1" x14ac:dyDescent="0.35">
      <c r="A12" s="2"/>
      <c r="B12" s="10" t="s">
        <v>110</v>
      </c>
      <c r="C12" s="5"/>
      <c r="D12" s="5"/>
      <c r="E12" s="5"/>
      <c r="F12" s="5"/>
      <c r="G12" s="11" t="e">
        <f>AVERAGE(G5:G11)</f>
        <v>#DIV/0!</v>
      </c>
      <c r="H12" s="5"/>
    </row>
    <row r="13" spans="1:9" ht="15" customHeight="1" x14ac:dyDescent="0.35">
      <c r="B13" s="10" t="s">
        <v>111</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1"/>
      <c r="C4" s="51" t="s">
        <v>11</v>
      </c>
      <c r="D4" s="52" t="s">
        <v>168</v>
      </c>
      <c r="E4" s="52" t="s">
        <v>178</v>
      </c>
      <c r="F4" s="52" t="s">
        <v>164</v>
      </c>
      <c r="G4" s="52" t="s">
        <v>183</v>
      </c>
      <c r="H4" s="52" t="s">
        <v>201</v>
      </c>
      <c r="J4" t="s">
        <v>183</v>
      </c>
      <c r="K4" t="s">
        <v>199</v>
      </c>
    </row>
    <row r="5" spans="2:11" x14ac:dyDescent="0.35">
      <c r="B5" s="51"/>
      <c r="C5" s="51"/>
      <c r="D5" s="52" t="s">
        <v>169</v>
      </c>
      <c r="E5" s="52" t="s">
        <v>176</v>
      </c>
      <c r="F5" s="52" t="s">
        <v>198</v>
      </c>
      <c r="G5" s="52" t="s">
        <v>184</v>
      </c>
      <c r="H5" s="52" t="s">
        <v>202</v>
      </c>
    </row>
    <row r="6" spans="2:11" x14ac:dyDescent="0.35">
      <c r="B6" s="51"/>
      <c r="C6" s="51"/>
      <c r="D6" s="52" t="s">
        <v>170</v>
      </c>
      <c r="E6" s="52" t="s">
        <v>177</v>
      </c>
      <c r="F6" s="52" t="s">
        <v>199</v>
      </c>
      <c r="G6" s="52" t="s">
        <v>185</v>
      </c>
      <c r="H6" s="52" t="s">
        <v>215</v>
      </c>
    </row>
    <row r="7" spans="2:11" x14ac:dyDescent="0.35">
      <c r="B7" s="51"/>
      <c r="C7" s="51"/>
      <c r="D7" s="52" t="s">
        <v>171</v>
      </c>
      <c r="E7" s="52" t="s">
        <v>179</v>
      </c>
      <c r="F7" s="52" t="s">
        <v>200</v>
      </c>
      <c r="G7" s="52" t="s">
        <v>186</v>
      </c>
      <c r="H7" s="52" t="s">
        <v>203</v>
      </c>
    </row>
    <row r="8" spans="2:11" x14ac:dyDescent="0.35">
      <c r="B8" s="51"/>
      <c r="C8" s="51"/>
      <c r="D8" s="52" t="s">
        <v>172</v>
      </c>
      <c r="E8" s="52" t="s">
        <v>180</v>
      </c>
      <c r="F8" s="52"/>
      <c r="G8" s="52" t="s">
        <v>187</v>
      </c>
      <c r="H8" s="52" t="s">
        <v>204</v>
      </c>
    </row>
    <row r="9" spans="2:11" x14ac:dyDescent="0.35">
      <c r="B9" s="51"/>
      <c r="C9" s="51"/>
      <c r="D9" s="52" t="s">
        <v>173</v>
      </c>
      <c r="E9" s="52" t="s">
        <v>178</v>
      </c>
      <c r="F9" s="52"/>
      <c r="G9" s="52" t="s">
        <v>188</v>
      </c>
      <c r="H9" s="52" t="s">
        <v>205</v>
      </c>
    </row>
    <row r="10" spans="2:11" x14ac:dyDescent="0.35">
      <c r="B10" s="51"/>
      <c r="C10" s="51"/>
      <c r="D10" s="52" t="s">
        <v>174</v>
      </c>
      <c r="E10" s="52" t="s">
        <v>181</v>
      </c>
      <c r="F10" s="52"/>
      <c r="G10" s="52" t="s">
        <v>189</v>
      </c>
      <c r="H10" s="52" t="s">
        <v>206</v>
      </c>
    </row>
    <row r="11" spans="2:11" x14ac:dyDescent="0.35">
      <c r="B11" s="51"/>
      <c r="C11" s="51"/>
      <c r="D11" s="52" t="s">
        <v>175</v>
      </c>
      <c r="E11" s="52" t="s">
        <v>182</v>
      </c>
      <c r="F11" s="52"/>
      <c r="G11" s="52" t="s">
        <v>190</v>
      </c>
      <c r="H11" s="52" t="s">
        <v>207</v>
      </c>
    </row>
    <row r="12" spans="2:11" x14ac:dyDescent="0.35">
      <c r="B12" s="51"/>
      <c r="C12" s="51"/>
      <c r="D12" s="52"/>
      <c r="E12" s="52"/>
      <c r="F12" s="52"/>
      <c r="G12" s="52" t="s">
        <v>191</v>
      </c>
      <c r="H12" s="52" t="s">
        <v>208</v>
      </c>
    </row>
    <row r="13" spans="2:11" x14ac:dyDescent="0.35">
      <c r="B13" s="51"/>
      <c r="C13" s="51"/>
      <c r="D13" s="52"/>
      <c r="E13" s="52"/>
      <c r="F13" s="52"/>
      <c r="G13" s="52" t="s">
        <v>192</v>
      </c>
      <c r="H13" s="52" t="s">
        <v>209</v>
      </c>
    </row>
    <row r="14" spans="2:11" x14ac:dyDescent="0.35">
      <c r="B14" s="51"/>
      <c r="C14" s="51"/>
      <c r="D14" s="52"/>
      <c r="E14" s="52"/>
      <c r="F14" s="52"/>
      <c r="G14" s="52" t="s">
        <v>193</v>
      </c>
      <c r="H14" s="52" t="s">
        <v>210</v>
      </c>
    </row>
    <row r="15" spans="2:11" x14ac:dyDescent="0.35">
      <c r="B15" s="51"/>
      <c r="C15" s="51"/>
      <c r="D15" s="52"/>
      <c r="E15" s="52"/>
      <c r="F15" s="52"/>
      <c r="G15" s="52" t="s">
        <v>194</v>
      </c>
      <c r="H15" s="52" t="s">
        <v>211</v>
      </c>
    </row>
    <row r="16" spans="2:11" x14ac:dyDescent="0.35">
      <c r="B16" s="51"/>
      <c r="C16" s="51"/>
      <c r="D16" s="52"/>
      <c r="E16" s="52"/>
      <c r="F16" s="52"/>
      <c r="G16" s="52" t="s">
        <v>195</v>
      </c>
      <c r="H16" s="52" t="s">
        <v>212</v>
      </c>
    </row>
    <row r="17" spans="2:8" x14ac:dyDescent="0.35">
      <c r="B17" s="51"/>
      <c r="C17" s="51"/>
      <c r="D17" s="52"/>
      <c r="E17" s="52"/>
      <c r="F17" s="52"/>
      <c r="G17" s="52" t="s">
        <v>196</v>
      </c>
      <c r="H17" s="52" t="s">
        <v>213</v>
      </c>
    </row>
    <row r="18" spans="2:8" x14ac:dyDescent="0.35">
      <c r="B18" s="51"/>
      <c r="C18" s="51"/>
      <c r="D18" s="52"/>
      <c r="E18" s="52"/>
      <c r="F18" s="52"/>
      <c r="G18" s="52" t="s">
        <v>197</v>
      </c>
      <c r="H18" s="52" t="s">
        <v>214</v>
      </c>
    </row>
    <row r="24" spans="2:8" x14ac:dyDescent="0.35">
      <c r="C24" t="s">
        <v>161</v>
      </c>
    </row>
    <row r="25" spans="2:8" x14ac:dyDescent="0.35">
      <c r="C25" t="s">
        <v>216</v>
      </c>
    </row>
    <row r="26" spans="2:8" x14ac:dyDescent="0.35">
      <c r="C26" t="s">
        <v>217</v>
      </c>
    </row>
    <row r="27" spans="2:8" x14ac:dyDescent="0.35">
      <c r="C27" t="s">
        <v>218</v>
      </c>
    </row>
    <row r="28" spans="2:8" x14ac:dyDescent="0.35">
      <c r="C28" t="s">
        <v>219</v>
      </c>
    </row>
    <row r="29" spans="2:8" x14ac:dyDescent="0.35">
      <c r="C29" t="s">
        <v>220</v>
      </c>
    </row>
    <row r="30" spans="2:8" x14ac:dyDescent="0.35">
      <c r="C30" t="s">
        <v>161</v>
      </c>
    </row>
    <row r="33" spans="3:11" x14ac:dyDescent="0.35">
      <c r="J33">
        <v>1</v>
      </c>
      <c r="K33">
        <v>2</v>
      </c>
    </row>
    <row r="34" spans="3:11" x14ac:dyDescent="0.35">
      <c r="C34" s="53" t="s">
        <v>225</v>
      </c>
      <c r="D34" s="52" t="s">
        <v>223</v>
      </c>
      <c r="E34" s="52" t="s">
        <v>228</v>
      </c>
      <c r="F34" s="52" t="s">
        <v>226</v>
      </c>
      <c r="G34" s="52" t="s">
        <v>227</v>
      </c>
      <c r="H34" s="52" t="s">
        <v>229</v>
      </c>
      <c r="J34" t="s">
        <v>183</v>
      </c>
      <c r="K34" t="s">
        <v>199</v>
      </c>
    </row>
    <row r="35" spans="3:11" x14ac:dyDescent="0.35">
      <c r="C35" s="51" t="s">
        <v>224</v>
      </c>
      <c r="D35" s="52" t="s">
        <v>162</v>
      </c>
      <c r="E35" s="52" t="s">
        <v>233</v>
      </c>
      <c r="F35" s="52" t="s">
        <v>235</v>
      </c>
      <c r="G35" s="52" t="s">
        <v>237</v>
      </c>
      <c r="H35" s="52"/>
    </row>
    <row r="36" spans="3:11" x14ac:dyDescent="0.35">
      <c r="C36" s="51"/>
      <c r="D36" s="52" t="s">
        <v>230</v>
      </c>
      <c r="E36" s="52" t="s">
        <v>234</v>
      </c>
      <c r="F36" s="52" t="s">
        <v>236</v>
      </c>
      <c r="G36" s="52" t="s">
        <v>238</v>
      </c>
      <c r="H36" s="52"/>
    </row>
    <row r="37" spans="3:11" x14ac:dyDescent="0.35">
      <c r="C37" s="51"/>
      <c r="D37" s="52" t="s">
        <v>231</v>
      </c>
      <c r="E37" s="52"/>
      <c r="F37" s="52"/>
      <c r="G37" s="52" t="s">
        <v>239</v>
      </c>
      <c r="H37" s="52"/>
    </row>
    <row r="38" spans="3:11" x14ac:dyDescent="0.35">
      <c r="C38" s="51"/>
      <c r="D38" s="52" t="s">
        <v>232</v>
      </c>
      <c r="E38" s="52"/>
      <c r="F38" s="52"/>
      <c r="G38" s="52" t="s">
        <v>239</v>
      </c>
      <c r="H38" s="52"/>
    </row>
    <row r="39" spans="3:11" x14ac:dyDescent="0.35">
      <c r="C39" s="51"/>
      <c r="D39" s="52"/>
      <c r="E39" s="52"/>
      <c r="F39" s="52"/>
      <c r="G39" s="52" t="s">
        <v>240</v>
      </c>
      <c r="H39" s="52"/>
    </row>
    <row r="40" spans="3:11" x14ac:dyDescent="0.35">
      <c r="C40" s="51"/>
      <c r="D40" s="52"/>
      <c r="E40" s="52"/>
      <c r="F40" s="52"/>
      <c r="G40" s="52" t="s">
        <v>241</v>
      </c>
      <c r="H40" s="52"/>
    </row>
    <row r="41" spans="3:11" x14ac:dyDescent="0.35">
      <c r="C41" s="51"/>
      <c r="D41" s="52"/>
      <c r="E41" s="52"/>
      <c r="F41" s="52"/>
      <c r="G41" s="52"/>
      <c r="H41" s="52"/>
    </row>
    <row r="43" spans="3:11" x14ac:dyDescent="0.35">
      <c r="C43" t="s">
        <v>242</v>
      </c>
    </row>
    <row r="44" spans="3:11" x14ac:dyDescent="0.35">
      <c r="C44" t="s">
        <v>164</v>
      </c>
      <c r="D44" t="s">
        <v>243</v>
      </c>
    </row>
    <row r="45" spans="3:11" x14ac:dyDescent="0.35">
      <c r="D45" t="s">
        <v>244</v>
      </c>
    </row>
    <row r="46" spans="3:11" x14ac:dyDescent="0.35">
      <c r="D46" t="s">
        <v>245</v>
      </c>
    </row>
    <row r="47" spans="3:11" x14ac:dyDescent="0.35">
      <c r="D47" t="s">
        <v>246</v>
      </c>
    </row>
    <row r="48" spans="3:11" x14ac:dyDescent="0.35">
      <c r="D48" t="s">
        <v>247</v>
      </c>
    </row>
    <row r="49" spans="3:4" x14ac:dyDescent="0.35">
      <c r="C49" t="s">
        <v>168</v>
      </c>
      <c r="D49" t="s">
        <v>248</v>
      </c>
    </row>
    <row r="50" spans="3:4" x14ac:dyDescent="0.35">
      <c r="D50" t="s">
        <v>249</v>
      </c>
    </row>
    <row r="51" spans="3:4" x14ac:dyDescent="0.35">
      <c r="D51" t="s">
        <v>250</v>
      </c>
    </row>
    <row r="52" spans="3:4" x14ac:dyDescent="0.35">
      <c r="D52" t="s">
        <v>253</v>
      </c>
    </row>
    <row r="53" spans="3:4" x14ac:dyDescent="0.35">
      <c r="D53" t="s">
        <v>251</v>
      </c>
    </row>
    <row r="54" spans="3:4" x14ac:dyDescent="0.35">
      <c r="D54" t="s">
        <v>252</v>
      </c>
    </row>
    <row r="55" spans="3:4" x14ac:dyDescent="0.35">
      <c r="D55" t="s">
        <v>254</v>
      </c>
    </row>
    <row r="56" spans="3:4" x14ac:dyDescent="0.35">
      <c r="D56" t="s">
        <v>255</v>
      </c>
    </row>
    <row r="57" spans="3:4" x14ac:dyDescent="0.35">
      <c r="D57" t="s">
        <v>256</v>
      </c>
    </row>
    <row r="58" spans="3:4" x14ac:dyDescent="0.35">
      <c r="D58" t="s">
        <v>258</v>
      </c>
    </row>
    <row r="59" spans="3:4" x14ac:dyDescent="0.35">
      <c r="D59" t="s">
        <v>267</v>
      </c>
    </row>
    <row r="60" spans="3:4" x14ac:dyDescent="0.35">
      <c r="C60" t="s">
        <v>183</v>
      </c>
      <c r="D60" t="s">
        <v>259</v>
      </c>
    </row>
    <row r="61" spans="3:4" x14ac:dyDescent="0.35">
      <c r="D61" t="s">
        <v>257</v>
      </c>
    </row>
    <row r="62" spans="3:4" x14ac:dyDescent="0.35">
      <c r="D62" t="s">
        <v>247</v>
      </c>
    </row>
    <row r="63" spans="3:4" x14ac:dyDescent="0.35">
      <c r="D63" t="s">
        <v>260</v>
      </c>
    </row>
    <row r="64" spans="3:4" x14ac:dyDescent="0.35">
      <c r="D64" t="s">
        <v>261</v>
      </c>
    </row>
    <row r="65" spans="3:4" x14ac:dyDescent="0.35">
      <c r="D65" t="s">
        <v>262</v>
      </c>
    </row>
    <row r="66" spans="3:4" x14ac:dyDescent="0.35">
      <c r="D66" t="s">
        <v>263</v>
      </c>
    </row>
    <row r="67" spans="3:4" x14ac:dyDescent="0.35">
      <c r="C67" t="s">
        <v>178</v>
      </c>
      <c r="D67" t="s">
        <v>264</v>
      </c>
    </row>
    <row r="68" spans="3:4" x14ac:dyDescent="0.35">
      <c r="D68" t="s">
        <v>265</v>
      </c>
    </row>
    <row r="69" spans="3:4" x14ac:dyDescent="0.35">
      <c r="D69" t="s">
        <v>266</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49"/>
  <sheetViews>
    <sheetView zoomScaleNormal="100" workbookViewId="0">
      <selection activeCell="C11" sqref="C11"/>
    </sheetView>
  </sheetViews>
  <sheetFormatPr defaultRowHeight="14.5" x14ac:dyDescent="0.35"/>
  <cols>
    <col min="2" max="2" width="3" bestFit="1" customWidth="1"/>
    <col min="3" max="3" width="155.26953125" customWidth="1"/>
  </cols>
  <sheetData>
    <row r="2" spans="2:3" ht="15" customHeight="1" x14ac:dyDescent="0.35">
      <c r="B2" s="54">
        <v>1</v>
      </c>
      <c r="C2" s="56" t="s">
        <v>272</v>
      </c>
    </row>
    <row r="3" spans="2:3" x14ac:dyDescent="0.35">
      <c r="B3" s="54">
        <v>2</v>
      </c>
      <c r="C3" s="55" t="s">
        <v>273</v>
      </c>
    </row>
    <row r="4" spans="2:3" x14ac:dyDescent="0.35">
      <c r="B4" s="54">
        <v>3</v>
      </c>
      <c r="C4" s="54" t="s">
        <v>274</v>
      </c>
    </row>
    <row r="5" spans="2:3" x14ac:dyDescent="0.35">
      <c r="B5" s="54">
        <v>4</v>
      </c>
      <c r="C5" s="55" t="s">
        <v>275</v>
      </c>
    </row>
    <row r="6" spans="2:3" x14ac:dyDescent="0.35">
      <c r="B6" s="54">
        <v>5</v>
      </c>
      <c r="C6" s="54" t="s">
        <v>276</v>
      </c>
    </row>
    <row r="7" spans="2:3" ht="29" x14ac:dyDescent="0.35">
      <c r="B7" s="54">
        <v>6</v>
      </c>
      <c r="C7" s="55" t="s">
        <v>277</v>
      </c>
    </row>
    <row r="8" spans="2:3" ht="72.5" x14ac:dyDescent="0.35">
      <c r="B8" s="54">
        <v>7</v>
      </c>
      <c r="C8" s="55" t="s">
        <v>278</v>
      </c>
    </row>
    <row r="9" spans="2:3" x14ac:dyDescent="0.35">
      <c r="B9" s="54">
        <v>8</v>
      </c>
      <c r="C9" s="54" t="s">
        <v>279</v>
      </c>
    </row>
    <row r="10" spans="2:3" x14ac:dyDescent="0.35">
      <c r="B10" s="54">
        <v>9</v>
      </c>
      <c r="C10" s="54" t="s">
        <v>280</v>
      </c>
    </row>
    <row r="11" spans="2:3" x14ac:dyDescent="0.35">
      <c r="B11" s="54">
        <v>10</v>
      </c>
      <c r="C11" s="54" t="s">
        <v>281</v>
      </c>
    </row>
    <row r="12" spans="2:3" x14ac:dyDescent="0.35">
      <c r="B12" s="54">
        <v>11</v>
      </c>
      <c r="C12" s="54" t="s">
        <v>282</v>
      </c>
    </row>
    <row r="13" spans="2:3" x14ac:dyDescent="0.35">
      <c r="B13" s="54">
        <v>12</v>
      </c>
      <c r="C13" s="54" t="s">
        <v>283</v>
      </c>
    </row>
    <row r="14" spans="2:3" x14ac:dyDescent="0.35">
      <c r="B14" s="54">
        <v>13</v>
      </c>
      <c r="C14" s="54" t="s">
        <v>284</v>
      </c>
    </row>
    <row r="15" spans="2:3" x14ac:dyDescent="0.35">
      <c r="B15" s="54">
        <v>14</v>
      </c>
      <c r="C15" s="54" t="s">
        <v>274</v>
      </c>
    </row>
    <row r="16" spans="2:3" x14ac:dyDescent="0.35">
      <c r="B16" s="54">
        <v>15</v>
      </c>
      <c r="C16" s="54" t="s">
        <v>286</v>
      </c>
    </row>
    <row r="17" spans="2:3" x14ac:dyDescent="0.35">
      <c r="B17" s="73">
        <v>16</v>
      </c>
      <c r="C17" s="59" t="s">
        <v>287</v>
      </c>
    </row>
    <row r="18" spans="2:3" x14ac:dyDescent="0.35">
      <c r="B18" s="58">
        <v>17</v>
      </c>
      <c r="C18" s="59" t="s">
        <v>288</v>
      </c>
    </row>
    <row r="19" spans="2:3" x14ac:dyDescent="0.35">
      <c r="B19" s="57">
        <v>18</v>
      </c>
      <c r="C19" s="54" t="s">
        <v>289</v>
      </c>
    </row>
    <row r="20" spans="2:3" x14ac:dyDescent="0.35">
      <c r="B20" s="58">
        <v>19</v>
      </c>
      <c r="C20" s="54" t="s">
        <v>325</v>
      </c>
    </row>
    <row r="21" spans="2:3" x14ac:dyDescent="0.35">
      <c r="B21" s="54">
        <v>20</v>
      </c>
      <c r="C21" s="54" t="s">
        <v>290</v>
      </c>
    </row>
    <row r="22" spans="2:3" x14ac:dyDescent="0.35">
      <c r="B22" s="58">
        <v>21</v>
      </c>
      <c r="C22" s="54" t="s">
        <v>289</v>
      </c>
    </row>
    <row r="23" spans="2:3" s="68" customFormat="1" ht="29.25" customHeight="1" x14ac:dyDescent="0.35">
      <c r="B23" s="67">
        <v>22</v>
      </c>
      <c r="C23" s="56" t="s">
        <v>317</v>
      </c>
    </row>
    <row r="24" spans="2:3" s="68" customFormat="1" ht="30.75" customHeight="1" x14ac:dyDescent="0.35">
      <c r="B24" s="69">
        <v>23</v>
      </c>
      <c r="C24" s="56" t="s">
        <v>318</v>
      </c>
    </row>
    <row r="25" spans="2:3" x14ac:dyDescent="0.35">
      <c r="B25" s="54">
        <v>24</v>
      </c>
      <c r="C25" s="54" t="s">
        <v>321</v>
      </c>
    </row>
    <row r="26" spans="2:3" x14ac:dyDescent="0.35">
      <c r="B26" s="58">
        <v>25</v>
      </c>
      <c r="C26" s="54" t="s">
        <v>319</v>
      </c>
    </row>
    <row r="27" spans="2:3" x14ac:dyDescent="0.35">
      <c r="B27" s="69">
        <v>26</v>
      </c>
      <c r="C27" s="54" t="s">
        <v>320</v>
      </c>
    </row>
    <row r="28" spans="2:3" x14ac:dyDescent="0.35">
      <c r="B28" s="58">
        <v>27</v>
      </c>
      <c r="C28" s="54" t="s">
        <v>322</v>
      </c>
    </row>
    <row r="29" spans="2:3" ht="43.5" x14ac:dyDescent="0.35">
      <c r="B29" s="72">
        <v>28</v>
      </c>
      <c r="C29" s="55" t="s">
        <v>323</v>
      </c>
    </row>
    <row r="30" spans="2:3" x14ac:dyDescent="0.35">
      <c r="B30" s="69">
        <v>29</v>
      </c>
      <c r="C30" s="54" t="s">
        <v>324</v>
      </c>
    </row>
    <row r="31" spans="2:3" ht="29" x14ac:dyDescent="0.35">
      <c r="B31" s="69">
        <v>30</v>
      </c>
      <c r="C31" s="55" t="s">
        <v>326</v>
      </c>
    </row>
    <row r="32" spans="2:3" x14ac:dyDescent="0.35">
      <c r="B32" s="69">
        <v>31</v>
      </c>
      <c r="C32" s="54" t="s">
        <v>327</v>
      </c>
    </row>
    <row r="33" spans="2:4" x14ac:dyDescent="0.35">
      <c r="B33" s="69">
        <v>32</v>
      </c>
      <c r="C33" s="54" t="s">
        <v>328</v>
      </c>
    </row>
    <row r="34" spans="2:4" ht="36.75" customHeight="1" x14ac:dyDescent="0.35">
      <c r="B34" s="69">
        <v>33</v>
      </c>
      <c r="C34" s="59" t="s">
        <v>329</v>
      </c>
    </row>
    <row r="35" spans="2:4" x14ac:dyDescent="0.35">
      <c r="B35" s="67">
        <v>34</v>
      </c>
      <c r="C35" s="54" t="s">
        <v>337</v>
      </c>
    </row>
    <row r="36" spans="2:4" ht="58" x14ac:dyDescent="0.35">
      <c r="B36" s="67">
        <v>35</v>
      </c>
      <c r="C36" s="55" t="s">
        <v>339</v>
      </c>
    </row>
    <row r="37" spans="2:4" x14ac:dyDescent="0.35">
      <c r="B37" s="54">
        <v>36</v>
      </c>
      <c r="C37" s="55" t="s">
        <v>350</v>
      </c>
    </row>
    <row r="38" spans="2:4" x14ac:dyDescent="0.35">
      <c r="B38" s="54">
        <f t="shared" ref="B38:B44" si="0">B37+1</f>
        <v>37</v>
      </c>
      <c r="C38" s="54" t="s">
        <v>346</v>
      </c>
    </row>
    <row r="39" spans="2:4" x14ac:dyDescent="0.35">
      <c r="B39" s="54">
        <f t="shared" si="0"/>
        <v>38</v>
      </c>
      <c r="C39" s="54" t="s">
        <v>347</v>
      </c>
    </row>
    <row r="40" spans="2:4" x14ac:dyDescent="0.35">
      <c r="B40" s="54">
        <f t="shared" si="0"/>
        <v>39</v>
      </c>
      <c r="C40" s="54" t="s">
        <v>348</v>
      </c>
    </row>
    <row r="41" spans="2:4" x14ac:dyDescent="0.35">
      <c r="B41" s="54">
        <f t="shared" si="0"/>
        <v>40</v>
      </c>
      <c r="C41" s="54" t="s">
        <v>349</v>
      </c>
    </row>
    <row r="42" spans="2:4" ht="29.5" thickBot="1" x14ac:dyDescent="0.4">
      <c r="B42" s="76">
        <f t="shared" si="0"/>
        <v>41</v>
      </c>
      <c r="C42" s="77" t="s">
        <v>351</v>
      </c>
    </row>
    <row r="43" spans="2:4" ht="29" x14ac:dyDescent="0.35">
      <c r="B43" s="80">
        <f t="shared" si="0"/>
        <v>42</v>
      </c>
      <c r="C43" s="85" t="s">
        <v>356</v>
      </c>
      <c r="D43" t="s">
        <v>357</v>
      </c>
    </row>
    <row r="44" spans="2:4" ht="15" thickBot="1" x14ac:dyDescent="0.4">
      <c r="B44" s="82">
        <f t="shared" si="0"/>
        <v>43</v>
      </c>
      <c r="C44" s="84" t="s">
        <v>352</v>
      </c>
    </row>
    <row r="45" spans="2:4" ht="15" thickBot="1" x14ac:dyDescent="0.4">
      <c r="B45" s="78">
        <f t="shared" ref="B45:B49" si="1">B44+1</f>
        <v>44</v>
      </c>
      <c r="C45" s="79" t="s">
        <v>353</v>
      </c>
    </row>
    <row r="46" spans="2:4" ht="29" x14ac:dyDescent="0.35">
      <c r="B46" s="80">
        <f t="shared" si="1"/>
        <v>45</v>
      </c>
      <c r="C46" s="81" t="s">
        <v>354</v>
      </c>
    </row>
    <row r="47" spans="2:4" ht="15" thickBot="1" x14ac:dyDescent="0.4">
      <c r="B47" s="82">
        <f t="shared" si="1"/>
        <v>46</v>
      </c>
      <c r="C47" s="83" t="s">
        <v>355</v>
      </c>
    </row>
    <row r="48" spans="2:4" x14ac:dyDescent="0.35">
      <c r="B48" s="86">
        <f t="shared" si="1"/>
        <v>47</v>
      </c>
      <c r="C48" s="87" t="s">
        <v>358</v>
      </c>
    </row>
    <row r="49" spans="2:3" x14ac:dyDescent="0.35">
      <c r="B49" s="86">
        <f t="shared" si="1"/>
        <v>48</v>
      </c>
      <c r="C49" s="87" t="s">
        <v>359</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51"/>
    <col min="2" max="2" width="12.26953125" style="51" customWidth="1"/>
    <col min="3" max="16384" width="9.1796875" style="51"/>
  </cols>
  <sheetData>
    <row r="2" spans="1:12" x14ac:dyDescent="0.35">
      <c r="B2" s="61" t="s">
        <v>291</v>
      </c>
      <c r="C2" s="240"/>
      <c r="D2" s="240"/>
    </row>
    <row r="3" spans="1:12" x14ac:dyDescent="0.35">
      <c r="D3" s="62"/>
      <c r="E3" s="62"/>
      <c r="F3" s="62"/>
      <c r="G3" s="62"/>
      <c r="H3" s="62"/>
      <c r="I3" s="62"/>
    </row>
    <row r="4" spans="1:12" x14ac:dyDescent="0.35">
      <c r="A4" s="61" t="s">
        <v>65</v>
      </c>
      <c r="B4" s="63" t="s">
        <v>292</v>
      </c>
      <c r="C4" s="241" t="s">
        <v>293</v>
      </c>
      <c r="D4" s="241"/>
      <c r="E4" s="241"/>
      <c r="F4" s="63"/>
      <c r="G4" s="242" t="s">
        <v>294</v>
      </c>
      <c r="H4" s="242"/>
      <c r="I4" s="242"/>
      <c r="J4" s="243" t="s">
        <v>295</v>
      </c>
      <c r="K4" s="243"/>
      <c r="L4" s="243"/>
    </row>
    <row r="5" spans="1:12" x14ac:dyDescent="0.35">
      <c r="A5" s="61"/>
      <c r="B5" s="63"/>
      <c r="C5" s="63" t="s">
        <v>296</v>
      </c>
      <c r="D5" s="63" t="s">
        <v>297</v>
      </c>
      <c r="E5" s="63" t="s">
        <v>298</v>
      </c>
      <c r="F5" s="63"/>
      <c r="G5" s="63" t="s">
        <v>296</v>
      </c>
      <c r="H5" s="63" t="s">
        <v>297</v>
      </c>
      <c r="I5" s="63" t="s">
        <v>298</v>
      </c>
      <c r="J5" s="63" t="s">
        <v>296</v>
      </c>
      <c r="K5" s="63" t="s">
        <v>297</v>
      </c>
      <c r="L5" s="63" t="s">
        <v>298</v>
      </c>
    </row>
    <row r="6" spans="1:12" x14ac:dyDescent="0.35">
      <c r="B6" s="52" t="s">
        <v>299</v>
      </c>
      <c r="C6" s="52"/>
      <c r="D6" s="52"/>
      <c r="E6" s="52">
        <f>C6*D6</f>
        <v>0</v>
      </c>
      <c r="F6" s="52" t="s">
        <v>316</v>
      </c>
      <c r="G6" s="52"/>
      <c r="H6" s="52"/>
      <c r="I6" s="52">
        <f>G6*H6</f>
        <v>0</v>
      </c>
      <c r="J6" s="52"/>
      <c r="K6" s="52"/>
      <c r="L6" s="52">
        <f>J6*K6</f>
        <v>0</v>
      </c>
    </row>
    <row r="7" spans="1:12" x14ac:dyDescent="0.35">
      <c r="B7" s="52"/>
      <c r="C7" s="52"/>
      <c r="D7" s="52"/>
      <c r="E7" s="52">
        <f t="shared" ref="E7:E41" si="0">C7*D7</f>
        <v>0</v>
      </c>
      <c r="F7" s="52" t="s">
        <v>316</v>
      </c>
      <c r="G7" s="52"/>
      <c r="H7" s="52"/>
      <c r="I7" s="52">
        <f t="shared" ref="I7:I35" si="1">G7*H7</f>
        <v>0</v>
      </c>
      <c r="J7" s="52"/>
      <c r="K7" s="52"/>
      <c r="L7" s="52">
        <f t="shared" ref="L7:L35" si="2">J7*K7</f>
        <v>0</v>
      </c>
    </row>
    <row r="8" spans="1:12" x14ac:dyDescent="0.35">
      <c r="B8" s="52"/>
      <c r="C8" s="52"/>
      <c r="D8" s="52"/>
      <c r="E8" s="52">
        <f t="shared" si="0"/>
        <v>0</v>
      </c>
      <c r="F8" s="52"/>
      <c r="G8" s="52"/>
      <c r="H8" s="52"/>
      <c r="I8" s="52">
        <f t="shared" si="1"/>
        <v>0</v>
      </c>
      <c r="J8" s="52"/>
      <c r="K8" s="52"/>
      <c r="L8" s="52">
        <f t="shared" si="2"/>
        <v>0</v>
      </c>
    </row>
    <row r="9" spans="1:12" x14ac:dyDescent="0.35">
      <c r="B9" s="52"/>
      <c r="C9" s="52"/>
      <c r="D9" s="52"/>
      <c r="E9" s="52">
        <f t="shared" si="0"/>
        <v>0</v>
      </c>
      <c r="F9" s="52" t="s">
        <v>300</v>
      </c>
      <c r="G9" s="52"/>
      <c r="H9" s="52"/>
      <c r="I9" s="52">
        <f t="shared" si="1"/>
        <v>0</v>
      </c>
      <c r="J9" s="52"/>
      <c r="K9" s="52"/>
      <c r="L9" s="52">
        <f t="shared" si="2"/>
        <v>0</v>
      </c>
    </row>
    <row r="10" spans="1:12" x14ac:dyDescent="0.35">
      <c r="B10" s="52" t="s">
        <v>301</v>
      </c>
      <c r="C10" s="52"/>
      <c r="D10" s="52"/>
      <c r="E10" s="52">
        <f t="shared" si="0"/>
        <v>0</v>
      </c>
      <c r="F10" s="52" t="s">
        <v>300</v>
      </c>
      <c r="G10" s="52"/>
      <c r="H10" s="52"/>
      <c r="I10" s="52">
        <f t="shared" si="1"/>
        <v>0</v>
      </c>
      <c r="J10" s="52"/>
      <c r="K10" s="52"/>
      <c r="L10" s="52">
        <f t="shared" si="2"/>
        <v>0</v>
      </c>
    </row>
    <row r="11" spans="1:12" x14ac:dyDescent="0.35">
      <c r="B11" s="52"/>
      <c r="C11" s="52"/>
      <c r="D11" s="52"/>
      <c r="E11" s="52">
        <f t="shared" si="0"/>
        <v>0</v>
      </c>
      <c r="F11" s="52" t="s">
        <v>302</v>
      </c>
      <c r="G11" s="52"/>
      <c r="H11" s="52"/>
      <c r="I11" s="52">
        <f t="shared" si="1"/>
        <v>0</v>
      </c>
      <c r="J11" s="52"/>
      <c r="K11" s="52"/>
      <c r="L11" s="52">
        <f t="shared" si="2"/>
        <v>0</v>
      </c>
    </row>
    <row r="12" spans="1:12" x14ac:dyDescent="0.35">
      <c r="B12" s="52"/>
      <c r="C12" s="52"/>
      <c r="D12" s="52"/>
      <c r="E12" s="52">
        <f t="shared" si="0"/>
        <v>0</v>
      </c>
      <c r="F12" s="52"/>
      <c r="G12" s="52"/>
      <c r="H12" s="52"/>
      <c r="I12" s="52">
        <f t="shared" si="1"/>
        <v>0</v>
      </c>
      <c r="J12" s="52"/>
      <c r="K12" s="52"/>
      <c r="L12" s="52">
        <f t="shared" si="2"/>
        <v>0</v>
      </c>
    </row>
    <row r="13" spans="1:12" x14ac:dyDescent="0.35">
      <c r="B13" s="52"/>
      <c r="C13" s="52"/>
      <c r="D13" s="52"/>
      <c r="E13" s="52">
        <f t="shared" si="0"/>
        <v>0</v>
      </c>
      <c r="F13" s="52"/>
      <c r="G13" s="52"/>
      <c r="H13" s="52"/>
      <c r="I13" s="52">
        <f t="shared" si="1"/>
        <v>0</v>
      </c>
      <c r="J13" s="52"/>
      <c r="K13" s="52"/>
      <c r="L13" s="52">
        <f t="shared" si="2"/>
        <v>0</v>
      </c>
    </row>
    <row r="14" spans="1:12" x14ac:dyDescent="0.35">
      <c r="B14" s="52" t="s">
        <v>303</v>
      </c>
      <c r="C14" s="52"/>
      <c r="D14" s="52"/>
      <c r="E14" s="52">
        <f t="shared" si="0"/>
        <v>0</v>
      </c>
      <c r="F14" s="52" t="s">
        <v>300</v>
      </c>
      <c r="G14" s="52"/>
      <c r="H14" s="52"/>
      <c r="I14" s="52">
        <f t="shared" si="1"/>
        <v>0</v>
      </c>
      <c r="J14" s="52"/>
      <c r="K14" s="52"/>
      <c r="L14" s="52">
        <f t="shared" si="2"/>
        <v>0</v>
      </c>
    </row>
    <row r="15" spans="1:12" x14ac:dyDescent="0.35">
      <c r="B15" s="52"/>
      <c r="C15" s="52"/>
      <c r="D15" s="52"/>
      <c r="E15" s="52">
        <f t="shared" si="0"/>
        <v>0</v>
      </c>
      <c r="F15" s="52" t="s">
        <v>302</v>
      </c>
      <c r="G15" s="52"/>
      <c r="H15" s="52"/>
      <c r="I15" s="52">
        <f t="shared" si="1"/>
        <v>0</v>
      </c>
      <c r="J15" s="52"/>
      <c r="K15" s="52"/>
      <c r="L15" s="52">
        <f t="shared" si="2"/>
        <v>0</v>
      </c>
    </row>
    <row r="16" spans="1:12" x14ac:dyDescent="0.35">
      <c r="B16" s="52"/>
      <c r="C16" s="52"/>
      <c r="D16" s="52"/>
      <c r="E16" s="52">
        <f t="shared" si="0"/>
        <v>0</v>
      </c>
      <c r="F16" s="52"/>
      <c r="G16" s="52"/>
      <c r="H16" s="52"/>
      <c r="I16" s="52">
        <f t="shared" si="1"/>
        <v>0</v>
      </c>
      <c r="J16" s="52"/>
      <c r="K16" s="52"/>
      <c r="L16" s="52">
        <f t="shared" si="2"/>
        <v>0</v>
      </c>
    </row>
    <row r="17" spans="2:12" x14ac:dyDescent="0.35">
      <c r="B17" s="52"/>
      <c r="C17" s="52"/>
      <c r="D17" s="52"/>
      <c r="E17" s="52">
        <f t="shared" si="0"/>
        <v>0</v>
      </c>
      <c r="F17" s="52"/>
      <c r="G17" s="52"/>
      <c r="H17" s="52"/>
      <c r="I17" s="52">
        <f t="shared" si="1"/>
        <v>0</v>
      </c>
      <c r="J17" s="52"/>
      <c r="K17" s="52"/>
      <c r="L17" s="52">
        <f t="shared" si="2"/>
        <v>0</v>
      </c>
    </row>
    <row r="18" spans="2:12" x14ac:dyDescent="0.35">
      <c r="B18" s="52" t="s">
        <v>304</v>
      </c>
      <c r="C18" s="52"/>
      <c r="D18" s="52"/>
      <c r="E18" s="52">
        <f t="shared" si="0"/>
        <v>0</v>
      </c>
      <c r="F18" s="52" t="s">
        <v>300</v>
      </c>
      <c r="G18" s="52"/>
      <c r="H18" s="52"/>
      <c r="I18" s="52">
        <f t="shared" si="1"/>
        <v>0</v>
      </c>
      <c r="J18" s="52"/>
      <c r="K18" s="52"/>
      <c r="L18" s="52">
        <f t="shared" si="2"/>
        <v>0</v>
      </c>
    </row>
    <row r="19" spans="2:12" x14ac:dyDescent="0.35">
      <c r="B19" s="52"/>
      <c r="C19" s="52"/>
      <c r="D19" s="52"/>
      <c r="E19" s="52">
        <f t="shared" si="0"/>
        <v>0</v>
      </c>
      <c r="F19" s="52" t="s">
        <v>302</v>
      </c>
      <c r="G19" s="52"/>
      <c r="H19" s="52"/>
      <c r="I19" s="52">
        <f t="shared" si="1"/>
        <v>0</v>
      </c>
      <c r="J19" s="52"/>
      <c r="K19" s="52"/>
      <c r="L19" s="52">
        <f t="shared" si="2"/>
        <v>0</v>
      </c>
    </row>
    <row r="20" spans="2:12" x14ac:dyDescent="0.35">
      <c r="B20" s="52"/>
      <c r="C20" s="52"/>
      <c r="D20" s="52"/>
      <c r="E20" s="52">
        <f t="shared" si="0"/>
        <v>0</v>
      </c>
      <c r="F20" s="52"/>
      <c r="G20" s="52"/>
      <c r="H20" s="52"/>
      <c r="I20" s="52">
        <f t="shared" si="1"/>
        <v>0</v>
      </c>
      <c r="J20" s="52"/>
      <c r="K20" s="52"/>
      <c r="L20" s="52">
        <f t="shared" si="2"/>
        <v>0</v>
      </c>
    </row>
    <row r="21" spans="2:12" x14ac:dyDescent="0.35">
      <c r="B21" s="52" t="s">
        <v>305</v>
      </c>
      <c r="C21" s="52"/>
      <c r="D21" s="52"/>
      <c r="E21" s="52">
        <f t="shared" si="0"/>
        <v>0</v>
      </c>
      <c r="F21" s="52" t="s">
        <v>300</v>
      </c>
      <c r="G21" s="52"/>
      <c r="H21" s="52"/>
      <c r="I21" s="52">
        <f t="shared" si="1"/>
        <v>0</v>
      </c>
      <c r="J21" s="52"/>
      <c r="K21" s="52"/>
      <c r="L21" s="52">
        <f t="shared" si="2"/>
        <v>0</v>
      </c>
    </row>
    <row r="22" spans="2:12" x14ac:dyDescent="0.35">
      <c r="B22" s="52"/>
      <c r="C22" s="52"/>
      <c r="D22" s="52"/>
      <c r="E22" s="52">
        <f t="shared" si="0"/>
        <v>0</v>
      </c>
      <c r="F22" s="52" t="s">
        <v>302</v>
      </c>
      <c r="G22" s="52"/>
      <c r="H22" s="52"/>
      <c r="I22" s="52">
        <f t="shared" si="1"/>
        <v>0</v>
      </c>
      <c r="J22" s="52"/>
      <c r="K22" s="52"/>
      <c r="L22" s="52">
        <f t="shared" si="2"/>
        <v>0</v>
      </c>
    </row>
    <row r="23" spans="2:12" x14ac:dyDescent="0.35">
      <c r="B23" s="52"/>
      <c r="C23" s="52"/>
      <c r="D23" s="52"/>
      <c r="E23" s="52">
        <f t="shared" si="0"/>
        <v>0</v>
      </c>
      <c r="F23" s="52"/>
      <c r="G23" s="52"/>
      <c r="H23" s="52"/>
      <c r="I23" s="52">
        <f t="shared" si="1"/>
        <v>0</v>
      </c>
      <c r="J23" s="52"/>
      <c r="K23" s="52"/>
      <c r="L23" s="52">
        <f t="shared" si="2"/>
        <v>0</v>
      </c>
    </row>
    <row r="24" spans="2:12" x14ac:dyDescent="0.35">
      <c r="B24" s="52" t="s">
        <v>306</v>
      </c>
      <c r="C24" s="52"/>
      <c r="D24" s="52"/>
      <c r="E24" s="52">
        <f t="shared" si="0"/>
        <v>0</v>
      </c>
      <c r="F24" s="52" t="s">
        <v>307</v>
      </c>
      <c r="G24" s="52"/>
      <c r="H24" s="52"/>
      <c r="I24" s="52">
        <f t="shared" si="1"/>
        <v>0</v>
      </c>
      <c r="J24" s="52"/>
      <c r="K24" s="52"/>
      <c r="L24" s="52">
        <f t="shared" si="2"/>
        <v>0</v>
      </c>
    </row>
    <row r="25" spans="2:12" x14ac:dyDescent="0.35">
      <c r="B25" s="52"/>
      <c r="C25" s="52"/>
      <c r="D25" s="52"/>
      <c r="E25" s="52">
        <f>C25*D25</f>
        <v>0</v>
      </c>
      <c r="F25" s="52" t="s">
        <v>307</v>
      </c>
      <c r="G25" s="52"/>
      <c r="H25" s="52"/>
      <c r="I25" s="52">
        <f>G25*H25</f>
        <v>0</v>
      </c>
      <c r="J25" s="52"/>
      <c r="K25" s="52"/>
      <c r="L25" s="52">
        <f>J25*K25</f>
        <v>0</v>
      </c>
    </row>
    <row r="26" spans="2:12" x14ac:dyDescent="0.35">
      <c r="B26" s="52"/>
      <c r="C26" s="52"/>
      <c r="D26" s="52"/>
      <c r="E26" s="52">
        <f>C26*D26</f>
        <v>0</v>
      </c>
      <c r="F26" s="52" t="s">
        <v>307</v>
      </c>
      <c r="G26" s="52"/>
      <c r="H26" s="52"/>
      <c r="I26" s="52">
        <f>G26*H26</f>
        <v>0</v>
      </c>
      <c r="J26" s="52"/>
      <c r="K26" s="52"/>
      <c r="L26" s="52">
        <f>J26*K26</f>
        <v>0</v>
      </c>
    </row>
    <row r="27" spans="2:12" x14ac:dyDescent="0.35">
      <c r="B27" s="52"/>
      <c r="C27" s="52"/>
      <c r="D27" s="52"/>
      <c r="E27" s="52">
        <f>C27*D27</f>
        <v>0</v>
      </c>
      <c r="F27" s="52" t="s">
        <v>307</v>
      </c>
      <c r="G27" s="52"/>
      <c r="H27" s="52"/>
      <c r="I27" s="52">
        <f>G27*H27</f>
        <v>0</v>
      </c>
      <c r="J27" s="52"/>
      <c r="K27" s="52"/>
      <c r="L27" s="52">
        <f>J27*K27</f>
        <v>0</v>
      </c>
    </row>
    <row r="28" spans="2:12" x14ac:dyDescent="0.35">
      <c r="B28" s="52" t="s">
        <v>308</v>
      </c>
      <c r="C28" s="52"/>
      <c r="D28" s="52"/>
      <c r="E28" s="52">
        <f t="shared" si="0"/>
        <v>0</v>
      </c>
      <c r="F28" s="52" t="s">
        <v>307</v>
      </c>
      <c r="G28" s="52"/>
      <c r="H28" s="52"/>
      <c r="I28" s="52">
        <f t="shared" si="1"/>
        <v>0</v>
      </c>
      <c r="J28" s="52"/>
      <c r="K28" s="52"/>
      <c r="L28" s="52">
        <f t="shared" si="2"/>
        <v>0</v>
      </c>
    </row>
    <row r="29" spans="2:12" x14ac:dyDescent="0.35">
      <c r="B29" s="52" t="s">
        <v>309</v>
      </c>
      <c r="C29" s="52"/>
      <c r="D29" s="52"/>
      <c r="E29" s="52">
        <f t="shared" si="0"/>
        <v>0</v>
      </c>
      <c r="F29" s="52" t="s">
        <v>307</v>
      </c>
      <c r="G29" s="52"/>
      <c r="H29" s="52"/>
      <c r="I29" s="52">
        <f t="shared" si="1"/>
        <v>0</v>
      </c>
      <c r="J29" s="52"/>
      <c r="K29" s="52"/>
      <c r="L29" s="52">
        <f t="shared" si="2"/>
        <v>0</v>
      </c>
    </row>
    <row r="30" spans="2:12" x14ac:dyDescent="0.35">
      <c r="B30" s="52" t="s">
        <v>313</v>
      </c>
      <c r="C30" s="52"/>
      <c r="D30" s="52"/>
      <c r="E30" s="52">
        <f t="shared" si="0"/>
        <v>0</v>
      </c>
      <c r="F30" s="52"/>
      <c r="G30" s="52"/>
      <c r="H30" s="52"/>
      <c r="I30" s="52">
        <f t="shared" si="1"/>
        <v>0</v>
      </c>
      <c r="J30" s="52"/>
      <c r="K30" s="52"/>
      <c r="L30" s="52">
        <f t="shared" si="2"/>
        <v>0</v>
      </c>
    </row>
    <row r="31" spans="2:12" x14ac:dyDescent="0.35">
      <c r="B31" s="52"/>
      <c r="C31" s="52"/>
      <c r="D31" s="52"/>
      <c r="E31" s="52">
        <f>C31*D31</f>
        <v>0</v>
      </c>
      <c r="F31" s="52"/>
      <c r="G31" s="52"/>
      <c r="H31" s="52"/>
      <c r="I31" s="52">
        <f>G31*H31</f>
        <v>0</v>
      </c>
      <c r="J31" s="52"/>
      <c r="K31" s="52"/>
      <c r="L31" s="52">
        <f>J31*K31</f>
        <v>0</v>
      </c>
    </row>
    <row r="32" spans="2:12" x14ac:dyDescent="0.35">
      <c r="B32" s="52"/>
      <c r="C32" s="52"/>
      <c r="D32" s="52"/>
      <c r="E32" s="52">
        <f>C32*D32</f>
        <v>0</v>
      </c>
      <c r="F32" s="52"/>
      <c r="G32" s="52"/>
      <c r="H32" s="52"/>
      <c r="I32" s="52">
        <f>G32*H32</f>
        <v>0</v>
      </c>
      <c r="J32" s="52"/>
      <c r="K32" s="52"/>
      <c r="L32" s="52">
        <f>J32*K32</f>
        <v>0</v>
      </c>
    </row>
    <row r="33" spans="2:12" x14ac:dyDescent="0.35">
      <c r="B33" s="52" t="s">
        <v>310</v>
      </c>
      <c r="C33" s="52"/>
      <c r="D33" s="52"/>
      <c r="E33" s="52">
        <f t="shared" si="0"/>
        <v>0</v>
      </c>
      <c r="F33" s="52"/>
      <c r="G33" s="52"/>
      <c r="H33" s="52"/>
      <c r="I33" s="52">
        <f t="shared" si="1"/>
        <v>0</v>
      </c>
      <c r="J33" s="52"/>
      <c r="K33" s="52"/>
      <c r="L33" s="52">
        <f t="shared" si="2"/>
        <v>0</v>
      </c>
    </row>
    <row r="34" spans="2:12" x14ac:dyDescent="0.35">
      <c r="B34" s="52" t="s">
        <v>314</v>
      </c>
      <c r="C34" s="52"/>
      <c r="D34" s="52"/>
      <c r="E34" s="52">
        <f t="shared" si="0"/>
        <v>0</v>
      </c>
      <c r="F34" s="52"/>
      <c r="G34" s="52"/>
      <c r="H34" s="52"/>
      <c r="I34" s="52">
        <f t="shared" si="1"/>
        <v>0</v>
      </c>
      <c r="J34" s="52"/>
      <c r="K34" s="52"/>
      <c r="L34" s="52">
        <f t="shared" si="2"/>
        <v>0</v>
      </c>
    </row>
    <row r="35" spans="2:12" x14ac:dyDescent="0.35">
      <c r="B35" s="52" t="s">
        <v>311</v>
      </c>
      <c r="C35" s="52"/>
      <c r="D35" s="52"/>
      <c r="E35" s="52">
        <f t="shared" si="0"/>
        <v>0</v>
      </c>
      <c r="F35" s="52"/>
      <c r="G35" s="52"/>
      <c r="H35" s="52"/>
      <c r="I35" s="52">
        <f t="shared" si="1"/>
        <v>0</v>
      </c>
      <c r="J35" s="52"/>
      <c r="K35" s="52"/>
      <c r="L35" s="52">
        <f t="shared" si="2"/>
        <v>0</v>
      </c>
    </row>
    <row r="36" spans="2:12" x14ac:dyDescent="0.35">
      <c r="B36" s="52" t="s">
        <v>312</v>
      </c>
      <c r="C36" s="52"/>
      <c r="D36" s="52"/>
      <c r="E36" s="52">
        <f t="shared" si="0"/>
        <v>0</v>
      </c>
      <c r="F36" s="52"/>
      <c r="G36" s="52"/>
      <c r="H36" s="52"/>
      <c r="I36" s="52">
        <f t="shared" ref="I36:I41" si="3">G36*H36</f>
        <v>0</v>
      </c>
      <c r="J36" s="52"/>
      <c r="K36" s="52"/>
      <c r="L36" s="52">
        <f t="shared" ref="L36:L41" si="4">J36*K36</f>
        <v>0</v>
      </c>
    </row>
    <row r="37" spans="2:12" x14ac:dyDescent="0.35">
      <c r="B37" s="52"/>
      <c r="C37" s="52"/>
      <c r="D37" s="52"/>
      <c r="E37" s="52">
        <f>C37*D37</f>
        <v>0</v>
      </c>
      <c r="F37" s="52"/>
      <c r="G37" s="52"/>
      <c r="H37" s="52"/>
      <c r="I37" s="52">
        <f t="shared" si="3"/>
        <v>0</v>
      </c>
      <c r="J37" s="52"/>
      <c r="K37" s="52"/>
      <c r="L37" s="52">
        <f t="shared" si="4"/>
        <v>0</v>
      </c>
    </row>
    <row r="38" spans="2:12" x14ac:dyDescent="0.35">
      <c r="B38" s="52" t="s">
        <v>315</v>
      </c>
      <c r="C38" s="52"/>
      <c r="D38" s="52"/>
      <c r="E38" s="52">
        <f>C38*D38</f>
        <v>0</v>
      </c>
      <c r="F38" s="52"/>
      <c r="G38" s="52"/>
      <c r="H38" s="52"/>
      <c r="I38" s="52">
        <f t="shared" si="3"/>
        <v>0</v>
      </c>
      <c r="J38" s="52"/>
      <c r="K38" s="52"/>
      <c r="L38" s="52">
        <f t="shared" si="4"/>
        <v>0</v>
      </c>
    </row>
    <row r="39" spans="2:12" x14ac:dyDescent="0.35">
      <c r="B39" s="52"/>
      <c r="C39" s="52"/>
      <c r="D39" s="52"/>
      <c r="E39" s="52">
        <f t="shared" si="0"/>
        <v>0</v>
      </c>
      <c r="F39" s="52"/>
      <c r="G39" s="52"/>
      <c r="H39" s="52"/>
      <c r="I39" s="52">
        <f t="shared" si="3"/>
        <v>0</v>
      </c>
      <c r="J39" s="52"/>
      <c r="K39" s="52"/>
      <c r="L39" s="52">
        <f t="shared" si="4"/>
        <v>0</v>
      </c>
    </row>
    <row r="40" spans="2:12" x14ac:dyDescent="0.35">
      <c r="B40" s="52"/>
      <c r="C40" s="52"/>
      <c r="D40" s="52"/>
      <c r="E40" s="52">
        <f t="shared" si="0"/>
        <v>0</v>
      </c>
      <c r="F40" s="52"/>
      <c r="G40" s="52"/>
      <c r="H40" s="52"/>
      <c r="I40" s="52">
        <f t="shared" si="3"/>
        <v>0</v>
      </c>
      <c r="J40" s="52"/>
      <c r="K40" s="52"/>
      <c r="L40" s="52">
        <f t="shared" si="4"/>
        <v>0</v>
      </c>
    </row>
    <row r="41" spans="2:12" x14ac:dyDescent="0.35">
      <c r="B41" s="52"/>
      <c r="C41" s="52"/>
      <c r="D41" s="52"/>
      <c r="E41" s="52">
        <f t="shared" si="0"/>
        <v>0</v>
      </c>
      <c r="F41" s="52"/>
      <c r="G41" s="52"/>
      <c r="H41" s="52"/>
      <c r="I41" s="52">
        <f t="shared" si="3"/>
        <v>0</v>
      </c>
      <c r="J41" s="52"/>
      <c r="K41" s="52"/>
      <c r="L41" s="52">
        <f t="shared" si="4"/>
        <v>0</v>
      </c>
    </row>
    <row r="42" spans="2:12" x14ac:dyDescent="0.35">
      <c r="B42" s="52" t="s">
        <v>143</v>
      </c>
      <c r="C42" s="52"/>
      <c r="D42" s="52">
        <f>E42*10.764</f>
        <v>0</v>
      </c>
      <c r="E42" s="66">
        <f>SUM(E6:E41)</f>
        <v>0</v>
      </c>
      <c r="F42" s="52"/>
      <c r="G42" s="52"/>
      <c r="H42" s="52">
        <f>I42*10.764</f>
        <v>0</v>
      </c>
      <c r="I42" s="65">
        <f>SUM(I6:I41)</f>
        <v>0</v>
      </c>
      <c r="J42" s="52"/>
      <c r="K42" s="52">
        <f>L42*10.764</f>
        <v>0</v>
      </c>
      <c r="L42" s="64">
        <f>SUM(L6:L41)</f>
        <v>0</v>
      </c>
    </row>
    <row r="44" spans="2:12" x14ac:dyDescent="0.35">
      <c r="D44" s="51">
        <f>D42+H42</f>
        <v>0</v>
      </c>
      <c r="E44" s="51">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2025-07-28T09:17:04Z</cp:lastPrinted>
  <dcterms:created xsi:type="dcterms:W3CDTF">2019-07-16T09:29:46Z</dcterms:created>
  <dcterms:modified xsi:type="dcterms:W3CDTF">2025-07-28T09:17:39Z</dcterms:modified>
</cp:coreProperties>
</file>