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July 2025\Godrej\NEW\Gaurav\Arkade Rare\"/>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Report!$A$1:$H$525</definedName>
  </definedNames>
  <calcPr calcId="162913"/>
</workbook>
</file>

<file path=xl/calcChain.xml><?xml version="1.0" encoding="utf-8"?>
<calcChain xmlns="http://schemas.openxmlformats.org/spreadsheetml/2006/main">
  <c r="L268" i="3" l="1"/>
  <c r="E209" i="3" l="1"/>
  <c r="E371" i="3" l="1"/>
  <c r="H371" i="3" s="1"/>
  <c r="G185" i="3"/>
  <c r="G184" i="3"/>
  <c r="I21" i="3"/>
  <c r="I233" i="3"/>
  <c r="E246" i="3"/>
  <c r="H246" i="3" s="1"/>
  <c r="E245" i="3"/>
  <c r="H245" i="3" s="1"/>
  <c r="E244" i="3"/>
  <c r="H244" i="3" s="1"/>
  <c r="E243" i="3"/>
  <c r="H243" i="3" s="1"/>
  <c r="E242" i="3"/>
  <c r="H242" i="3" s="1"/>
  <c r="E234" i="3"/>
  <c r="H234" i="3" s="1"/>
  <c r="E233" i="3"/>
  <c r="H233" i="3" s="1"/>
  <c r="E232" i="3"/>
  <c r="H232" i="3" s="1"/>
  <c r="E231" i="3"/>
  <c r="H231" i="3" s="1"/>
  <c r="E230" i="3"/>
  <c r="H230" i="3" s="1"/>
  <c r="E222" i="3"/>
  <c r="H222" i="3" s="1"/>
  <c r="E221" i="3"/>
  <c r="H221" i="3" s="1"/>
  <c r="A221" i="3"/>
  <c r="A222" i="3" s="1"/>
  <c r="E220" i="3"/>
  <c r="H220" i="3"/>
  <c r="E219" i="3"/>
  <c r="H219" i="3" s="1"/>
  <c r="E211" i="3" l="1"/>
  <c r="H211" i="3" s="1"/>
  <c r="E210" i="3"/>
  <c r="H210" i="3" s="1"/>
  <c r="H209" i="3"/>
  <c r="E241" i="3"/>
  <c r="H241" i="3" s="1"/>
  <c r="E240" i="3"/>
  <c r="H240" i="3" s="1"/>
  <c r="E239" i="3"/>
  <c r="H239" i="3" s="1"/>
  <c r="E238" i="3"/>
  <c r="H238" i="3" s="1"/>
  <c r="E237" i="3"/>
  <c r="H237" i="3" s="1"/>
  <c r="E236" i="3"/>
  <c r="H236" i="3" s="1"/>
  <c r="A237" i="3"/>
  <c r="A238" i="3" s="1"/>
  <c r="A239" i="3" s="1"/>
  <c r="A240" i="3" s="1"/>
  <c r="A241" i="3" s="1"/>
  <c r="A242" i="3" s="1"/>
  <c r="A243" i="3" s="1"/>
  <c r="A244" i="3" s="1"/>
  <c r="A245" i="3" s="1"/>
  <c r="A246" i="3" s="1"/>
  <c r="E229" i="3" l="1"/>
  <c r="H229" i="3" s="1"/>
  <c r="E228" i="3"/>
  <c r="H228" i="3" s="1"/>
  <c r="E227" i="3"/>
  <c r="E226" i="3"/>
  <c r="H226" i="3" s="1"/>
  <c r="E225" i="3"/>
  <c r="H225" i="3" s="1"/>
  <c r="E224" i="3"/>
  <c r="H224" i="3" s="1"/>
  <c r="H227" i="3"/>
  <c r="A225" i="3"/>
  <c r="A226" i="3" s="1"/>
  <c r="A227" i="3" s="1"/>
  <c r="A228" i="3" s="1"/>
  <c r="A229" i="3" s="1"/>
  <c r="A230" i="3" s="1"/>
  <c r="A231" i="3" s="1"/>
  <c r="A232" i="3" s="1"/>
  <c r="A233" i="3" s="1"/>
  <c r="A234" i="3" s="1"/>
  <c r="E218" i="3"/>
  <c r="H218" i="3" s="1"/>
  <c r="E217" i="3"/>
  <c r="H217" i="3" s="1"/>
  <c r="E216" i="3"/>
  <c r="H216" i="3" s="1"/>
  <c r="E215" i="3"/>
  <c r="H215" i="3" s="1"/>
  <c r="A216" i="3"/>
  <c r="A217" i="3" s="1"/>
  <c r="A218" i="3" s="1"/>
  <c r="A219" i="3" s="1"/>
  <c r="E212" i="3"/>
  <c r="E208" i="3"/>
  <c r="H208" i="3" s="1"/>
  <c r="E207" i="3"/>
  <c r="A208" i="3"/>
  <c r="E358" i="3"/>
  <c r="H358" i="3" s="1"/>
  <c r="E357" i="3"/>
  <c r="H357" i="3" s="1"/>
  <c r="E355" i="3"/>
  <c r="H355" i="3" s="1"/>
  <c r="A356" i="3"/>
  <c r="A357" i="3" s="1"/>
  <c r="A358" i="3" s="1"/>
  <c r="E353" i="3"/>
  <c r="H353" i="3" s="1"/>
  <c r="E352" i="3"/>
  <c r="H352" i="3" s="1"/>
  <c r="E351" i="3"/>
  <c r="H351" i="3" s="1"/>
  <c r="E350" i="3"/>
  <c r="A351" i="3"/>
  <c r="A352" i="3" s="1"/>
  <c r="A353" i="3" s="1"/>
  <c r="E341" i="3"/>
  <c r="H341" i="3" s="1"/>
  <c r="F340" i="3"/>
  <c r="E340" i="3"/>
  <c r="F337" i="3"/>
  <c r="E337" i="3"/>
  <c r="E335" i="3"/>
  <c r="H335" i="3" s="1"/>
  <c r="F334" i="3"/>
  <c r="E334" i="3"/>
  <c r="E333" i="3"/>
  <c r="H333" i="3" s="1"/>
  <c r="E332" i="3"/>
  <c r="H332" i="3" s="1"/>
  <c r="A332" i="3"/>
  <c r="A333" i="3" s="1"/>
  <c r="A334" i="3" s="1"/>
  <c r="A335" i="3" s="1"/>
  <c r="E329" i="3"/>
  <c r="H329" i="3" s="1"/>
  <c r="F328" i="3"/>
  <c r="E328" i="3"/>
  <c r="E327" i="3"/>
  <c r="H327" i="3" s="1"/>
  <c r="E326" i="3"/>
  <c r="H326" i="3" s="1"/>
  <c r="F325" i="3"/>
  <c r="E325" i="3"/>
  <c r="A326" i="3"/>
  <c r="A327" i="3" s="1"/>
  <c r="A328" i="3" s="1"/>
  <c r="A329" i="3" s="1"/>
  <c r="A338" i="3"/>
  <c r="A339" i="3" s="1"/>
  <c r="A340" i="3" s="1"/>
  <c r="A341" i="3" s="1"/>
  <c r="E374" i="3"/>
  <c r="H374" i="3" s="1"/>
  <c r="E373" i="3"/>
  <c r="H373" i="3" s="1"/>
  <c r="A372" i="3"/>
  <c r="A373" i="3" s="1"/>
  <c r="A374" i="3" s="1"/>
  <c r="E369" i="3"/>
  <c r="H369" i="3" s="1"/>
  <c r="E368" i="3"/>
  <c r="H368" i="3" s="1"/>
  <c r="E367" i="3"/>
  <c r="H367" i="3" s="1"/>
  <c r="E366" i="3"/>
  <c r="H366" i="3" s="1"/>
  <c r="A367" i="3"/>
  <c r="A368" i="3" s="1"/>
  <c r="A369" i="3" s="1"/>
  <c r="H337" i="3" l="1"/>
  <c r="G199" i="3"/>
  <c r="E199" i="3"/>
  <c r="H334" i="3"/>
  <c r="E197" i="3"/>
  <c r="H207" i="3"/>
  <c r="E189" i="3"/>
  <c r="E190" i="3" s="1"/>
  <c r="H350" i="3"/>
  <c r="G198" i="3" s="1"/>
  <c r="E198" i="3"/>
  <c r="H328" i="3"/>
  <c r="H340" i="3"/>
  <c r="H325" i="3"/>
  <c r="F314" i="3"/>
  <c r="E314" i="3"/>
  <c r="F313" i="3"/>
  <c r="E313" i="3"/>
  <c r="A314" i="3"/>
  <c r="F317" i="3"/>
  <c r="E317" i="3"/>
  <c r="F316" i="3"/>
  <c r="E316" i="3"/>
  <c r="A317" i="3"/>
  <c r="F304" i="3"/>
  <c r="E304" i="3"/>
  <c r="E300" i="3"/>
  <c r="H300" i="3" s="1"/>
  <c r="E299" i="3"/>
  <c r="H299" i="3" s="1"/>
  <c r="A300" i="3"/>
  <c r="A301" i="3" s="1"/>
  <c r="A302" i="3" s="1"/>
  <c r="A304" i="3" s="1"/>
  <c r="E296" i="3"/>
  <c r="H296" i="3" s="1"/>
  <c r="F295" i="3"/>
  <c r="E295" i="3"/>
  <c r="E294" i="3"/>
  <c r="H294" i="3" s="1"/>
  <c r="E293" i="3"/>
  <c r="H293" i="3" s="1"/>
  <c r="A294" i="3"/>
  <c r="A295" i="3" s="1"/>
  <c r="A296" i="3" s="1"/>
  <c r="A297" i="3" s="1"/>
  <c r="F291" i="3"/>
  <c r="E291" i="3"/>
  <c r="E290" i="3"/>
  <c r="H290" i="3" s="1"/>
  <c r="F289" i="3"/>
  <c r="E289" i="3"/>
  <c r="E288" i="3"/>
  <c r="H288" i="3" s="1"/>
  <c r="E287" i="3"/>
  <c r="A288" i="3"/>
  <c r="A289" i="3" s="1"/>
  <c r="A290" i="3" s="1"/>
  <c r="A291" i="3" s="1"/>
  <c r="E279" i="3"/>
  <c r="H279" i="3" s="1"/>
  <c r="E277" i="3"/>
  <c r="H277" i="3" s="1"/>
  <c r="E276" i="3"/>
  <c r="H276" i="3" s="1"/>
  <c r="A277" i="3"/>
  <c r="A278" i="3" s="1"/>
  <c r="A279" i="3" s="1"/>
  <c r="E274" i="3"/>
  <c r="H274" i="3" s="1"/>
  <c r="E273" i="3"/>
  <c r="H273" i="3" s="1"/>
  <c r="L266" i="3" s="1"/>
  <c r="E272" i="3"/>
  <c r="H272" i="3" s="1"/>
  <c r="L265" i="3" s="1"/>
  <c r="E271" i="3"/>
  <c r="A272" i="3"/>
  <c r="A273" i="3" s="1"/>
  <c r="A274" i="3" s="1"/>
  <c r="I245" i="3"/>
  <c r="E263" i="3"/>
  <c r="H263" i="3" s="1"/>
  <c r="E261" i="3"/>
  <c r="H261" i="3" s="1"/>
  <c r="E260" i="3"/>
  <c r="H260" i="3" s="1"/>
  <c r="A261" i="3"/>
  <c r="A262" i="3" s="1"/>
  <c r="A263" i="3" s="1"/>
  <c r="E258" i="3"/>
  <c r="H258" i="3" s="1"/>
  <c r="E257" i="3"/>
  <c r="H257" i="3" s="1"/>
  <c r="E256" i="3"/>
  <c r="H256" i="3" s="1"/>
  <c r="E255" i="3"/>
  <c r="A256" i="3"/>
  <c r="A257" i="3" s="1"/>
  <c r="A258" i="3" s="1"/>
  <c r="H212" i="3"/>
  <c r="E193" i="3" l="1"/>
  <c r="I267" i="3"/>
  <c r="L267" i="3"/>
  <c r="H316" i="3"/>
  <c r="G197" i="3"/>
  <c r="H314" i="3"/>
  <c r="H291" i="3"/>
  <c r="H304" i="3"/>
  <c r="H287" i="3"/>
  <c r="E195" i="3"/>
  <c r="H271" i="3"/>
  <c r="L264" i="3" s="1"/>
  <c r="E194" i="3"/>
  <c r="H313" i="3"/>
  <c r="E196" i="3"/>
  <c r="G189" i="3"/>
  <c r="G190" i="3" s="1"/>
  <c r="H255" i="3"/>
  <c r="G193" i="3" s="1"/>
  <c r="H295" i="3"/>
  <c r="H317" i="3"/>
  <c r="H289" i="3"/>
  <c r="A163" i="3"/>
  <c r="A147" i="3"/>
  <c r="A131" i="3"/>
  <c r="A115" i="3"/>
  <c r="C56" i="3"/>
  <c r="H56" i="3"/>
  <c r="C17" i="3"/>
  <c r="H116" i="3"/>
  <c r="G194" i="3" l="1"/>
  <c r="K264" i="3"/>
  <c r="I264" i="3"/>
  <c r="G196" i="3"/>
  <c r="E200" i="3"/>
  <c r="E201" i="3" s="1"/>
  <c r="G195" i="3"/>
  <c r="D129" i="3"/>
  <c r="D128" i="3"/>
  <c r="D122" i="3"/>
  <c r="D121" i="3"/>
  <c r="D126" i="3"/>
  <c r="D120" i="3"/>
  <c r="J118" i="3"/>
  <c r="C118" i="3" s="1"/>
  <c r="J116" i="3"/>
  <c r="D125" i="3"/>
  <c r="D124" i="3"/>
  <c r="J117" i="3"/>
  <c r="D123" i="3"/>
  <c r="D127" i="3"/>
  <c r="D116" i="3"/>
  <c r="D389" i="3"/>
  <c r="D387" i="3"/>
  <c r="A67" i="3"/>
  <c r="G200" i="3" l="1"/>
  <c r="G201" i="3" s="1"/>
  <c r="J121" i="3"/>
  <c r="J119" i="3"/>
  <c r="J120" i="3" s="1"/>
  <c r="J125" i="3" s="1"/>
  <c r="J126" i="3" s="1"/>
  <c r="C119" i="3" s="1"/>
  <c r="J124" i="3"/>
  <c r="J123" i="3"/>
  <c r="J122" i="3"/>
  <c r="D118"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D119" i="3" l="1"/>
  <c r="E118" i="3"/>
  <c r="I114" i="3" s="1"/>
  <c r="G118" i="3" s="1"/>
  <c r="I42" i="6"/>
  <c r="H42" i="6" s="1"/>
  <c r="L42" i="6"/>
  <c r="K42" i="6" s="1"/>
  <c r="E44" i="6"/>
  <c r="D42" i="6"/>
  <c r="D44" i="6" s="1"/>
  <c r="C26" i="3" l="1"/>
  <c r="C18" i="3"/>
  <c r="A99" i="3" l="1"/>
  <c r="D100" i="3" s="1"/>
  <c r="J108" i="3" s="1"/>
  <c r="A83" i="3"/>
  <c r="D84" i="3" s="1"/>
  <c r="D68" i="3"/>
  <c r="J107"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84" i="3"/>
  <c r="F38" i="4" l="1"/>
  <c r="G38" i="4"/>
  <c r="E18" i="4"/>
  <c r="E15" i="4"/>
  <c r="E17" i="4"/>
  <c r="E11" i="4"/>
  <c r="K6" i="4"/>
  <c r="E9" i="4"/>
  <c r="K8" i="4"/>
  <c r="C7" i="4" s="1"/>
  <c r="E14" i="4"/>
  <c r="E12" i="4"/>
  <c r="E16" i="4"/>
  <c r="E10" i="4"/>
  <c r="K9" i="4"/>
  <c r="K10" i="4" s="1"/>
  <c r="K11" i="4" s="1"/>
  <c r="E13" i="4"/>
  <c r="K7" i="4"/>
  <c r="J92" i="3"/>
  <c r="J91" i="3"/>
  <c r="K12" i="4" l="1"/>
  <c r="K16" i="4" s="1"/>
  <c r="C8" i="4" s="1"/>
  <c r="E8" i="4" s="1"/>
  <c r="E7" i="4"/>
  <c r="F7" i="4" l="1"/>
  <c r="J4" i="4" s="1"/>
  <c r="H7" i="4" s="1"/>
  <c r="G4" i="3" l="1"/>
  <c r="D388" i="3" l="1"/>
  <c r="G186" i="3"/>
  <c r="J76" i="3"/>
  <c r="J75" i="3"/>
  <c r="H68" i="3"/>
  <c r="J71" i="3" l="1"/>
  <c r="D77" i="3"/>
  <c r="D74" i="3"/>
  <c r="D72" i="3"/>
  <c r="J69" i="3"/>
  <c r="D81" i="3"/>
  <c r="D79" i="3"/>
  <c r="D76" i="3"/>
  <c r="D73" i="3"/>
  <c r="J70" i="3"/>
  <c r="C70" i="3" s="1"/>
  <c r="J68" i="3"/>
  <c r="D80" i="3"/>
  <c r="D78" i="3"/>
  <c r="D75" i="3"/>
  <c r="D132" i="3" l="1"/>
  <c r="D97" i="3"/>
  <c r="D89" i="3"/>
  <c r="D92" i="3"/>
  <c r="J85" i="3"/>
  <c r="D96" i="3"/>
  <c r="D90" i="3"/>
  <c r="J84" i="3"/>
  <c r="D95" i="3"/>
  <c r="J87" i="3"/>
  <c r="J88" i="3" s="1"/>
  <c r="D94" i="3"/>
  <c r="D88" i="3"/>
  <c r="J86" i="3"/>
  <c r="C86" i="3" s="1"/>
  <c r="D93" i="3"/>
  <c r="D91" i="3"/>
  <c r="J72" i="3"/>
  <c r="J77" i="3" s="1"/>
  <c r="H132" i="3"/>
  <c r="D148" i="3" l="1"/>
  <c r="D145" i="3"/>
  <c r="J132" i="3"/>
  <c r="D137" i="3"/>
  <c r="J134" i="3"/>
  <c r="C134" i="3" s="1"/>
  <c r="D134" i="3" s="1"/>
  <c r="D140" i="3"/>
  <c r="D139" i="3"/>
  <c r="D144" i="3"/>
  <c r="D138" i="3"/>
  <c r="D143" i="3"/>
  <c r="D142" i="3"/>
  <c r="D136" i="3"/>
  <c r="D141" i="3"/>
  <c r="J133" i="3"/>
  <c r="J137" i="3"/>
  <c r="J138" i="3"/>
  <c r="J135" i="3"/>
  <c r="J136" i="3" s="1"/>
  <c r="J141" i="3" s="1"/>
  <c r="J142" i="3" s="1"/>
  <c r="C135" i="3" s="1"/>
  <c r="D135" i="3" s="1"/>
  <c r="J140" i="3"/>
  <c r="J139" i="3"/>
  <c r="D86" i="3"/>
  <c r="J89" i="3"/>
  <c r="J93" i="3"/>
  <c r="J90" i="3"/>
  <c r="J73" i="3"/>
  <c r="H100" i="3"/>
  <c r="H148" i="3"/>
  <c r="D161" i="3" l="1"/>
  <c r="D153" i="3"/>
  <c r="D158" i="3"/>
  <c r="J150" i="3"/>
  <c r="C150" i="3" s="1"/>
  <c r="D150" i="3" s="1"/>
  <c r="D157" i="3"/>
  <c r="J149" i="3"/>
  <c r="D160" i="3"/>
  <c r="D154" i="3"/>
  <c r="J148" i="3"/>
  <c r="D159" i="3"/>
  <c r="D152" i="3"/>
  <c r="D156" i="3"/>
  <c r="D155" i="3"/>
  <c r="J153" i="3"/>
  <c r="J151" i="3"/>
  <c r="J152" i="3" s="1"/>
  <c r="J157" i="3" s="1"/>
  <c r="J158" i="3" s="1"/>
  <c r="C151" i="3" s="1"/>
  <c r="D151" i="3" s="1"/>
  <c r="J155" i="3"/>
  <c r="J156" i="3"/>
  <c r="J154" i="3"/>
  <c r="E134" i="3"/>
  <c r="I130" i="3" s="1"/>
  <c r="G134" i="3" s="1"/>
  <c r="J94" i="3"/>
  <c r="C87" i="3" s="1"/>
  <c r="D113" i="3"/>
  <c r="D112" i="3"/>
  <c r="D106" i="3"/>
  <c r="J102" i="3"/>
  <c r="C102" i="3" s="1"/>
  <c r="D108" i="3"/>
  <c r="D107" i="3"/>
  <c r="J100" i="3"/>
  <c r="D111" i="3"/>
  <c r="D105" i="3"/>
  <c r="J103" i="3"/>
  <c r="J104" i="3" s="1"/>
  <c r="J105" i="3" s="1"/>
  <c r="J106" i="3" s="1"/>
  <c r="D110" i="3"/>
  <c r="D104" i="3"/>
  <c r="J101" i="3"/>
  <c r="D109" i="3"/>
  <c r="J74" i="3"/>
  <c r="D164" i="3" l="1"/>
  <c r="E150" i="3"/>
  <c r="I146" i="3" s="1"/>
  <c r="G150" i="3" s="1"/>
  <c r="D87" i="3"/>
  <c r="E86" i="3"/>
  <c r="I82" i="3" s="1"/>
  <c r="G86" i="3" s="1"/>
  <c r="J109" i="3"/>
  <c r="J110" i="3" s="1"/>
  <c r="C103" i="3" s="1"/>
  <c r="D103" i="3" s="1"/>
  <c r="D102" i="3"/>
  <c r="J78" i="3"/>
  <c r="C71" i="3" s="1"/>
  <c r="H164" i="3"/>
  <c r="D177" i="3" l="1"/>
  <c r="D170" i="3"/>
  <c r="J164" i="3"/>
  <c r="D175" i="3"/>
  <c r="D169" i="3"/>
  <c r="D174" i="3"/>
  <c r="D168" i="3"/>
  <c r="J165" i="3"/>
  <c r="D176" i="3"/>
  <c r="J166" i="3"/>
  <c r="C166" i="3" s="1"/>
  <c r="D173" i="3"/>
  <c r="D172" i="3"/>
  <c r="D171" i="3"/>
  <c r="J169" i="3"/>
  <c r="J167" i="3"/>
  <c r="J168" i="3" s="1"/>
  <c r="J173" i="3" s="1"/>
  <c r="J174" i="3" s="1"/>
  <c r="C167" i="3" s="1"/>
  <c r="D167" i="3" s="1"/>
  <c r="J172" i="3"/>
  <c r="J171" i="3"/>
  <c r="J170" i="3"/>
  <c r="D70" i="3"/>
  <c r="E102" i="3"/>
  <c r="I98" i="3" s="1"/>
  <c r="G102" i="3" s="1"/>
  <c r="E70" i="3"/>
  <c r="E166" i="3" l="1"/>
  <c r="G178" i="3" s="1"/>
  <c r="D166" i="3"/>
  <c r="D71" i="3"/>
  <c r="I66" i="3"/>
  <c r="G70" i="3" s="1"/>
  <c r="I162" i="3" l="1"/>
  <c r="G166"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8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<sst xmlns="http://schemas.openxmlformats.org/spreadsheetml/2006/main" count="1003" uniqueCount="401">
  <si>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</si>
  <si>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</si>
  <si>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</si>
  <si>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</si>
  <si>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</si>
  <si>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</si>
  <si>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</si>
  <si>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</si>
  <si>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</si>
  <si>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</si>
  <si>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</si>
  <si>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</si>
  <si>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</si>
  <si>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</si>
  <si>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</si>
  <si>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</si>
  <si>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</si>
  <si>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</si>
  <si>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</si>
  <si>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</si>
  <si>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</si>
  <si>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</si>
  <si>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</si>
  <si>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</si>
  <si>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</si>
  <si>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</si>
  <si>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</si>
  <si>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</si>
  <si>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</si>
  <si>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</si>
  <si>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</si>
  <si>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</si>
  <si>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</si>
  <si>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</si>
  <si>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</si>
  <si>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</si>
  <si>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</si>
  <si>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</si>
  <si>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</si>
  <si>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</si>
  <si>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</si>
  <si>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</si>
  <si>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</si>
  <si>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</si>
  <si>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</si>
  <si>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</si>
  <si>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</si>
  <si>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</si>
  <si>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</si>
  <si>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</si>
  <si>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</si>
  <si>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</si>
  <si>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</si>
  <si>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</si>
  <si>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</si>
  <si>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</si>
  <si>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</si>
  <si>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</si>
  <si>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</si>
  <si>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</si>
  <si>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</si>
  <si>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</si>
  <si>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</si>
  <si>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</si>
  <si>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</si>
  <si>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</si>
  <si>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</si>
  <si>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</si>
  <si>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</si>
  <si>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</si>
  <si>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</si>
  <si>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</si>
  <si>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</si>
  <si>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</si>
  <si>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</si>
  <si>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</si>
  <si>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</si>
  <si>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</si>
  <si>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</si>
  <si>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</si>
  <si>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</si>
  <si>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</si>
  <si>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</si>
  <si>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</si>
  <si>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</si>
  <si>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</si>
  <si>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</si>
  <si>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</si>
  <si>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</si>
  <si>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</si>
  <si>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</si>
  <si>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</si>
  <si>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</si>
  <si>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</si>
  <si>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</si>
  <si>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</si>
  <si>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</si>
  <si>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</si>
  <si>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</si>
  <si>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</si>
  <si>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</si>
  <si>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</si>
  <si>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</si>
  <si>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</si>
  <si>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</si>
  <si>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</si>
  <si>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</si>
  <si>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</si>
  <si>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</si>
  <si>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</si>
  <si>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</si>
  <si>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</si>
  <si>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</si>
  <si>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</si>
  <si>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</si>
  <si>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</si>
  <si>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</si>
  <si>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</si>
  <si>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</si>
  <si>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</si>
  <si>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</si>
  <si>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</si>
  <si>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</si>
  <si>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</si>
  <si>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</si>
  <si>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</si>
  <si>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</si>
  <si>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</si>
  <si>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</si>
  <si>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</si>
  <si>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</si>
  <si>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</si>
  <si>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</si>
  <si>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</si>
  <si>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</si>
  <si>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</si>
  <si>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</si>
  <si>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</si>
  <si>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</si>
  <si>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</si>
  <si>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</si>
  <si>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</si>
  <si>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</si>
  <si>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</si>
  <si>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</si>
  <si>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</si>
  <si>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</si>
  <si>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</si>
  <si>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</si>
  <si>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</si>
  <si>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</si>
  <si>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</si>
  <si>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</si>
  <si>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</si>
  <si>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</si>
  <si>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</si>
  <si>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</si>
  <si>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</si>
  <si>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</si>
  <si>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</si>
  <si>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</si>
  <si>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</si>
  <si>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</si>
  <si>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</si>
  <si>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</si>
  <si>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</si>
  <si>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</si>
  <si>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</si>
  <si>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</si>
  <si>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</si>
  <si>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</si>
  <si>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</si>
  <si>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</si>
  <si>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</si>
  <si>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</si>
  <si>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</si>
  <si>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</si>
  <si>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</si>
  <si>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</si>
  <si>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</si>
  <si>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</si>
  <si>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</si>
  <si>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</si>
  <si>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</si>
  <si>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</si>
  <si>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</si>
  <si>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</si>
  <si>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</si>
  <si>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</si>
  <si>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</si>
  <si>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</si>
  <si>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</si>
  <si>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</si>
  <si>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</si>
  <si>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</si>
  <si>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</si>
  <si>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</si>
  <si>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</si>
  <si>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</si>
  <si>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</si>
  <si>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</si>
  <si>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</si>
  <si>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</si>
  <si>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</si>
  <si>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</si>
  <si>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</si>
  <si>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</si>
  <si>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</si>
  <si>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</si>
  <si>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</si>
  <si>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</si>
  <si>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</si>
  <si>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</si>
  <si>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</si>
  <si>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</si>
  <si>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</si>
  <si>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</si>
  <si>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</si>
  <si>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</si>
  <si>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</si>
  <si>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</si>
  <si>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</si>
  <si>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</si>
  <si>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</si>
  <si>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</si>
  <si>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</si>
  <si>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</si>
  <si>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</si>
  <si>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</si>
  <si>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</si>
  <si>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</si>
  <si>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</si>
  <si>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</si>
  <si>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</si>
  <si>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</si>
  <si>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</si>
  <si>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</si>
  <si>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</si>
  <si>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</si>
  <si>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</si>
  <si>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</si>
  <si>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</si>
  <si>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</si>
  <si>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</si>
  <si>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</si>
  <si>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</si>
  <si>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</si>
  <si>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</si>
  <si>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</si>
  <si>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</si>
  <si>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</si>
  <si>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</si>
  <si>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</si>
  <si>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</si>
  <si>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</si>
  <si>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</si>
  <si>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</si>
  <si>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</si>
  <si>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</si>
  <si>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</si>
  <si>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</si>
  <si>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</si>
  <si>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</si>
  <si>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</si>
  <si>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</si>
  <si>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</si>
  <si>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</si>
  <si>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</si>
  <si>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</si>
  <si>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</si>
  <si>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</si>
  <si>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</si>
  <si>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</si>
  <si>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</si>
  <si>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</si>
  <si>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</si>
  <si>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</si>
  <si>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</si>
  <si>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</si>
  <si>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</si>
  <si>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</si>
  <si>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</si>
  <si>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</si>
  <si>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</si>
  <si>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</si>
  <si>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</si>
  <si>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</si>
  <si>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</si>
  <si>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</si>
  <si>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</si>
  <si>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</si>
  <si>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</si>
  <si>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</si>
  <si>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</si>
  <si>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Upper</t>
  </si>
  <si>
    <t>Miss Tanvi</t>
  </si>
  <si>
    <t>Arkade Rare</t>
  </si>
  <si>
    <t>Arkade Rare, 403B ,403B/1 ,403B/2 ,403B/3 ,403B/4 at Kanjurmarg, Kurla, Mumbai Suburban, 400078</t>
  </si>
  <si>
    <t>Arkade House, 2nd Floor, Opp. Bhoomi Arkade, Next to Children's Academy, AS Marg, Ashok Nagar, Kandivali ( E ), Mumbai - 400101</t>
  </si>
  <si>
    <t>Municpal Council of Greater Mumbai (MCGM)</t>
  </si>
  <si>
    <t>P51800077307</t>
  </si>
  <si>
    <t>HDFC BANK
IFSC Code - HDFC0000667</t>
  </si>
  <si>
    <t>https://maps.app.goo.gl/sZKauiJa5SqJq3CZ9</t>
  </si>
  <si>
    <t>Kids Play Area, Multipurpose Court, Fitness Center, Swimming Pool, Tree house, Zem Garden, Kids Pool, etc.</t>
  </si>
  <si>
    <t>https://arkadeshubharambh.in/?utm_source=GoogleSearch&amp;utm_medium=FE_03_AG_01_Phrasekw_Rare_p_arkade%20rare&amp;utm_campaign=FE_03_Arkade_Shubharambh_Search_MaxConv_Brand_Keyword&amp;utm_Display=FE_03_AG_01_AD_01_Rare_RSA&amp;gad_source=1&amp;gad_campaignid=22789493263&amp;gbraid=0AAAAA-EUfy5bfnlJFQoiW_IbwQZ1CvqYC&amp;gclid=CjwKCAjwv5zEBhBwEiwAOg2YKDbWK44501TEs3yFeLSV-tqvz9RxeJ6bA0mZgyHCMQ-dcoPGDw_msRoC9lUQAvD_BwE</t>
  </si>
  <si>
    <t>12.20m</t>
  </si>
  <si>
    <t>0.6 KM from Bhandup Station (W) Road Bus Stop</t>
  </si>
  <si>
    <t>About 1.3 KM from NES High School</t>
  </si>
  <si>
    <t>About 1.3K form Dr. Meena's Multispeciality Hospital</t>
  </si>
  <si>
    <t>1. Approx. 1.3KM from Neptune Magnet Mall.
2. Approx. 2.3 KM from 
DMart.</t>
  </si>
  <si>
    <t>0.8KM from Bhandup Railway Station
2.1KM from Kanjurmarg Railway Station</t>
  </si>
  <si>
    <t>Other Plot</t>
  </si>
  <si>
    <t>Other Plot / 12.20m Existing Road</t>
  </si>
  <si>
    <t>Devi Dayal Compound</t>
  </si>
  <si>
    <t>Ashtavinayak Group Auto Consultant</t>
  </si>
  <si>
    <t>Shreegan Apartment</t>
  </si>
  <si>
    <t>Samriddhi Garden Road / Samriddhi Garden</t>
  </si>
  <si>
    <t>Wing A</t>
  </si>
  <si>
    <t>Wing B</t>
  </si>
  <si>
    <t>Wing C</t>
  </si>
  <si>
    <t>Wing D</t>
  </si>
  <si>
    <t>Wing E</t>
  </si>
  <si>
    <t>Wing F</t>
  </si>
  <si>
    <t>Wing G</t>
  </si>
  <si>
    <t>St + 5P + 6th to 21st Floor</t>
  </si>
  <si>
    <t>https://www.arkaderarebhandupwest.com/?utm_source=google&amp;utm_medium=cpc&amp;utm_campaign=Arkade+Rare+Central&amp;utm_term=arkade%20rare&amp;utm_Physical_Location=9062223&amp;utm_Targetid=kwd-2321075479859&amp;utm_Target=&amp;utm_Placement=&amp;utm_Adposition=&amp;gad_source=1&amp;gad_campaignid=21616592589&amp;gbraid=0AAAAA9iUuL4ddRxdBNH9G9dpK8gf7qML2&amp;gclid=CjwKCAjwv5zEBhBwEiwAOg2YKHwft_d7XSWvehr_4DS5HwhpdO0ZiDi51NnaGwuXr6Mu0mS_moXnEhoCZekQAvD_BwE</t>
  </si>
  <si>
    <t>P-18427/2023/(403B And Other)/S Ward/KANJUR-W/337/3/Amend</t>
  </si>
  <si>
    <t>P-18427/2023/(403B And Other)/SWard/KANJUR-W/FCC/1/New</t>
  </si>
  <si>
    <t>SNCR/WEST/B/021924/918016</t>
  </si>
  <si>
    <t xml:space="preserve">02/04/2024
</t>
  </si>
  <si>
    <t xml:space="preserve">Valid Upto Date: 
</t>
  </si>
  <si>
    <t xml:space="preserve">P-18427/2023/(403B And Other)/S Ward/
KANJUR-W-CFO/1/New.
Wing A to G = St + 1st to 5th Podium + 6th to 21st Floor (Height = 69.95m)
</t>
  </si>
  <si>
    <t>Duplex Office (With 1st Floor)</t>
  </si>
  <si>
    <t>Duplex Office (With Ground Floor)</t>
  </si>
  <si>
    <t>5th Podium Floor For Amenity &amp; Society Office</t>
  </si>
  <si>
    <t>6th, 8th to 13th, 15th to 21st Floor For Residential</t>
  </si>
  <si>
    <t>RERA Carpet area</t>
  </si>
  <si>
    <t>2BHK</t>
  </si>
  <si>
    <t>7th Floor (Part Refuge Area)</t>
  </si>
  <si>
    <t>Refuge Area</t>
  </si>
  <si>
    <t>14th Floor (Part Refuge Area)</t>
  </si>
  <si>
    <t>Ground Floor For Entrance Lobby (Double Heighted) &amp; Parking</t>
  </si>
  <si>
    <t>1st Podium Floor For Meter Room &amp; Parking</t>
  </si>
  <si>
    <t>4th Podium Floor For Courtyard, Fitness Center &amp; Parking</t>
  </si>
  <si>
    <t>2nd &amp; 3rd Podium Floor For Parking</t>
  </si>
  <si>
    <t>7th &amp; 14th Floor (Part Refuge Area)</t>
  </si>
  <si>
    <t>5th Podium Floor For Amenity</t>
  </si>
  <si>
    <t>3BHK</t>
  </si>
  <si>
    <t>14th Floor (Part Refuge Area &amp; Society Office)</t>
  </si>
  <si>
    <t>Society Office</t>
  </si>
  <si>
    <t>6th Floor For Void</t>
  </si>
  <si>
    <t>7th, 9th, 11th, 13th, 15th, 17th &amp; 19th Floor (Refuge Area at Midlanding of Staircase)</t>
  </si>
  <si>
    <t>8th, 10th, 12th, 14th, 16th, 18th, 20th &amp; 21st Floor</t>
  </si>
  <si>
    <t>Ground Floor For Entrance Lobby (Double Heighted), Meter Room &amp; Parking</t>
  </si>
  <si>
    <t>1st Podium Floor For Entrance Lobby Below</t>
  </si>
  <si>
    <t>2nd Podium Floor For Fitness Center/Badminton Court &amp; Parking</t>
  </si>
  <si>
    <t>3rd &amp; 4th Podium Floor For Parking</t>
  </si>
  <si>
    <t>5th Podium Floor For Amenity &amp; Society Office (Wing D &amp; Wing E)</t>
  </si>
  <si>
    <t>Basement Floor For Plant Room</t>
  </si>
  <si>
    <t>Office</t>
  </si>
  <si>
    <t>Ground Floor For Entrance Lobby, Commercial &amp; Parking</t>
  </si>
  <si>
    <t>2nd Podium Floor</t>
  </si>
  <si>
    <t>3rd &amp; 4th Podium Floor</t>
  </si>
  <si>
    <t>5th Floor (Service Floor)</t>
  </si>
  <si>
    <t>Office 3, 4 &amp; 5 in Commercial Wing 2</t>
  </si>
  <si>
    <t>Proposed Residential Building on Plot bearing CTS No. 403B/1, 403B, 403B/2, 403B/3 and 403B/4, Kanjur West, Mumbai Situated in S Ward</t>
  </si>
  <si>
    <t>29/07/2025 at 02:24PM</t>
  </si>
  <si>
    <t>Mr. Siddhesh CRM 8652734528</t>
  </si>
  <si>
    <t>as per RERA 1st Architect letter</t>
  </si>
  <si>
    <t>Construction work is in process at the time of Visit (labour found).</t>
  </si>
  <si>
    <t xml:space="preserve">We have referred Approved Floor plans, CC &amp; Fire Noc From MCGM site.
</t>
  </si>
  <si>
    <t xml:space="preserve">We have referred Airport Noc from AAI site.
</t>
  </si>
  <si>
    <t>Mr. Nainesh Tambe</t>
  </si>
  <si>
    <t>Samriddhi Garden</t>
  </si>
  <si>
    <t>Arkade Developers Limited</t>
  </si>
  <si>
    <t>As per RERA Site
Flat = 432 &amp; Office = 47</t>
  </si>
  <si>
    <t>19.144783,72.931719</t>
  </si>
  <si>
    <t>Concrete</t>
  </si>
  <si>
    <t>Flat/ Office No.
(Approved
Plan)</t>
  </si>
  <si>
    <t>1st Podium Floor For Commercial</t>
  </si>
  <si>
    <t xml:space="preserve">Fire Noc
Valid Up to: </t>
  </si>
  <si>
    <t>Site Elevation (AMSL) = 16.9M
Permissible Top Elevation (AMSL) = 166.9M</t>
  </si>
  <si>
    <r>
      <t xml:space="preserve">Further CC for </t>
    </r>
    <r>
      <rPr>
        <b/>
        <sz val="16"/>
        <rFont val="Times New Roman"/>
        <family val="1"/>
      </rPr>
      <t xml:space="preserve">Wing-A &amp; B </t>
    </r>
    <r>
      <rPr>
        <sz val="16"/>
        <rFont val="Times New Roman"/>
        <family val="1"/>
      </rPr>
      <t xml:space="preserve">is granted upto 11th floor (by restricting C.C. of 12th to 21st floors of Wing A &amp; B forFSI benefit of Amenity open space and BUA of Temporary structure) and full C.C. for </t>
    </r>
    <r>
      <rPr>
        <b/>
        <sz val="16"/>
        <rFont val="Times New Roman"/>
        <family val="1"/>
      </rPr>
      <t>wing C, D, E, F &amp; G</t>
    </r>
    <r>
      <rPr>
        <sz val="16"/>
        <rFont val="Times New Roman"/>
        <family val="1"/>
      </rPr>
      <t xml:space="preserve"> is granted, as per approved amended plans dated 15.01.2025, subject to timely renewal of B.G., SWM NOC, Workmen’s compensation policy and taking all sorts of precautions during construction along with precautionary measures for air pollution</t>
    </r>
  </si>
  <si>
    <t xml:space="preserve">Airport Authority Clearance Details 
Valid Up to: 
</t>
  </si>
  <si>
    <t>Details of Residential &amp; Commercial in Building</t>
  </si>
  <si>
    <t xml:space="preserve">We considered Gross carpet area = RERA carpet + Balcony Area
</t>
  </si>
  <si>
    <t>Flat = 432
Office = 47</t>
  </si>
  <si>
    <t>Office
 (Commercial Wing 1 + 2)</t>
  </si>
  <si>
    <t>Unit Details, Nomenclature and Area Details (Flat)</t>
  </si>
  <si>
    <t>Arkade Rare, CTS No. 403B/1, 403B, 403B/2, 403B/3 and 403B/4, near Samriddhi Garden, Samriddhi Garden Road, Bhandup West, Kurla, Mumbai - 400078</t>
  </si>
  <si>
    <t>24000 to 25000</t>
  </si>
  <si>
    <t>Wing A, B &amp; C</t>
  </si>
  <si>
    <t xml:space="preserve">Commercial Wing 1 + 2 </t>
  </si>
  <si>
    <t>GHFL Thane</t>
  </si>
  <si>
    <t>As per the approved plans dated 15/01/2025 in Wing A, B &amp; C are partially used for Commercial area (i.e Offices) from Gr + 1st to 4th Podium Floor And is mentioned in approved plans as Commercial Wing 1 &amp; 2.</t>
  </si>
  <si>
    <t>Validity of CC is expired on 04/07/2025. Provide revised approved CC.</t>
  </si>
  <si>
    <t>Approved Layout &amp; Floor Plans, RERA certificate, Cost Sheet &amp; EC</t>
  </si>
  <si>
    <t xml:space="preserve">Environmental Clearance Details
Valid Up to: </t>
  </si>
  <si>
    <t>IA/MH/INFRA2/461068/2024</t>
  </si>
  <si>
    <t>CTS no 403/B, 403/B/1, 403B/2, 403B/3 and 403/B/4
Total Plot Area = 11,967.40 sq. m</t>
  </si>
  <si>
    <t>We have updated Environmental Clearance certificate on 30/07/2025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</si>
</sst>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
      <b/>
      <sz val="16"/>
      <color rgb="FFFFFF00"/>
      <name val="Times New Roman"/>
      <family val="1"/>
    </font>
    <font>
      <sz val="16"/>
      <color rgb="FFFFFF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23" fillId="0" borderId="0" applyNumberFormat="0" applyFill="0" applyBorder="0" applyAlignment="0" applyProtection="0"/>
  </cellStyleXfs>
  <cellXfs count="219">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8" fillId="0" borderId="0" xfId="0" applyFont="1" applyProtection="1">
      <protection hidden="1"/>
    </xf>
    <xf numFmtId="0" fontId="8" fillId="0" borderId="16" xfId="0" applyFont="1" applyBorder="1" applyProtection="1">
      <protection hidden="1"/>
    </xf>
    <xf numFmtId="0" fontId="8" fillId="0" borderId="15" xfId="0" applyFont="1" applyBorder="1" applyProtection="1">
      <protection hidden="1"/>
    </xf>
    <xf numFmtId="1" fontId="9" fillId="0" borderId="15" xfId="0" applyNumberFormat="1" applyFont="1" applyBorder="1"/>
    <xf numFmtId="1" fontId="9" fillId="0" borderId="15" xfId="0" applyNumberFormat="1" applyFont="1" applyBorder="1" applyAlignment="1">
      <alignment horizontal="right"/>
    </xf>
    <xf numFmtId="1" fontId="9"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5"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6" fillId="0" borderId="1" xfId="0" applyFont="1" applyBorder="1"/>
    <xf numFmtId="1" fontId="16" fillId="0" borderId="1" xfId="0" applyNumberFormat="1" applyFont="1" applyBorder="1"/>
    <xf numFmtId="0" fontId="17" fillId="10" borderId="18" xfId="0" applyFont="1" applyFill="1" applyBorder="1" applyAlignment="1">
      <alignment vertical="center"/>
    </xf>
    <xf numFmtId="0" fontId="17" fillId="10" borderId="18" xfId="0" applyFont="1" applyFill="1" applyBorder="1" applyAlignment="1">
      <alignment horizontal="center" vertical="center"/>
    </xf>
    <xf numFmtId="0" fontId="15" fillId="0" borderId="18" xfId="0" applyFont="1" applyBorder="1" applyAlignment="1">
      <alignment horizontal="right" vertical="center"/>
    </xf>
    <xf numFmtId="0" fontId="15" fillId="0" borderId="18" xfId="0" applyFont="1" applyBorder="1" applyAlignment="1">
      <alignment vertical="center" wrapText="1"/>
    </xf>
    <xf numFmtId="9" fontId="15" fillId="0" borderId="18" xfId="0" applyNumberFormat="1" applyFont="1" applyBorder="1" applyAlignment="1">
      <alignment horizontal="center" vertical="center"/>
    </xf>
    <xf numFmtId="9" fontId="15"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3"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23" fillId="0" borderId="0" xfId="2" applyAlignment="1">
      <alignment vertical="top"/>
    </xf>
    <xf numFmtId="0" fontId="3"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7" fillId="0" borderId="1" xfId="1" applyNumberFormat="1" applyFont="1" applyBorder="1" applyAlignment="1">
      <alignment horizontal="center" vertical="top" wrapText="1"/>
    </xf>
    <xf numFmtId="0" fontId="3" fillId="0" borderId="0" xfId="0" applyFont="1" applyAlignment="1">
      <alignment horizontal="left" vertical="top"/>
    </xf>
    <xf numFmtId="1" fontId="6" fillId="4" borderId="1" xfId="1" applyNumberFormat="1" applyFont="1" applyFill="1" applyBorder="1" applyAlignment="1">
      <alignment horizontal="left" vertical="center" wrapText="1"/>
    </xf>
    <xf numFmtId="0" fontId="25" fillId="0" borderId="0" xfId="0" applyFont="1" applyAlignment="1">
      <alignment vertical="top"/>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26" fillId="0" borderId="0" xfId="0" applyFont="1" applyAlignment="1">
      <alignment vertical="top"/>
    </xf>
    <xf numFmtId="164" fontId="3" fillId="0" borderId="0" xfId="0" applyNumberFormat="1" applyFont="1" applyAlignment="1">
      <alignment vertical="top"/>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4" fillId="11" borderId="5" xfId="0" applyFont="1" applyFill="1" applyBorder="1" applyAlignment="1">
      <alignment vertical="top" wrapText="1"/>
    </xf>
    <xf numFmtId="0" fontId="7" fillId="0" borderId="0" xfId="0" applyFont="1" applyAlignment="1">
      <alignment vertical="top"/>
    </xf>
    <xf numFmtId="0" fontId="4" fillId="0" borderId="0" xfId="0" applyFont="1" applyAlignment="1">
      <alignment vertical="top"/>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11" borderId="1"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3"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 fontId="6" fillId="4" borderId="3"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xf>
    <xf numFmtId="1" fontId="6" fillId="4" borderId="4" xfId="1" applyNumberFormat="1" applyFont="1" applyFill="1" applyBorder="1" applyAlignment="1">
      <alignment horizontal="center" vertical="center"/>
    </xf>
    <xf numFmtId="1" fontId="6" fillId="4" borderId="9" xfId="1" applyNumberFormat="1" applyFont="1" applyFill="1" applyBorder="1" applyAlignment="1">
      <alignment horizontal="center" vertical="center"/>
    </xf>
    <xf numFmtId="1" fontId="6" fillId="4" borderId="12" xfId="1" applyNumberFormat="1" applyFont="1" applyFill="1" applyBorder="1" applyAlignment="1">
      <alignment horizontal="center" vertical="center"/>
    </xf>
    <xf numFmtId="1" fontId="6" fillId="4" borderId="8" xfId="1" applyNumberFormat="1" applyFont="1" applyFill="1" applyBorder="1" applyAlignment="1">
      <alignment horizontal="center" vertical="center"/>
    </xf>
    <xf numFmtId="1" fontId="6" fillId="4" borderId="13" xfId="1" applyNumberFormat="1" applyFont="1" applyFill="1" applyBorder="1" applyAlignment="1">
      <alignment horizontal="center" vertical="center"/>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0" fontId="4"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center"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2" fillId="2" borderId="9" xfId="0" applyFont="1" applyFill="1" applyBorder="1" applyAlignment="1">
      <alignment horizontal="center" vertical="top" wrapText="1"/>
    </xf>
    <xf numFmtId="0" fontId="24" fillId="4" borderId="1" xfId="2" applyFont="1" applyFill="1" applyBorder="1" applyAlignment="1">
      <alignment horizontal="left" vertical="top" wrapText="1"/>
    </xf>
    <xf numFmtId="0" fontId="4" fillId="4" borderId="6" xfId="0"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7" fontId="4" fillId="4" borderId="1" xfId="0" applyNumberFormat="1" applyFont="1" applyFill="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20" xfId="0" applyFont="1" applyBorder="1" applyAlignment="1">
      <alignment horizontal="left" vertical="top" wrapText="1"/>
    </xf>
    <xf numFmtId="0" fontId="4" fillId="0" borderId="0" xfId="0" applyFont="1" applyBorder="1" applyAlignment="1">
      <alignment horizontal="left" vertical="top" wrapText="1"/>
    </xf>
    <xf numFmtId="0" fontId="4" fillId="4" borderId="12"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3" xfId="0" applyFont="1" applyFill="1" applyBorder="1" applyAlignment="1">
      <alignment horizontal="left" vertical="top" wrapText="1"/>
    </xf>
    <xf numFmtId="0" fontId="4" fillId="4" borderId="1" xfId="0" applyFont="1" applyFill="1" applyBorder="1" applyAlignment="1">
      <alignment horizontal="left" vertical="top"/>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3"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4" fillId="6" borderId="1"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 xfId="0" applyFont="1" applyBorder="1" applyAlignment="1">
      <alignment horizontal="center" vertical="center"/>
    </xf>
    <xf numFmtId="0" fontId="14"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3" fillId="13" borderId="1" xfId="0" applyFont="1" applyFill="1" applyBorder="1" applyAlignment="1">
      <alignment horizontal="center" vertical="center"/>
    </xf>
    <xf numFmtId="0" fontId="13" fillId="14" borderId="1" xfId="0" applyFont="1" applyFill="1" applyBorder="1" applyAlignment="1">
      <alignment horizontal="center" vertical="center"/>
    </xf>
    <xf numFmtId="0" fontId="13"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8</xdr:col>
      <xdr:colOff>163287</xdr:colOff>
      <xdr:row>9</xdr:row>
      <xdr:rowOff>272147</xdr:rowOff>
    </xdr:from>
    <xdr:to>
      <xdr:col>18</xdr:col>
      <xdr:colOff>484285</xdr:colOff>
      <xdr:row>10</xdr:row>
      <xdr:rowOff>19110</xdr:rowOff>
    </xdr:to>
    <xdr:pic>
      <xdr:nvPicPr>
        <xdr:cNvPr id="2" name="Picture 1">
          <a:extLst>
            <a:ext uri="{FF2B5EF4-FFF2-40B4-BE49-F238E27FC236}">
              <a16:creationId xmlns:a16="http://schemas.microsoft.com/office/drawing/2014/main" id="{82FEDB45-B018-4504-BC23-E84AA76B94DD}"/>
            </a:ext>
          </a:extLst>
        </xdr:cNvPr>
        <xdr:cNvPicPr>
          <a:picLocks noChangeAspect="1"/>
        </xdr:cNvPicPr>
      </xdr:nvPicPr>
      <xdr:blipFill>
        <a:blip xmlns:r="http://schemas.openxmlformats.org/officeDocument/2006/relationships" r:embed="rId1"/>
        <a:stretch>
          <a:fillRect/>
        </a:stretch>
      </xdr:blipFill>
      <xdr:spPr>
        <a:xfrm>
          <a:off x="9525001" y="4191004"/>
          <a:ext cx="8811855" cy="400106"/>
        </a:xfrm>
        <a:prstGeom prst="rect">
          <a:avLst/>
        </a:prstGeom>
      </xdr:spPr>
    </xdr:pic>
    <xdr:clientData/>
  </xdr:twoCellAnchor>
  <xdr:twoCellAnchor editAs="oneCell">
    <xdr:from>
      <xdr:col>8</xdr:col>
      <xdr:colOff>312964</xdr:colOff>
      <xdr:row>6</xdr:row>
      <xdr:rowOff>40822</xdr:rowOff>
    </xdr:from>
    <xdr:to>
      <xdr:col>11</xdr:col>
      <xdr:colOff>239035</xdr:colOff>
      <xdr:row>9</xdr:row>
      <xdr:rowOff>20624</xdr:rowOff>
    </xdr:to>
    <xdr:pic>
      <xdr:nvPicPr>
        <xdr:cNvPr id="3" name="Picture 2">
          <a:extLst>
            <a:ext uri="{FF2B5EF4-FFF2-40B4-BE49-F238E27FC236}">
              <a16:creationId xmlns:a16="http://schemas.microsoft.com/office/drawing/2014/main" id="{F91B4989-F0BD-42D6-B31C-CB5FFF261274}"/>
            </a:ext>
          </a:extLst>
        </xdr:cNvPr>
        <xdr:cNvPicPr>
          <a:picLocks noChangeAspect="1"/>
        </xdr:cNvPicPr>
      </xdr:nvPicPr>
      <xdr:blipFill>
        <a:blip xmlns:r="http://schemas.openxmlformats.org/officeDocument/2006/relationships" r:embed="rId2"/>
        <a:stretch>
          <a:fillRect/>
        </a:stretch>
      </xdr:blipFill>
      <xdr:spPr>
        <a:xfrm>
          <a:off x="9674678" y="2462893"/>
          <a:ext cx="3600000" cy="1476588"/>
        </a:xfrm>
        <a:prstGeom prst="rect">
          <a:avLst/>
        </a:prstGeom>
      </xdr:spPr>
    </xdr:pic>
    <xdr:clientData/>
  </xdr:twoCellAnchor>
  <xdr:twoCellAnchor editAs="oneCell">
    <xdr:from>
      <xdr:col>9</xdr:col>
      <xdr:colOff>204107</xdr:colOff>
      <xdr:row>37</xdr:row>
      <xdr:rowOff>0</xdr:rowOff>
    </xdr:from>
    <xdr:to>
      <xdr:col>12</xdr:col>
      <xdr:colOff>589600</xdr:colOff>
      <xdr:row>51</xdr:row>
      <xdr:rowOff>181600</xdr:rowOff>
    </xdr:to>
    <xdr:pic>
      <xdr:nvPicPr>
        <xdr:cNvPr id="4" name="Picture 3">
          <a:extLst>
            <a:ext uri="{FF2B5EF4-FFF2-40B4-BE49-F238E27FC236}">
              <a16:creationId xmlns:a16="http://schemas.microsoft.com/office/drawing/2014/main" id="{D3C9BD7E-AE1E-4070-9806-3820F290D7DC}"/>
            </a:ext>
          </a:extLst>
        </xdr:cNvPr>
        <xdr:cNvPicPr>
          <a:picLocks noChangeAspect="1"/>
        </xdr:cNvPicPr>
      </xdr:nvPicPr>
      <xdr:blipFill>
        <a:blip xmlns:r="http://schemas.openxmlformats.org/officeDocument/2006/relationships" r:embed="rId3"/>
        <a:stretch>
          <a:fillRect/>
        </a:stretch>
      </xdr:blipFill>
      <xdr:spPr>
        <a:xfrm>
          <a:off x="11824607" y="18968357"/>
          <a:ext cx="2943636" cy="4467849"/>
        </a:xfrm>
        <a:prstGeom prst="rect">
          <a:avLst/>
        </a:prstGeom>
      </xdr:spPr>
    </xdr:pic>
    <xdr:clientData/>
  </xdr:twoCellAnchor>
  <xdr:twoCellAnchor editAs="oneCell">
    <xdr:from>
      <xdr:col>8</xdr:col>
      <xdr:colOff>312965</xdr:colOff>
      <xdr:row>55</xdr:row>
      <xdr:rowOff>489858</xdr:rowOff>
    </xdr:from>
    <xdr:to>
      <xdr:col>15</xdr:col>
      <xdr:colOff>139072</xdr:colOff>
      <xdr:row>60</xdr:row>
      <xdr:rowOff>280348</xdr:rowOff>
    </xdr:to>
    <xdr:pic>
      <xdr:nvPicPr>
        <xdr:cNvPr id="5" name="Picture 4">
          <a:extLst>
            <a:ext uri="{FF2B5EF4-FFF2-40B4-BE49-F238E27FC236}">
              <a16:creationId xmlns:a16="http://schemas.microsoft.com/office/drawing/2014/main" id="{AC626AE1-2134-4D3A-82E9-70EC3C0EACA7}"/>
            </a:ext>
          </a:extLst>
        </xdr:cNvPr>
        <xdr:cNvPicPr>
          <a:picLocks noChangeAspect="1"/>
        </xdr:cNvPicPr>
      </xdr:nvPicPr>
      <xdr:blipFill>
        <a:blip xmlns:r="http://schemas.openxmlformats.org/officeDocument/2006/relationships" r:embed="rId4"/>
        <a:stretch>
          <a:fillRect/>
        </a:stretch>
      </xdr:blipFill>
      <xdr:spPr>
        <a:xfrm>
          <a:off x="9674679" y="25363715"/>
          <a:ext cx="6480000" cy="3014145"/>
        </a:xfrm>
        <a:prstGeom prst="rect">
          <a:avLst/>
        </a:prstGeom>
      </xdr:spPr>
    </xdr:pic>
    <xdr:clientData/>
  </xdr:twoCellAnchor>
  <xdr:twoCellAnchor editAs="oneCell">
    <xdr:from>
      <xdr:col>8</xdr:col>
      <xdr:colOff>244929</xdr:colOff>
      <xdr:row>52</xdr:row>
      <xdr:rowOff>204106</xdr:rowOff>
    </xdr:from>
    <xdr:to>
      <xdr:col>12</xdr:col>
      <xdr:colOff>429323</xdr:colOff>
      <xdr:row>55</xdr:row>
      <xdr:rowOff>367603</xdr:rowOff>
    </xdr:to>
    <xdr:pic>
      <xdr:nvPicPr>
        <xdr:cNvPr id="6" name="Picture 5">
          <a:extLst>
            <a:ext uri="{FF2B5EF4-FFF2-40B4-BE49-F238E27FC236}">
              <a16:creationId xmlns:a16="http://schemas.microsoft.com/office/drawing/2014/main" id="{35210088-F98C-438E-9378-1C86381DB1F0}"/>
            </a:ext>
          </a:extLst>
        </xdr:cNvPr>
        <xdr:cNvPicPr>
          <a:picLocks noChangeAspect="1"/>
        </xdr:cNvPicPr>
      </xdr:nvPicPr>
      <xdr:blipFill>
        <a:blip xmlns:r="http://schemas.openxmlformats.org/officeDocument/2006/relationships" r:embed="rId5"/>
        <a:stretch>
          <a:fillRect/>
        </a:stretch>
      </xdr:blipFill>
      <xdr:spPr>
        <a:xfrm>
          <a:off x="9606643" y="23717249"/>
          <a:ext cx="5001323" cy="1524213"/>
        </a:xfrm>
        <a:prstGeom prst="rect">
          <a:avLst/>
        </a:prstGeom>
      </xdr:spPr>
    </xdr:pic>
    <xdr:clientData/>
  </xdr:twoCellAnchor>
  <xdr:twoCellAnchor editAs="oneCell">
    <xdr:from>
      <xdr:col>8</xdr:col>
      <xdr:colOff>421821</xdr:colOff>
      <xdr:row>239</xdr:row>
      <xdr:rowOff>149679</xdr:rowOff>
    </xdr:from>
    <xdr:to>
      <xdr:col>11</xdr:col>
      <xdr:colOff>796582</xdr:colOff>
      <xdr:row>245</xdr:row>
      <xdr:rowOff>189362</xdr:rowOff>
    </xdr:to>
    <xdr:pic>
      <xdr:nvPicPr>
        <xdr:cNvPr id="7" name="Picture 6">
          <a:extLst>
            <a:ext uri="{FF2B5EF4-FFF2-40B4-BE49-F238E27FC236}">
              <a16:creationId xmlns:a16="http://schemas.microsoft.com/office/drawing/2014/main" id="{0DBF79FB-6A8A-4768-8D88-48F7AA1444F9}"/>
            </a:ext>
          </a:extLst>
        </xdr:cNvPr>
        <xdr:cNvPicPr>
          <a:picLocks noChangeAspect="1"/>
        </xdr:cNvPicPr>
      </xdr:nvPicPr>
      <xdr:blipFill>
        <a:blip xmlns:r="http://schemas.openxmlformats.org/officeDocument/2006/relationships" r:embed="rId6"/>
        <a:stretch>
          <a:fillRect/>
        </a:stretch>
      </xdr:blipFill>
      <xdr:spPr>
        <a:xfrm>
          <a:off x="9783535" y="73587429"/>
          <a:ext cx="4048690" cy="1590897"/>
        </a:xfrm>
        <a:prstGeom prst="rect">
          <a:avLst/>
        </a:prstGeom>
      </xdr:spPr>
    </xdr:pic>
    <xdr:clientData/>
  </xdr:twoCellAnchor>
  <xdr:twoCellAnchor editAs="oneCell">
    <xdr:from>
      <xdr:col>8</xdr:col>
      <xdr:colOff>449036</xdr:colOff>
      <xdr:row>246</xdr:row>
      <xdr:rowOff>231321</xdr:rowOff>
    </xdr:from>
    <xdr:to>
      <xdr:col>11</xdr:col>
      <xdr:colOff>861902</xdr:colOff>
      <xdr:row>253</xdr:row>
      <xdr:rowOff>136309</xdr:rowOff>
    </xdr:to>
    <xdr:pic>
      <xdr:nvPicPr>
        <xdr:cNvPr id="8" name="Picture 7">
          <a:extLst>
            <a:ext uri="{FF2B5EF4-FFF2-40B4-BE49-F238E27FC236}">
              <a16:creationId xmlns:a16="http://schemas.microsoft.com/office/drawing/2014/main" id="{9215A399-1E33-4DF9-8CBE-8E0FA4E19D11}"/>
            </a:ext>
          </a:extLst>
        </xdr:cNvPr>
        <xdr:cNvPicPr>
          <a:picLocks noChangeAspect="1"/>
        </xdr:cNvPicPr>
      </xdr:nvPicPr>
      <xdr:blipFill>
        <a:blip xmlns:r="http://schemas.openxmlformats.org/officeDocument/2006/relationships" r:embed="rId7"/>
        <a:stretch>
          <a:fillRect/>
        </a:stretch>
      </xdr:blipFill>
      <xdr:spPr>
        <a:xfrm>
          <a:off x="9810750" y="75478821"/>
          <a:ext cx="4086795" cy="1714739"/>
        </a:xfrm>
        <a:prstGeom prst="rect">
          <a:avLst/>
        </a:prstGeom>
      </xdr:spPr>
    </xdr:pic>
    <xdr:clientData/>
  </xdr:twoCellAnchor>
  <xdr:twoCellAnchor editAs="oneCell">
    <xdr:from>
      <xdr:col>12</xdr:col>
      <xdr:colOff>517071</xdr:colOff>
      <xdr:row>239</xdr:row>
      <xdr:rowOff>149679</xdr:rowOff>
    </xdr:from>
    <xdr:to>
      <xdr:col>22</xdr:col>
      <xdr:colOff>279511</xdr:colOff>
      <xdr:row>246</xdr:row>
      <xdr:rowOff>54668</xdr:rowOff>
    </xdr:to>
    <xdr:pic>
      <xdr:nvPicPr>
        <xdr:cNvPr id="9" name="Picture 8">
          <a:extLst>
            <a:ext uri="{FF2B5EF4-FFF2-40B4-BE49-F238E27FC236}">
              <a16:creationId xmlns:a16="http://schemas.microsoft.com/office/drawing/2014/main" id="{791FF289-0AC5-4673-A20A-9F040BA7D787}"/>
            </a:ext>
          </a:extLst>
        </xdr:cNvPr>
        <xdr:cNvPicPr>
          <a:picLocks noChangeAspect="1"/>
        </xdr:cNvPicPr>
      </xdr:nvPicPr>
      <xdr:blipFill>
        <a:blip xmlns:r="http://schemas.openxmlformats.org/officeDocument/2006/relationships" r:embed="rId8"/>
        <a:stretch>
          <a:fillRect/>
        </a:stretch>
      </xdr:blipFill>
      <xdr:spPr>
        <a:xfrm>
          <a:off x="14165035" y="73587429"/>
          <a:ext cx="4048690" cy="1714739"/>
        </a:xfrm>
        <a:prstGeom prst="rect">
          <a:avLst/>
        </a:prstGeom>
      </xdr:spPr>
    </xdr:pic>
    <xdr:clientData/>
  </xdr:twoCellAnchor>
  <xdr:twoCellAnchor editAs="oneCell">
    <xdr:from>
      <xdr:col>12</xdr:col>
      <xdr:colOff>530679</xdr:colOff>
      <xdr:row>246</xdr:row>
      <xdr:rowOff>231323</xdr:rowOff>
    </xdr:from>
    <xdr:to>
      <xdr:col>22</xdr:col>
      <xdr:colOff>397909</xdr:colOff>
      <xdr:row>252</xdr:row>
      <xdr:rowOff>175743</xdr:rowOff>
    </xdr:to>
    <xdr:pic>
      <xdr:nvPicPr>
        <xdr:cNvPr id="10" name="Picture 9">
          <a:extLst>
            <a:ext uri="{FF2B5EF4-FFF2-40B4-BE49-F238E27FC236}">
              <a16:creationId xmlns:a16="http://schemas.microsoft.com/office/drawing/2014/main" id="{BE61D713-7BFE-4BA2-92F5-4934D7545F49}"/>
            </a:ext>
          </a:extLst>
        </xdr:cNvPr>
        <xdr:cNvPicPr>
          <a:picLocks noChangeAspect="1"/>
        </xdr:cNvPicPr>
      </xdr:nvPicPr>
      <xdr:blipFill>
        <a:blip xmlns:r="http://schemas.openxmlformats.org/officeDocument/2006/relationships" r:embed="rId9"/>
        <a:stretch>
          <a:fillRect/>
        </a:stretch>
      </xdr:blipFill>
      <xdr:spPr>
        <a:xfrm>
          <a:off x="14178643" y="75478823"/>
          <a:ext cx="4153480" cy="1495634"/>
        </a:xfrm>
        <a:prstGeom prst="rect">
          <a:avLst/>
        </a:prstGeom>
      </xdr:spPr>
    </xdr:pic>
    <xdr:clientData/>
  </xdr:twoCellAnchor>
  <xdr:twoCellAnchor editAs="oneCell">
    <xdr:from>
      <xdr:col>8</xdr:col>
      <xdr:colOff>830036</xdr:colOff>
      <xdr:row>260</xdr:row>
      <xdr:rowOff>122465</xdr:rowOff>
    </xdr:from>
    <xdr:to>
      <xdr:col>12</xdr:col>
      <xdr:colOff>157060</xdr:colOff>
      <xdr:row>266</xdr:row>
      <xdr:rowOff>162149</xdr:rowOff>
    </xdr:to>
    <xdr:pic>
      <xdr:nvPicPr>
        <xdr:cNvPr id="11" name="Picture 10">
          <a:extLst>
            <a:ext uri="{FF2B5EF4-FFF2-40B4-BE49-F238E27FC236}">
              <a16:creationId xmlns:a16="http://schemas.microsoft.com/office/drawing/2014/main" id="{1F8EAB11-2E95-4C12-88CF-B0D16A10FAB3}"/>
            </a:ext>
          </a:extLst>
        </xdr:cNvPr>
        <xdr:cNvPicPr>
          <a:picLocks noChangeAspect="1"/>
        </xdr:cNvPicPr>
      </xdr:nvPicPr>
      <xdr:blipFill>
        <a:blip xmlns:r="http://schemas.openxmlformats.org/officeDocument/2006/relationships" r:embed="rId10"/>
        <a:stretch>
          <a:fillRect/>
        </a:stretch>
      </xdr:blipFill>
      <xdr:spPr>
        <a:xfrm>
          <a:off x="10191750" y="77696786"/>
          <a:ext cx="4143953" cy="1590897"/>
        </a:xfrm>
        <a:prstGeom prst="rect">
          <a:avLst/>
        </a:prstGeom>
      </xdr:spPr>
    </xdr:pic>
    <xdr:clientData/>
  </xdr:twoCellAnchor>
  <xdr:twoCellAnchor editAs="oneCell">
    <xdr:from>
      <xdr:col>15</xdr:col>
      <xdr:colOff>122464</xdr:colOff>
      <xdr:row>263</xdr:row>
      <xdr:rowOff>0</xdr:rowOff>
    </xdr:from>
    <xdr:to>
      <xdr:col>24</xdr:col>
      <xdr:colOff>602015</xdr:colOff>
      <xdr:row>269</xdr:row>
      <xdr:rowOff>249262</xdr:rowOff>
    </xdr:to>
    <xdr:pic>
      <xdr:nvPicPr>
        <xdr:cNvPr id="12" name="Picture 11">
          <a:extLst>
            <a:ext uri="{FF2B5EF4-FFF2-40B4-BE49-F238E27FC236}">
              <a16:creationId xmlns:a16="http://schemas.microsoft.com/office/drawing/2014/main" id="{7500B71F-302F-4042-8EC9-0760979D49CE}"/>
            </a:ext>
          </a:extLst>
        </xdr:cNvPr>
        <xdr:cNvPicPr>
          <a:picLocks noChangeAspect="1"/>
        </xdr:cNvPicPr>
      </xdr:nvPicPr>
      <xdr:blipFill>
        <a:blip xmlns:r="http://schemas.openxmlformats.org/officeDocument/2006/relationships" r:embed="rId11"/>
        <a:stretch>
          <a:fillRect/>
        </a:stretch>
      </xdr:blipFill>
      <xdr:spPr>
        <a:xfrm>
          <a:off x="15607393" y="88854643"/>
          <a:ext cx="4153480" cy="1800476"/>
        </a:xfrm>
        <a:prstGeom prst="rect">
          <a:avLst/>
        </a:prstGeom>
      </xdr:spPr>
    </xdr:pic>
    <xdr:clientData/>
  </xdr:twoCellAnchor>
  <xdr:twoCellAnchor editAs="oneCell">
    <xdr:from>
      <xdr:col>13</xdr:col>
      <xdr:colOff>285750</xdr:colOff>
      <xdr:row>260</xdr:row>
      <xdr:rowOff>190500</xdr:rowOff>
    </xdr:from>
    <xdr:to>
      <xdr:col>23</xdr:col>
      <xdr:colOff>181559</xdr:colOff>
      <xdr:row>266</xdr:row>
      <xdr:rowOff>115868</xdr:rowOff>
    </xdr:to>
    <xdr:pic>
      <xdr:nvPicPr>
        <xdr:cNvPr id="13" name="Picture 12">
          <a:extLst>
            <a:ext uri="{FF2B5EF4-FFF2-40B4-BE49-F238E27FC236}">
              <a16:creationId xmlns:a16="http://schemas.microsoft.com/office/drawing/2014/main" id="{CDD94316-E8B3-4524-9CE0-FB70EEEA36BE}"/>
            </a:ext>
          </a:extLst>
        </xdr:cNvPr>
        <xdr:cNvPicPr>
          <a:picLocks noChangeAspect="1"/>
        </xdr:cNvPicPr>
      </xdr:nvPicPr>
      <xdr:blipFill>
        <a:blip xmlns:r="http://schemas.openxmlformats.org/officeDocument/2006/relationships" r:embed="rId12"/>
        <a:stretch>
          <a:fillRect/>
        </a:stretch>
      </xdr:blipFill>
      <xdr:spPr>
        <a:xfrm>
          <a:off x="14546036" y="77764821"/>
          <a:ext cx="4182059" cy="1476581"/>
        </a:xfrm>
        <a:prstGeom prst="rect">
          <a:avLst/>
        </a:prstGeom>
      </xdr:spPr>
    </xdr:pic>
    <xdr:clientData/>
  </xdr:twoCellAnchor>
  <xdr:twoCellAnchor editAs="oneCell">
    <xdr:from>
      <xdr:col>13</xdr:col>
      <xdr:colOff>258536</xdr:colOff>
      <xdr:row>263</xdr:row>
      <xdr:rowOff>0</xdr:rowOff>
    </xdr:from>
    <xdr:to>
      <xdr:col>23</xdr:col>
      <xdr:colOff>106713</xdr:colOff>
      <xdr:row>268</xdr:row>
      <xdr:rowOff>222006</xdr:rowOff>
    </xdr:to>
    <xdr:pic>
      <xdr:nvPicPr>
        <xdr:cNvPr id="14" name="Picture 13">
          <a:extLst>
            <a:ext uri="{FF2B5EF4-FFF2-40B4-BE49-F238E27FC236}">
              <a16:creationId xmlns:a16="http://schemas.microsoft.com/office/drawing/2014/main" id="{D9CF5A6A-FFE9-4590-A94C-2D2B7C772D88}"/>
            </a:ext>
          </a:extLst>
        </xdr:cNvPr>
        <xdr:cNvPicPr>
          <a:picLocks noChangeAspect="1"/>
        </xdr:cNvPicPr>
      </xdr:nvPicPr>
      <xdr:blipFill>
        <a:blip xmlns:r="http://schemas.openxmlformats.org/officeDocument/2006/relationships" r:embed="rId13"/>
        <a:stretch>
          <a:fillRect/>
        </a:stretch>
      </xdr:blipFill>
      <xdr:spPr>
        <a:xfrm>
          <a:off x="14518822" y="79506535"/>
          <a:ext cx="4134427" cy="1514686"/>
        </a:xfrm>
        <a:prstGeom prst="rect">
          <a:avLst/>
        </a:prstGeom>
      </xdr:spPr>
    </xdr:pic>
    <xdr:clientData/>
  </xdr:twoCellAnchor>
  <xdr:twoCellAnchor editAs="oneCell">
    <xdr:from>
      <xdr:col>12</xdr:col>
      <xdr:colOff>394607</xdr:colOff>
      <xdr:row>295</xdr:row>
      <xdr:rowOff>190500</xdr:rowOff>
    </xdr:from>
    <xdr:to>
      <xdr:col>32</xdr:col>
      <xdr:colOff>460011</xdr:colOff>
      <xdr:row>314</xdr:row>
      <xdr:rowOff>60541</xdr:rowOff>
    </xdr:to>
    <xdr:pic>
      <xdr:nvPicPr>
        <xdr:cNvPr id="16" name="Picture 15">
          <a:extLst>
            <a:ext uri="{FF2B5EF4-FFF2-40B4-BE49-F238E27FC236}">
              <a16:creationId xmlns:a16="http://schemas.microsoft.com/office/drawing/2014/main" id="{AAD08D57-6CCE-4263-B41C-E1A40E0B799B}"/>
            </a:ext>
          </a:extLst>
        </xdr:cNvPr>
        <xdr:cNvPicPr>
          <a:picLocks noChangeAspect="1"/>
        </xdr:cNvPicPr>
      </xdr:nvPicPr>
      <xdr:blipFill>
        <a:blip xmlns:r="http://schemas.openxmlformats.org/officeDocument/2006/relationships" r:embed="rId14"/>
        <a:stretch>
          <a:fillRect/>
        </a:stretch>
      </xdr:blipFill>
      <xdr:spPr>
        <a:xfrm>
          <a:off x="14042571" y="88106250"/>
          <a:ext cx="10393225" cy="4782217"/>
        </a:xfrm>
        <a:prstGeom prst="rect">
          <a:avLst/>
        </a:prstGeom>
      </xdr:spPr>
    </xdr:pic>
    <xdr:clientData/>
  </xdr:twoCellAnchor>
  <xdr:twoCellAnchor editAs="oneCell">
    <xdr:from>
      <xdr:col>8</xdr:col>
      <xdr:colOff>925286</xdr:colOff>
      <xdr:row>294</xdr:row>
      <xdr:rowOff>163286</xdr:rowOff>
    </xdr:from>
    <xdr:to>
      <xdr:col>11</xdr:col>
      <xdr:colOff>642730</xdr:colOff>
      <xdr:row>304</xdr:row>
      <xdr:rowOff>197669</xdr:rowOff>
    </xdr:to>
    <xdr:pic>
      <xdr:nvPicPr>
        <xdr:cNvPr id="17" name="Picture 16">
          <a:extLst>
            <a:ext uri="{FF2B5EF4-FFF2-40B4-BE49-F238E27FC236}">
              <a16:creationId xmlns:a16="http://schemas.microsoft.com/office/drawing/2014/main" id="{FF67DA6F-6E61-416E-B3B7-6B4F28F48C9E}"/>
            </a:ext>
          </a:extLst>
        </xdr:cNvPr>
        <xdr:cNvPicPr>
          <a:picLocks noChangeAspect="1"/>
        </xdr:cNvPicPr>
      </xdr:nvPicPr>
      <xdr:blipFill>
        <a:blip xmlns:r="http://schemas.openxmlformats.org/officeDocument/2006/relationships" r:embed="rId15"/>
        <a:stretch>
          <a:fillRect/>
        </a:stretch>
      </xdr:blipFill>
      <xdr:spPr>
        <a:xfrm>
          <a:off x="10287000" y="87820500"/>
          <a:ext cx="3391373" cy="2619741"/>
        </a:xfrm>
        <a:prstGeom prst="rect">
          <a:avLst/>
        </a:prstGeom>
      </xdr:spPr>
    </xdr:pic>
    <xdr:clientData/>
  </xdr:twoCellAnchor>
  <xdr:twoCellAnchor editAs="oneCell">
    <xdr:from>
      <xdr:col>8</xdr:col>
      <xdr:colOff>734784</xdr:colOff>
      <xdr:row>304</xdr:row>
      <xdr:rowOff>190500</xdr:rowOff>
    </xdr:from>
    <xdr:to>
      <xdr:col>11</xdr:col>
      <xdr:colOff>452228</xdr:colOff>
      <xdr:row>315</xdr:row>
      <xdr:rowOff>80663</xdr:rowOff>
    </xdr:to>
    <xdr:pic>
      <xdr:nvPicPr>
        <xdr:cNvPr id="18" name="Picture 17">
          <a:extLst>
            <a:ext uri="{FF2B5EF4-FFF2-40B4-BE49-F238E27FC236}">
              <a16:creationId xmlns:a16="http://schemas.microsoft.com/office/drawing/2014/main" id="{8C414101-E8CD-4F0A-8565-FAE3617B5F40}"/>
            </a:ext>
          </a:extLst>
        </xdr:cNvPr>
        <xdr:cNvPicPr>
          <a:picLocks noChangeAspect="1"/>
        </xdr:cNvPicPr>
      </xdr:nvPicPr>
      <xdr:blipFill>
        <a:blip xmlns:r="http://schemas.openxmlformats.org/officeDocument/2006/relationships" r:embed="rId16"/>
        <a:stretch>
          <a:fillRect/>
        </a:stretch>
      </xdr:blipFill>
      <xdr:spPr>
        <a:xfrm>
          <a:off x="10096498" y="90433071"/>
          <a:ext cx="3391373" cy="2734057"/>
        </a:xfrm>
        <a:prstGeom prst="rect">
          <a:avLst/>
        </a:prstGeom>
      </xdr:spPr>
    </xdr:pic>
    <xdr:clientData/>
  </xdr:twoCellAnchor>
  <xdr:twoCellAnchor editAs="oneCell">
    <xdr:from>
      <xdr:col>8</xdr:col>
      <xdr:colOff>435429</xdr:colOff>
      <xdr:row>352</xdr:row>
      <xdr:rowOff>217713</xdr:rowOff>
    </xdr:from>
    <xdr:to>
      <xdr:col>13</xdr:col>
      <xdr:colOff>236134</xdr:colOff>
      <xdr:row>360</xdr:row>
      <xdr:rowOff>7062</xdr:rowOff>
    </xdr:to>
    <xdr:pic>
      <xdr:nvPicPr>
        <xdr:cNvPr id="19" name="Picture 18">
          <a:extLst>
            <a:ext uri="{FF2B5EF4-FFF2-40B4-BE49-F238E27FC236}">
              <a16:creationId xmlns:a16="http://schemas.microsoft.com/office/drawing/2014/main" id="{0119990A-3D6A-4AA5-A5F8-639F7F44F004}"/>
            </a:ext>
          </a:extLst>
        </xdr:cNvPr>
        <xdr:cNvPicPr>
          <a:picLocks noChangeAspect="1"/>
        </xdr:cNvPicPr>
      </xdr:nvPicPr>
      <xdr:blipFill>
        <a:blip xmlns:r="http://schemas.openxmlformats.org/officeDocument/2006/relationships" r:embed="rId17"/>
        <a:stretch>
          <a:fillRect/>
        </a:stretch>
      </xdr:blipFill>
      <xdr:spPr>
        <a:xfrm>
          <a:off x="9797143" y="94079784"/>
          <a:ext cx="5229955" cy="1857634"/>
        </a:xfrm>
        <a:prstGeom prst="rect">
          <a:avLst/>
        </a:prstGeom>
      </xdr:spPr>
    </xdr:pic>
    <xdr:clientData/>
  </xdr:twoCellAnchor>
  <xdr:twoCellAnchor editAs="oneCell">
    <xdr:from>
      <xdr:col>8</xdr:col>
      <xdr:colOff>544286</xdr:colOff>
      <xdr:row>360</xdr:row>
      <xdr:rowOff>204106</xdr:rowOff>
    </xdr:from>
    <xdr:to>
      <xdr:col>13</xdr:col>
      <xdr:colOff>278307</xdr:colOff>
      <xdr:row>369</xdr:row>
      <xdr:rowOff>87392</xdr:rowOff>
    </xdr:to>
    <xdr:pic>
      <xdr:nvPicPr>
        <xdr:cNvPr id="20" name="Picture 19">
          <a:extLst>
            <a:ext uri="{FF2B5EF4-FFF2-40B4-BE49-F238E27FC236}">
              <a16:creationId xmlns:a16="http://schemas.microsoft.com/office/drawing/2014/main" id="{DDD93723-3FC1-459C-82D1-D53E3507CAE3}"/>
            </a:ext>
          </a:extLst>
        </xdr:cNvPr>
        <xdr:cNvPicPr>
          <a:picLocks noChangeAspect="1"/>
        </xdr:cNvPicPr>
      </xdr:nvPicPr>
      <xdr:blipFill>
        <a:blip xmlns:r="http://schemas.openxmlformats.org/officeDocument/2006/relationships" r:embed="rId18"/>
        <a:stretch>
          <a:fillRect/>
        </a:stretch>
      </xdr:blipFill>
      <xdr:spPr>
        <a:xfrm>
          <a:off x="9906000" y="96134463"/>
          <a:ext cx="5163271" cy="2210108"/>
        </a:xfrm>
        <a:prstGeom prst="rect">
          <a:avLst/>
        </a:prstGeom>
      </xdr:spPr>
    </xdr:pic>
    <xdr:clientData/>
  </xdr:twoCellAnchor>
  <xdr:twoCellAnchor editAs="oneCell">
    <xdr:from>
      <xdr:col>14</xdr:col>
      <xdr:colOff>326571</xdr:colOff>
      <xdr:row>352</xdr:row>
      <xdr:rowOff>27214</xdr:rowOff>
    </xdr:from>
    <xdr:to>
      <xdr:col>26</xdr:col>
      <xdr:colOff>117750</xdr:colOff>
      <xdr:row>360</xdr:row>
      <xdr:rowOff>207143</xdr:rowOff>
    </xdr:to>
    <xdr:pic>
      <xdr:nvPicPr>
        <xdr:cNvPr id="21" name="Picture 20">
          <a:extLst>
            <a:ext uri="{FF2B5EF4-FFF2-40B4-BE49-F238E27FC236}">
              <a16:creationId xmlns:a16="http://schemas.microsoft.com/office/drawing/2014/main" id="{D12F07F8-3DF0-480E-B099-41CCA7719818}"/>
            </a:ext>
          </a:extLst>
        </xdr:cNvPr>
        <xdr:cNvPicPr>
          <a:picLocks noChangeAspect="1"/>
        </xdr:cNvPicPr>
      </xdr:nvPicPr>
      <xdr:blipFill>
        <a:blip xmlns:r="http://schemas.openxmlformats.org/officeDocument/2006/relationships" r:embed="rId19"/>
        <a:stretch>
          <a:fillRect/>
        </a:stretch>
      </xdr:blipFill>
      <xdr:spPr>
        <a:xfrm>
          <a:off x="15199178" y="93889285"/>
          <a:ext cx="5220429" cy="2248214"/>
        </a:xfrm>
        <a:prstGeom prst="rect">
          <a:avLst/>
        </a:prstGeom>
      </xdr:spPr>
    </xdr:pic>
    <xdr:clientData/>
  </xdr:twoCellAnchor>
  <xdr:twoCellAnchor editAs="oneCell">
    <xdr:from>
      <xdr:col>14</xdr:col>
      <xdr:colOff>381000</xdr:colOff>
      <xdr:row>361</xdr:row>
      <xdr:rowOff>68036</xdr:rowOff>
    </xdr:from>
    <xdr:to>
      <xdr:col>26</xdr:col>
      <xdr:colOff>181705</xdr:colOff>
      <xdr:row>368</xdr:row>
      <xdr:rowOff>77815</xdr:rowOff>
    </xdr:to>
    <xdr:pic>
      <xdr:nvPicPr>
        <xdr:cNvPr id="22" name="Picture 21">
          <a:extLst>
            <a:ext uri="{FF2B5EF4-FFF2-40B4-BE49-F238E27FC236}">
              <a16:creationId xmlns:a16="http://schemas.microsoft.com/office/drawing/2014/main" id="{F5885ECC-58BE-46E5-A0FF-62F793A0811D}"/>
            </a:ext>
          </a:extLst>
        </xdr:cNvPr>
        <xdr:cNvPicPr>
          <a:picLocks noChangeAspect="1"/>
        </xdr:cNvPicPr>
      </xdr:nvPicPr>
      <xdr:blipFill>
        <a:blip xmlns:r="http://schemas.openxmlformats.org/officeDocument/2006/relationships" r:embed="rId20"/>
        <a:stretch>
          <a:fillRect/>
        </a:stretch>
      </xdr:blipFill>
      <xdr:spPr>
        <a:xfrm>
          <a:off x="15253607" y="96256929"/>
          <a:ext cx="5229955" cy="1819529"/>
        </a:xfrm>
        <a:prstGeom prst="rect">
          <a:avLst/>
        </a:prstGeom>
      </xdr:spPr>
    </xdr:pic>
    <xdr:clientData/>
  </xdr:twoCellAnchor>
  <xdr:twoCellAnchor editAs="oneCell">
    <xdr:from>
      <xdr:col>8</xdr:col>
      <xdr:colOff>449035</xdr:colOff>
      <xdr:row>315</xdr:row>
      <xdr:rowOff>108857</xdr:rowOff>
    </xdr:from>
    <xdr:to>
      <xdr:col>10</xdr:col>
      <xdr:colOff>578748</xdr:colOff>
      <xdr:row>325</xdr:row>
      <xdr:rowOff>57505</xdr:rowOff>
    </xdr:to>
    <xdr:pic>
      <xdr:nvPicPr>
        <xdr:cNvPr id="23" name="Picture 22">
          <a:extLst>
            <a:ext uri="{FF2B5EF4-FFF2-40B4-BE49-F238E27FC236}">
              <a16:creationId xmlns:a16="http://schemas.microsoft.com/office/drawing/2014/main" id="{CCE6F14E-2C5B-482F-B6FC-B62808F83D7E}"/>
            </a:ext>
          </a:extLst>
        </xdr:cNvPr>
        <xdr:cNvPicPr>
          <a:picLocks noChangeAspect="1"/>
        </xdr:cNvPicPr>
      </xdr:nvPicPr>
      <xdr:blipFill>
        <a:blip xmlns:r="http://schemas.openxmlformats.org/officeDocument/2006/relationships" r:embed="rId21"/>
        <a:stretch>
          <a:fillRect/>
        </a:stretch>
      </xdr:blipFill>
      <xdr:spPr>
        <a:xfrm>
          <a:off x="9810749" y="93195321"/>
          <a:ext cx="3191320" cy="2534004"/>
        </a:xfrm>
        <a:prstGeom prst="rect">
          <a:avLst/>
        </a:prstGeom>
      </xdr:spPr>
    </xdr:pic>
    <xdr:clientData/>
  </xdr:twoCellAnchor>
  <xdr:twoCellAnchor editAs="oneCell">
    <xdr:from>
      <xdr:col>8</xdr:col>
      <xdr:colOff>462643</xdr:colOff>
      <xdr:row>325</xdr:row>
      <xdr:rowOff>190501</xdr:rowOff>
    </xdr:from>
    <xdr:to>
      <xdr:col>10</xdr:col>
      <xdr:colOff>563777</xdr:colOff>
      <xdr:row>331</xdr:row>
      <xdr:rowOff>20604</xdr:rowOff>
    </xdr:to>
    <xdr:pic>
      <xdr:nvPicPr>
        <xdr:cNvPr id="24" name="Picture 23">
          <a:extLst>
            <a:ext uri="{FF2B5EF4-FFF2-40B4-BE49-F238E27FC236}">
              <a16:creationId xmlns:a16="http://schemas.microsoft.com/office/drawing/2014/main" id="{AB947B74-0E60-41C8-9646-128C602DEF5B}"/>
            </a:ext>
          </a:extLst>
        </xdr:cNvPr>
        <xdr:cNvPicPr>
          <a:picLocks noChangeAspect="1"/>
        </xdr:cNvPicPr>
      </xdr:nvPicPr>
      <xdr:blipFill>
        <a:blip xmlns:r="http://schemas.openxmlformats.org/officeDocument/2006/relationships" r:embed="rId22"/>
        <a:stretch>
          <a:fillRect/>
        </a:stretch>
      </xdr:blipFill>
      <xdr:spPr>
        <a:xfrm>
          <a:off x="9824357" y="95862322"/>
          <a:ext cx="3162741" cy="1381318"/>
        </a:xfrm>
        <a:prstGeom prst="rect">
          <a:avLst/>
        </a:prstGeom>
      </xdr:spPr>
    </xdr:pic>
    <xdr:clientData/>
  </xdr:twoCellAnchor>
  <xdr:twoCellAnchor editAs="oneCell">
    <xdr:from>
      <xdr:col>11</xdr:col>
      <xdr:colOff>149678</xdr:colOff>
      <xdr:row>315</xdr:row>
      <xdr:rowOff>40822</xdr:rowOff>
    </xdr:from>
    <xdr:to>
      <xdr:col>15</xdr:col>
      <xdr:colOff>446771</xdr:colOff>
      <xdr:row>323</xdr:row>
      <xdr:rowOff>68328</xdr:rowOff>
    </xdr:to>
    <xdr:pic>
      <xdr:nvPicPr>
        <xdr:cNvPr id="25" name="Picture 24">
          <a:extLst>
            <a:ext uri="{FF2B5EF4-FFF2-40B4-BE49-F238E27FC236}">
              <a16:creationId xmlns:a16="http://schemas.microsoft.com/office/drawing/2014/main" id="{6B3C4844-F55A-447D-91AC-5C5384102F3A}"/>
            </a:ext>
          </a:extLst>
        </xdr:cNvPr>
        <xdr:cNvPicPr>
          <a:picLocks noChangeAspect="1"/>
        </xdr:cNvPicPr>
      </xdr:nvPicPr>
      <xdr:blipFill>
        <a:blip xmlns:r="http://schemas.openxmlformats.org/officeDocument/2006/relationships" r:embed="rId23"/>
        <a:stretch>
          <a:fillRect/>
        </a:stretch>
      </xdr:blipFill>
      <xdr:spPr>
        <a:xfrm>
          <a:off x="13185321" y="93127286"/>
          <a:ext cx="3277057" cy="2095792"/>
        </a:xfrm>
        <a:prstGeom prst="rect">
          <a:avLst/>
        </a:prstGeom>
      </xdr:spPr>
    </xdr:pic>
    <xdr:clientData/>
  </xdr:twoCellAnchor>
  <xdr:twoCellAnchor editAs="oneCell">
    <xdr:from>
      <xdr:col>11</xdr:col>
      <xdr:colOff>190500</xdr:colOff>
      <xdr:row>323</xdr:row>
      <xdr:rowOff>231322</xdr:rowOff>
    </xdr:from>
    <xdr:to>
      <xdr:col>15</xdr:col>
      <xdr:colOff>335172</xdr:colOff>
      <xdr:row>334</xdr:row>
      <xdr:rowOff>140540</xdr:rowOff>
    </xdr:to>
    <xdr:pic>
      <xdr:nvPicPr>
        <xdr:cNvPr id="26" name="Picture 25">
          <a:extLst>
            <a:ext uri="{FF2B5EF4-FFF2-40B4-BE49-F238E27FC236}">
              <a16:creationId xmlns:a16="http://schemas.microsoft.com/office/drawing/2014/main" id="{C97D6A24-C960-41F1-BACA-CDA68676A1A2}"/>
            </a:ext>
          </a:extLst>
        </xdr:cNvPr>
        <xdr:cNvPicPr>
          <a:picLocks noChangeAspect="1"/>
        </xdr:cNvPicPr>
      </xdr:nvPicPr>
      <xdr:blipFill>
        <a:blip xmlns:r="http://schemas.openxmlformats.org/officeDocument/2006/relationships" r:embed="rId24"/>
        <a:stretch>
          <a:fillRect/>
        </a:stretch>
      </xdr:blipFill>
      <xdr:spPr>
        <a:xfrm>
          <a:off x="13226143" y="95386072"/>
          <a:ext cx="3124636" cy="2753109"/>
        </a:xfrm>
        <a:prstGeom prst="rect">
          <a:avLst/>
        </a:prstGeom>
      </xdr:spPr>
    </xdr:pic>
    <xdr:clientData/>
  </xdr:twoCellAnchor>
  <xdr:twoCellAnchor editAs="oneCell">
    <xdr:from>
      <xdr:col>16</xdr:col>
      <xdr:colOff>367392</xdr:colOff>
      <xdr:row>324</xdr:row>
      <xdr:rowOff>89064</xdr:rowOff>
    </xdr:from>
    <xdr:to>
      <xdr:col>24</xdr:col>
      <xdr:colOff>525684</xdr:colOff>
      <xdr:row>330</xdr:row>
      <xdr:rowOff>196667</xdr:rowOff>
    </xdr:to>
    <xdr:pic>
      <xdr:nvPicPr>
        <xdr:cNvPr id="27" name="Picture 26">
          <a:extLst>
            <a:ext uri="{FF2B5EF4-FFF2-40B4-BE49-F238E27FC236}">
              <a16:creationId xmlns:a16="http://schemas.microsoft.com/office/drawing/2014/main" id="{B0D206E1-4B87-4091-8B6A-1DCA8FF4E876}"/>
            </a:ext>
          </a:extLst>
        </xdr:cNvPr>
        <xdr:cNvPicPr>
          <a:picLocks noChangeAspect="1"/>
        </xdr:cNvPicPr>
      </xdr:nvPicPr>
      <xdr:blipFill>
        <a:blip xmlns:r="http://schemas.openxmlformats.org/officeDocument/2006/relationships" r:embed="rId25"/>
        <a:stretch>
          <a:fillRect/>
        </a:stretch>
      </xdr:blipFill>
      <xdr:spPr>
        <a:xfrm>
          <a:off x="16473301" y="104379155"/>
          <a:ext cx="3188974" cy="1666241"/>
        </a:xfrm>
        <a:prstGeom prst="rect">
          <a:avLst/>
        </a:prstGeom>
      </xdr:spPr>
    </xdr:pic>
    <xdr:clientData/>
  </xdr:twoCellAnchor>
  <xdr:twoCellAnchor editAs="oneCell">
    <xdr:from>
      <xdr:col>8</xdr:col>
      <xdr:colOff>693965</xdr:colOff>
      <xdr:row>335</xdr:row>
      <xdr:rowOff>136071</xdr:rowOff>
    </xdr:from>
    <xdr:to>
      <xdr:col>11</xdr:col>
      <xdr:colOff>897252</xdr:colOff>
      <xdr:row>341</xdr:row>
      <xdr:rowOff>109067</xdr:rowOff>
    </xdr:to>
    <xdr:pic>
      <xdr:nvPicPr>
        <xdr:cNvPr id="28" name="Picture 27">
          <a:extLst>
            <a:ext uri="{FF2B5EF4-FFF2-40B4-BE49-F238E27FC236}">
              <a16:creationId xmlns:a16="http://schemas.microsoft.com/office/drawing/2014/main" id="{18B2A9EC-E417-46FD-A85F-F63FFCD19BB4}"/>
            </a:ext>
          </a:extLst>
        </xdr:cNvPr>
        <xdr:cNvPicPr>
          <a:picLocks noChangeAspect="1"/>
        </xdr:cNvPicPr>
      </xdr:nvPicPr>
      <xdr:blipFill>
        <a:blip xmlns:r="http://schemas.openxmlformats.org/officeDocument/2006/relationships" r:embed="rId26"/>
        <a:stretch>
          <a:fillRect/>
        </a:stretch>
      </xdr:blipFill>
      <xdr:spPr>
        <a:xfrm>
          <a:off x="10055679" y="98393250"/>
          <a:ext cx="3877216" cy="1524213"/>
        </a:xfrm>
        <a:prstGeom prst="rect">
          <a:avLst/>
        </a:prstGeom>
      </xdr:spPr>
    </xdr:pic>
    <xdr:clientData/>
  </xdr:twoCellAnchor>
  <xdr:twoCellAnchor editAs="oneCell">
    <xdr:from>
      <xdr:col>8</xdr:col>
      <xdr:colOff>707572</xdr:colOff>
      <xdr:row>341</xdr:row>
      <xdr:rowOff>204106</xdr:rowOff>
    </xdr:from>
    <xdr:to>
      <xdr:col>11</xdr:col>
      <xdr:colOff>977543</xdr:colOff>
      <xdr:row>347</xdr:row>
      <xdr:rowOff>81840</xdr:rowOff>
    </xdr:to>
    <xdr:pic>
      <xdr:nvPicPr>
        <xdr:cNvPr id="29" name="Picture 28">
          <a:extLst>
            <a:ext uri="{FF2B5EF4-FFF2-40B4-BE49-F238E27FC236}">
              <a16:creationId xmlns:a16="http://schemas.microsoft.com/office/drawing/2014/main" id="{3F11B219-E68F-43C8-B394-EB1541FF66A8}"/>
            </a:ext>
          </a:extLst>
        </xdr:cNvPr>
        <xdr:cNvPicPr>
          <a:picLocks noChangeAspect="1"/>
        </xdr:cNvPicPr>
      </xdr:nvPicPr>
      <xdr:blipFill>
        <a:blip xmlns:r="http://schemas.openxmlformats.org/officeDocument/2006/relationships" r:embed="rId27"/>
        <a:stretch>
          <a:fillRect/>
        </a:stretch>
      </xdr:blipFill>
      <xdr:spPr>
        <a:xfrm>
          <a:off x="10069286" y="100012499"/>
          <a:ext cx="3943900" cy="1428949"/>
        </a:xfrm>
        <a:prstGeom prst="rect">
          <a:avLst/>
        </a:prstGeom>
      </xdr:spPr>
    </xdr:pic>
    <xdr:clientData/>
  </xdr:twoCellAnchor>
  <xdr:twoCellAnchor editAs="oneCell">
    <xdr:from>
      <xdr:col>12</xdr:col>
      <xdr:colOff>435428</xdr:colOff>
      <xdr:row>335</xdr:row>
      <xdr:rowOff>54428</xdr:rowOff>
    </xdr:from>
    <xdr:to>
      <xdr:col>22</xdr:col>
      <xdr:colOff>93078</xdr:colOff>
      <xdr:row>341</xdr:row>
      <xdr:rowOff>94108</xdr:rowOff>
    </xdr:to>
    <xdr:pic>
      <xdr:nvPicPr>
        <xdr:cNvPr id="30" name="Picture 29">
          <a:extLst>
            <a:ext uri="{FF2B5EF4-FFF2-40B4-BE49-F238E27FC236}">
              <a16:creationId xmlns:a16="http://schemas.microsoft.com/office/drawing/2014/main" id="{C214D6AE-7BCF-445D-8116-22387EDCE23E}"/>
            </a:ext>
          </a:extLst>
        </xdr:cNvPr>
        <xdr:cNvPicPr>
          <a:picLocks noChangeAspect="1"/>
        </xdr:cNvPicPr>
      </xdr:nvPicPr>
      <xdr:blipFill>
        <a:blip xmlns:r="http://schemas.openxmlformats.org/officeDocument/2006/relationships" r:embed="rId28"/>
        <a:stretch>
          <a:fillRect/>
        </a:stretch>
      </xdr:blipFill>
      <xdr:spPr>
        <a:xfrm>
          <a:off x="14083392" y="98311607"/>
          <a:ext cx="3943900" cy="1590897"/>
        </a:xfrm>
        <a:prstGeom prst="rect">
          <a:avLst/>
        </a:prstGeom>
      </xdr:spPr>
    </xdr:pic>
    <xdr:clientData/>
  </xdr:twoCellAnchor>
  <xdr:twoCellAnchor editAs="oneCell">
    <xdr:from>
      <xdr:col>12</xdr:col>
      <xdr:colOff>517072</xdr:colOff>
      <xdr:row>341</xdr:row>
      <xdr:rowOff>231322</xdr:rowOff>
    </xdr:from>
    <xdr:to>
      <xdr:col>22</xdr:col>
      <xdr:colOff>212828</xdr:colOff>
      <xdr:row>348</xdr:row>
      <xdr:rowOff>136311</xdr:rowOff>
    </xdr:to>
    <xdr:pic>
      <xdr:nvPicPr>
        <xdr:cNvPr id="31" name="Picture 30">
          <a:extLst>
            <a:ext uri="{FF2B5EF4-FFF2-40B4-BE49-F238E27FC236}">
              <a16:creationId xmlns:a16="http://schemas.microsoft.com/office/drawing/2014/main" id="{D9C24521-2983-428F-9FF3-052369A467FE}"/>
            </a:ext>
          </a:extLst>
        </xdr:cNvPr>
        <xdr:cNvPicPr>
          <a:picLocks noChangeAspect="1"/>
        </xdr:cNvPicPr>
      </xdr:nvPicPr>
      <xdr:blipFill>
        <a:blip xmlns:r="http://schemas.openxmlformats.org/officeDocument/2006/relationships" r:embed="rId29"/>
        <a:stretch>
          <a:fillRect/>
        </a:stretch>
      </xdr:blipFill>
      <xdr:spPr>
        <a:xfrm>
          <a:off x="14165036" y="100039715"/>
          <a:ext cx="3982006" cy="1714739"/>
        </a:xfrm>
        <a:prstGeom prst="rect">
          <a:avLst/>
        </a:prstGeom>
      </xdr:spPr>
    </xdr:pic>
    <xdr:clientData/>
  </xdr:twoCellAnchor>
  <xdr:twoCellAnchor editAs="oneCell">
    <xdr:from>
      <xdr:col>9</xdr:col>
      <xdr:colOff>789213</xdr:colOff>
      <xdr:row>273</xdr:row>
      <xdr:rowOff>258534</xdr:rowOff>
    </xdr:from>
    <xdr:to>
      <xdr:col>15</xdr:col>
      <xdr:colOff>301030</xdr:colOff>
      <xdr:row>281</xdr:row>
      <xdr:rowOff>190497</xdr:rowOff>
    </xdr:to>
    <xdr:pic>
      <xdr:nvPicPr>
        <xdr:cNvPr id="32" name="Picture 31">
          <a:extLst>
            <a:ext uri="{FF2B5EF4-FFF2-40B4-BE49-F238E27FC236}">
              <a16:creationId xmlns:a16="http://schemas.microsoft.com/office/drawing/2014/main" id="{0CAF1404-53DE-45F3-9256-6162A7B48C88}"/>
            </a:ext>
          </a:extLst>
        </xdr:cNvPr>
        <xdr:cNvPicPr>
          <a:picLocks noChangeAspect="1"/>
        </xdr:cNvPicPr>
      </xdr:nvPicPr>
      <xdr:blipFill>
        <a:blip xmlns:r="http://schemas.openxmlformats.org/officeDocument/2006/relationships" r:embed="rId30"/>
        <a:stretch>
          <a:fillRect/>
        </a:stretch>
      </xdr:blipFill>
      <xdr:spPr>
        <a:xfrm>
          <a:off x="12409713" y="91807391"/>
          <a:ext cx="3906924" cy="2000251"/>
        </a:xfrm>
        <a:prstGeom prst="rect">
          <a:avLst/>
        </a:prstGeom>
      </xdr:spPr>
    </xdr:pic>
    <xdr:clientData/>
  </xdr:twoCellAnchor>
  <xdr:twoCellAnchor editAs="oneCell">
    <xdr:from>
      <xdr:col>8</xdr:col>
      <xdr:colOff>435429</xdr:colOff>
      <xdr:row>279</xdr:row>
      <xdr:rowOff>2</xdr:rowOff>
    </xdr:from>
    <xdr:to>
      <xdr:col>11</xdr:col>
      <xdr:colOff>390699</xdr:colOff>
      <xdr:row>286</xdr:row>
      <xdr:rowOff>191851</xdr:rowOff>
    </xdr:to>
    <xdr:pic>
      <xdr:nvPicPr>
        <xdr:cNvPr id="33" name="Picture 32">
          <a:extLst>
            <a:ext uri="{FF2B5EF4-FFF2-40B4-BE49-F238E27FC236}">
              <a16:creationId xmlns:a16="http://schemas.microsoft.com/office/drawing/2014/main" id="{E8ED8C02-2EDF-4FE5-9078-BF9E60B1CA97}"/>
            </a:ext>
          </a:extLst>
        </xdr:cNvPr>
        <xdr:cNvPicPr>
          <a:picLocks noChangeAspect="1"/>
        </xdr:cNvPicPr>
      </xdr:nvPicPr>
      <xdr:blipFill>
        <a:blip xmlns:r="http://schemas.openxmlformats.org/officeDocument/2006/relationships" r:embed="rId31"/>
        <a:stretch>
          <a:fillRect/>
        </a:stretch>
      </xdr:blipFill>
      <xdr:spPr>
        <a:xfrm>
          <a:off x="9797143" y="83779181"/>
          <a:ext cx="3629199" cy="2001600"/>
        </a:xfrm>
        <a:prstGeom prst="rect">
          <a:avLst/>
        </a:prstGeom>
      </xdr:spPr>
    </xdr:pic>
    <xdr:clientData/>
  </xdr:twoCellAnchor>
  <xdr:twoCellAnchor editAs="oneCell">
    <xdr:from>
      <xdr:col>12</xdr:col>
      <xdr:colOff>95249</xdr:colOff>
      <xdr:row>269</xdr:row>
      <xdr:rowOff>108859</xdr:rowOff>
    </xdr:from>
    <xdr:to>
      <xdr:col>18</xdr:col>
      <xdr:colOff>193747</xdr:colOff>
      <xdr:row>281</xdr:row>
      <xdr:rowOff>35800</xdr:rowOff>
    </xdr:to>
    <xdr:pic>
      <xdr:nvPicPr>
        <xdr:cNvPr id="34" name="Picture 33">
          <a:extLst>
            <a:ext uri="{FF2B5EF4-FFF2-40B4-BE49-F238E27FC236}">
              <a16:creationId xmlns:a16="http://schemas.microsoft.com/office/drawing/2014/main" id="{786A0465-D1F8-403F-8A6B-F1CEC6E50C00}"/>
            </a:ext>
          </a:extLst>
        </xdr:cNvPr>
        <xdr:cNvPicPr>
          <a:picLocks noChangeAspect="1"/>
        </xdr:cNvPicPr>
      </xdr:nvPicPr>
      <xdr:blipFill>
        <a:blip xmlns:r="http://schemas.openxmlformats.org/officeDocument/2006/relationships" r:embed="rId32"/>
        <a:stretch>
          <a:fillRect/>
        </a:stretch>
      </xdr:blipFill>
      <xdr:spPr>
        <a:xfrm>
          <a:off x="13743213" y="81302680"/>
          <a:ext cx="3772426" cy="3029373"/>
        </a:xfrm>
        <a:prstGeom prst="rect">
          <a:avLst/>
        </a:prstGeom>
      </xdr:spPr>
    </xdr:pic>
    <xdr:clientData/>
  </xdr:twoCellAnchor>
  <xdr:twoCellAnchor editAs="oneCell">
    <xdr:from>
      <xdr:col>8</xdr:col>
      <xdr:colOff>449038</xdr:colOff>
      <xdr:row>287</xdr:row>
      <xdr:rowOff>0</xdr:rowOff>
    </xdr:from>
    <xdr:to>
      <xdr:col>11</xdr:col>
      <xdr:colOff>595167</xdr:colOff>
      <xdr:row>294</xdr:row>
      <xdr:rowOff>190780</xdr:rowOff>
    </xdr:to>
    <xdr:pic>
      <xdr:nvPicPr>
        <xdr:cNvPr id="35" name="Picture 34">
          <a:extLst>
            <a:ext uri="{FF2B5EF4-FFF2-40B4-BE49-F238E27FC236}">
              <a16:creationId xmlns:a16="http://schemas.microsoft.com/office/drawing/2014/main" id="{B0961AD1-85FB-414D-B05E-69A6C53120B4}"/>
            </a:ext>
          </a:extLst>
        </xdr:cNvPr>
        <xdr:cNvPicPr>
          <a:picLocks noChangeAspect="1"/>
        </xdr:cNvPicPr>
      </xdr:nvPicPr>
      <xdr:blipFill>
        <a:blip xmlns:r="http://schemas.openxmlformats.org/officeDocument/2006/relationships" r:embed="rId33"/>
        <a:stretch>
          <a:fillRect/>
        </a:stretch>
      </xdr:blipFill>
      <xdr:spPr>
        <a:xfrm>
          <a:off x="9810752" y="85847464"/>
          <a:ext cx="3820058" cy="2000529"/>
        </a:xfrm>
        <a:prstGeom prst="rect">
          <a:avLst/>
        </a:prstGeom>
      </xdr:spPr>
    </xdr:pic>
    <xdr:clientData/>
  </xdr:twoCellAnchor>
  <xdr:twoCellAnchor editAs="oneCell">
    <xdr:from>
      <xdr:col>12</xdr:col>
      <xdr:colOff>163286</xdr:colOff>
      <xdr:row>281</xdr:row>
      <xdr:rowOff>190500</xdr:rowOff>
    </xdr:from>
    <xdr:to>
      <xdr:col>18</xdr:col>
      <xdr:colOff>185574</xdr:colOff>
      <xdr:row>294</xdr:row>
      <xdr:rowOff>11333</xdr:rowOff>
    </xdr:to>
    <xdr:pic>
      <xdr:nvPicPr>
        <xdr:cNvPr id="36" name="Picture 35">
          <a:extLst>
            <a:ext uri="{FF2B5EF4-FFF2-40B4-BE49-F238E27FC236}">
              <a16:creationId xmlns:a16="http://schemas.microsoft.com/office/drawing/2014/main" id="{709A2C0D-7D94-4797-9B65-00910E4CCD65}"/>
            </a:ext>
          </a:extLst>
        </xdr:cNvPr>
        <xdr:cNvPicPr>
          <a:picLocks noChangeAspect="1"/>
        </xdr:cNvPicPr>
      </xdr:nvPicPr>
      <xdr:blipFill>
        <a:blip xmlns:r="http://schemas.openxmlformats.org/officeDocument/2006/relationships" r:embed="rId34"/>
        <a:stretch>
          <a:fillRect/>
        </a:stretch>
      </xdr:blipFill>
      <xdr:spPr>
        <a:xfrm>
          <a:off x="13811250" y="84486750"/>
          <a:ext cx="3696216" cy="3181794"/>
        </a:xfrm>
        <a:prstGeom prst="rect">
          <a:avLst/>
        </a:prstGeom>
      </xdr:spPr>
    </xdr:pic>
    <xdr:clientData/>
  </xdr:twoCellAnchor>
  <xdr:twoCellAnchor editAs="oneCell">
    <xdr:from>
      <xdr:col>8</xdr:col>
      <xdr:colOff>530679</xdr:colOff>
      <xdr:row>186</xdr:row>
      <xdr:rowOff>81642</xdr:rowOff>
    </xdr:from>
    <xdr:to>
      <xdr:col>11</xdr:col>
      <xdr:colOff>962598</xdr:colOff>
      <xdr:row>203</xdr:row>
      <xdr:rowOff>198485</xdr:rowOff>
    </xdr:to>
    <xdr:pic>
      <xdr:nvPicPr>
        <xdr:cNvPr id="15" name="Picture 14">
          <a:extLst>
            <a:ext uri="{FF2B5EF4-FFF2-40B4-BE49-F238E27FC236}">
              <a16:creationId xmlns:a16="http://schemas.microsoft.com/office/drawing/2014/main" id="{4ABAF4ED-4442-411F-8600-11E34033EF82}"/>
            </a:ext>
          </a:extLst>
        </xdr:cNvPr>
        <xdr:cNvPicPr>
          <a:picLocks noChangeAspect="1"/>
        </xdr:cNvPicPr>
      </xdr:nvPicPr>
      <xdr:blipFill>
        <a:blip xmlns:r="http://schemas.openxmlformats.org/officeDocument/2006/relationships" r:embed="rId35"/>
        <a:stretch>
          <a:fillRect/>
        </a:stretch>
      </xdr:blipFill>
      <xdr:spPr>
        <a:xfrm>
          <a:off x="9892393" y="69233142"/>
          <a:ext cx="4105848" cy="5277587"/>
        </a:xfrm>
        <a:prstGeom prst="rect">
          <a:avLst/>
        </a:prstGeom>
      </xdr:spPr>
    </xdr:pic>
    <xdr:clientData/>
  </xdr:twoCellAnchor>
  <xdr:twoCellAnchor editAs="oneCell">
    <xdr:from>
      <xdr:col>12</xdr:col>
      <xdr:colOff>530679</xdr:colOff>
      <xdr:row>186</xdr:row>
      <xdr:rowOff>68035</xdr:rowOff>
    </xdr:from>
    <xdr:to>
      <xdr:col>22</xdr:col>
      <xdr:colOff>359803</xdr:colOff>
      <xdr:row>203</xdr:row>
      <xdr:rowOff>156299</xdr:rowOff>
    </xdr:to>
    <xdr:pic>
      <xdr:nvPicPr>
        <xdr:cNvPr id="37" name="Picture 36">
          <a:extLst>
            <a:ext uri="{FF2B5EF4-FFF2-40B4-BE49-F238E27FC236}">
              <a16:creationId xmlns:a16="http://schemas.microsoft.com/office/drawing/2014/main" id="{1D10D0CF-5462-49E4-BDF3-0D6E08C454C7}"/>
            </a:ext>
          </a:extLst>
        </xdr:cNvPr>
        <xdr:cNvPicPr>
          <a:picLocks noChangeAspect="1"/>
        </xdr:cNvPicPr>
      </xdr:nvPicPr>
      <xdr:blipFill>
        <a:blip xmlns:r="http://schemas.openxmlformats.org/officeDocument/2006/relationships" r:embed="rId36"/>
        <a:stretch>
          <a:fillRect/>
        </a:stretch>
      </xdr:blipFill>
      <xdr:spPr>
        <a:xfrm>
          <a:off x="14178643" y="69219535"/>
          <a:ext cx="4115374" cy="5249008"/>
        </a:xfrm>
        <a:prstGeom prst="rect">
          <a:avLst/>
        </a:prstGeom>
      </xdr:spPr>
    </xdr:pic>
    <xdr:clientData/>
  </xdr:twoCellAnchor>
  <xdr:twoCellAnchor editAs="oneCell">
    <xdr:from>
      <xdr:col>8</xdr:col>
      <xdr:colOff>359387</xdr:colOff>
      <xdr:row>170</xdr:row>
      <xdr:rowOff>137992</xdr:rowOff>
    </xdr:from>
    <xdr:to>
      <xdr:col>17</xdr:col>
      <xdr:colOff>240898</xdr:colOff>
      <xdr:row>180</xdr:row>
      <xdr:rowOff>183586</xdr:rowOff>
    </xdr:to>
    <xdr:pic>
      <xdr:nvPicPr>
        <xdr:cNvPr id="38" name="Picture 37">
          <a:extLst>
            <a:ext uri="{FF2B5EF4-FFF2-40B4-BE49-F238E27FC236}">
              <a16:creationId xmlns:a16="http://schemas.microsoft.com/office/drawing/2014/main" id="{16BD1389-0E7E-4F67-A38A-167158528DBD}"/>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72328" y="62879727"/>
          <a:ext cx="7688809" cy="3111713"/>
        </a:xfrm>
        <a:prstGeom prst="rect">
          <a:avLst/>
        </a:prstGeom>
      </xdr:spPr>
    </xdr:pic>
    <xdr:clientData/>
  </xdr:twoCellAnchor>
  <xdr:twoCellAnchor>
    <xdr:from>
      <xdr:col>0</xdr:col>
      <xdr:colOff>248131</xdr:colOff>
      <xdr:row>389</xdr:row>
      <xdr:rowOff>168088</xdr:rowOff>
    </xdr:from>
    <xdr:to>
      <xdr:col>7</xdr:col>
      <xdr:colOff>941294</xdr:colOff>
      <xdr:row>422</xdr:row>
      <xdr:rowOff>127425</xdr:rowOff>
    </xdr:to>
    <xdr:grpSp>
      <xdr:nvGrpSpPr>
        <xdr:cNvPr id="39" name="Group 38">
          <a:extLst>
            <a:ext uri="{FF2B5EF4-FFF2-40B4-BE49-F238E27FC236}">
              <a16:creationId xmlns:a16="http://schemas.microsoft.com/office/drawing/2014/main" id="{8283A262-953E-4F17-9916-923B6DB733ED}"/>
            </a:ext>
          </a:extLst>
        </xdr:cNvPr>
        <xdr:cNvGrpSpPr/>
      </xdr:nvGrpSpPr>
      <xdr:grpSpPr>
        <a:xfrm>
          <a:off x="248131" y="118128409"/>
          <a:ext cx="8884663" cy="8491016"/>
          <a:chOff x="-1957231" y="260701"/>
          <a:chExt cx="9590989" cy="8769561"/>
        </a:xfrm>
      </xdr:grpSpPr>
      <xdr:pic>
        <xdr:nvPicPr>
          <xdr:cNvPr id="40" name="Picture 39">
            <a:extLst>
              <a:ext uri="{FF2B5EF4-FFF2-40B4-BE49-F238E27FC236}">
                <a16:creationId xmlns:a16="http://schemas.microsoft.com/office/drawing/2014/main" id="{C0BF082C-27A8-4C31-A472-CCED997EF812}"/>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957231" y="260701"/>
            <a:ext cx="4298081" cy="3240000"/>
          </a:xfrm>
          <a:prstGeom prst="rect">
            <a:avLst/>
          </a:prstGeom>
          <a:ln>
            <a:solidFill>
              <a:schemeClr val="tx1"/>
            </a:solidFill>
          </a:ln>
        </xdr:spPr>
      </xdr:pic>
      <xdr:pic>
        <xdr:nvPicPr>
          <xdr:cNvPr id="41" name="Picture 40">
            <a:extLst>
              <a:ext uri="{FF2B5EF4-FFF2-40B4-BE49-F238E27FC236}">
                <a16:creationId xmlns:a16="http://schemas.microsoft.com/office/drawing/2014/main" id="{11B6A222-AE4C-4CBB-B8DE-26E9F17A335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2558511" y="260701"/>
            <a:ext cx="2436778" cy="3240000"/>
          </a:xfrm>
          <a:prstGeom prst="rect">
            <a:avLst/>
          </a:prstGeom>
          <a:ln>
            <a:solidFill>
              <a:schemeClr val="tx1"/>
            </a:solidFill>
          </a:ln>
        </xdr:spPr>
      </xdr:pic>
      <xdr:pic>
        <xdr:nvPicPr>
          <xdr:cNvPr id="42" name="Picture 41">
            <a:extLst>
              <a:ext uri="{FF2B5EF4-FFF2-40B4-BE49-F238E27FC236}">
                <a16:creationId xmlns:a16="http://schemas.microsoft.com/office/drawing/2014/main" id="{6057386E-D87B-4BF1-9EE5-2CFD62BA7736}"/>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623903" y="3736463"/>
            <a:ext cx="3342953" cy="2520000"/>
          </a:xfrm>
          <a:prstGeom prst="rect">
            <a:avLst/>
          </a:prstGeom>
          <a:ln>
            <a:solidFill>
              <a:schemeClr val="tx1"/>
            </a:solidFill>
          </a:ln>
        </xdr:spPr>
      </xdr:pic>
      <xdr:pic>
        <xdr:nvPicPr>
          <xdr:cNvPr id="43" name="Picture 42">
            <a:extLst>
              <a:ext uri="{FF2B5EF4-FFF2-40B4-BE49-F238E27FC236}">
                <a16:creationId xmlns:a16="http://schemas.microsoft.com/office/drawing/2014/main" id="{8A5E0273-3FD9-48EC-A482-CD972DA6138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5382680" y="3718991"/>
            <a:ext cx="1895272" cy="2520000"/>
          </a:xfrm>
          <a:prstGeom prst="rect">
            <a:avLst/>
          </a:prstGeom>
          <a:ln>
            <a:solidFill>
              <a:schemeClr val="tx1"/>
            </a:solidFill>
          </a:ln>
        </xdr:spPr>
      </xdr:pic>
      <xdr:pic>
        <xdr:nvPicPr>
          <xdr:cNvPr id="44" name="Picture 43">
            <a:extLst>
              <a:ext uri="{FF2B5EF4-FFF2-40B4-BE49-F238E27FC236}">
                <a16:creationId xmlns:a16="http://schemas.microsoft.com/office/drawing/2014/main" id="{5DC82CD5-A069-4DDD-B135-31A6BBFF20C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900442" y="3718991"/>
            <a:ext cx="3342953" cy="2520000"/>
          </a:xfrm>
          <a:prstGeom prst="rect">
            <a:avLst/>
          </a:prstGeom>
          <a:ln>
            <a:solidFill>
              <a:schemeClr val="tx1"/>
            </a:solidFill>
          </a:ln>
        </xdr:spPr>
      </xdr:pic>
      <xdr:pic>
        <xdr:nvPicPr>
          <xdr:cNvPr id="45" name="Picture 44">
            <a:extLst>
              <a:ext uri="{FF2B5EF4-FFF2-40B4-BE49-F238E27FC236}">
                <a16:creationId xmlns:a16="http://schemas.microsoft.com/office/drawing/2014/main" id="{371D8A13-F216-44FB-B90A-583D2FCCB7AE}"/>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805739" y="6510262"/>
            <a:ext cx="1895272" cy="2520000"/>
          </a:xfrm>
          <a:prstGeom prst="rect">
            <a:avLst/>
          </a:prstGeom>
          <a:ln>
            <a:solidFill>
              <a:schemeClr val="tx1"/>
            </a:solidFill>
          </a:ln>
        </xdr:spPr>
      </xdr:pic>
      <xdr:pic>
        <xdr:nvPicPr>
          <xdr:cNvPr id="46" name="Picture 45">
            <a:extLst>
              <a:ext uri="{FF2B5EF4-FFF2-40B4-BE49-F238E27FC236}">
                <a16:creationId xmlns:a16="http://schemas.microsoft.com/office/drawing/2014/main" id="{203833B3-9F99-44F8-A53D-335456724105}"/>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16819" y="6510262"/>
            <a:ext cx="1895272" cy="2520000"/>
          </a:xfrm>
          <a:prstGeom prst="rect">
            <a:avLst/>
          </a:prstGeom>
          <a:ln>
            <a:solidFill>
              <a:schemeClr val="tx1"/>
            </a:solidFill>
          </a:ln>
        </xdr:spPr>
      </xdr:pic>
      <xdr:pic>
        <xdr:nvPicPr>
          <xdr:cNvPr id="47" name="Picture 46">
            <a:extLst>
              <a:ext uri="{FF2B5EF4-FFF2-40B4-BE49-F238E27FC236}">
                <a16:creationId xmlns:a16="http://schemas.microsoft.com/office/drawing/2014/main" id="{116049A6-82A7-44B3-8E65-56B4D408BCF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3828296" y="6510262"/>
            <a:ext cx="1895272" cy="2520000"/>
          </a:xfrm>
          <a:prstGeom prst="rect">
            <a:avLst/>
          </a:prstGeom>
          <a:ln>
            <a:solidFill>
              <a:schemeClr val="tx1"/>
            </a:solidFill>
          </a:ln>
        </xdr:spPr>
      </xdr:pic>
      <xdr:sp macro="" textlink="">
        <xdr:nvSpPr>
          <xdr:cNvPr id="48" name="TextBox 28">
            <a:extLst>
              <a:ext uri="{FF2B5EF4-FFF2-40B4-BE49-F238E27FC236}">
                <a16:creationId xmlns:a16="http://schemas.microsoft.com/office/drawing/2014/main" id="{6F3C5881-D76C-457E-8552-1F66B162A089}"/>
              </a:ext>
            </a:extLst>
          </xdr:cNvPr>
          <xdr:cNvSpPr txBox="1"/>
        </xdr:nvSpPr>
        <xdr:spPr>
          <a:xfrm>
            <a:off x="305022" y="410489"/>
            <a:ext cx="1021539" cy="386743"/>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sp macro="" textlink="">
        <xdr:nvSpPr>
          <xdr:cNvPr id="49" name="TextBox 29">
            <a:extLst>
              <a:ext uri="{FF2B5EF4-FFF2-40B4-BE49-F238E27FC236}">
                <a16:creationId xmlns:a16="http://schemas.microsoft.com/office/drawing/2014/main" id="{594DDD2C-911D-480F-A6ED-51E599B1C289}"/>
              </a:ext>
            </a:extLst>
          </xdr:cNvPr>
          <xdr:cNvSpPr txBox="1"/>
        </xdr:nvSpPr>
        <xdr:spPr>
          <a:xfrm>
            <a:off x="3487847" y="1082842"/>
            <a:ext cx="963381" cy="386743"/>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sp macro="" textlink="">
        <xdr:nvSpPr>
          <xdr:cNvPr id="50" name="TextBox 30">
            <a:extLst>
              <a:ext uri="{FF2B5EF4-FFF2-40B4-BE49-F238E27FC236}">
                <a16:creationId xmlns:a16="http://schemas.microsoft.com/office/drawing/2014/main" id="{3EFECA74-92C4-4CFC-9CA4-247EA3EE00AF}"/>
              </a:ext>
            </a:extLst>
          </xdr:cNvPr>
          <xdr:cNvSpPr txBox="1"/>
        </xdr:nvSpPr>
        <xdr:spPr>
          <a:xfrm>
            <a:off x="-101262" y="4001896"/>
            <a:ext cx="1489643" cy="386743"/>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a:t>
            </a:r>
            <a:endParaRPr lang="en-IN" b="1"/>
          </a:p>
        </xdr:txBody>
      </xdr:sp>
      <xdr:pic>
        <xdr:nvPicPr>
          <xdr:cNvPr id="51" name="Picture 50">
            <a:extLst>
              <a:ext uri="{FF2B5EF4-FFF2-40B4-BE49-F238E27FC236}">
                <a16:creationId xmlns:a16="http://schemas.microsoft.com/office/drawing/2014/main" id="{DB1E3456-C9CC-4952-B5FD-494B14B30FD2}"/>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5196980" y="260701"/>
            <a:ext cx="2436778" cy="3240000"/>
          </a:xfrm>
          <a:prstGeom prst="rect">
            <a:avLst/>
          </a:prstGeom>
          <a:ln>
            <a:solidFill>
              <a:schemeClr val="tx1"/>
            </a:solidFill>
          </a:ln>
        </xdr:spPr>
      </xdr:pic>
    </xdr:grpSp>
    <xdr:clientData/>
  </xdr:twoCellAnchor>
  <xdr:twoCellAnchor>
    <xdr:from>
      <xdr:col>4</xdr:col>
      <xdr:colOff>1156608</xdr:colOff>
      <xdr:row>404</xdr:row>
      <xdr:rowOff>68036</xdr:rowOff>
    </xdr:from>
    <xdr:to>
      <xdr:col>5</xdr:col>
      <xdr:colOff>435429</xdr:colOff>
      <xdr:row>405</xdr:row>
      <xdr:rowOff>163286</xdr:rowOff>
    </xdr:to>
    <xdr:sp macro="" textlink="">
      <xdr:nvSpPr>
        <xdr:cNvPr id="52" name="TextBox 30">
          <a:extLst>
            <a:ext uri="{FF2B5EF4-FFF2-40B4-BE49-F238E27FC236}">
              <a16:creationId xmlns:a16="http://schemas.microsoft.com/office/drawing/2014/main" id="{9B035541-9A62-4E6B-B1E0-787BD47174A9}"/>
            </a:ext>
          </a:extLst>
        </xdr:cNvPr>
        <xdr:cNvSpPr txBox="1"/>
      </xdr:nvSpPr>
      <xdr:spPr>
        <a:xfrm>
          <a:off x="5837465" y="124042715"/>
          <a:ext cx="449035" cy="3537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 F</a:t>
          </a:r>
          <a:endParaRPr lang="en-IN" b="1">
            <a:solidFill>
              <a:srgbClr val="FF0000"/>
            </a:solidFill>
          </a:endParaRPr>
        </a:p>
      </xdr:txBody>
    </xdr:sp>
    <xdr:clientData/>
  </xdr:twoCellAnchor>
  <xdr:twoCellAnchor>
    <xdr:from>
      <xdr:col>4</xdr:col>
      <xdr:colOff>397329</xdr:colOff>
      <xdr:row>405</xdr:row>
      <xdr:rowOff>43544</xdr:rowOff>
    </xdr:from>
    <xdr:to>
      <xdr:col>4</xdr:col>
      <xdr:colOff>846364</xdr:colOff>
      <xdr:row>406</xdr:row>
      <xdr:rowOff>138793</xdr:rowOff>
    </xdr:to>
    <xdr:sp macro="" textlink="">
      <xdr:nvSpPr>
        <xdr:cNvPr id="53" name="TextBox 30">
          <a:extLst>
            <a:ext uri="{FF2B5EF4-FFF2-40B4-BE49-F238E27FC236}">
              <a16:creationId xmlns:a16="http://schemas.microsoft.com/office/drawing/2014/main" id="{ADF70AE5-A529-4818-AFF0-8A7AF2C2E6F5}"/>
            </a:ext>
          </a:extLst>
        </xdr:cNvPr>
        <xdr:cNvSpPr txBox="1"/>
      </xdr:nvSpPr>
      <xdr:spPr>
        <a:xfrm>
          <a:off x="5078186" y="124276758"/>
          <a:ext cx="449035" cy="3537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 E</a:t>
          </a:r>
          <a:endParaRPr lang="en-IN" b="1">
            <a:solidFill>
              <a:srgbClr val="FF0000"/>
            </a:solidFill>
          </a:endParaRPr>
        </a:p>
      </xdr:txBody>
    </xdr:sp>
    <xdr:clientData/>
  </xdr:twoCellAnchor>
  <xdr:twoCellAnchor>
    <xdr:from>
      <xdr:col>6</xdr:col>
      <xdr:colOff>631371</xdr:colOff>
      <xdr:row>403</xdr:row>
      <xdr:rowOff>236765</xdr:rowOff>
    </xdr:from>
    <xdr:to>
      <xdr:col>6</xdr:col>
      <xdr:colOff>1080406</xdr:colOff>
      <xdr:row>405</xdr:row>
      <xdr:rowOff>122465</xdr:rowOff>
    </xdr:to>
    <xdr:sp macro="" textlink="">
      <xdr:nvSpPr>
        <xdr:cNvPr id="54" name="TextBox 30">
          <a:extLst>
            <a:ext uri="{FF2B5EF4-FFF2-40B4-BE49-F238E27FC236}">
              <a16:creationId xmlns:a16="http://schemas.microsoft.com/office/drawing/2014/main" id="{1885E4C8-4FD9-4A07-94AF-48268CD24EA2}"/>
            </a:ext>
          </a:extLst>
        </xdr:cNvPr>
        <xdr:cNvSpPr txBox="1"/>
      </xdr:nvSpPr>
      <xdr:spPr>
        <a:xfrm>
          <a:off x="7652657" y="123952908"/>
          <a:ext cx="449035" cy="4027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G</a:t>
          </a:r>
          <a:endParaRPr lang="en-IN" b="1">
            <a:solidFill>
              <a:srgbClr val="FF0000"/>
            </a:solidFill>
          </a:endParaRPr>
        </a:p>
      </xdr:txBody>
    </xdr:sp>
    <xdr:clientData/>
  </xdr:twoCellAnchor>
  <xdr:twoCellAnchor>
    <xdr:from>
      <xdr:col>0</xdr:col>
      <xdr:colOff>884464</xdr:colOff>
      <xdr:row>435</xdr:row>
      <xdr:rowOff>190500</xdr:rowOff>
    </xdr:from>
    <xdr:to>
      <xdr:col>7</xdr:col>
      <xdr:colOff>176893</xdr:colOff>
      <xdr:row>456</xdr:row>
      <xdr:rowOff>176892</xdr:rowOff>
    </xdr:to>
    <xdr:grpSp>
      <xdr:nvGrpSpPr>
        <xdr:cNvPr id="55" name="Group 54">
          <a:extLst>
            <a:ext uri="{FF2B5EF4-FFF2-40B4-BE49-F238E27FC236}">
              <a16:creationId xmlns:a16="http://schemas.microsoft.com/office/drawing/2014/main" id="{9FD394B4-1E12-4040-B8F2-C04EE30239D4}"/>
            </a:ext>
          </a:extLst>
        </xdr:cNvPr>
        <xdr:cNvGrpSpPr/>
      </xdr:nvGrpSpPr>
      <xdr:grpSpPr>
        <a:xfrm>
          <a:off x="884464" y="130043464"/>
          <a:ext cx="7483929" cy="5415642"/>
          <a:chOff x="-340660" y="552496"/>
          <a:chExt cx="6858000" cy="4629561"/>
        </a:xfrm>
      </xdr:grpSpPr>
      <xdr:grpSp>
        <xdr:nvGrpSpPr>
          <xdr:cNvPr id="57" name="Group 56">
            <a:extLst>
              <a:ext uri="{FF2B5EF4-FFF2-40B4-BE49-F238E27FC236}">
                <a16:creationId xmlns:a16="http://schemas.microsoft.com/office/drawing/2014/main" id="{00F1771D-840A-4DBD-8FDE-9F067CF931EF}"/>
              </a:ext>
            </a:extLst>
          </xdr:cNvPr>
          <xdr:cNvGrpSpPr/>
        </xdr:nvGrpSpPr>
        <xdr:grpSpPr>
          <a:xfrm>
            <a:off x="-340660" y="552496"/>
            <a:ext cx="6858000" cy="4629561"/>
            <a:chOff x="0" y="2257219"/>
            <a:chExt cx="6858000" cy="4629561"/>
          </a:xfrm>
        </xdr:grpSpPr>
        <xdr:pic>
          <xdr:nvPicPr>
            <xdr:cNvPr id="65" name="Picture 64">
              <a:extLst>
                <a:ext uri="{FF2B5EF4-FFF2-40B4-BE49-F238E27FC236}">
                  <a16:creationId xmlns:a16="http://schemas.microsoft.com/office/drawing/2014/main" id="{CE237A62-38D0-4357-A556-D7EA21716C32}"/>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0" y="2257219"/>
              <a:ext cx="6858000" cy="4629561"/>
            </a:xfrm>
            <a:prstGeom prst="rect">
              <a:avLst/>
            </a:prstGeom>
            <a:ln>
              <a:solidFill>
                <a:schemeClr val="tx1"/>
              </a:solidFill>
            </a:ln>
          </xdr:spPr>
        </xdr:pic>
        <xdr:sp macro="" textlink="">
          <xdr:nvSpPr>
            <xdr:cNvPr id="66" name="TextBox 2">
              <a:extLst>
                <a:ext uri="{FF2B5EF4-FFF2-40B4-BE49-F238E27FC236}">
                  <a16:creationId xmlns:a16="http://schemas.microsoft.com/office/drawing/2014/main" id="{A6EC5351-6E15-4AC1-9F41-34FDB2966C24}"/>
                </a:ext>
              </a:extLst>
            </xdr:cNvPr>
            <xdr:cNvSpPr txBox="1"/>
          </xdr:nvSpPr>
          <xdr:spPr>
            <a:xfrm>
              <a:off x="3050981" y="297364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67" name="TextBox 5">
              <a:extLst>
                <a:ext uri="{FF2B5EF4-FFF2-40B4-BE49-F238E27FC236}">
                  <a16:creationId xmlns:a16="http://schemas.microsoft.com/office/drawing/2014/main" id="{D9AF1398-00BE-406D-88CB-21F47861E7D5}"/>
                </a:ext>
              </a:extLst>
            </xdr:cNvPr>
            <xdr:cNvSpPr txBox="1"/>
          </xdr:nvSpPr>
          <xdr:spPr>
            <a:xfrm>
              <a:off x="3023801" y="3841331"/>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68" name="TextBox 6">
              <a:extLst>
                <a:ext uri="{FF2B5EF4-FFF2-40B4-BE49-F238E27FC236}">
                  <a16:creationId xmlns:a16="http://schemas.microsoft.com/office/drawing/2014/main" id="{95D19894-65FB-444B-8690-81EA988F6D97}"/>
                </a:ext>
              </a:extLst>
            </xdr:cNvPr>
            <xdr:cNvSpPr txBox="1"/>
          </xdr:nvSpPr>
          <xdr:spPr>
            <a:xfrm>
              <a:off x="3025731" y="4268587"/>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69" name="TextBox 7">
              <a:extLst>
                <a:ext uri="{FF2B5EF4-FFF2-40B4-BE49-F238E27FC236}">
                  <a16:creationId xmlns:a16="http://schemas.microsoft.com/office/drawing/2014/main" id="{174E0ED5-8FD9-43E2-8EAF-1BE2548D0EE8}"/>
                </a:ext>
              </a:extLst>
            </xdr:cNvPr>
            <xdr:cNvSpPr txBox="1"/>
          </xdr:nvSpPr>
          <xdr:spPr>
            <a:xfrm>
              <a:off x="2571073" y="5659472"/>
              <a:ext cx="88197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70" name="TextBox 8">
              <a:extLst>
                <a:ext uri="{FF2B5EF4-FFF2-40B4-BE49-F238E27FC236}">
                  <a16:creationId xmlns:a16="http://schemas.microsoft.com/office/drawing/2014/main" id="{B371DA54-F14F-43B4-96EF-6E9C350A7088}"/>
                </a:ext>
              </a:extLst>
            </xdr:cNvPr>
            <xdr:cNvSpPr txBox="1"/>
          </xdr:nvSpPr>
          <xdr:spPr>
            <a:xfrm>
              <a:off x="1930877" y="4227147"/>
              <a:ext cx="84830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sp macro="" textlink="">
          <xdr:nvSpPr>
            <xdr:cNvPr id="71" name="TextBox 9">
              <a:extLst>
                <a:ext uri="{FF2B5EF4-FFF2-40B4-BE49-F238E27FC236}">
                  <a16:creationId xmlns:a16="http://schemas.microsoft.com/office/drawing/2014/main" id="{B130A5FC-3D2E-46C1-B252-1D5581275ABC}"/>
                </a:ext>
              </a:extLst>
            </xdr:cNvPr>
            <xdr:cNvSpPr txBox="1"/>
          </xdr:nvSpPr>
          <xdr:spPr>
            <a:xfrm>
              <a:off x="1892092" y="3719019"/>
              <a:ext cx="84189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F</a:t>
              </a:r>
              <a:endParaRPr lang="en-IN" b="1">
                <a:solidFill>
                  <a:srgbClr val="FF0000"/>
                </a:solidFill>
              </a:endParaRPr>
            </a:p>
          </xdr:txBody>
        </xdr:sp>
        <xdr:sp macro="" textlink="">
          <xdr:nvSpPr>
            <xdr:cNvPr id="72" name="TextBox 10">
              <a:extLst>
                <a:ext uri="{FF2B5EF4-FFF2-40B4-BE49-F238E27FC236}">
                  <a16:creationId xmlns:a16="http://schemas.microsoft.com/office/drawing/2014/main" id="{B9F0EE6B-0DC5-4ACB-87C8-A7F5124FA97E}"/>
                </a:ext>
              </a:extLst>
            </xdr:cNvPr>
            <xdr:cNvSpPr txBox="1"/>
          </xdr:nvSpPr>
          <xdr:spPr>
            <a:xfrm>
              <a:off x="1891577" y="2823820"/>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G</a:t>
              </a:r>
              <a:endParaRPr lang="en-IN" b="1">
                <a:solidFill>
                  <a:srgbClr val="FF0000"/>
                </a:solidFill>
              </a:endParaRPr>
            </a:p>
          </xdr:txBody>
        </xdr:sp>
      </xdr:grpSp>
      <xdr:sp macro="" textlink="">
        <xdr:nvSpPr>
          <xdr:cNvPr id="58" name="Rectangle 57">
            <a:extLst>
              <a:ext uri="{FF2B5EF4-FFF2-40B4-BE49-F238E27FC236}">
                <a16:creationId xmlns:a16="http://schemas.microsoft.com/office/drawing/2014/main" id="{0B380482-2A52-4922-8A4C-400D72F69B50}"/>
              </a:ext>
            </a:extLst>
          </xdr:cNvPr>
          <xdr:cNvSpPr/>
        </xdr:nvSpPr>
        <xdr:spPr>
          <a:xfrm>
            <a:off x="3536586" y="1039906"/>
            <a:ext cx="694755" cy="860612"/>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9" name="Rectangle 58">
            <a:extLst>
              <a:ext uri="{FF2B5EF4-FFF2-40B4-BE49-F238E27FC236}">
                <a16:creationId xmlns:a16="http://schemas.microsoft.com/office/drawing/2014/main" id="{11EF1558-0393-488E-9B4B-F73C9FB9A374}"/>
              </a:ext>
            </a:extLst>
          </xdr:cNvPr>
          <xdr:cNvSpPr/>
        </xdr:nvSpPr>
        <xdr:spPr>
          <a:xfrm>
            <a:off x="3536585" y="1900518"/>
            <a:ext cx="694755" cy="97715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0" name="Rectangle 59">
            <a:extLst>
              <a:ext uri="{FF2B5EF4-FFF2-40B4-BE49-F238E27FC236}">
                <a16:creationId xmlns:a16="http://schemas.microsoft.com/office/drawing/2014/main" id="{59D69122-668A-4508-9143-0B06EE43A2EE}"/>
              </a:ext>
            </a:extLst>
          </xdr:cNvPr>
          <xdr:cNvSpPr/>
        </xdr:nvSpPr>
        <xdr:spPr>
          <a:xfrm>
            <a:off x="3055621" y="2877672"/>
            <a:ext cx="1175720" cy="107707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1" name="Rectangle 60">
            <a:extLst>
              <a:ext uri="{FF2B5EF4-FFF2-40B4-BE49-F238E27FC236}">
                <a16:creationId xmlns:a16="http://schemas.microsoft.com/office/drawing/2014/main" id="{B6A02B98-1263-42D5-A1F8-354EDD67D58F}"/>
              </a:ext>
            </a:extLst>
          </xdr:cNvPr>
          <xdr:cNvSpPr/>
        </xdr:nvSpPr>
        <xdr:spPr>
          <a:xfrm>
            <a:off x="1972381" y="3367939"/>
            <a:ext cx="1083240" cy="606959"/>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2" name="Rectangle 61">
            <a:extLst>
              <a:ext uri="{FF2B5EF4-FFF2-40B4-BE49-F238E27FC236}">
                <a16:creationId xmlns:a16="http://schemas.microsoft.com/office/drawing/2014/main" id="{F491ACBF-C9CC-4DB6-AED3-D0CDDC013224}"/>
              </a:ext>
            </a:extLst>
          </xdr:cNvPr>
          <xdr:cNvSpPr/>
        </xdr:nvSpPr>
        <xdr:spPr>
          <a:xfrm>
            <a:off x="774751" y="2829400"/>
            <a:ext cx="1175720" cy="107707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3" name="Rectangle 62">
            <a:extLst>
              <a:ext uri="{FF2B5EF4-FFF2-40B4-BE49-F238E27FC236}">
                <a16:creationId xmlns:a16="http://schemas.microsoft.com/office/drawing/2014/main" id="{240CD90D-2B28-4FAA-A795-8DD47E53C624}"/>
              </a:ext>
            </a:extLst>
          </xdr:cNvPr>
          <xdr:cNvSpPr/>
        </xdr:nvSpPr>
        <xdr:spPr>
          <a:xfrm>
            <a:off x="787860" y="1870225"/>
            <a:ext cx="802356" cy="95917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4" name="Rectangle 63">
            <a:extLst>
              <a:ext uri="{FF2B5EF4-FFF2-40B4-BE49-F238E27FC236}">
                <a16:creationId xmlns:a16="http://schemas.microsoft.com/office/drawing/2014/main" id="{F4D2836C-8690-4E49-9B07-1A3A516B83E3}"/>
              </a:ext>
            </a:extLst>
          </xdr:cNvPr>
          <xdr:cNvSpPr/>
        </xdr:nvSpPr>
        <xdr:spPr>
          <a:xfrm>
            <a:off x="764603" y="1039906"/>
            <a:ext cx="802357" cy="830319"/>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2</xdr:col>
      <xdr:colOff>353786</xdr:colOff>
      <xdr:row>457</xdr:row>
      <xdr:rowOff>204601</xdr:rowOff>
    </xdr:from>
    <xdr:to>
      <xdr:col>5</xdr:col>
      <xdr:colOff>789215</xdr:colOff>
      <xdr:row>479</xdr:row>
      <xdr:rowOff>48467</xdr:rowOff>
    </xdr:to>
    <xdr:pic>
      <xdr:nvPicPr>
        <xdr:cNvPr id="56" name="Picture 55">
          <a:extLst>
            <a:ext uri="{FF2B5EF4-FFF2-40B4-BE49-F238E27FC236}">
              <a16:creationId xmlns:a16="http://schemas.microsoft.com/office/drawing/2014/main" id="{22D97C99-F659-43D3-8A12-1BEF1B6F0A67}"/>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694215" y="137881672"/>
          <a:ext cx="3946071" cy="5531652"/>
        </a:xfrm>
        <a:prstGeom prst="rect">
          <a:avLst/>
        </a:prstGeom>
        <a:ln>
          <a:solidFill>
            <a:schemeClr val="tx1"/>
          </a:solidFill>
        </a:ln>
      </xdr:spPr>
    </xdr:pic>
    <xdr:clientData/>
  </xdr:twoCellAnchor>
  <xdr:twoCellAnchor editAs="oneCell">
    <xdr:from>
      <xdr:col>1</xdr:col>
      <xdr:colOff>952365</xdr:colOff>
      <xdr:row>502</xdr:row>
      <xdr:rowOff>250373</xdr:rowOff>
    </xdr:from>
    <xdr:to>
      <xdr:col>5</xdr:col>
      <xdr:colOff>1036668</xdr:colOff>
      <xdr:row>513</xdr:row>
      <xdr:rowOff>54427</xdr:rowOff>
    </xdr:to>
    <xdr:pic>
      <xdr:nvPicPr>
        <xdr:cNvPr id="73" name="Picture 72">
          <a:extLst>
            <a:ext uri="{FF2B5EF4-FFF2-40B4-BE49-F238E27FC236}">
              <a16:creationId xmlns:a16="http://schemas.microsoft.com/office/drawing/2014/main" id="{74613194-89D1-4528-AAAD-564EF0096D20}"/>
            </a:ext>
          </a:extLst>
        </xdr:cNvPr>
        <xdr:cNvPicPr>
          <a:picLocks noChangeAspect="1"/>
        </xdr:cNvPicPr>
      </xdr:nvPicPr>
      <xdr:blipFill rotWithShape="1">
        <a:blip xmlns:r="http://schemas.openxmlformats.org/officeDocument/2006/relationships" r:embed="rId49" cstate="screen">
          <a:extLst>
            <a:ext uri="{28A0092B-C50C-407E-A947-70E740481C1C}">
              <a14:useLocalDpi xmlns:a14="http://schemas.microsoft.com/office/drawing/2010/main"/>
            </a:ext>
          </a:extLst>
        </a:blip>
        <a:srcRect/>
        <a:stretch/>
      </xdr:blipFill>
      <xdr:spPr>
        <a:xfrm>
          <a:off x="2122579" y="147656552"/>
          <a:ext cx="4765160" cy="3205840"/>
        </a:xfrm>
        <a:prstGeom prst="rect">
          <a:avLst/>
        </a:prstGeom>
        <a:ln>
          <a:solidFill>
            <a:schemeClr val="tx1"/>
          </a:solidFill>
        </a:ln>
      </xdr:spPr>
    </xdr:pic>
    <xdr:clientData/>
  </xdr:twoCellAnchor>
  <xdr:twoCellAnchor>
    <xdr:from>
      <xdr:col>0</xdr:col>
      <xdr:colOff>1170213</xdr:colOff>
      <xdr:row>486</xdr:row>
      <xdr:rowOff>40821</xdr:rowOff>
    </xdr:from>
    <xdr:to>
      <xdr:col>6</xdr:col>
      <xdr:colOff>911677</xdr:colOff>
      <xdr:row>502</xdr:row>
      <xdr:rowOff>108856</xdr:rowOff>
    </xdr:to>
    <xdr:grpSp>
      <xdr:nvGrpSpPr>
        <xdr:cNvPr id="74" name="Group 73">
          <a:extLst>
            <a:ext uri="{FF2B5EF4-FFF2-40B4-BE49-F238E27FC236}">
              <a16:creationId xmlns:a16="http://schemas.microsoft.com/office/drawing/2014/main" id="{BEA5B281-701A-41C8-8294-50090BCC645C}"/>
            </a:ext>
          </a:extLst>
        </xdr:cNvPr>
        <xdr:cNvGrpSpPr/>
      </xdr:nvGrpSpPr>
      <xdr:grpSpPr>
        <a:xfrm>
          <a:off x="1170213" y="143079107"/>
          <a:ext cx="6762750" cy="4204606"/>
          <a:chOff x="558027" y="609598"/>
          <a:chExt cx="5473634" cy="3240000"/>
        </a:xfrm>
      </xdr:grpSpPr>
      <xdr:grpSp>
        <xdr:nvGrpSpPr>
          <xdr:cNvPr id="75" name="Group 74">
            <a:extLst>
              <a:ext uri="{FF2B5EF4-FFF2-40B4-BE49-F238E27FC236}">
                <a16:creationId xmlns:a16="http://schemas.microsoft.com/office/drawing/2014/main" id="{A80A2032-8B69-4DAF-A87D-D552F9FCFDF8}"/>
              </a:ext>
            </a:extLst>
          </xdr:cNvPr>
          <xdr:cNvGrpSpPr/>
        </xdr:nvGrpSpPr>
        <xdr:grpSpPr>
          <a:xfrm>
            <a:off x="558027" y="609598"/>
            <a:ext cx="5473634" cy="3240000"/>
            <a:chOff x="558027" y="609598"/>
            <a:chExt cx="5473634" cy="3240000"/>
          </a:xfrm>
        </xdr:grpSpPr>
        <xdr:pic>
          <xdr:nvPicPr>
            <xdr:cNvPr id="83" name="Picture 82">
              <a:extLst>
                <a:ext uri="{FF2B5EF4-FFF2-40B4-BE49-F238E27FC236}">
                  <a16:creationId xmlns:a16="http://schemas.microsoft.com/office/drawing/2014/main" id="{C751676E-635C-4889-B723-6FA4796935C4}"/>
                </a:ext>
              </a:extLst>
            </xdr:cNvPr>
            <xdr:cNvPicPr>
              <a:picLocks noChangeAspect="1"/>
            </xdr:cNvPicPr>
          </xdr:nvPicPr>
          <xdr:blipFill rotWithShape="1">
            <a:blip xmlns:r="http://schemas.openxmlformats.org/officeDocument/2006/relationships" r:embed="rId50" cstate="screen">
              <a:extLst>
                <a:ext uri="{28A0092B-C50C-407E-A947-70E740481C1C}">
                  <a14:useLocalDpi xmlns:a14="http://schemas.microsoft.com/office/drawing/2010/main"/>
                </a:ext>
              </a:extLst>
            </a:blip>
            <a:srcRect/>
            <a:stretch/>
          </xdr:blipFill>
          <xdr:spPr>
            <a:xfrm>
              <a:off x="558027" y="609598"/>
              <a:ext cx="5473634" cy="3240000"/>
            </a:xfrm>
            <a:prstGeom prst="rect">
              <a:avLst/>
            </a:prstGeom>
            <a:ln>
              <a:solidFill>
                <a:schemeClr val="tx1"/>
              </a:solidFill>
            </a:ln>
          </xdr:spPr>
        </xdr:pic>
        <xdr:sp macro="" textlink="">
          <xdr:nvSpPr>
            <xdr:cNvPr id="84" name="Rectangle 83">
              <a:extLst>
                <a:ext uri="{FF2B5EF4-FFF2-40B4-BE49-F238E27FC236}">
                  <a16:creationId xmlns:a16="http://schemas.microsoft.com/office/drawing/2014/main" id="{4EEA1233-19A7-499D-9618-E163D231081F}"/>
                </a:ext>
              </a:extLst>
            </xdr:cNvPr>
            <xdr:cNvSpPr/>
          </xdr:nvSpPr>
          <xdr:spPr>
            <a:xfrm>
              <a:off x="2457450" y="1295400"/>
              <a:ext cx="2057400" cy="179070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5" name="TextBox 48">
              <a:extLst>
                <a:ext uri="{FF2B5EF4-FFF2-40B4-BE49-F238E27FC236}">
                  <a16:creationId xmlns:a16="http://schemas.microsoft.com/office/drawing/2014/main" id="{1729B42B-7CFE-4BB7-BDE8-DF566FF9D2CF}"/>
                </a:ext>
              </a:extLst>
            </xdr:cNvPr>
            <xdr:cNvSpPr txBox="1"/>
          </xdr:nvSpPr>
          <xdr:spPr>
            <a:xfrm>
              <a:off x="2460775" y="926068"/>
              <a:ext cx="270016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Arkade Rare (Wing A to G)</a:t>
              </a:r>
              <a:endParaRPr lang="en-IN" b="1">
                <a:solidFill>
                  <a:srgbClr val="FFFF00"/>
                </a:solidFill>
              </a:endParaRPr>
            </a:p>
          </xdr:txBody>
        </xdr:sp>
      </xdr:grpSp>
      <xdr:sp macro="" textlink="">
        <xdr:nvSpPr>
          <xdr:cNvPr id="76" name="TextBox 50">
            <a:extLst>
              <a:ext uri="{FF2B5EF4-FFF2-40B4-BE49-F238E27FC236}">
                <a16:creationId xmlns:a16="http://schemas.microsoft.com/office/drawing/2014/main" id="{C7F84810-D2FE-47EC-AD7B-0ED448CAEBE9}"/>
              </a:ext>
            </a:extLst>
          </xdr:cNvPr>
          <xdr:cNvSpPr txBox="1"/>
        </xdr:nvSpPr>
        <xdr:spPr>
          <a:xfrm>
            <a:off x="3914775" y="1510843"/>
            <a:ext cx="29367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A</a:t>
            </a:r>
            <a:endParaRPr lang="en-IN" sz="1400" b="1">
              <a:solidFill>
                <a:srgbClr val="FFFF00"/>
              </a:solidFill>
            </a:endParaRPr>
          </a:p>
        </xdr:txBody>
      </xdr:sp>
      <xdr:sp macro="" textlink="">
        <xdr:nvSpPr>
          <xdr:cNvPr id="77" name="TextBox 51">
            <a:extLst>
              <a:ext uri="{FF2B5EF4-FFF2-40B4-BE49-F238E27FC236}">
                <a16:creationId xmlns:a16="http://schemas.microsoft.com/office/drawing/2014/main" id="{F31E6259-16AB-4365-BFDE-25CCD5F17162}"/>
              </a:ext>
            </a:extLst>
          </xdr:cNvPr>
          <xdr:cNvSpPr txBox="1"/>
        </xdr:nvSpPr>
        <xdr:spPr>
          <a:xfrm>
            <a:off x="3932220" y="1990694"/>
            <a:ext cx="29367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B</a:t>
            </a:r>
            <a:endParaRPr lang="en-IN" sz="1400" b="1">
              <a:solidFill>
                <a:srgbClr val="FFFF00"/>
              </a:solidFill>
            </a:endParaRPr>
          </a:p>
        </xdr:txBody>
      </xdr:sp>
      <xdr:sp macro="" textlink="">
        <xdr:nvSpPr>
          <xdr:cNvPr id="78" name="TextBox 52">
            <a:extLst>
              <a:ext uri="{FF2B5EF4-FFF2-40B4-BE49-F238E27FC236}">
                <a16:creationId xmlns:a16="http://schemas.microsoft.com/office/drawing/2014/main" id="{58EFD778-6452-4BA9-AFF8-E5719535113A}"/>
              </a:ext>
            </a:extLst>
          </xdr:cNvPr>
          <xdr:cNvSpPr txBox="1"/>
        </xdr:nvSpPr>
        <xdr:spPr>
          <a:xfrm>
            <a:off x="3910012" y="2447884"/>
            <a:ext cx="27924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C</a:t>
            </a:r>
            <a:endParaRPr lang="en-IN" sz="1400" b="1">
              <a:solidFill>
                <a:srgbClr val="FFFF00"/>
              </a:solidFill>
            </a:endParaRPr>
          </a:p>
        </xdr:txBody>
      </xdr:sp>
      <xdr:sp macro="" textlink="">
        <xdr:nvSpPr>
          <xdr:cNvPr id="79" name="TextBox 53">
            <a:extLst>
              <a:ext uri="{FF2B5EF4-FFF2-40B4-BE49-F238E27FC236}">
                <a16:creationId xmlns:a16="http://schemas.microsoft.com/office/drawing/2014/main" id="{A2C7CFB7-DB8C-49E0-B480-C99727843054}"/>
              </a:ext>
            </a:extLst>
          </xdr:cNvPr>
          <xdr:cNvSpPr txBox="1"/>
        </xdr:nvSpPr>
        <xdr:spPr>
          <a:xfrm>
            <a:off x="3262319" y="2465495"/>
            <a:ext cx="29848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D</a:t>
            </a:r>
            <a:endParaRPr lang="en-IN" sz="1400" b="1">
              <a:solidFill>
                <a:srgbClr val="FFFF00"/>
              </a:solidFill>
            </a:endParaRPr>
          </a:p>
        </xdr:txBody>
      </xdr:sp>
      <xdr:sp macro="" textlink="">
        <xdr:nvSpPr>
          <xdr:cNvPr id="80" name="TextBox 54">
            <a:extLst>
              <a:ext uri="{FF2B5EF4-FFF2-40B4-BE49-F238E27FC236}">
                <a16:creationId xmlns:a16="http://schemas.microsoft.com/office/drawing/2014/main" id="{B36C3231-52F2-4AEC-B242-20F48DCB5C6F}"/>
              </a:ext>
            </a:extLst>
          </xdr:cNvPr>
          <xdr:cNvSpPr txBox="1"/>
        </xdr:nvSpPr>
        <xdr:spPr>
          <a:xfrm>
            <a:off x="2678084" y="2274648"/>
            <a:ext cx="27283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E</a:t>
            </a:r>
            <a:endParaRPr lang="en-IN" sz="1400" b="1">
              <a:solidFill>
                <a:srgbClr val="FFFF00"/>
              </a:solidFill>
            </a:endParaRPr>
          </a:p>
        </xdr:txBody>
      </xdr:sp>
      <xdr:sp macro="" textlink="">
        <xdr:nvSpPr>
          <xdr:cNvPr id="81" name="TextBox 55">
            <a:extLst>
              <a:ext uri="{FF2B5EF4-FFF2-40B4-BE49-F238E27FC236}">
                <a16:creationId xmlns:a16="http://schemas.microsoft.com/office/drawing/2014/main" id="{C66F9CA9-E8A3-42BF-8890-28C6C7B083E1}"/>
              </a:ext>
            </a:extLst>
          </xdr:cNvPr>
          <xdr:cNvSpPr txBox="1"/>
        </xdr:nvSpPr>
        <xdr:spPr>
          <a:xfrm>
            <a:off x="2657246" y="1928804"/>
            <a:ext cx="26642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F</a:t>
            </a:r>
            <a:endParaRPr lang="en-IN" sz="1400" b="1">
              <a:solidFill>
                <a:srgbClr val="FFFF00"/>
              </a:solidFill>
            </a:endParaRPr>
          </a:p>
        </xdr:txBody>
      </xdr:sp>
      <xdr:sp macro="" textlink="">
        <xdr:nvSpPr>
          <xdr:cNvPr id="82" name="TextBox 56">
            <a:extLst>
              <a:ext uri="{FF2B5EF4-FFF2-40B4-BE49-F238E27FC236}">
                <a16:creationId xmlns:a16="http://schemas.microsoft.com/office/drawing/2014/main" id="{BFCA888B-C8F8-4ADD-859C-FACB388545D4}"/>
              </a:ext>
            </a:extLst>
          </xdr:cNvPr>
          <xdr:cNvSpPr txBox="1"/>
        </xdr:nvSpPr>
        <xdr:spPr>
          <a:xfrm>
            <a:off x="2666862" y="1470082"/>
            <a:ext cx="29848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G</a:t>
            </a:r>
            <a:endParaRPr lang="en-IN" sz="1400" b="1">
              <a:solidFill>
                <a:srgbClr val="FFFF00"/>
              </a:solidFill>
            </a:endParaRPr>
          </a:p>
        </xdr:txBody>
      </xdr:sp>
    </xdr:grpSp>
    <xdr:clientData/>
  </xdr:twoCellAnchor>
  <xdr:twoCellAnchor editAs="oneCell">
    <xdr:from>
      <xdr:col>10</xdr:col>
      <xdr:colOff>458932</xdr:colOff>
      <xdr:row>58</xdr:row>
      <xdr:rowOff>183078</xdr:rowOff>
    </xdr:from>
    <xdr:to>
      <xdr:col>17</xdr:col>
      <xdr:colOff>332081</xdr:colOff>
      <xdr:row>60</xdr:row>
      <xdr:rowOff>456633</xdr:rowOff>
    </xdr:to>
    <xdr:pic>
      <xdr:nvPicPr>
        <xdr:cNvPr id="86" name="Picture 85">
          <a:extLst>
            <a:ext uri="{FF2B5EF4-FFF2-40B4-BE49-F238E27FC236}">
              <a16:creationId xmlns:a16="http://schemas.microsoft.com/office/drawing/2014/main" id="{A51C080D-CE3C-4BF8-ADCA-FA46F8354807}"/>
            </a:ext>
          </a:extLst>
        </xdr:cNvPr>
        <xdr:cNvPicPr>
          <a:picLocks noChangeAspect="1"/>
        </xdr:cNvPicPr>
      </xdr:nvPicPr>
      <xdr:blipFill>
        <a:blip xmlns:r="http://schemas.openxmlformats.org/officeDocument/2006/relationships" r:embed="rId51"/>
        <a:stretch>
          <a:fillRect/>
        </a:stretch>
      </xdr:blipFill>
      <xdr:spPr>
        <a:xfrm>
          <a:off x="12882253" y="24431007"/>
          <a:ext cx="4690078" cy="2160000"/>
        </a:xfrm>
        <a:prstGeom prst="rect">
          <a:avLst/>
        </a:prstGeom>
      </xdr:spPr>
    </xdr:pic>
    <xdr:clientData/>
  </xdr:twoCellAnchor>
  <xdr:twoCellAnchor editAs="oneCell">
    <xdr:from>
      <xdr:col>8</xdr:col>
      <xdr:colOff>612321</xdr:colOff>
      <xdr:row>59</xdr:row>
      <xdr:rowOff>63088</xdr:rowOff>
    </xdr:from>
    <xdr:to>
      <xdr:col>14</xdr:col>
      <xdr:colOff>426100</xdr:colOff>
      <xdr:row>63</xdr:row>
      <xdr:rowOff>200599</xdr:rowOff>
    </xdr:to>
    <xdr:pic>
      <xdr:nvPicPr>
        <xdr:cNvPr id="87" name="Picture 86">
          <a:extLst>
            <a:ext uri="{FF2B5EF4-FFF2-40B4-BE49-F238E27FC236}">
              <a16:creationId xmlns:a16="http://schemas.microsoft.com/office/drawing/2014/main" id="{D17C43C4-AB8C-405B-9FE4-D76184CC214D}"/>
            </a:ext>
          </a:extLst>
        </xdr:cNvPr>
        <xdr:cNvPicPr>
          <a:picLocks noChangeAspect="1"/>
        </xdr:cNvPicPr>
      </xdr:nvPicPr>
      <xdr:blipFill>
        <a:blip xmlns:r="http://schemas.openxmlformats.org/officeDocument/2006/relationships" r:embed="rId52"/>
        <a:stretch>
          <a:fillRect/>
        </a:stretch>
      </xdr:blipFill>
      <xdr:spPr>
        <a:xfrm>
          <a:off x="10033412" y="28464906"/>
          <a:ext cx="5810818" cy="2339396"/>
        </a:xfrm>
        <a:prstGeom prst="rect">
          <a:avLst/>
        </a:prstGeom>
      </xdr:spPr>
    </xdr:pic>
    <xdr:clientData/>
  </xdr:twoCellAnchor>
  <xdr:twoCellAnchor editAs="oneCell">
    <xdr:from>
      <xdr:col>15</xdr:col>
      <xdr:colOff>217714</xdr:colOff>
      <xdr:row>59</xdr:row>
      <xdr:rowOff>0</xdr:rowOff>
    </xdr:from>
    <xdr:to>
      <xdr:col>29</xdr:col>
      <xdr:colOff>136988</xdr:colOff>
      <xdr:row>71</xdr:row>
      <xdr:rowOff>221</xdr:rowOff>
    </xdr:to>
    <xdr:pic>
      <xdr:nvPicPr>
        <xdr:cNvPr id="88" name="Picture 87">
          <a:extLst>
            <a:ext uri="{FF2B5EF4-FFF2-40B4-BE49-F238E27FC236}">
              <a16:creationId xmlns:a16="http://schemas.microsoft.com/office/drawing/2014/main" id="{3B4B6F7F-68C4-4C52-8AB2-C1FB880C8F44}"/>
            </a:ext>
          </a:extLst>
        </xdr:cNvPr>
        <xdr:cNvPicPr>
          <a:picLocks noChangeAspect="1"/>
        </xdr:cNvPicPr>
      </xdr:nvPicPr>
      <xdr:blipFill>
        <a:blip xmlns:r="http://schemas.openxmlformats.org/officeDocument/2006/relationships" r:embed="rId53"/>
        <a:stretch>
          <a:fillRect/>
        </a:stretch>
      </xdr:blipFill>
      <xdr:spPr>
        <a:xfrm>
          <a:off x="15702643" y="29486678"/>
          <a:ext cx="6573167" cy="4686954"/>
        </a:xfrm>
        <a:prstGeom prst="rect">
          <a:avLst/>
        </a:prstGeom>
      </xdr:spPr>
    </xdr:pic>
    <xdr:clientData/>
  </xdr:twoCellAnchor>
  <xdr:twoCellAnchor editAs="oneCell">
    <xdr:from>
      <xdr:col>8</xdr:col>
      <xdr:colOff>1020535</xdr:colOff>
      <xdr:row>18</xdr:row>
      <xdr:rowOff>108857</xdr:rowOff>
    </xdr:from>
    <xdr:to>
      <xdr:col>23</xdr:col>
      <xdr:colOff>231206</xdr:colOff>
      <xdr:row>19</xdr:row>
      <xdr:rowOff>88479</xdr:rowOff>
    </xdr:to>
    <xdr:pic>
      <xdr:nvPicPr>
        <xdr:cNvPr id="89" name="Picture 88">
          <a:extLst>
            <a:ext uri="{FF2B5EF4-FFF2-40B4-BE49-F238E27FC236}">
              <a16:creationId xmlns:a16="http://schemas.microsoft.com/office/drawing/2014/main" id="{EA2C662D-F917-4EFB-B45A-50ADAE633B31}"/>
            </a:ext>
          </a:extLst>
        </xdr:cNvPr>
        <xdr:cNvPicPr>
          <a:picLocks noChangeAspect="1"/>
        </xdr:cNvPicPr>
      </xdr:nvPicPr>
      <xdr:blipFill>
        <a:blip xmlns:r="http://schemas.openxmlformats.org/officeDocument/2006/relationships" r:embed="rId54"/>
        <a:stretch>
          <a:fillRect/>
        </a:stretch>
      </xdr:blipFill>
      <xdr:spPr>
        <a:xfrm>
          <a:off x="10382249" y="8599714"/>
          <a:ext cx="8926171" cy="238158"/>
        </a:xfrm>
        <a:prstGeom prst="rect">
          <a:avLst/>
        </a:prstGeom>
      </xdr:spPr>
    </xdr:pic>
    <xdr:clientData/>
  </xdr:twoCellAnchor>
  <xdr:twoCellAnchor editAs="oneCell">
    <xdr:from>
      <xdr:col>8</xdr:col>
      <xdr:colOff>389658</xdr:colOff>
      <xdr:row>281</xdr:row>
      <xdr:rowOff>75457</xdr:rowOff>
    </xdr:from>
    <xdr:to>
      <xdr:col>23</xdr:col>
      <xdr:colOff>215446</xdr:colOff>
      <xdr:row>291</xdr:row>
      <xdr:rowOff>2209</xdr:rowOff>
    </xdr:to>
    <xdr:pic>
      <xdr:nvPicPr>
        <xdr:cNvPr id="90" name="Picture 89"/>
        <xdr:cNvPicPr>
          <a:picLocks noChangeAspect="1"/>
        </xdr:cNvPicPr>
      </xdr:nvPicPr>
      <xdr:blipFill>
        <a:blip xmlns:r="http://schemas.openxmlformats.org/officeDocument/2006/relationships" r:embed="rId55"/>
        <a:stretch>
          <a:fillRect/>
        </a:stretch>
      </xdr:blipFill>
      <xdr:spPr>
        <a:xfrm>
          <a:off x="9810749" y="93195321"/>
          <a:ext cx="9459645" cy="2524477"/>
        </a:xfrm>
        <a:prstGeom prst="rect">
          <a:avLst/>
        </a:prstGeom>
      </xdr:spPr>
    </xdr:pic>
    <xdr:clientData/>
  </xdr:twoCellAnchor>
  <xdr:twoCellAnchor editAs="oneCell">
    <xdr:from>
      <xdr:col>11</xdr:col>
      <xdr:colOff>311728</xdr:colOff>
      <xdr:row>312</xdr:row>
      <xdr:rowOff>225136</xdr:rowOff>
    </xdr:from>
    <xdr:to>
      <xdr:col>29</xdr:col>
      <xdr:colOff>241425</xdr:colOff>
      <xdr:row>322</xdr:row>
      <xdr:rowOff>151886</xdr:rowOff>
    </xdr:to>
    <xdr:pic>
      <xdr:nvPicPr>
        <xdr:cNvPr id="91" name="Picture 90"/>
        <xdr:cNvPicPr>
          <a:picLocks noChangeAspect="1"/>
        </xdr:cNvPicPr>
      </xdr:nvPicPr>
      <xdr:blipFill>
        <a:blip xmlns:r="http://schemas.openxmlformats.org/officeDocument/2006/relationships" r:embed="rId55"/>
        <a:stretch>
          <a:fillRect/>
        </a:stretch>
      </xdr:blipFill>
      <xdr:spPr>
        <a:xfrm>
          <a:off x="13386955" y="101397954"/>
          <a:ext cx="9459645" cy="2524477"/>
        </a:xfrm>
        <a:prstGeom prst="rect">
          <a:avLst/>
        </a:prstGeom>
      </xdr:spPr>
    </xdr:pic>
    <xdr:clientData/>
  </xdr:twoCellAnchor>
  <xdr:twoCellAnchor editAs="oneCell">
    <xdr:from>
      <xdr:col>13</xdr:col>
      <xdr:colOff>129886</xdr:colOff>
      <xdr:row>259</xdr:row>
      <xdr:rowOff>196684</xdr:rowOff>
    </xdr:from>
    <xdr:to>
      <xdr:col>25</xdr:col>
      <xdr:colOff>42562</xdr:colOff>
      <xdr:row>280</xdr:row>
      <xdr:rowOff>20280</xdr:rowOff>
    </xdr:to>
    <xdr:pic>
      <xdr:nvPicPr>
        <xdr:cNvPr id="93" name="Picture 92"/>
        <xdr:cNvPicPr>
          <a:picLocks noChangeAspect="1"/>
        </xdr:cNvPicPr>
      </xdr:nvPicPr>
      <xdr:blipFill>
        <a:blip xmlns:r="http://schemas.openxmlformats.org/officeDocument/2006/relationships" r:embed="rId56"/>
        <a:stretch>
          <a:fillRect/>
        </a:stretch>
      </xdr:blipFill>
      <xdr:spPr>
        <a:xfrm>
          <a:off x="14417386" y="86302684"/>
          <a:ext cx="5367903" cy="5278824"/>
        </a:xfrm>
        <a:prstGeom prst="rect">
          <a:avLst/>
        </a:prstGeom>
      </xdr:spPr>
    </xdr:pic>
    <xdr:clientData/>
  </xdr:twoCellAnchor>
  <xdr:twoCellAnchor editAs="oneCell">
    <xdr:from>
      <xdr:col>9</xdr:col>
      <xdr:colOff>60613</xdr:colOff>
      <xdr:row>220</xdr:row>
      <xdr:rowOff>232559</xdr:rowOff>
    </xdr:from>
    <xdr:to>
      <xdr:col>18</xdr:col>
      <xdr:colOff>311139</xdr:colOff>
      <xdr:row>238</xdr:row>
      <xdr:rowOff>129288</xdr:rowOff>
    </xdr:to>
    <xdr:pic>
      <xdr:nvPicPr>
        <xdr:cNvPr id="94" name="Picture 93"/>
        <xdr:cNvPicPr>
          <a:picLocks noChangeAspect="1"/>
        </xdr:cNvPicPr>
      </xdr:nvPicPr>
      <xdr:blipFill>
        <a:blip xmlns:r="http://schemas.openxmlformats.org/officeDocument/2006/relationships" r:embed="rId57"/>
        <a:stretch>
          <a:fillRect/>
        </a:stretch>
      </xdr:blipFill>
      <xdr:spPr>
        <a:xfrm>
          <a:off x="11733068" y="77506286"/>
          <a:ext cx="6420746" cy="4572638"/>
        </a:xfrm>
        <a:prstGeom prst="rect">
          <a:avLst/>
        </a:prstGeom>
      </xdr:spPr>
    </xdr:pic>
    <xdr:clientData/>
  </xdr:twoCellAnchor>
  <xdr:twoCellAnchor editAs="oneCell">
    <xdr:from>
      <xdr:col>16</xdr:col>
      <xdr:colOff>173182</xdr:colOff>
      <xdr:row>262</xdr:row>
      <xdr:rowOff>242455</xdr:rowOff>
    </xdr:from>
    <xdr:to>
      <xdr:col>30</xdr:col>
      <xdr:colOff>13020</xdr:colOff>
      <xdr:row>280</xdr:row>
      <xdr:rowOff>139182</xdr:rowOff>
    </xdr:to>
    <xdr:pic>
      <xdr:nvPicPr>
        <xdr:cNvPr id="95" name="Picture 94"/>
        <xdr:cNvPicPr>
          <a:picLocks noChangeAspect="1"/>
        </xdr:cNvPicPr>
      </xdr:nvPicPr>
      <xdr:blipFill>
        <a:blip xmlns:r="http://schemas.openxmlformats.org/officeDocument/2006/relationships" r:embed="rId57"/>
        <a:stretch>
          <a:fillRect/>
        </a:stretch>
      </xdr:blipFill>
      <xdr:spPr>
        <a:xfrm>
          <a:off x="16279091" y="87127773"/>
          <a:ext cx="6420746" cy="4572638"/>
        </a:xfrm>
        <a:prstGeom prst="rect">
          <a:avLst/>
        </a:prstGeom>
      </xdr:spPr>
    </xdr:pic>
    <xdr:clientData/>
  </xdr:twoCellAnchor>
  <xdr:twoCellAnchor editAs="oneCell">
    <xdr:from>
      <xdr:col>11</xdr:col>
      <xdr:colOff>554183</xdr:colOff>
      <xdr:row>237</xdr:row>
      <xdr:rowOff>225135</xdr:rowOff>
    </xdr:from>
    <xdr:to>
      <xdr:col>22</xdr:col>
      <xdr:colOff>381974</xdr:colOff>
      <xdr:row>251</xdr:row>
      <xdr:rowOff>17797</xdr:rowOff>
    </xdr:to>
    <xdr:pic>
      <xdr:nvPicPr>
        <xdr:cNvPr id="96" name="Picture 95"/>
        <xdr:cNvPicPr>
          <a:picLocks noChangeAspect="1"/>
        </xdr:cNvPicPr>
      </xdr:nvPicPr>
      <xdr:blipFill>
        <a:blip xmlns:r="http://schemas.openxmlformats.org/officeDocument/2006/relationships" r:embed="rId58"/>
        <a:stretch>
          <a:fillRect/>
        </a:stretch>
      </xdr:blipFill>
      <xdr:spPr>
        <a:xfrm>
          <a:off x="13629410" y="81914999"/>
          <a:ext cx="5201376" cy="34294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arkaderarebhandupwest.com/?utm_source=google&amp;utm_medium=cpc&amp;utm_campaign=Arkade+Rare+Central&amp;utm_term=arkade%20rare&amp;utm_Physical_Location=9062223&amp;utm_Targetid=kwd-2321075479859&amp;utm_Target=&amp;utm_Placement=&amp;utm_Adposition=&amp;gad_source=1&amp;gad_campaignid=21616592589&amp;gbraid=0AAAAA9iUuL4ddRxdBNH9G9dpK8gf7qML2&amp;gclid=CjwKCAjwv5zEBhBwEiwAOg2YKHwft_d7XSWvehr_4DS5HwhpdO0ZiDi51NnaGwuXr6Mu0mS_moXnEhoCZekQAvD_BwE" TargetMode="External"/><Relationship Id="rId7" Type="http://schemas.openxmlformats.org/officeDocument/2006/relationships/vmlDrawing" Target="../drawings/vmlDrawing2.vml"/><Relationship Id="rId2" Type="http://schemas.openxmlformats.org/officeDocument/2006/relationships/hyperlink" Target="https://arkadeshubharambh.in/?utm_source=GoogleSearch&amp;utm_medium=FE_03_AG_01_Phrasekw_Rare_p_arkade%20rare&amp;utm_campaign=FE_03_Arkade_Shubharambh_Search_MaxConv_Brand_Keyword&amp;utm_Display=FE_03_AG_01_AD_01_Rare_RSA&amp;gad_source=1&amp;gad_campaignid=22789493263&amp;gbraid=0AAAAA-EUfy5bfnlJFQoiW_IbwQZ1CvqYC&amp;gclid=CjwKCAjwv5zEBhBwEiwAOg2YKDbWK44501TEs3yFeLSV-tqvz9RxeJ6bA0mZgyHCMQ-dcoPGDw_msRoC9lUQAvD_BwE" TargetMode="External"/><Relationship Id="rId1" Type="http://schemas.openxmlformats.org/officeDocument/2006/relationships/hyperlink" Target="https://maps.app.goo.gl/sZKauiJa5SqJq3CZ9"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525"/>
  <sheetViews>
    <sheetView tabSelected="1" showWhiteSpace="0" view="pageBreakPreview" topLeftCell="A251" zoomScale="70" zoomScaleNormal="85" zoomScaleSheetLayoutView="70" zoomScalePageLayoutView="10" workbookViewId="0">
      <selection activeCell="C262" sqref="C262:H262"/>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9.140625" style="1"/>
    <col min="12" max="12" width="17.14062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76" t="s">
        <v>38</v>
      </c>
      <c r="B1" s="177"/>
      <c r="C1" s="177"/>
      <c r="D1" s="177"/>
      <c r="E1" s="177"/>
      <c r="F1" s="177"/>
      <c r="G1" s="177"/>
      <c r="H1" s="178"/>
    </row>
    <row r="2" spans="1:11" ht="42" customHeight="1" x14ac:dyDescent="0.25">
      <c r="A2" s="126" t="s">
        <v>10</v>
      </c>
      <c r="B2" s="126"/>
      <c r="C2" s="128" t="s">
        <v>83</v>
      </c>
      <c r="D2" s="128"/>
      <c r="E2" s="126" t="s">
        <v>12</v>
      </c>
      <c r="F2" s="126"/>
      <c r="G2" s="140">
        <v>45866</v>
      </c>
      <c r="H2" s="128"/>
      <c r="J2" s="145"/>
      <c r="K2" s="146"/>
    </row>
    <row r="3" spans="1:11" ht="20.25" x14ac:dyDescent="0.25">
      <c r="A3" s="126" t="s">
        <v>39</v>
      </c>
      <c r="B3" s="126"/>
      <c r="C3" s="141" t="s">
        <v>296</v>
      </c>
      <c r="D3" s="141"/>
      <c r="E3" s="126" t="s">
        <v>151</v>
      </c>
      <c r="F3" s="126"/>
      <c r="G3" s="128" t="s">
        <v>366</v>
      </c>
      <c r="H3" s="128"/>
    </row>
    <row r="4" spans="1:11" ht="43.5" customHeight="1" x14ac:dyDescent="0.25">
      <c r="A4" s="126" t="s">
        <v>36</v>
      </c>
      <c r="B4" s="126"/>
      <c r="C4" s="128" t="s">
        <v>367</v>
      </c>
      <c r="D4" s="128"/>
      <c r="E4" s="126" t="s">
        <v>33</v>
      </c>
      <c r="F4" s="126"/>
      <c r="G4" s="128" t="str">
        <f ca="1">TEXT(TODAY(),"DD/MM/YYYY")</f>
        <v>22/09/2025</v>
      </c>
      <c r="H4" s="128"/>
    </row>
    <row r="5" spans="1:11" ht="20.25" x14ac:dyDescent="0.25">
      <c r="A5" s="147" t="s">
        <v>40</v>
      </c>
      <c r="B5" s="147"/>
      <c r="C5" s="147"/>
      <c r="D5" s="147"/>
      <c r="E5" s="147"/>
      <c r="F5" s="147"/>
      <c r="G5" s="147"/>
      <c r="H5" s="147"/>
    </row>
    <row r="6" spans="1:11" ht="43.5" customHeight="1" x14ac:dyDescent="0.25">
      <c r="A6" s="126" t="s">
        <v>29</v>
      </c>
      <c r="B6" s="126"/>
      <c r="C6" s="128" t="s">
        <v>393</v>
      </c>
      <c r="D6" s="128"/>
      <c r="E6" s="126" t="s">
        <v>35</v>
      </c>
      <c r="F6" s="126"/>
      <c r="G6" s="128" t="s">
        <v>295</v>
      </c>
      <c r="H6" s="128"/>
    </row>
    <row r="7" spans="1:11" ht="23.25" customHeight="1" x14ac:dyDescent="0.25">
      <c r="A7" s="126" t="s">
        <v>42</v>
      </c>
      <c r="B7" s="126"/>
      <c r="C7" s="128" t="s">
        <v>374</v>
      </c>
      <c r="D7" s="128"/>
      <c r="E7" s="126" t="s">
        <v>43</v>
      </c>
      <c r="F7" s="126"/>
      <c r="G7" s="128" t="s">
        <v>374</v>
      </c>
      <c r="H7" s="128"/>
    </row>
    <row r="8" spans="1:11" ht="48.75" customHeight="1" x14ac:dyDescent="0.25">
      <c r="A8" s="126" t="s">
        <v>44</v>
      </c>
      <c r="B8" s="126"/>
      <c r="C8" s="128" t="s">
        <v>298</v>
      </c>
      <c r="D8" s="128"/>
      <c r="E8" s="128"/>
      <c r="F8" s="128"/>
      <c r="G8" s="128"/>
      <c r="H8" s="128"/>
    </row>
    <row r="9" spans="1:11" ht="45" customHeight="1" x14ac:dyDescent="0.25">
      <c r="A9" s="139" t="s">
        <v>143</v>
      </c>
      <c r="B9" s="32" t="s">
        <v>41</v>
      </c>
      <c r="C9" s="128" t="s">
        <v>297</v>
      </c>
      <c r="D9" s="128"/>
      <c r="E9" s="128"/>
      <c r="F9" s="128"/>
      <c r="G9" s="128"/>
      <c r="H9" s="128"/>
    </row>
    <row r="10" spans="1:11" ht="51.75" customHeight="1" x14ac:dyDescent="0.25">
      <c r="A10" s="139"/>
      <c r="B10" s="32" t="s">
        <v>11</v>
      </c>
      <c r="C10" s="128" t="s">
        <v>365</v>
      </c>
      <c r="D10" s="128"/>
      <c r="E10" s="128"/>
      <c r="F10" s="128"/>
      <c r="G10" s="128"/>
      <c r="H10" s="128"/>
    </row>
    <row r="11" spans="1:11" ht="51.75" customHeight="1" x14ac:dyDescent="0.25">
      <c r="A11" s="139"/>
      <c r="B11" s="32" t="s">
        <v>5</v>
      </c>
      <c r="C11" s="128" t="s">
        <v>389</v>
      </c>
      <c r="D11" s="128"/>
      <c r="E11" s="128"/>
      <c r="F11" s="128"/>
      <c r="G11" s="128"/>
      <c r="H11" s="128"/>
    </row>
    <row r="12" spans="1:11" ht="20.25" x14ac:dyDescent="0.25">
      <c r="A12" s="126" t="s">
        <v>34</v>
      </c>
      <c r="B12" s="126"/>
      <c r="C12" s="127" t="s">
        <v>396</v>
      </c>
      <c r="D12" s="127"/>
      <c r="E12" s="127"/>
      <c r="F12" s="127"/>
      <c r="G12" s="127"/>
      <c r="H12" s="127"/>
    </row>
    <row r="13" spans="1:11" ht="20.100000000000001" customHeight="1" x14ac:dyDescent="0.25">
      <c r="A13" s="147" t="s">
        <v>45</v>
      </c>
      <c r="B13" s="147"/>
      <c r="C13" s="147"/>
      <c r="D13" s="147"/>
      <c r="E13" s="147"/>
      <c r="F13" s="147"/>
      <c r="G13" s="147"/>
      <c r="H13" s="147"/>
    </row>
    <row r="14" spans="1:11" ht="41.25" customHeight="1" x14ac:dyDescent="0.25">
      <c r="A14" s="126" t="s">
        <v>27</v>
      </c>
      <c r="B14" s="126" t="s">
        <v>4</v>
      </c>
      <c r="C14" s="128" t="s">
        <v>84</v>
      </c>
      <c r="D14" s="128"/>
      <c r="E14" s="126" t="s">
        <v>46</v>
      </c>
      <c r="F14" s="126" t="s">
        <v>4</v>
      </c>
      <c r="G14" s="128" t="s">
        <v>299</v>
      </c>
      <c r="H14" s="128"/>
    </row>
    <row r="15" spans="1:11" ht="41.25" customHeight="1" x14ac:dyDescent="0.25">
      <c r="A15" s="126" t="s">
        <v>47</v>
      </c>
      <c r="B15" s="126" t="s">
        <v>4</v>
      </c>
      <c r="C15" s="128" t="s">
        <v>300</v>
      </c>
      <c r="D15" s="128"/>
      <c r="E15" s="126" t="s">
        <v>48</v>
      </c>
      <c r="F15" s="126" t="s">
        <v>4</v>
      </c>
      <c r="G15" s="140">
        <v>47118</v>
      </c>
      <c r="H15" s="128"/>
    </row>
    <row r="16" spans="1:11" ht="20.25" x14ac:dyDescent="0.25">
      <c r="A16" s="126" t="s">
        <v>49</v>
      </c>
      <c r="B16" s="126" t="s">
        <v>4</v>
      </c>
      <c r="C16" s="140">
        <v>45510</v>
      </c>
      <c r="D16" s="128"/>
      <c r="E16" s="126" t="s">
        <v>50</v>
      </c>
      <c r="F16" s="126" t="s">
        <v>4</v>
      </c>
      <c r="G16" s="165">
        <v>45413</v>
      </c>
      <c r="H16" s="128"/>
      <c r="I16" s="81" t="s">
        <v>368</v>
      </c>
    </row>
    <row r="17" spans="1:9" ht="71.25" customHeight="1" x14ac:dyDescent="0.25">
      <c r="A17" s="126" t="s">
        <v>51</v>
      </c>
      <c r="B17" s="126" t="s">
        <v>4</v>
      </c>
      <c r="C17" s="140">
        <f>G15</f>
        <v>47118</v>
      </c>
      <c r="D17" s="128"/>
      <c r="E17" s="126" t="s">
        <v>52</v>
      </c>
      <c r="F17" s="126" t="s">
        <v>4</v>
      </c>
      <c r="G17" s="128" t="s">
        <v>301</v>
      </c>
      <c r="H17" s="128"/>
    </row>
    <row r="18" spans="1:9" ht="41.25" customHeight="1" x14ac:dyDescent="0.25">
      <c r="A18" s="126" t="s">
        <v>53</v>
      </c>
      <c r="B18" s="126" t="s">
        <v>4</v>
      </c>
      <c r="C18" s="12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8"/>
      <c r="E18" s="126" t="s">
        <v>91</v>
      </c>
      <c r="F18" s="126" t="s">
        <v>4</v>
      </c>
      <c r="G18" s="128">
        <v>11967.4</v>
      </c>
      <c r="H18" s="128"/>
    </row>
    <row r="19" spans="1:9" ht="20.25" x14ac:dyDescent="0.25">
      <c r="A19" s="126" t="s">
        <v>54</v>
      </c>
      <c r="B19" s="126" t="s">
        <v>4</v>
      </c>
      <c r="C19" s="128">
        <v>1</v>
      </c>
      <c r="D19" s="128"/>
      <c r="E19" s="126" t="s">
        <v>232</v>
      </c>
      <c r="F19" s="126" t="s">
        <v>4</v>
      </c>
      <c r="G19" s="128">
        <v>10734.51</v>
      </c>
      <c r="H19" s="128"/>
    </row>
    <row r="20" spans="1:9" ht="41.25" customHeight="1" x14ac:dyDescent="0.25">
      <c r="A20" s="126" t="s">
        <v>89</v>
      </c>
      <c r="B20" s="126" t="s">
        <v>4</v>
      </c>
      <c r="C20" s="128">
        <v>31880.9</v>
      </c>
      <c r="D20" s="128"/>
      <c r="E20" s="126" t="s">
        <v>90</v>
      </c>
      <c r="F20" s="126" t="s">
        <v>4</v>
      </c>
      <c r="G20" s="128">
        <v>31880.9</v>
      </c>
      <c r="H20" s="128"/>
    </row>
    <row r="21" spans="1:9" ht="41.25" customHeight="1" x14ac:dyDescent="0.25">
      <c r="A21" s="126" t="s">
        <v>56</v>
      </c>
      <c r="B21" s="126" t="s">
        <v>4</v>
      </c>
      <c r="C21" s="128" t="s">
        <v>386</v>
      </c>
      <c r="D21" s="128"/>
      <c r="E21" s="126" t="s">
        <v>55</v>
      </c>
      <c r="F21" s="126" t="s">
        <v>4</v>
      </c>
      <c r="G21" s="128" t="s">
        <v>375</v>
      </c>
      <c r="H21" s="128"/>
      <c r="I21" s="1">
        <f>432+47</f>
        <v>479</v>
      </c>
    </row>
    <row r="22" spans="1:9" ht="20.25" x14ac:dyDescent="0.25">
      <c r="A22" s="126" t="s">
        <v>155</v>
      </c>
      <c r="B22" s="126" t="s">
        <v>4</v>
      </c>
      <c r="C22" s="128" t="s">
        <v>376</v>
      </c>
      <c r="D22" s="128"/>
      <c r="E22" s="126" t="s">
        <v>156</v>
      </c>
      <c r="F22" s="126" t="s">
        <v>4</v>
      </c>
      <c r="G22" s="128" t="s">
        <v>373</v>
      </c>
      <c r="H22" s="128"/>
    </row>
    <row r="23" spans="1:9" ht="20.25" x14ac:dyDescent="0.25">
      <c r="A23" s="126" t="s">
        <v>153</v>
      </c>
      <c r="B23" s="126" t="s">
        <v>4</v>
      </c>
      <c r="C23" s="161" t="s">
        <v>302</v>
      </c>
      <c r="D23" s="128"/>
      <c r="E23" s="128"/>
      <c r="F23" s="128"/>
      <c r="G23" s="128"/>
      <c r="H23" s="128"/>
    </row>
    <row r="24" spans="1:9" ht="48" customHeight="1" x14ac:dyDescent="0.25">
      <c r="A24" s="126" t="s">
        <v>25</v>
      </c>
      <c r="B24" s="126" t="s">
        <v>4</v>
      </c>
      <c r="C24" s="127" t="s">
        <v>303</v>
      </c>
      <c r="D24" s="127"/>
      <c r="E24" s="127"/>
      <c r="F24" s="127"/>
      <c r="G24" s="127"/>
      <c r="H24" s="127"/>
      <c r="I24" s="75" t="s">
        <v>304</v>
      </c>
    </row>
    <row r="25" spans="1:9" ht="20.25" x14ac:dyDescent="0.25">
      <c r="A25" s="147" t="s">
        <v>20</v>
      </c>
      <c r="B25" s="147"/>
      <c r="C25" s="147"/>
      <c r="D25" s="147"/>
      <c r="E25" s="147"/>
      <c r="F25" s="147"/>
      <c r="G25" s="147"/>
      <c r="H25" s="147"/>
    </row>
    <row r="26" spans="1:9" ht="43.5" customHeight="1" x14ac:dyDescent="0.25">
      <c r="A26" s="126" t="s">
        <v>26</v>
      </c>
      <c r="B26" s="126" t="s">
        <v>4</v>
      </c>
      <c r="C26" s="128" t="str">
        <f>IF(AND(G26="Upper"),"Developed","Developing")</f>
        <v>Developed</v>
      </c>
      <c r="D26" s="128"/>
      <c r="E26" s="126" t="s">
        <v>13</v>
      </c>
      <c r="F26" s="126" t="s">
        <v>4</v>
      </c>
      <c r="G26" s="127" t="s">
        <v>294</v>
      </c>
      <c r="H26" s="127"/>
    </row>
    <row r="27" spans="1:9" ht="20.25" x14ac:dyDescent="0.25">
      <c r="A27" s="126" t="s">
        <v>14</v>
      </c>
      <c r="B27" s="126" t="s">
        <v>4</v>
      </c>
      <c r="C27" s="128" t="s">
        <v>377</v>
      </c>
      <c r="D27" s="128"/>
      <c r="E27" s="126" t="s">
        <v>144</v>
      </c>
      <c r="F27" s="126" t="s">
        <v>4</v>
      </c>
      <c r="G27" s="127" t="s">
        <v>305</v>
      </c>
      <c r="H27" s="127"/>
    </row>
    <row r="28" spans="1:9" ht="43.5" customHeight="1" x14ac:dyDescent="0.25">
      <c r="A28" s="126" t="s">
        <v>23</v>
      </c>
      <c r="B28" s="126" t="s">
        <v>4</v>
      </c>
      <c r="C28" s="128" t="s">
        <v>93</v>
      </c>
      <c r="D28" s="128"/>
      <c r="E28" s="126" t="s">
        <v>16</v>
      </c>
      <c r="F28" s="126" t="s">
        <v>4</v>
      </c>
      <c r="G28" s="127" t="s">
        <v>306</v>
      </c>
      <c r="H28" s="127"/>
    </row>
    <row r="29" spans="1:9" ht="57" customHeight="1" x14ac:dyDescent="0.25">
      <c r="A29" s="126" t="s">
        <v>102</v>
      </c>
      <c r="B29" s="126" t="s">
        <v>4</v>
      </c>
      <c r="C29" s="128" t="s">
        <v>307</v>
      </c>
      <c r="D29" s="128"/>
      <c r="E29" s="126" t="s">
        <v>103</v>
      </c>
      <c r="F29" s="126" t="s">
        <v>4</v>
      </c>
      <c r="G29" s="127" t="s">
        <v>308</v>
      </c>
      <c r="H29" s="127"/>
    </row>
    <row r="30" spans="1:9" ht="84" customHeight="1" x14ac:dyDescent="0.25">
      <c r="A30" s="126" t="s">
        <v>17</v>
      </c>
      <c r="B30" s="126" t="s">
        <v>4</v>
      </c>
      <c r="C30" s="127" t="s">
        <v>309</v>
      </c>
      <c r="D30" s="127"/>
      <c r="E30" s="126" t="s">
        <v>15</v>
      </c>
      <c r="F30" s="126" t="s">
        <v>4</v>
      </c>
      <c r="G30" s="127" t="s">
        <v>310</v>
      </c>
      <c r="H30" s="127"/>
    </row>
    <row r="31" spans="1:9" ht="20.25" x14ac:dyDescent="0.25">
      <c r="A31" s="126" t="s">
        <v>108</v>
      </c>
      <c r="B31" s="126" t="s">
        <v>4</v>
      </c>
      <c r="C31" s="128" t="s">
        <v>109</v>
      </c>
      <c r="D31" s="128"/>
      <c r="E31" s="126" t="s">
        <v>110</v>
      </c>
      <c r="F31" s="126" t="s">
        <v>4</v>
      </c>
      <c r="G31" s="128" t="s">
        <v>109</v>
      </c>
      <c r="H31" s="128"/>
    </row>
    <row r="32" spans="1:9" ht="21.75" customHeight="1" x14ac:dyDescent="0.25">
      <c r="A32" s="126" t="s">
        <v>111</v>
      </c>
      <c r="B32" s="126" t="s">
        <v>4</v>
      </c>
      <c r="C32" s="128" t="s">
        <v>109</v>
      </c>
      <c r="D32" s="128"/>
      <c r="E32" s="128"/>
      <c r="F32" s="128"/>
      <c r="G32" s="128"/>
      <c r="H32" s="128"/>
    </row>
    <row r="33" spans="1:15" ht="20.25" x14ac:dyDescent="0.25">
      <c r="A33" s="185" t="s">
        <v>37</v>
      </c>
      <c r="B33" s="185"/>
      <c r="C33" s="185"/>
      <c r="D33" s="185"/>
      <c r="E33" s="185"/>
      <c r="F33" s="185"/>
      <c r="G33" s="185"/>
      <c r="H33" s="185"/>
    </row>
    <row r="34" spans="1:15" ht="43.5" customHeight="1" x14ac:dyDescent="0.25">
      <c r="A34" s="126" t="s">
        <v>18</v>
      </c>
      <c r="B34" s="126"/>
      <c r="C34" s="128" t="s">
        <v>94</v>
      </c>
      <c r="D34" s="128"/>
      <c r="E34" s="126" t="s">
        <v>19</v>
      </c>
      <c r="F34" s="126" t="s">
        <v>4</v>
      </c>
      <c r="G34" s="128" t="s">
        <v>95</v>
      </c>
      <c r="H34" s="128"/>
    </row>
    <row r="35" spans="1:15" ht="43.5" customHeight="1" x14ac:dyDescent="0.25">
      <c r="A35" s="126" t="s">
        <v>22</v>
      </c>
      <c r="B35" s="126"/>
      <c r="C35" s="128" t="s">
        <v>95</v>
      </c>
      <c r="D35" s="128"/>
      <c r="E35" s="126" t="s">
        <v>32</v>
      </c>
      <c r="F35" s="126" t="s">
        <v>4</v>
      </c>
      <c r="G35" s="127" t="s">
        <v>95</v>
      </c>
      <c r="H35" s="127"/>
    </row>
    <row r="36" spans="1:15" ht="20.25" x14ac:dyDescent="0.25">
      <c r="A36" s="126" t="s">
        <v>31</v>
      </c>
      <c r="B36" s="126"/>
      <c r="C36" s="128" t="s">
        <v>96</v>
      </c>
      <c r="D36" s="128"/>
      <c r="E36" s="126" t="s">
        <v>21</v>
      </c>
      <c r="F36" s="126" t="s">
        <v>4</v>
      </c>
      <c r="G36" s="128" t="s">
        <v>97</v>
      </c>
      <c r="H36" s="128"/>
    </row>
    <row r="37" spans="1:15" ht="20.25" x14ac:dyDescent="0.25">
      <c r="A37" s="147" t="s">
        <v>0</v>
      </c>
      <c r="B37" s="147"/>
      <c r="C37" s="147"/>
      <c r="D37" s="147"/>
      <c r="E37" s="147"/>
      <c r="F37" s="147"/>
      <c r="G37" s="147"/>
      <c r="H37" s="147"/>
    </row>
    <row r="38" spans="1:15" ht="20.25" x14ac:dyDescent="0.25">
      <c r="A38" s="137" t="s">
        <v>0</v>
      </c>
      <c r="B38" s="137"/>
      <c r="C38" s="137" t="s">
        <v>220</v>
      </c>
      <c r="D38" s="137"/>
      <c r="E38" s="137"/>
      <c r="F38" s="137" t="s">
        <v>7</v>
      </c>
      <c r="G38" s="137"/>
      <c r="H38" s="137"/>
      <c r="J38" s="135" t="s">
        <v>1</v>
      </c>
      <c r="K38" s="136"/>
      <c r="L38" s="2" t="s">
        <v>6</v>
      </c>
      <c r="M38" s="135" t="s">
        <v>2</v>
      </c>
      <c r="N38" s="136"/>
      <c r="O38" s="2" t="s">
        <v>3</v>
      </c>
    </row>
    <row r="39" spans="1:15" ht="40.5" customHeight="1" x14ac:dyDescent="0.25">
      <c r="A39" s="139" t="s">
        <v>2</v>
      </c>
      <c r="B39" s="139"/>
      <c r="C39" s="138" t="s">
        <v>312</v>
      </c>
      <c r="D39" s="138"/>
      <c r="E39" s="138"/>
      <c r="F39" s="138" t="s">
        <v>316</v>
      </c>
      <c r="G39" s="138"/>
      <c r="H39" s="138"/>
    </row>
    <row r="40" spans="1:15" ht="20.25" x14ac:dyDescent="0.25">
      <c r="A40" s="139" t="s">
        <v>3</v>
      </c>
      <c r="B40" s="139"/>
      <c r="C40" s="138" t="s">
        <v>311</v>
      </c>
      <c r="D40" s="138"/>
      <c r="E40" s="138"/>
      <c r="F40" s="138" t="s">
        <v>315</v>
      </c>
      <c r="G40" s="138"/>
      <c r="H40" s="138"/>
    </row>
    <row r="41" spans="1:15" ht="20.25" x14ac:dyDescent="0.25">
      <c r="A41" s="139" t="s">
        <v>1</v>
      </c>
      <c r="B41" s="139"/>
      <c r="C41" s="138" t="s">
        <v>311</v>
      </c>
      <c r="D41" s="138"/>
      <c r="E41" s="138"/>
      <c r="F41" s="138" t="s">
        <v>313</v>
      </c>
      <c r="G41" s="138"/>
      <c r="H41" s="138"/>
    </row>
    <row r="42" spans="1:15" ht="20.25" x14ac:dyDescent="0.25">
      <c r="A42" s="139" t="s">
        <v>6</v>
      </c>
      <c r="B42" s="139"/>
      <c r="C42" s="138" t="s">
        <v>311</v>
      </c>
      <c r="D42" s="138"/>
      <c r="E42" s="138"/>
      <c r="F42" s="138" t="s">
        <v>314</v>
      </c>
      <c r="G42" s="138"/>
      <c r="H42" s="138"/>
    </row>
    <row r="43" spans="1:15" ht="51" customHeight="1" x14ac:dyDescent="0.25">
      <c r="A43" s="126" t="s">
        <v>221</v>
      </c>
      <c r="B43" s="126"/>
      <c r="C43" s="128" t="s">
        <v>93</v>
      </c>
      <c r="D43" s="128"/>
      <c r="E43" s="128"/>
      <c r="F43" s="128"/>
      <c r="G43" s="128"/>
      <c r="H43" s="128"/>
    </row>
    <row r="44" spans="1:15" ht="20.25" x14ac:dyDescent="0.25">
      <c r="A44" s="147" t="s">
        <v>57</v>
      </c>
      <c r="B44" s="147"/>
      <c r="C44" s="147"/>
      <c r="D44" s="147"/>
      <c r="E44" s="147"/>
      <c r="F44" s="147"/>
      <c r="G44" s="147"/>
      <c r="H44" s="147"/>
    </row>
    <row r="45" spans="1:15" ht="21" customHeight="1" x14ac:dyDescent="0.25">
      <c r="A45" s="137" t="s">
        <v>58</v>
      </c>
      <c r="B45" s="137"/>
      <c r="C45" s="2" t="s">
        <v>59</v>
      </c>
      <c r="D45" s="137" t="s">
        <v>142</v>
      </c>
      <c r="E45" s="137"/>
      <c r="F45" s="137"/>
      <c r="G45" s="137" t="s">
        <v>60</v>
      </c>
      <c r="H45" s="137"/>
    </row>
    <row r="46" spans="1:15" ht="20.25" x14ac:dyDescent="0.25">
      <c r="A46" s="134" t="s">
        <v>317</v>
      </c>
      <c r="B46" s="134"/>
      <c r="C46" s="31" t="s">
        <v>85</v>
      </c>
      <c r="D46" s="128" t="s">
        <v>324</v>
      </c>
      <c r="E46" s="128"/>
      <c r="F46" s="128"/>
      <c r="G46" s="128" t="s">
        <v>324</v>
      </c>
      <c r="H46" s="128"/>
      <c r="I46" s="75" t="s">
        <v>325</v>
      </c>
    </row>
    <row r="47" spans="1:15" ht="20.25" x14ac:dyDescent="0.25">
      <c r="A47" s="134" t="s">
        <v>318</v>
      </c>
      <c r="B47" s="134"/>
      <c r="C47" s="31" t="s">
        <v>85</v>
      </c>
      <c r="D47" s="128" t="s">
        <v>324</v>
      </c>
      <c r="E47" s="128"/>
      <c r="F47" s="128"/>
      <c r="G47" s="128" t="s">
        <v>324</v>
      </c>
      <c r="H47" s="128"/>
    </row>
    <row r="48" spans="1:15" ht="20.25" x14ac:dyDescent="0.25">
      <c r="A48" s="134" t="s">
        <v>319</v>
      </c>
      <c r="B48" s="134"/>
      <c r="C48" s="31" t="s">
        <v>85</v>
      </c>
      <c r="D48" s="128" t="s">
        <v>324</v>
      </c>
      <c r="E48" s="128"/>
      <c r="F48" s="128"/>
      <c r="G48" s="128" t="s">
        <v>324</v>
      </c>
      <c r="H48" s="128"/>
    </row>
    <row r="49" spans="1:8" ht="20.25" x14ac:dyDescent="0.25">
      <c r="A49" s="134" t="s">
        <v>320</v>
      </c>
      <c r="B49" s="134"/>
      <c r="C49" s="71" t="s">
        <v>85</v>
      </c>
      <c r="D49" s="128" t="s">
        <v>324</v>
      </c>
      <c r="E49" s="128"/>
      <c r="F49" s="128"/>
      <c r="G49" s="128" t="s">
        <v>324</v>
      </c>
      <c r="H49" s="128"/>
    </row>
    <row r="50" spans="1:8" ht="20.25" x14ac:dyDescent="0.25">
      <c r="A50" s="134" t="s">
        <v>321</v>
      </c>
      <c r="B50" s="134"/>
      <c r="C50" s="71" t="s">
        <v>85</v>
      </c>
      <c r="D50" s="128" t="s">
        <v>324</v>
      </c>
      <c r="E50" s="128"/>
      <c r="F50" s="128"/>
      <c r="G50" s="128" t="s">
        <v>324</v>
      </c>
      <c r="H50" s="128"/>
    </row>
    <row r="51" spans="1:8" ht="20.25" x14ac:dyDescent="0.25">
      <c r="A51" s="134" t="s">
        <v>322</v>
      </c>
      <c r="B51" s="134"/>
      <c r="C51" s="71" t="s">
        <v>85</v>
      </c>
      <c r="D51" s="128" t="s">
        <v>324</v>
      </c>
      <c r="E51" s="128"/>
      <c r="F51" s="128"/>
      <c r="G51" s="128" t="s">
        <v>324</v>
      </c>
      <c r="H51" s="128"/>
    </row>
    <row r="52" spans="1:8" ht="20.25" x14ac:dyDescent="0.25">
      <c r="A52" s="134" t="s">
        <v>323</v>
      </c>
      <c r="B52" s="134"/>
      <c r="C52" s="31" t="s">
        <v>85</v>
      </c>
      <c r="D52" s="128" t="s">
        <v>324</v>
      </c>
      <c r="E52" s="128"/>
      <c r="F52" s="128"/>
      <c r="G52" s="128" t="s">
        <v>324</v>
      </c>
      <c r="H52" s="128"/>
    </row>
    <row r="53" spans="1:8" ht="20.25" x14ac:dyDescent="0.25">
      <c r="A53" s="147" t="s">
        <v>61</v>
      </c>
      <c r="B53" s="147"/>
      <c r="C53" s="147"/>
      <c r="D53" s="147"/>
      <c r="E53" s="147"/>
      <c r="F53" s="147"/>
      <c r="G53" s="147"/>
      <c r="H53" s="147"/>
    </row>
    <row r="54" spans="1:8" ht="42.75" customHeight="1" x14ac:dyDescent="0.25">
      <c r="A54" s="126" t="s">
        <v>62</v>
      </c>
      <c r="B54" s="126" t="s">
        <v>4</v>
      </c>
      <c r="C54" s="127" t="s">
        <v>93</v>
      </c>
      <c r="D54" s="127"/>
      <c r="E54" s="127"/>
      <c r="F54" s="127"/>
      <c r="G54" s="127"/>
      <c r="H54" s="127"/>
    </row>
    <row r="55" spans="1:8" ht="44.25" customHeight="1" x14ac:dyDescent="0.25">
      <c r="A55" s="126" t="s">
        <v>63</v>
      </c>
      <c r="B55" s="126" t="s">
        <v>4</v>
      </c>
      <c r="C55" s="128" t="s">
        <v>326</v>
      </c>
      <c r="D55" s="128"/>
      <c r="E55" s="128"/>
      <c r="F55" s="128"/>
      <c r="G55" s="47" t="s">
        <v>222</v>
      </c>
      <c r="H55" s="89">
        <v>45672</v>
      </c>
    </row>
    <row r="56" spans="1:8" ht="44.25" customHeight="1" x14ac:dyDescent="0.25">
      <c r="A56" s="126" t="s">
        <v>64</v>
      </c>
      <c r="B56" s="126" t="s">
        <v>4</v>
      </c>
      <c r="C56" s="162" t="str">
        <f>C55</f>
        <v>P-18427/2023/(403B And Other)/S Ward/KANJUR-W/337/3/Amend</v>
      </c>
      <c r="D56" s="162"/>
      <c r="E56" s="162"/>
      <c r="F56" s="162"/>
      <c r="G56" s="47" t="s">
        <v>222</v>
      </c>
      <c r="H56" s="89">
        <f>H55</f>
        <v>45672</v>
      </c>
    </row>
    <row r="57" spans="1:8" ht="20.25" customHeight="1" x14ac:dyDescent="0.25">
      <c r="A57" s="167" t="s">
        <v>233</v>
      </c>
      <c r="B57" s="168"/>
      <c r="C57" s="197" t="s">
        <v>327</v>
      </c>
      <c r="D57" s="198"/>
      <c r="E57" s="198"/>
      <c r="F57" s="199"/>
      <c r="G57" s="90" t="s">
        <v>222</v>
      </c>
      <c r="H57" s="89">
        <v>45723</v>
      </c>
    </row>
    <row r="58" spans="1:8" ht="40.5" x14ac:dyDescent="0.25">
      <c r="A58" s="170"/>
      <c r="B58" s="194"/>
      <c r="C58" s="195"/>
      <c r="D58" s="196"/>
      <c r="E58" s="196"/>
      <c r="F58" s="200"/>
      <c r="G58" s="90" t="s">
        <v>234</v>
      </c>
      <c r="H58" s="89">
        <v>45842</v>
      </c>
    </row>
    <row r="59" spans="1:8" ht="125.25" customHeight="1" x14ac:dyDescent="0.25">
      <c r="A59" s="173"/>
      <c r="B59" s="175"/>
      <c r="C59" s="195" t="s">
        <v>382</v>
      </c>
      <c r="D59" s="196"/>
      <c r="E59" s="196"/>
      <c r="F59" s="196"/>
      <c r="G59" s="100"/>
      <c r="H59" s="101"/>
    </row>
    <row r="60" spans="1:8" ht="22.5" customHeight="1" x14ac:dyDescent="0.25">
      <c r="A60" s="167" t="s">
        <v>383</v>
      </c>
      <c r="B60" s="169"/>
      <c r="C60" s="198" t="s">
        <v>328</v>
      </c>
      <c r="D60" s="198"/>
      <c r="E60" s="198"/>
      <c r="F60" s="199"/>
      <c r="G60" s="95" t="s">
        <v>223</v>
      </c>
      <c r="H60" s="93" t="s">
        <v>329</v>
      </c>
    </row>
    <row r="61" spans="1:8" ht="43.5" customHeight="1" x14ac:dyDescent="0.25">
      <c r="A61" s="170"/>
      <c r="B61" s="172"/>
      <c r="C61" s="196"/>
      <c r="D61" s="196"/>
      <c r="E61" s="196"/>
      <c r="F61" s="200"/>
      <c r="G61" s="95" t="s">
        <v>330</v>
      </c>
      <c r="H61" s="94">
        <v>48304</v>
      </c>
    </row>
    <row r="62" spans="1:8" ht="45" customHeight="1" x14ac:dyDescent="0.25">
      <c r="A62" s="173"/>
      <c r="B62" s="175"/>
      <c r="C62" s="100" t="s">
        <v>381</v>
      </c>
      <c r="D62" s="100"/>
      <c r="E62" s="100"/>
      <c r="F62" s="100"/>
      <c r="G62" s="100"/>
      <c r="H62" s="101"/>
    </row>
    <row r="63" spans="1:8" ht="60.75" x14ac:dyDescent="0.25">
      <c r="A63" s="193" t="s">
        <v>380</v>
      </c>
      <c r="B63" s="193" t="s">
        <v>4</v>
      </c>
      <c r="C63" s="99" t="s">
        <v>331</v>
      </c>
      <c r="D63" s="100"/>
      <c r="E63" s="100"/>
      <c r="F63" s="101"/>
      <c r="G63" s="95" t="s">
        <v>223</v>
      </c>
      <c r="H63" s="94">
        <v>45237</v>
      </c>
    </row>
    <row r="64" spans="1:8" ht="20.25" customHeight="1" x14ac:dyDescent="0.25">
      <c r="A64" s="167" t="s">
        <v>397</v>
      </c>
      <c r="B64" s="169"/>
      <c r="C64" s="99" t="s">
        <v>398</v>
      </c>
      <c r="D64" s="100"/>
      <c r="E64" s="100"/>
      <c r="F64" s="101"/>
      <c r="G64" s="95" t="s">
        <v>223</v>
      </c>
      <c r="H64" s="94">
        <v>45491</v>
      </c>
    </row>
    <row r="65" spans="1:10" ht="48" customHeight="1" thickBot="1" x14ac:dyDescent="0.3">
      <c r="A65" s="170"/>
      <c r="B65" s="172"/>
      <c r="C65" s="99" t="s">
        <v>399</v>
      </c>
      <c r="D65" s="100"/>
      <c r="E65" s="100"/>
      <c r="F65" s="100"/>
      <c r="G65" s="100"/>
      <c r="H65" s="101"/>
    </row>
    <row r="66" spans="1:10" ht="21" customHeight="1" x14ac:dyDescent="0.3">
      <c r="A66" s="176" t="s">
        <v>65</v>
      </c>
      <c r="B66" s="177"/>
      <c r="C66" s="177"/>
      <c r="D66" s="177"/>
      <c r="E66" s="177"/>
      <c r="F66" s="177"/>
      <c r="G66" s="177"/>
      <c r="H66" s="178"/>
      <c r="I66" s="15" t="str">
        <f ca="1">(IF(E70&gt;99%,"All work completed. Please provide OC.",IF(E70&gt;89.8%,"Plinth, RCC, Brick, Plaster, Flooring, Wooden, Plumbing, Electrification, etc., work Completed. Finishing work is in process.",IF(E70&lt;94%,(IF(C70=0,"Work not yet Started.",IF(D70=25%,"Piling work in process",IF(D70=50%,"Excavation work in process",IF(D70=100%,"Excavation work Completed. ","0")))&amp;(IF(C71=0%,"",IF(C71=J71,"Footing work is process",IF(C71=J72,"Footing work Completed",IF(C71=J73,"1st Basement Completed",IF(C71=J74,"1st &amp; 2nd Basement Completed",IF(C71=J75,"1st to 3rd Basement Completed",IF(C71=J76,"1st to 4th Basement Completed",IF(C71=J77,"Plinth work is process",IF(C71=J78,"Plinth work completed","0")))))))))))&amp;(IF(C72=(E68+G68+H68),", RCC Slab",IF(C72&gt;0,", RCC upto "&amp;C72&amp;" Slab",""))&amp;(IF(C73=H68,", Brickwork",IF(C73&gt;0,", Brickwork upto "&amp;C73&amp;" Floor",""))&amp;(IF(C74=H68,", Internal Plaster",IF(C74&gt;0,", Internal Plaster upto "&amp;C74&amp;" Floor",""))&amp;(IF(C75=H68,", External Plaster",IF(C75&gt;0,", External Plaster upto "&amp;C75&amp;" Floor",""))&amp;(IF(C76=H68,", External Plumbing, Elevation and Waterproofing",IF(C76&gt;0,", External Plumbing, Elevation and Waterproofing upto "&amp;C76&amp;" Floor",""))&amp;(IF(C77=H68,", Flooring &amp; Fitting",IF(C77&gt;0,", Flooring &amp; Fitting upto "&amp;C77&amp;" Floor",""))&amp;(IF(C78=H68,", Wooden Work",IF(C78&gt;0,", Wooden Work upto "&amp;C78&amp;" Floor",""))&amp;(IF(C79=H68,", Electrical &amp; Sanitary fittings",IF(C79&gt;0,", Electrical &amp; Sanitary fittings upto "&amp;C79&amp;" Floor",""))&amp;(IF(C80&gt;0,", Finishing upto "&amp;C80&amp;" Floor","")&amp;(IF(C72&gt;0.5," Completed",""))))))))))))))))</f>
        <v>Excavation work Completed. Plinth work completed, RCC upto 2 Slab Completed</v>
      </c>
      <c r="J66" s="17"/>
    </row>
    <row r="67" spans="1:10" ht="21" customHeight="1" x14ac:dyDescent="0.3">
      <c r="A67" s="188" t="str">
        <f>CONCATENATE((IF(OR(A46="",A46="NA"),"",A46)),"= ",(IF(OR(D46="",D46="NA"),"",D46)),".")</f>
        <v>Wing A= St + 5P + 6th to 21st Floor.</v>
      </c>
      <c r="B67" s="188"/>
      <c r="C67" s="188"/>
      <c r="D67" s="27" t="s">
        <v>112</v>
      </c>
      <c r="E67" s="189" t="s">
        <v>99</v>
      </c>
      <c r="F67" s="189"/>
      <c r="G67" s="27" t="s">
        <v>113</v>
      </c>
      <c r="H67" s="27" t="s">
        <v>114</v>
      </c>
      <c r="I67" s="16" t="s">
        <v>118</v>
      </c>
      <c r="J67" s="17"/>
    </row>
    <row r="68" spans="1:10" ht="20.25" x14ac:dyDescent="0.3">
      <c r="A68" s="188"/>
      <c r="B68" s="188"/>
      <c r="C68" s="188"/>
      <c r="D68" s="76">
        <f>IF(AND(ISNUMBER(SEARCH("1B",A67))),1,IF(AND(ISNUMBER(SEARCH("2B",A67))),2,IF(AND(ISNUMBER(SEARCH("3B",A67))),3,IF(AND(ISNUMBER(SEARCH("4B",A67))),4,IF(ISNUMBER(SEARCH("5B",A67)),5,0)))))</f>
        <v>0</v>
      </c>
      <c r="E68" s="189">
        <v>1</v>
      </c>
      <c r="F68" s="189"/>
      <c r="G68" s="76">
        <v>0</v>
      </c>
      <c r="H68" s="27">
        <f ca="1">--TRIM(RIGHT(SUBSTITUTE(LEFT(A67,_xlfn.AGGREGATE(16,6,FIND({0,1,2,3,4,5,6,7,8,9},A67,ROW(INDIRECT("1:"&amp;LEN(A67)))),1))," ",REPT(" ",LEN(A67))),LEN(A67)))</f>
        <v>21</v>
      </c>
      <c r="I68" s="19" t="s">
        <v>128</v>
      </c>
      <c r="J68" s="18">
        <f ca="1">H68*25%</f>
        <v>5.25</v>
      </c>
    </row>
    <row r="69" spans="1:10" ht="20.25" x14ac:dyDescent="0.3">
      <c r="A69" s="192" t="s">
        <v>116</v>
      </c>
      <c r="B69" s="192"/>
      <c r="C69" s="25" t="s">
        <v>126</v>
      </c>
      <c r="D69" s="25" t="s">
        <v>127</v>
      </c>
      <c r="E69" s="192" t="s">
        <v>117</v>
      </c>
      <c r="F69" s="192"/>
      <c r="G69" s="26" t="s">
        <v>115</v>
      </c>
      <c r="H69" s="26"/>
      <c r="I69" s="19" t="s">
        <v>119</v>
      </c>
      <c r="J69" s="21">
        <f ca="1">H68*50%</f>
        <v>10.5</v>
      </c>
    </row>
    <row r="70" spans="1:10" ht="20.25" x14ac:dyDescent="0.3">
      <c r="A70" s="142" t="s">
        <v>129</v>
      </c>
      <c r="B70" s="142"/>
      <c r="C70" s="29">
        <f ca="1">J70</f>
        <v>21</v>
      </c>
      <c r="D70" s="5">
        <f ca="1">((100/H68)*C70)/100</f>
        <v>1</v>
      </c>
      <c r="E70" s="148">
        <f ca="1">(((C70/H68*10)+(C71/H68*15)+(25/(E68+G68+H68)*C72)+(5/(H68)*C73)+(2.5/(H68)*C74)+(2.5/(H68)*C75)+(5/H68*C76)+(10/H68*C77)+(2.5/H68*C78)+(2.5/H68*C79)+(10/H68*C80)+(10/H68*C81))/100)</f>
        <v>0.27272727272727271</v>
      </c>
      <c r="F70" s="149"/>
      <c r="G70" s="142" t="str">
        <f ca="1">I66</f>
        <v>Excavation work Completed. Plinth work completed, RCC upto 2 Slab Completed</v>
      </c>
      <c r="H70" s="142"/>
      <c r="I70" s="19" t="s">
        <v>120</v>
      </c>
      <c r="J70" s="21">
        <f ca="1">H68</f>
        <v>21</v>
      </c>
    </row>
    <row r="71" spans="1:10" ht="21" x14ac:dyDescent="0.35">
      <c r="A71" s="142" t="s">
        <v>100</v>
      </c>
      <c r="B71" s="142"/>
      <c r="C71" s="29">
        <f ca="1">J78</f>
        <v>21</v>
      </c>
      <c r="D71" s="5">
        <f ca="1">((100/H68)*C71)/100</f>
        <v>1</v>
      </c>
      <c r="E71" s="150"/>
      <c r="F71" s="151"/>
      <c r="G71" s="142"/>
      <c r="H71" s="142"/>
      <c r="I71" s="19" t="s">
        <v>121</v>
      </c>
      <c r="J71" s="22">
        <f ca="1">(IF(D68&gt;1,(H68/(D68+2)),H68*0.2))</f>
        <v>4.2</v>
      </c>
    </row>
    <row r="72" spans="1:10" ht="21" x14ac:dyDescent="0.35">
      <c r="A72" s="142" t="s">
        <v>130</v>
      </c>
      <c r="B72" s="142"/>
      <c r="C72" s="27">
        <v>2</v>
      </c>
      <c r="D72" s="5">
        <f ca="1">((100/(E68+G68+H68))*C72)/100</f>
        <v>9.0909090909090912E-2</v>
      </c>
      <c r="E72" s="150"/>
      <c r="F72" s="151"/>
      <c r="G72" s="142"/>
      <c r="H72" s="142"/>
      <c r="I72" s="19" t="s">
        <v>122</v>
      </c>
      <c r="J72" s="22">
        <f ca="1">(IF(D68&gt;1,(H68/(D68+2)+J71),H68*0.2+J71))</f>
        <v>8.4</v>
      </c>
    </row>
    <row r="73" spans="1:10" ht="21" x14ac:dyDescent="0.35">
      <c r="A73" s="142" t="s">
        <v>131</v>
      </c>
      <c r="B73" s="142"/>
      <c r="C73" s="85">
        <v>0</v>
      </c>
      <c r="D73" s="5">
        <f ca="1">((100/H68)*C73)/100</f>
        <v>0</v>
      </c>
      <c r="E73" s="150"/>
      <c r="F73" s="151"/>
      <c r="G73" s="142"/>
      <c r="H73" s="142"/>
      <c r="I73" s="19" t="s">
        <v>133</v>
      </c>
      <c r="J73" s="22">
        <f>(IF(D68&gt;1,(H68/(D68+2)+J72),0))</f>
        <v>0</v>
      </c>
    </row>
    <row r="74" spans="1:10" ht="21" x14ac:dyDescent="0.35">
      <c r="A74" s="143" t="s">
        <v>132</v>
      </c>
      <c r="B74" s="144"/>
      <c r="C74" s="85">
        <v>0</v>
      </c>
      <c r="D74" s="5">
        <f ca="1">((100/H68)*C74)/100</f>
        <v>0</v>
      </c>
      <c r="E74" s="150"/>
      <c r="F74" s="151"/>
      <c r="G74" s="142"/>
      <c r="H74" s="142"/>
      <c r="I74" s="19" t="s">
        <v>134</v>
      </c>
      <c r="J74" s="22">
        <f>(IF(D68&gt;2,(H68/(D68+2)+J73),0))</f>
        <v>0</v>
      </c>
    </row>
    <row r="75" spans="1:10" ht="20.25" customHeight="1" x14ac:dyDescent="0.35">
      <c r="A75" s="143" t="s">
        <v>161</v>
      </c>
      <c r="B75" s="144"/>
      <c r="C75" s="85">
        <v>0</v>
      </c>
      <c r="D75" s="5">
        <f ca="1">((100/H68)*C75)/100</f>
        <v>0</v>
      </c>
      <c r="E75" s="150"/>
      <c r="F75" s="151"/>
      <c r="G75" s="142"/>
      <c r="H75" s="142"/>
      <c r="I75" s="19" t="s">
        <v>136</v>
      </c>
      <c r="J75" s="23">
        <f>(IF(D68&gt;3,(H68/(D68+2)+J74),0))</f>
        <v>0</v>
      </c>
    </row>
    <row r="76" spans="1:10" ht="55.5" customHeight="1" x14ac:dyDescent="0.35">
      <c r="A76" s="143" t="s">
        <v>158</v>
      </c>
      <c r="B76" s="144"/>
      <c r="C76" s="85">
        <v>0</v>
      </c>
      <c r="D76" s="5">
        <f ca="1">((100/(H68))*C76)/100</f>
        <v>0</v>
      </c>
      <c r="E76" s="150"/>
      <c r="F76" s="151"/>
      <c r="G76" s="142"/>
      <c r="H76" s="142"/>
      <c r="I76" s="19" t="s">
        <v>137</v>
      </c>
      <c r="J76" s="22">
        <f>(IF(D68&gt;4,(H68/(D68+2)+J75),0))</f>
        <v>0</v>
      </c>
    </row>
    <row r="77" spans="1:10" ht="20.25" customHeight="1" x14ac:dyDescent="0.35">
      <c r="A77" s="142" t="s">
        <v>135</v>
      </c>
      <c r="B77" s="142"/>
      <c r="C77" s="85">
        <v>0</v>
      </c>
      <c r="D77" s="5">
        <f ca="1">((100/(H68))*C77)/100</f>
        <v>0</v>
      </c>
      <c r="E77" s="150"/>
      <c r="F77" s="151"/>
      <c r="G77" s="142"/>
      <c r="H77" s="142"/>
      <c r="I77" s="19" t="s">
        <v>123</v>
      </c>
      <c r="J77" s="22">
        <f ca="1">(IF(D68=1,(H68/(D68+3)+J72),IF(D68=0,(H68*0.3+J72),IF(D68&gt;1,0))))</f>
        <v>14.7</v>
      </c>
    </row>
    <row r="78" spans="1:10" ht="20.25" customHeight="1" thickBot="1" x14ac:dyDescent="0.4">
      <c r="A78" s="142" t="s">
        <v>160</v>
      </c>
      <c r="B78" s="142"/>
      <c r="C78" s="85">
        <v>0</v>
      </c>
      <c r="D78" s="5">
        <f ca="1">((100/H68)*C78)/100</f>
        <v>0</v>
      </c>
      <c r="E78" s="150"/>
      <c r="F78" s="151"/>
      <c r="G78" s="142"/>
      <c r="H78" s="142"/>
      <c r="I78" s="20" t="s">
        <v>124</v>
      </c>
      <c r="J78" s="24">
        <f ca="1">(IF(D68&gt;1.5,(H68/(D68+2)+J72+MAX(0,J73-J72)+MAX(0,J74-J73)+MAX(0,J75-J74)+MAX(0,J76-J75)+MAX(0,J77-J76)),IF(D68=1,(H68/(D68+3)+J77),IF(D68=0,H68*0.3+J77))))</f>
        <v>21</v>
      </c>
    </row>
    <row r="79" spans="1:10" ht="20.25" x14ac:dyDescent="0.25">
      <c r="A79" s="142" t="s">
        <v>159</v>
      </c>
      <c r="B79" s="142"/>
      <c r="C79" s="27">
        <v>0</v>
      </c>
      <c r="D79" s="5">
        <f ca="1">((100/H68)*C79)/100</f>
        <v>0</v>
      </c>
      <c r="E79" s="150"/>
      <c r="F79" s="151"/>
      <c r="G79" s="142"/>
      <c r="H79" s="142"/>
    </row>
    <row r="80" spans="1:10" ht="21" customHeight="1" x14ac:dyDescent="0.25">
      <c r="A80" s="142" t="s">
        <v>138</v>
      </c>
      <c r="B80" s="142"/>
      <c r="C80" s="27">
        <v>0</v>
      </c>
      <c r="D80" s="5">
        <f ca="1">((100/(H68))*C80)/100</f>
        <v>0</v>
      </c>
      <c r="E80" s="150"/>
      <c r="F80" s="151"/>
      <c r="G80" s="142"/>
      <c r="H80" s="142"/>
    </row>
    <row r="81" spans="1:10" ht="21" customHeight="1" thickBot="1" x14ac:dyDescent="0.3">
      <c r="A81" s="142" t="s">
        <v>139</v>
      </c>
      <c r="B81" s="142"/>
      <c r="C81" s="27">
        <v>0</v>
      </c>
      <c r="D81" s="5">
        <f ca="1">((100/(H68))*C81)/100</f>
        <v>0</v>
      </c>
      <c r="E81" s="152"/>
      <c r="F81" s="153"/>
      <c r="G81" s="142"/>
      <c r="H81" s="142"/>
    </row>
    <row r="82" spans="1:10" ht="21" customHeight="1" x14ac:dyDescent="0.3">
      <c r="A82" s="147" t="s">
        <v>65</v>
      </c>
      <c r="B82" s="147"/>
      <c r="C82" s="147"/>
      <c r="D82" s="147"/>
      <c r="E82" s="147"/>
      <c r="F82" s="147"/>
      <c r="G82" s="147"/>
      <c r="H82" s="147"/>
      <c r="I82" s="15" t="str">
        <f ca="1">(IF(E86&gt;99%,"All work completed. Please provide OC.",IF(E86&gt;89.8%,"Plinth, RCC, Brick, Plaster, Flooring, Wooden, Plumbing, Electrification, etc., work Completed. Finishing work is in process.",IF(E86&lt;94%,(IF(C86=0,"Work not yet Started.",IF(D86=25%,"Piling work in process",IF(D86=50%,"Excavation work in process",IF(D86=100%,"Excavation work Completed. ","0")))&amp;(IF(C87=0%,"",IF(C87=J87,"Footing work is process",IF(C87=J88,"Footing work Completed",IF(C87=J89,"1st Basement Completed",IF(C87=J90,"1st &amp; 2nd Basement Completed",IF(C87=J91,"1st to 3rd Basement Completed",IF(C87=J92,"1st to 4th Basement Completed",IF(C87=J93,"Plinth work is process",IF(C87=J94,"Plinth work completed","0")))))))))))&amp;(IF(C88=(E84+G84+H84),", RCC Slab",IF(C88&gt;0,", RCC upto "&amp;C88&amp;" Slab",""))&amp;(IF(C89=H84,", Brickwork",IF(C89&gt;0,", Brickwork upto "&amp;C89&amp;" Floor",""))&amp;(IF(C90=H84,", Internal Plaster",IF(C90&gt;0,", Internal Plaster upto "&amp;C90&amp;" Floor",""))&amp;(IF(C91=H84,", External Plaster",IF(C91&gt;0,", External Plaster upto "&amp;C91&amp;" Floor",""))&amp;(IF(C92=H84,", External Plumbing, Elevation and Waterproofing",IF(C92&gt;0,", External Plumbing, Elevation and Waterproofing upto "&amp;C92&amp;" Floor",""))&amp;(IF(C93=H84,", Flooring &amp; Fitting",IF(C93&gt;0,", Flooring &amp; Fitting upto "&amp;C93&amp;" Floor",""))&amp;(IF(C94=H84,", Wooden Work",IF(C94&gt;0,", Wooden Work upto "&amp;C94&amp;" Floor",""))&amp;(IF(C95=H84,", Electrical &amp; Sanitary fittings",IF(C95&gt;0,", Electrical &amp; Sanitary fittings upto "&amp;C95&amp;" Floor",""))&amp;(IF(C96&gt;0,", Finishing upto "&amp;C96&amp;" Floor","")&amp;(IF(C88&gt;0.5," Completed",""))))))))))))))))</f>
        <v>Excavation work Completed. Plinth work completed, RCC upto 1 Slab Completed</v>
      </c>
      <c r="J82" s="17"/>
    </row>
    <row r="83" spans="1:10" ht="21" customHeight="1" x14ac:dyDescent="0.3">
      <c r="A83" s="188" t="str">
        <f>CONCATENATE((IF(OR(A47="",A47="NA"),"",A47)),"= ",(IF(OR(D47="",D47="NA"),"",D47)),".")</f>
        <v>Wing B= St + 5P + 6th to 21st Floor.</v>
      </c>
      <c r="B83" s="188"/>
      <c r="C83" s="188"/>
      <c r="D83" s="27" t="s">
        <v>112</v>
      </c>
      <c r="E83" s="189" t="s">
        <v>99</v>
      </c>
      <c r="F83" s="189"/>
      <c r="G83" s="27" t="s">
        <v>113</v>
      </c>
      <c r="H83" s="27" t="s">
        <v>114</v>
      </c>
      <c r="I83" s="16" t="s">
        <v>118</v>
      </c>
      <c r="J83" s="17"/>
    </row>
    <row r="84" spans="1:10" ht="20.25" x14ac:dyDescent="0.3">
      <c r="A84" s="188"/>
      <c r="B84" s="188"/>
      <c r="C84" s="188"/>
      <c r="D84" s="76">
        <f>IF(AND(ISNUMBER(SEARCH("1B",A83))),1,IF(AND(ISNUMBER(SEARCH("2B",A83))),2,IF(AND(ISNUMBER(SEARCH("3B",A83))),3,IF(AND(ISNUMBER(SEARCH("4B",A83))),4,IF(ISNUMBER(SEARCH("5B",A83)),5,0)))))</f>
        <v>0</v>
      </c>
      <c r="E84" s="189">
        <v>1</v>
      </c>
      <c r="F84" s="189"/>
      <c r="G84" s="76">
        <v>0</v>
      </c>
      <c r="H84" s="27">
        <f ca="1">--TRIM(RIGHT(SUBSTITUTE(LEFT(A83,_xlfn.AGGREGATE(16,6,FIND({0,1,2,3,4,5,6,7,8,9},A83,ROW(INDIRECT("1:"&amp;LEN(A83)))),1))," ",REPT(" ",LEN(A83))),LEN(A83)))</f>
        <v>21</v>
      </c>
      <c r="I84" s="19" t="s">
        <v>128</v>
      </c>
      <c r="J84" s="18">
        <f ca="1">H84*25%</f>
        <v>5.25</v>
      </c>
    </row>
    <row r="85" spans="1:10" ht="20.25" x14ac:dyDescent="0.3">
      <c r="A85" s="192" t="s">
        <v>116</v>
      </c>
      <c r="B85" s="192"/>
      <c r="C85" s="25" t="s">
        <v>126</v>
      </c>
      <c r="D85" s="25" t="s">
        <v>127</v>
      </c>
      <c r="E85" s="192" t="s">
        <v>117</v>
      </c>
      <c r="F85" s="192"/>
      <c r="G85" s="26" t="s">
        <v>115</v>
      </c>
      <c r="H85" s="26"/>
      <c r="I85" s="19" t="s">
        <v>119</v>
      </c>
      <c r="J85" s="21">
        <f ca="1">H84*50%</f>
        <v>10.5</v>
      </c>
    </row>
    <row r="86" spans="1:10" ht="20.25" x14ac:dyDescent="0.3">
      <c r="A86" s="142" t="s">
        <v>129</v>
      </c>
      <c r="B86" s="142"/>
      <c r="C86" s="27">
        <f ca="1">J86</f>
        <v>21</v>
      </c>
      <c r="D86" s="5">
        <f ca="1">((100/H84)*C86)/100</f>
        <v>1</v>
      </c>
      <c r="E86" s="148">
        <f ca="1">(((C86/H84*10)+(C87/H84*15)+(25/(E84+G84+H84)*C88)+(5/(H84)*C89)+(2.5/(H84)*C90)+(2.5/(H84)*C91)+(5/H84*C92)+(10/H84*C93)+(2.5/H84*C94)+(2.5/H84*C95)+(10/H84*C96)+(10/H84*C97))/100)</f>
        <v>0.26136363636363635</v>
      </c>
      <c r="F86" s="149"/>
      <c r="G86" s="142" t="str">
        <f ca="1">I82</f>
        <v>Excavation work Completed. Plinth work completed, RCC upto 1 Slab Completed</v>
      </c>
      <c r="H86" s="142"/>
      <c r="I86" s="19" t="s">
        <v>120</v>
      </c>
      <c r="J86" s="21">
        <f ca="1">H84</f>
        <v>21</v>
      </c>
    </row>
    <row r="87" spans="1:10" ht="21" x14ac:dyDescent="0.35">
      <c r="A87" s="142" t="s">
        <v>100</v>
      </c>
      <c r="B87" s="142"/>
      <c r="C87" s="29">
        <f ca="1">J94</f>
        <v>21</v>
      </c>
      <c r="D87" s="5">
        <f ca="1">((100/H84)*C87)/100</f>
        <v>1</v>
      </c>
      <c r="E87" s="150"/>
      <c r="F87" s="151"/>
      <c r="G87" s="142"/>
      <c r="H87" s="142"/>
      <c r="I87" s="19" t="s">
        <v>121</v>
      </c>
      <c r="J87" s="22">
        <f ca="1">(IF(D84&gt;1,(H84/(D84+2)),H84*0.2))</f>
        <v>4.2</v>
      </c>
    </row>
    <row r="88" spans="1:10" ht="21" x14ac:dyDescent="0.35">
      <c r="A88" s="142" t="s">
        <v>130</v>
      </c>
      <c r="B88" s="142"/>
      <c r="C88" s="27">
        <v>1</v>
      </c>
      <c r="D88" s="5">
        <f ca="1">((100/(E84+G84+H84))*C88)/100</f>
        <v>4.5454545454545456E-2</v>
      </c>
      <c r="E88" s="150"/>
      <c r="F88" s="151"/>
      <c r="G88" s="142"/>
      <c r="H88" s="142"/>
      <c r="I88" s="19" t="s">
        <v>122</v>
      </c>
      <c r="J88" s="22">
        <f ca="1">(IF(D84&gt;1,(H84/(D84+2)+J87),H84*0.2+J87))</f>
        <v>8.4</v>
      </c>
    </row>
    <row r="89" spans="1:10" ht="21" x14ac:dyDescent="0.35">
      <c r="A89" s="142" t="s">
        <v>131</v>
      </c>
      <c r="B89" s="142"/>
      <c r="C89" s="27">
        <v>0</v>
      </c>
      <c r="D89" s="5">
        <f ca="1">((100/H84)*C89)/100</f>
        <v>0</v>
      </c>
      <c r="E89" s="150"/>
      <c r="F89" s="151"/>
      <c r="G89" s="142"/>
      <c r="H89" s="142"/>
      <c r="I89" s="19" t="s">
        <v>133</v>
      </c>
      <c r="J89" s="22">
        <f>(IF(D84&gt;1,(H84/(D84+2)+J88),0))</f>
        <v>0</v>
      </c>
    </row>
    <row r="90" spans="1:10" ht="21" x14ac:dyDescent="0.35">
      <c r="A90" s="143" t="s">
        <v>132</v>
      </c>
      <c r="B90" s="144"/>
      <c r="C90" s="27">
        <v>0</v>
      </c>
      <c r="D90" s="5">
        <f ca="1">((100/H84)*C90)/100</f>
        <v>0</v>
      </c>
      <c r="E90" s="150"/>
      <c r="F90" s="151"/>
      <c r="G90" s="142"/>
      <c r="H90" s="142"/>
      <c r="I90" s="19" t="s">
        <v>134</v>
      </c>
      <c r="J90" s="22">
        <f>(IF(D84&gt;2,(H84/(D84+2)+J89),0))</f>
        <v>0</v>
      </c>
    </row>
    <row r="91" spans="1:10" ht="20.25" customHeight="1" x14ac:dyDescent="0.35">
      <c r="A91" s="143" t="s">
        <v>161</v>
      </c>
      <c r="B91" s="144"/>
      <c r="C91" s="27">
        <v>0</v>
      </c>
      <c r="D91" s="5">
        <f ca="1">((100/H84)*C91)/100</f>
        <v>0</v>
      </c>
      <c r="E91" s="150"/>
      <c r="F91" s="151"/>
      <c r="G91" s="142"/>
      <c r="H91" s="142"/>
      <c r="I91" s="19" t="s">
        <v>136</v>
      </c>
      <c r="J91" s="23">
        <f>(IF(D84&gt;3,(H84/(D84+2)+J90),0))</f>
        <v>0</v>
      </c>
    </row>
    <row r="92" spans="1:10" ht="61.5" customHeight="1" x14ac:dyDescent="0.35">
      <c r="A92" s="143" t="s">
        <v>158</v>
      </c>
      <c r="B92" s="144"/>
      <c r="C92" s="27">
        <v>0</v>
      </c>
      <c r="D92" s="5">
        <f ca="1">((100/(H84))*C92)/100</f>
        <v>0</v>
      </c>
      <c r="E92" s="150"/>
      <c r="F92" s="151"/>
      <c r="G92" s="142"/>
      <c r="H92" s="142"/>
      <c r="I92" s="19" t="s">
        <v>137</v>
      </c>
      <c r="J92" s="22">
        <f>(IF(D84&gt;4,(H84/(D84+2)+J91),0))</f>
        <v>0</v>
      </c>
    </row>
    <row r="93" spans="1:10" ht="20.25" customHeight="1" x14ac:dyDescent="0.35">
      <c r="A93" s="142" t="s">
        <v>135</v>
      </c>
      <c r="B93" s="142"/>
      <c r="C93" s="27">
        <v>0</v>
      </c>
      <c r="D93" s="5">
        <f ca="1">((100/(H84))*C93)/100</f>
        <v>0</v>
      </c>
      <c r="E93" s="150"/>
      <c r="F93" s="151"/>
      <c r="G93" s="142"/>
      <c r="H93" s="142"/>
      <c r="I93" s="19" t="s">
        <v>123</v>
      </c>
      <c r="J93" s="22">
        <f ca="1">(IF(D84=1,(H84/(D84+3)+J88),IF(D84=0,(H84*0.3+J88),IF(D84&gt;1,0))))</f>
        <v>14.7</v>
      </c>
    </row>
    <row r="94" spans="1:10" ht="20.25" customHeight="1" thickBot="1" x14ac:dyDescent="0.4">
      <c r="A94" s="142" t="s">
        <v>160</v>
      </c>
      <c r="B94" s="142"/>
      <c r="C94" s="27">
        <v>0</v>
      </c>
      <c r="D94" s="5">
        <f ca="1">((100/H84)*C94)/100</f>
        <v>0</v>
      </c>
      <c r="E94" s="150"/>
      <c r="F94" s="151"/>
      <c r="G94" s="142"/>
      <c r="H94" s="142"/>
      <c r="I94" s="20" t="s">
        <v>124</v>
      </c>
      <c r="J94" s="24">
        <f ca="1">(IF(D84&gt;1.5,(H84/(D84+2)+J88+MAX(0,J89-J88)+MAX(0,J90-J89)+MAX(0,J91-J90)+MAX(0,J92-J91)+MAX(0,J93-J92)),IF(D84=1,(H84/(D84+3)+J93),IF(D84=0,H84*0.3+J93))))</f>
        <v>21</v>
      </c>
    </row>
    <row r="95" spans="1:10" ht="20.25" x14ac:dyDescent="0.25">
      <c r="A95" s="142" t="s">
        <v>159</v>
      </c>
      <c r="B95" s="142"/>
      <c r="C95" s="27">
        <v>0</v>
      </c>
      <c r="D95" s="5">
        <f ca="1">((100/H84)*C95)/100</f>
        <v>0</v>
      </c>
      <c r="E95" s="150"/>
      <c r="F95" s="151"/>
      <c r="G95" s="142"/>
      <c r="H95" s="142"/>
    </row>
    <row r="96" spans="1:10" ht="21" customHeight="1" x14ac:dyDescent="0.25">
      <c r="A96" s="142" t="s">
        <v>138</v>
      </c>
      <c r="B96" s="142"/>
      <c r="C96" s="27">
        <v>0</v>
      </c>
      <c r="D96" s="5">
        <f ca="1">((100/(H84))*C96)/100</f>
        <v>0</v>
      </c>
      <c r="E96" s="150"/>
      <c r="F96" s="151"/>
      <c r="G96" s="142"/>
      <c r="H96" s="142"/>
    </row>
    <row r="97" spans="1:10" ht="21" customHeight="1" thickBot="1" x14ac:dyDescent="0.3">
      <c r="A97" s="142" t="s">
        <v>139</v>
      </c>
      <c r="B97" s="142"/>
      <c r="C97" s="27">
        <v>0</v>
      </c>
      <c r="D97" s="5">
        <f ca="1">((100/(H84))*C97)/100</f>
        <v>0</v>
      </c>
      <c r="E97" s="152"/>
      <c r="F97" s="153"/>
      <c r="G97" s="142"/>
      <c r="H97" s="142"/>
    </row>
    <row r="98" spans="1:10" ht="21" customHeight="1" x14ac:dyDescent="0.3">
      <c r="A98" s="147" t="s">
        <v>65</v>
      </c>
      <c r="B98" s="147"/>
      <c r="C98" s="147"/>
      <c r="D98" s="147"/>
      <c r="E98" s="147"/>
      <c r="F98" s="147"/>
      <c r="G98" s="147"/>
      <c r="H98" s="147"/>
      <c r="I98" s="15" t="str">
        <f ca="1">(IF(E102&gt;99%,"All work completed. Please provide OC.",IF(E102&gt;89.8%,"Plinth, RCC, Brick, Plaster, Flooring, Wooden, Plumbing, Electrification, etc., work Completed. Finishing work is in process.",IF(E102&lt;94%,(IF(C102=0,"Work not yet Started.",IF(D102=25%,"Piling work in process",IF(D102=50%,"Excavation work in process",IF(D102=100%,"Excavation work Completed. ","0")))&amp;(IF(C103=0%,"",IF(C103=J103,"Footing work is process",IF(C103=J104,"Footing work Completed",IF(C103=J105,"1st Basement Completed",IF(C103=J106,"1st &amp; 2nd Basement Completed",IF(C103=J107,"1st to 3rd Basement Completed",IF(C103=J108,"1st to 4th Basement Completed",IF(C103=J109,"Plinth work is process",IF(C103=J110,"Plinth work completed","0")))))))))))&amp;(IF(C104=(E100+G100+H100),", RCC Slab",IF(C104&gt;0,", RCC upto "&amp;C104&amp;" Slab",""))&amp;(IF(C105=H100,", Brickwork",IF(C105&gt;0,", Brickwork upto "&amp;C105&amp;" Floor",""))&amp;(IF(C106=H100,", Internal Plaster",IF(C106&gt;0,", Internal Plaster upto "&amp;C106&amp;" Floor",""))&amp;(IF(C107=H100,", External Plaster",IF(C107&gt;0,", External Plaster upto "&amp;C107&amp;" Floor",""))&amp;(IF(C108=H100,", External Plumbing, Elevation and Waterproofing",IF(C108&gt;0,", External Plumbing, Elevation and Waterproofing upto "&amp;C108&amp;" Floor",""))&amp;(IF(C109=H100,", Flooring &amp; Fitting",IF(C109&gt;0,", Flooring &amp; Fitting upto "&amp;C109&amp;" Floor",""))&amp;(IF(C110=H100,", Wooden Work",IF(C110&gt;0,", Wooden Work upto "&amp;C110&amp;" Floor",""))&amp;(IF(C111=H100,", Electrical &amp; Sanitary fittings",IF(C111&gt;0,", Electrical &amp; Sanitary fittings upto "&amp;C111&amp;" Floor",""))&amp;(IF(C112&gt;0,", Finishing upto "&amp;C112&amp;" Floor","")&amp;(IF(C104&gt;0.5," Completed",""))))))))))))))))</f>
        <v>Excavation work Completed. Plinth work completed</v>
      </c>
      <c r="J98" s="17"/>
    </row>
    <row r="99" spans="1:10" ht="21" customHeight="1" x14ac:dyDescent="0.3">
      <c r="A99" s="188" t="str">
        <f>CONCATENATE((IF(OR(A48="",A48="NA"),"",A48)),"= ",(IF(OR(D48="",D48="NA"),"",D48)),".")</f>
        <v>Wing C= St + 5P + 6th to 21st Floor.</v>
      </c>
      <c r="B99" s="188"/>
      <c r="C99" s="188"/>
      <c r="D99" s="27" t="s">
        <v>112</v>
      </c>
      <c r="E99" s="189" t="s">
        <v>99</v>
      </c>
      <c r="F99" s="189"/>
      <c r="G99" s="27" t="s">
        <v>113</v>
      </c>
      <c r="H99" s="27" t="s">
        <v>114</v>
      </c>
      <c r="I99" s="16" t="s">
        <v>118</v>
      </c>
      <c r="J99" s="17"/>
    </row>
    <row r="100" spans="1:10" ht="20.25" x14ac:dyDescent="0.3">
      <c r="A100" s="188"/>
      <c r="B100" s="188"/>
      <c r="C100" s="188"/>
      <c r="D100" s="76">
        <f>IF(AND(ISNUMBER(SEARCH("1B",A99))),1,IF(AND(ISNUMBER(SEARCH("2B",A99))),2,IF(AND(ISNUMBER(SEARCH("3B",A99))),3,IF(AND(ISNUMBER(SEARCH("4B",A99))),4,IF(ISNUMBER(SEARCH("5B",A99)),5,0)))))</f>
        <v>0</v>
      </c>
      <c r="E100" s="189">
        <v>1</v>
      </c>
      <c r="F100" s="189"/>
      <c r="G100" s="76">
        <v>0</v>
      </c>
      <c r="H100" s="27">
        <f ca="1">--TRIM(RIGHT(SUBSTITUTE(LEFT(A99,_xlfn.AGGREGATE(16,6,FIND({0,1,2,3,4,5,6,7,8,9},A99,ROW(INDIRECT("1:"&amp;LEN(A99)))),1))," ",REPT(" ",LEN(A99))),LEN(A99)))</f>
        <v>21</v>
      </c>
      <c r="I100" s="19" t="s">
        <v>128</v>
      </c>
      <c r="J100" s="18">
        <f ca="1">H100*25%</f>
        <v>5.25</v>
      </c>
    </row>
    <row r="101" spans="1:10" ht="20.25" x14ac:dyDescent="0.3">
      <c r="A101" s="192" t="s">
        <v>116</v>
      </c>
      <c r="B101" s="192"/>
      <c r="C101" s="25" t="s">
        <v>126</v>
      </c>
      <c r="D101" s="25" t="s">
        <v>127</v>
      </c>
      <c r="E101" s="192" t="s">
        <v>117</v>
      </c>
      <c r="F101" s="192"/>
      <c r="G101" s="26" t="s">
        <v>115</v>
      </c>
      <c r="H101" s="26"/>
      <c r="I101" s="19" t="s">
        <v>119</v>
      </c>
      <c r="J101" s="21">
        <f ca="1">H100*50%</f>
        <v>10.5</v>
      </c>
    </row>
    <row r="102" spans="1:10" ht="20.25" x14ac:dyDescent="0.3">
      <c r="A102" s="142" t="s">
        <v>129</v>
      </c>
      <c r="B102" s="142"/>
      <c r="C102" s="27">
        <f ca="1">J102</f>
        <v>21</v>
      </c>
      <c r="D102" s="5">
        <f ca="1">((100/H100)*C102)/100</f>
        <v>1</v>
      </c>
      <c r="E102" s="148">
        <f ca="1">(((C102/H100*10)+(C103/H100*15)+(25/(E100+G100+H100)*C104)+(5/(H100)*C105)+(2.5/(H100)*C106)+(2.5/(H100)*C107)+(5/H100*C108)+(10/H100*C109)+(2.5/H100*C110)+(2.5/H100*C111)+(10/H100*C112)+(10/H100*C113))/100)</f>
        <v>0.25</v>
      </c>
      <c r="F102" s="149"/>
      <c r="G102" s="142" t="str">
        <f ca="1">I98</f>
        <v>Excavation work Completed. Plinth work completed</v>
      </c>
      <c r="H102" s="142"/>
      <c r="I102" s="19" t="s">
        <v>120</v>
      </c>
      <c r="J102" s="21">
        <f ca="1">H100</f>
        <v>21</v>
      </c>
    </row>
    <row r="103" spans="1:10" ht="21" x14ac:dyDescent="0.35">
      <c r="A103" s="142" t="s">
        <v>100</v>
      </c>
      <c r="B103" s="142"/>
      <c r="C103" s="29">
        <f ca="1">J110</f>
        <v>21</v>
      </c>
      <c r="D103" s="5">
        <f ca="1">((100/H100)*C103)/100</f>
        <v>1</v>
      </c>
      <c r="E103" s="150"/>
      <c r="F103" s="151"/>
      <c r="G103" s="142"/>
      <c r="H103" s="142"/>
      <c r="I103" s="19" t="s">
        <v>121</v>
      </c>
      <c r="J103" s="22">
        <f ca="1">(IF(D100&gt;1,(H100/(D100+2)),H100*0.2))</f>
        <v>4.2</v>
      </c>
    </row>
    <row r="104" spans="1:10" ht="21" x14ac:dyDescent="0.35">
      <c r="A104" s="142" t="s">
        <v>130</v>
      </c>
      <c r="B104" s="142"/>
      <c r="C104" s="27">
        <v>0</v>
      </c>
      <c r="D104" s="5">
        <f ca="1">((100/(E100+G100+H100))*C104)/100</f>
        <v>0</v>
      </c>
      <c r="E104" s="150"/>
      <c r="F104" s="151"/>
      <c r="G104" s="142"/>
      <c r="H104" s="142"/>
      <c r="I104" s="19" t="s">
        <v>122</v>
      </c>
      <c r="J104" s="22">
        <f ca="1">(IF(D100&gt;1,(H100/(D100+2)+J103),H100*0.2+J103))</f>
        <v>8.4</v>
      </c>
    </row>
    <row r="105" spans="1:10" ht="21" x14ac:dyDescent="0.35">
      <c r="A105" s="142" t="s">
        <v>131</v>
      </c>
      <c r="B105" s="142"/>
      <c r="C105" s="27">
        <v>0</v>
      </c>
      <c r="D105" s="5">
        <f ca="1">((100/H100)*C105)/100</f>
        <v>0</v>
      </c>
      <c r="E105" s="150"/>
      <c r="F105" s="151"/>
      <c r="G105" s="142"/>
      <c r="H105" s="142"/>
      <c r="I105" s="19" t="s">
        <v>133</v>
      </c>
      <c r="J105" s="22">
        <f>(IF(D100&gt;1,(H100/(D100+2)+J104),0))</f>
        <v>0</v>
      </c>
    </row>
    <row r="106" spans="1:10" ht="21" x14ac:dyDescent="0.35">
      <c r="A106" s="143" t="s">
        <v>132</v>
      </c>
      <c r="B106" s="144"/>
      <c r="C106" s="27">
        <v>0</v>
      </c>
      <c r="D106" s="5">
        <f ca="1">((100/H100)*C106)/100</f>
        <v>0</v>
      </c>
      <c r="E106" s="150"/>
      <c r="F106" s="151"/>
      <c r="G106" s="142"/>
      <c r="H106" s="142"/>
      <c r="I106" s="19" t="s">
        <v>134</v>
      </c>
      <c r="J106" s="22">
        <f>(IF(D100&gt;2,(H100/(D100+2)+J105),0))</f>
        <v>0</v>
      </c>
    </row>
    <row r="107" spans="1:10" ht="20.25" customHeight="1" x14ac:dyDescent="0.35">
      <c r="A107" s="143" t="s">
        <v>161</v>
      </c>
      <c r="B107" s="144"/>
      <c r="C107" s="27">
        <v>0</v>
      </c>
      <c r="D107" s="5">
        <f ca="1">((100/H100)*C107)/100</f>
        <v>0</v>
      </c>
      <c r="E107" s="150"/>
      <c r="F107" s="151"/>
      <c r="G107" s="142"/>
      <c r="H107" s="142"/>
      <c r="I107" s="19" t="s">
        <v>136</v>
      </c>
      <c r="J107" s="23">
        <f>(IF(D100&gt;3,(H100/(D100+2)+J106),0))</f>
        <v>0</v>
      </c>
    </row>
    <row r="108" spans="1:10" ht="55.5" customHeight="1" x14ac:dyDescent="0.35">
      <c r="A108" s="143" t="s">
        <v>158</v>
      </c>
      <c r="B108" s="144"/>
      <c r="C108" s="27">
        <v>0</v>
      </c>
      <c r="D108" s="5">
        <f ca="1">((100/(H100))*C108)/100</f>
        <v>0</v>
      </c>
      <c r="E108" s="150"/>
      <c r="F108" s="151"/>
      <c r="G108" s="142"/>
      <c r="H108" s="142"/>
      <c r="I108" s="19" t="s">
        <v>137</v>
      </c>
      <c r="J108" s="22">
        <f>(IF(D100&gt;4,(H100/(D100+2)+J107),0))</f>
        <v>0</v>
      </c>
    </row>
    <row r="109" spans="1:10" ht="20.25" customHeight="1" x14ac:dyDescent="0.35">
      <c r="A109" s="142" t="s">
        <v>135</v>
      </c>
      <c r="B109" s="142"/>
      <c r="C109" s="27">
        <v>0</v>
      </c>
      <c r="D109" s="5">
        <f ca="1">((100/(H100))*C109)/100</f>
        <v>0</v>
      </c>
      <c r="E109" s="150"/>
      <c r="F109" s="151"/>
      <c r="G109" s="142"/>
      <c r="H109" s="142"/>
      <c r="I109" s="19" t="s">
        <v>123</v>
      </c>
      <c r="J109" s="22">
        <f ca="1">(IF(D100=1,(H100/(D100+3)+J104),IF(D100=0,(H100*0.3+J104),IF(D100&gt;1,0))))</f>
        <v>14.7</v>
      </c>
    </row>
    <row r="110" spans="1:10" ht="20.25" customHeight="1" thickBot="1" x14ac:dyDescent="0.4">
      <c r="A110" s="142" t="s">
        <v>160</v>
      </c>
      <c r="B110" s="142"/>
      <c r="C110" s="27">
        <v>0</v>
      </c>
      <c r="D110" s="5">
        <f ca="1">((100/H100)*C110)/100</f>
        <v>0</v>
      </c>
      <c r="E110" s="150"/>
      <c r="F110" s="151"/>
      <c r="G110" s="142"/>
      <c r="H110" s="142"/>
      <c r="I110" s="20" t="s">
        <v>124</v>
      </c>
      <c r="J110" s="24">
        <f ca="1">(IF(D100&gt;1.5,(H100/(D100+2)+J104+MAX(0,J105-J104)+MAX(0,J106-J105)+MAX(0,J107-J106)+MAX(0,J108-J107)+MAX(0,J109-J108)),IF(D100=1,(H100/(D100+3)+J109),IF(D100=0,H100*0.3+J109))))</f>
        <v>21</v>
      </c>
    </row>
    <row r="111" spans="1:10" ht="20.25" x14ac:dyDescent="0.25">
      <c r="A111" s="142" t="s">
        <v>159</v>
      </c>
      <c r="B111" s="142"/>
      <c r="C111" s="27">
        <v>0</v>
      </c>
      <c r="D111" s="5">
        <f ca="1">((100/H100)*C111)/100</f>
        <v>0</v>
      </c>
      <c r="E111" s="150"/>
      <c r="F111" s="151"/>
      <c r="G111" s="142"/>
      <c r="H111" s="142"/>
    </row>
    <row r="112" spans="1:10" ht="21" customHeight="1" x14ac:dyDescent="0.25">
      <c r="A112" s="142" t="s">
        <v>138</v>
      </c>
      <c r="B112" s="142"/>
      <c r="C112" s="27">
        <v>0</v>
      </c>
      <c r="D112" s="5">
        <f ca="1">((100/(H100))*C112)/100</f>
        <v>0</v>
      </c>
      <c r="E112" s="150"/>
      <c r="F112" s="151"/>
      <c r="G112" s="142"/>
      <c r="H112" s="142"/>
    </row>
    <row r="113" spans="1:10" ht="21" customHeight="1" thickBot="1" x14ac:dyDescent="0.3">
      <c r="A113" s="142" t="s">
        <v>139</v>
      </c>
      <c r="B113" s="142"/>
      <c r="C113" s="27">
        <v>0</v>
      </c>
      <c r="D113" s="5">
        <f ca="1">((100/(H100))*C113)/100</f>
        <v>0</v>
      </c>
      <c r="E113" s="152"/>
      <c r="F113" s="153"/>
      <c r="G113" s="142"/>
      <c r="H113" s="142"/>
    </row>
    <row r="114" spans="1:10" ht="21" customHeight="1" x14ac:dyDescent="0.3">
      <c r="A114" s="147" t="s">
        <v>65</v>
      </c>
      <c r="B114" s="147"/>
      <c r="C114" s="147"/>
      <c r="D114" s="147"/>
      <c r="E114" s="147"/>
      <c r="F114" s="147"/>
      <c r="G114" s="147"/>
      <c r="H114" s="147"/>
      <c r="I114" s="15" t="str">
        <f ca="1">(IF(E118&gt;99%,"All work completed. Please provide OC.",IF(E118&gt;89.8%,"Plinth, RCC, Brick, Plaster, Flooring, Wooden, Plumbing, Electrification, etc., work Completed. Finishing work is in process.",IF(E118&lt;94%,(IF(C118=0,"Work not yet Started.",IF(D118=25%,"Piling work in process",IF(D118=50%,"Excavation work in process",IF(D118=100%,"Excavation work Completed. ","0")))&amp;(IF(C119=0%,"",IF(C119=J119,"Footing work is process",IF(C119=J120,"Footing work Completed",IF(C119=J121,"1st Basement Completed",IF(C119=J122,"1st &amp; 2nd Basement Completed",IF(C119=J123,"1st to 3rd Basement Completed",IF(C119=J124,"1st to 4th Basement Completed",IF(C119=J125,"Plinth work is process",IF(C119=J126,"Plinth work completed","0")))))))))))&amp;(IF(C120=(E116+G116+H116),", RCC Slab",IF(C120&gt;0,", RCC upto "&amp;C120&amp;" Slab",""))&amp;(IF(C121=H116,", Brickwork",IF(C121&gt;0,", Brickwork upto "&amp;C121&amp;" Floor",""))&amp;(IF(C122=H116,", Internal Plaster",IF(C122&gt;0,", Internal Plaster upto "&amp;C122&amp;" Floor",""))&amp;(IF(C123=H116,", External Plaster",IF(C123&gt;0,", External Plaster upto "&amp;C123&amp;" Floor",""))&amp;(IF(C124=H116,", External Plumbing, Elevation and Waterproofing",IF(C124&gt;0,", External Plumbing, Elevation and Waterproofing upto "&amp;C124&amp;" Floor",""))&amp;(IF(C125=H116,", Flooring &amp; Fitting",IF(C125&gt;0,", Flooring &amp; Fitting upto "&amp;C125&amp;" Floor",""))&amp;(IF(C126=H116,", Wooden Work",IF(C126&gt;0,", Wooden Work upto "&amp;C126&amp;" Floor",""))&amp;(IF(C127=H116,", Electrical &amp; Sanitary fittings",IF(C127&gt;0,", Electrical &amp; Sanitary fittings upto "&amp;C127&amp;" Floor",""))&amp;(IF(C128&gt;0,", Finishing upto "&amp;C128&amp;" Floor","")&amp;(IF(C120&gt;0.5," Completed",""))))))))))))))))</f>
        <v>Excavation work Completed. Plinth work completed, RCC upto 6 Slab Completed</v>
      </c>
      <c r="J114" s="17"/>
    </row>
    <row r="115" spans="1:10" ht="21" customHeight="1" x14ac:dyDescent="0.3">
      <c r="A115" s="188" t="str">
        <f>CONCATENATE((IF(OR(A49="",A49="NA"),"",A49)),"= ",(IF(OR(D49="",D49="NA"),"",D49)),".")</f>
        <v>Wing D= St + 5P + 6th to 21st Floor.</v>
      </c>
      <c r="B115" s="188"/>
      <c r="C115" s="188"/>
      <c r="D115" s="69" t="s">
        <v>112</v>
      </c>
      <c r="E115" s="189" t="s">
        <v>99</v>
      </c>
      <c r="F115" s="189"/>
      <c r="G115" s="69" t="s">
        <v>113</v>
      </c>
      <c r="H115" s="69" t="s">
        <v>114</v>
      </c>
      <c r="I115" s="16" t="s">
        <v>118</v>
      </c>
      <c r="J115" s="17"/>
    </row>
    <row r="116" spans="1:10" ht="20.25" x14ac:dyDescent="0.3">
      <c r="A116" s="188"/>
      <c r="B116" s="188"/>
      <c r="C116" s="188"/>
      <c r="D116" s="76">
        <f>IF(AND(ISNUMBER(SEARCH("1B",A115))),1,IF(AND(ISNUMBER(SEARCH("2B",A115))),2,IF(AND(ISNUMBER(SEARCH("3B",A115))),3,IF(AND(ISNUMBER(SEARCH("4B",A115))),4,IF(ISNUMBER(SEARCH("5B",A115)),5,0)))))</f>
        <v>0</v>
      </c>
      <c r="E116" s="189">
        <v>1</v>
      </c>
      <c r="F116" s="189"/>
      <c r="G116" s="76">
        <v>0</v>
      </c>
      <c r="H116" s="69">
        <f ca="1">--TRIM(RIGHT(SUBSTITUTE(LEFT(A115,_xlfn.AGGREGATE(16,6,FIND({0,1,2,3,4,5,6,7,8,9},A115,ROW(INDIRECT("1:"&amp;LEN(A115)))),1))," ",REPT(" ",LEN(A115))),LEN(A115)))</f>
        <v>21</v>
      </c>
      <c r="I116" s="19" t="s">
        <v>128</v>
      </c>
      <c r="J116" s="18">
        <f ca="1">H116*25%</f>
        <v>5.25</v>
      </c>
    </row>
    <row r="117" spans="1:10" ht="20.25" x14ac:dyDescent="0.3">
      <c r="A117" s="192" t="s">
        <v>116</v>
      </c>
      <c r="B117" s="192"/>
      <c r="C117" s="70" t="s">
        <v>126</v>
      </c>
      <c r="D117" s="70" t="s">
        <v>127</v>
      </c>
      <c r="E117" s="192" t="s">
        <v>117</v>
      </c>
      <c r="F117" s="192"/>
      <c r="G117" s="26" t="s">
        <v>115</v>
      </c>
      <c r="H117" s="26"/>
      <c r="I117" s="19" t="s">
        <v>119</v>
      </c>
      <c r="J117" s="21">
        <f ca="1">H116*50%</f>
        <v>10.5</v>
      </c>
    </row>
    <row r="118" spans="1:10" ht="20.25" x14ac:dyDescent="0.3">
      <c r="A118" s="142" t="s">
        <v>129</v>
      </c>
      <c r="B118" s="142"/>
      <c r="C118" s="69">
        <f ca="1">J118</f>
        <v>21</v>
      </c>
      <c r="D118" s="68">
        <f ca="1">((100/H116)*C118)/100</f>
        <v>1</v>
      </c>
      <c r="E118" s="148">
        <f ca="1">(((C118/H116*10)+(C119/H116*15)+(25/(E116+G116+H116)*C120)+(5/(H116)*C121)+(2.5/(H116)*C122)+(2.5/(H116)*C123)+(5/H116*C124)+(10/H116*C125)+(2.5/H116*C126)+(2.5/H116*C127)+(10/H116*C128)+(10/H116*C129))/100)</f>
        <v>0.31818181818181818</v>
      </c>
      <c r="F118" s="149"/>
      <c r="G118" s="142" t="str">
        <f ca="1">I114</f>
        <v>Excavation work Completed. Plinth work completed, RCC upto 6 Slab Completed</v>
      </c>
      <c r="H118" s="142"/>
      <c r="I118" s="19" t="s">
        <v>120</v>
      </c>
      <c r="J118" s="21">
        <f ca="1">H116</f>
        <v>21</v>
      </c>
    </row>
    <row r="119" spans="1:10" ht="21" x14ac:dyDescent="0.35">
      <c r="A119" s="142" t="s">
        <v>100</v>
      </c>
      <c r="B119" s="142"/>
      <c r="C119" s="72">
        <f ca="1">J126</f>
        <v>21</v>
      </c>
      <c r="D119" s="68">
        <f ca="1">((100/H116)*C119)/100</f>
        <v>1</v>
      </c>
      <c r="E119" s="150"/>
      <c r="F119" s="151"/>
      <c r="G119" s="142"/>
      <c r="H119" s="142"/>
      <c r="I119" s="19" t="s">
        <v>121</v>
      </c>
      <c r="J119" s="22">
        <f ca="1">(IF(D116&gt;1,(H116/(D116+2)),H116*0.2))</f>
        <v>4.2</v>
      </c>
    </row>
    <row r="120" spans="1:10" ht="21" x14ac:dyDescent="0.35">
      <c r="A120" s="142" t="s">
        <v>130</v>
      </c>
      <c r="B120" s="142"/>
      <c r="C120" s="69">
        <v>6</v>
      </c>
      <c r="D120" s="68">
        <f ca="1">((100/(E116+G116+H116))*C120)/100</f>
        <v>0.27272727272727271</v>
      </c>
      <c r="E120" s="150"/>
      <c r="F120" s="151"/>
      <c r="G120" s="142"/>
      <c r="H120" s="142"/>
      <c r="I120" s="19" t="s">
        <v>122</v>
      </c>
      <c r="J120" s="22">
        <f ca="1">(IF(D116&gt;1,(H116/(D116+2)+J119),H116*0.2+J119))</f>
        <v>8.4</v>
      </c>
    </row>
    <row r="121" spans="1:10" ht="21" x14ac:dyDescent="0.35">
      <c r="A121" s="142" t="s">
        <v>131</v>
      </c>
      <c r="B121" s="142"/>
      <c r="C121" s="69">
        <v>0</v>
      </c>
      <c r="D121" s="68">
        <f ca="1">((100/H116)*C121)/100</f>
        <v>0</v>
      </c>
      <c r="E121" s="150"/>
      <c r="F121" s="151"/>
      <c r="G121" s="142"/>
      <c r="H121" s="142"/>
      <c r="I121" s="19" t="s">
        <v>133</v>
      </c>
      <c r="J121" s="22">
        <f>(IF(D116&gt;1,(H116/(D116+2)+J120),0))</f>
        <v>0</v>
      </c>
    </row>
    <row r="122" spans="1:10" ht="21" x14ac:dyDescent="0.35">
      <c r="A122" s="143" t="s">
        <v>132</v>
      </c>
      <c r="B122" s="144"/>
      <c r="C122" s="69">
        <v>0</v>
      </c>
      <c r="D122" s="68">
        <f ca="1">((100/H116)*C122)/100</f>
        <v>0</v>
      </c>
      <c r="E122" s="150"/>
      <c r="F122" s="151"/>
      <c r="G122" s="142"/>
      <c r="H122" s="142"/>
      <c r="I122" s="19" t="s">
        <v>134</v>
      </c>
      <c r="J122" s="22">
        <f>(IF(D116&gt;2,(H116/(D116+2)+J121),0))</f>
        <v>0</v>
      </c>
    </row>
    <row r="123" spans="1:10" ht="20.25" customHeight="1" x14ac:dyDescent="0.35">
      <c r="A123" s="143" t="s">
        <v>161</v>
      </c>
      <c r="B123" s="144"/>
      <c r="C123" s="69">
        <v>0</v>
      </c>
      <c r="D123" s="68">
        <f ca="1">((100/H116)*C123)/100</f>
        <v>0</v>
      </c>
      <c r="E123" s="150"/>
      <c r="F123" s="151"/>
      <c r="G123" s="142"/>
      <c r="H123" s="142"/>
      <c r="I123" s="19" t="s">
        <v>136</v>
      </c>
      <c r="J123" s="23">
        <f>(IF(D116&gt;3,(H116/(D116+2)+J122),0))</f>
        <v>0</v>
      </c>
    </row>
    <row r="124" spans="1:10" ht="72.75" customHeight="1" x14ac:dyDescent="0.35">
      <c r="A124" s="143" t="s">
        <v>158</v>
      </c>
      <c r="B124" s="144"/>
      <c r="C124" s="69">
        <v>0</v>
      </c>
      <c r="D124" s="68">
        <f ca="1">((100/(H116))*C124)/100</f>
        <v>0</v>
      </c>
      <c r="E124" s="150"/>
      <c r="F124" s="151"/>
      <c r="G124" s="142"/>
      <c r="H124" s="142"/>
      <c r="I124" s="19" t="s">
        <v>137</v>
      </c>
      <c r="J124" s="22">
        <f>(IF(D116&gt;4,(H116/(D116+2)+J123),0))</f>
        <v>0</v>
      </c>
    </row>
    <row r="125" spans="1:10" ht="20.25" customHeight="1" x14ac:dyDescent="0.35">
      <c r="A125" s="142" t="s">
        <v>135</v>
      </c>
      <c r="B125" s="142"/>
      <c r="C125" s="69">
        <v>0</v>
      </c>
      <c r="D125" s="68">
        <f ca="1">((100/(H116))*C125)/100</f>
        <v>0</v>
      </c>
      <c r="E125" s="150"/>
      <c r="F125" s="151"/>
      <c r="G125" s="142"/>
      <c r="H125" s="142"/>
      <c r="I125" s="19" t="s">
        <v>123</v>
      </c>
      <c r="J125" s="22">
        <f ca="1">(IF(D116=1,(H116/(D116+3)+J120),IF(D116=0,(H116*0.3+J120),IF(D116&gt;1,0))))</f>
        <v>14.7</v>
      </c>
    </row>
    <row r="126" spans="1:10" ht="20.25" customHeight="1" thickBot="1" x14ac:dyDescent="0.4">
      <c r="A126" s="142" t="s">
        <v>160</v>
      </c>
      <c r="B126" s="142"/>
      <c r="C126" s="69">
        <v>0</v>
      </c>
      <c r="D126" s="68">
        <f ca="1">((100/H116)*C126)/100</f>
        <v>0</v>
      </c>
      <c r="E126" s="150"/>
      <c r="F126" s="151"/>
      <c r="G126" s="142"/>
      <c r="H126" s="142"/>
      <c r="I126" s="20" t="s">
        <v>124</v>
      </c>
      <c r="J126" s="24">
        <f ca="1">(IF(D116&gt;1.5,(H116/(D116+2)+J120+MAX(0,J121-J120)+MAX(0,J122-J121)+MAX(0,J123-J122)+MAX(0,J124-J123)+MAX(0,J125-J124)),IF(D116=1,(H116/(D116+3)+J125),IF(D116=0,H116*0.3+J125))))</f>
        <v>21</v>
      </c>
    </row>
    <row r="127" spans="1:10" ht="20.25" x14ac:dyDescent="0.25">
      <c r="A127" s="142" t="s">
        <v>159</v>
      </c>
      <c r="B127" s="142"/>
      <c r="C127" s="69">
        <v>0</v>
      </c>
      <c r="D127" s="68">
        <f ca="1">((100/H116)*C127)/100</f>
        <v>0</v>
      </c>
      <c r="E127" s="150"/>
      <c r="F127" s="151"/>
      <c r="G127" s="142"/>
      <c r="H127" s="142"/>
    </row>
    <row r="128" spans="1:10" ht="21" customHeight="1" x14ac:dyDescent="0.25">
      <c r="A128" s="142" t="s">
        <v>138</v>
      </c>
      <c r="B128" s="142"/>
      <c r="C128" s="69">
        <v>0</v>
      </c>
      <c r="D128" s="68">
        <f ca="1">((100/(H116))*C128)/100</f>
        <v>0</v>
      </c>
      <c r="E128" s="150"/>
      <c r="F128" s="151"/>
      <c r="G128" s="142"/>
      <c r="H128" s="142"/>
    </row>
    <row r="129" spans="1:10" ht="21" customHeight="1" thickBot="1" x14ac:dyDescent="0.3">
      <c r="A129" s="142" t="s">
        <v>139</v>
      </c>
      <c r="B129" s="142"/>
      <c r="C129" s="69">
        <v>0</v>
      </c>
      <c r="D129" s="68">
        <f ca="1">((100/(H116))*C129)/100</f>
        <v>0</v>
      </c>
      <c r="E129" s="152"/>
      <c r="F129" s="153"/>
      <c r="G129" s="142"/>
      <c r="H129" s="142"/>
    </row>
    <row r="130" spans="1:10" ht="21" customHeight="1" x14ac:dyDescent="0.3">
      <c r="A130" s="147" t="s">
        <v>65</v>
      </c>
      <c r="B130" s="147"/>
      <c r="C130" s="147"/>
      <c r="D130" s="147"/>
      <c r="E130" s="147"/>
      <c r="F130" s="147"/>
      <c r="G130" s="147"/>
      <c r="H130" s="147"/>
      <c r="I130" s="15" t="str">
        <f ca="1">(IF(E134&gt;99%,"All work completed. Please provide OC.",IF(E134&gt;89.8%,"Plinth, RCC, Brick, Plaster, Flooring, Wooden, Plumbing, Electrification, etc., work Completed. Finishing work is in process.",IF(E134&lt;94%,(IF(C134=0,"Work not yet Started.",IF(D134=25%,"Piling work in process",IF(D134=50%,"Excavation work in process",IF(D134=100%,"Excavation work Completed. ","0")))&amp;(IF(C135=0%,"",IF(C135=J135,"Footing work is process",IF(C135=J136,"Footing work Completed",IF(C135=J137,"1st Basement Completed",IF(C135=J138,"1st &amp; 2nd Basement Completed",IF(C135=J139,"1st to 3rd Basement Completed",IF(C135=J140,"1st to 4th Basement Completed",IF(C135=J141,"Plinth work is process",IF(C135=J142,"Plinth work completed","0")))))))))))&amp;(IF(C136=(E132+G132+H132),", RCC Slab",IF(C136&gt;0,", RCC upto "&amp;C136&amp;" Slab",""))&amp;(IF(C137=H132,", Brickwork",IF(C137&gt;0,", Brickwork upto "&amp;C137&amp;" Floor",""))&amp;(IF(C138=H132,", Internal Plaster",IF(C138&gt;0,", Internal Plaster upto "&amp;C138&amp;" Floor",""))&amp;(IF(C139=H132,", External Plaster",IF(C139&gt;0,", External Plaster upto "&amp;C139&amp;" Floor",""))&amp;(IF(C140=H132,", External Plumbing, Elevation and Waterproofing",IF(C140&gt;0,", External Plumbing, Elevation and Waterproofing upto "&amp;C140&amp;" Floor",""))&amp;(IF(C141=H132,", Flooring &amp; Fitting",IF(C141&gt;0,", Flooring &amp; Fitting upto "&amp;C141&amp;" Floor",""))&amp;(IF(C142=H132,", Wooden Work",IF(C142&gt;0,", Wooden Work upto "&amp;C142&amp;" Floor",""))&amp;(IF(C143=H132,", Electrical &amp; Sanitary fittings",IF(C143&gt;0,", Electrical &amp; Sanitary fittings upto "&amp;C143&amp;" Floor",""))&amp;(IF(C144&gt;0,", Finishing upto "&amp;C144&amp;" Floor","")&amp;(IF(C136&gt;0.5," Completed",""))))))))))))))))</f>
        <v>Excavation work Completed. Plinth work completed, RCC upto 5 Slab Completed</v>
      </c>
      <c r="J130" s="17"/>
    </row>
    <row r="131" spans="1:10" ht="21" customHeight="1" x14ac:dyDescent="0.3">
      <c r="A131" s="188" t="str">
        <f>CONCATENATE((IF(OR(A50="",A50="NA"),"",A50)),"= ",(IF(OR(D50="",D50="NA"),"",D50)),".")</f>
        <v>Wing E= St + 5P + 6th to 21st Floor.</v>
      </c>
      <c r="B131" s="188"/>
      <c r="C131" s="188"/>
      <c r="D131" s="69" t="s">
        <v>112</v>
      </c>
      <c r="E131" s="189" t="s">
        <v>99</v>
      </c>
      <c r="F131" s="189"/>
      <c r="G131" s="69" t="s">
        <v>113</v>
      </c>
      <c r="H131" s="69" t="s">
        <v>114</v>
      </c>
      <c r="I131" s="16" t="s">
        <v>118</v>
      </c>
      <c r="J131" s="17"/>
    </row>
    <row r="132" spans="1:10" ht="20.25" x14ac:dyDescent="0.3">
      <c r="A132" s="188"/>
      <c r="B132" s="188"/>
      <c r="C132" s="188"/>
      <c r="D132" s="76">
        <f>IF(AND(ISNUMBER(SEARCH("1B",A131))),1,IF(AND(ISNUMBER(SEARCH("2B",A131))),2,IF(AND(ISNUMBER(SEARCH("3B",A131))),3,IF(AND(ISNUMBER(SEARCH("4B",A131))),4,IF(ISNUMBER(SEARCH("5B",A131)),5,0)))))</f>
        <v>0</v>
      </c>
      <c r="E132" s="189">
        <v>1</v>
      </c>
      <c r="F132" s="189"/>
      <c r="G132" s="76">
        <v>0</v>
      </c>
      <c r="H132" s="69">
        <f ca="1">--TRIM(RIGHT(SUBSTITUTE(LEFT(A131,_xlfn.AGGREGATE(16,6,FIND({0,1,2,3,4,5,6,7,8,9},A131,ROW(INDIRECT("1:"&amp;LEN(A131)))),1))," ",REPT(" ",LEN(A131))),LEN(A131)))</f>
        <v>21</v>
      </c>
      <c r="I132" s="19" t="s">
        <v>128</v>
      </c>
      <c r="J132" s="18">
        <f ca="1">H132*25%</f>
        <v>5.25</v>
      </c>
    </row>
    <row r="133" spans="1:10" ht="20.25" x14ac:dyDescent="0.3">
      <c r="A133" s="192" t="s">
        <v>116</v>
      </c>
      <c r="B133" s="192"/>
      <c r="C133" s="70" t="s">
        <v>126</v>
      </c>
      <c r="D133" s="70" t="s">
        <v>127</v>
      </c>
      <c r="E133" s="192" t="s">
        <v>117</v>
      </c>
      <c r="F133" s="192"/>
      <c r="G133" s="26" t="s">
        <v>115</v>
      </c>
      <c r="H133" s="26"/>
      <c r="I133" s="19" t="s">
        <v>119</v>
      </c>
      <c r="J133" s="21">
        <f ca="1">H132*50%</f>
        <v>10.5</v>
      </c>
    </row>
    <row r="134" spans="1:10" ht="20.25" x14ac:dyDescent="0.3">
      <c r="A134" s="142" t="s">
        <v>129</v>
      </c>
      <c r="B134" s="142"/>
      <c r="C134" s="69">
        <f ca="1">J134</f>
        <v>21</v>
      </c>
      <c r="D134" s="68">
        <f ca="1">((100/H132)*C134)/100</f>
        <v>1</v>
      </c>
      <c r="E134" s="148">
        <f ca="1">(((C134/H132*10)+(C135/H132*15)+(25/(E132+G132+H132)*C136)+(5/(H132)*C137)+(2.5/(H132)*C138)+(2.5/(H132)*C139)+(5/H132*C140)+(10/H132*C141)+(2.5/H132*C142)+(2.5/H132*C143)+(10/H132*C144)+(10/H132*C145))/100)</f>
        <v>0.30681818181818182</v>
      </c>
      <c r="F134" s="149"/>
      <c r="G134" s="142" t="str">
        <f ca="1">I130</f>
        <v>Excavation work Completed. Plinth work completed, RCC upto 5 Slab Completed</v>
      </c>
      <c r="H134" s="142"/>
      <c r="I134" s="19" t="s">
        <v>120</v>
      </c>
      <c r="J134" s="21">
        <f ca="1">H132</f>
        <v>21</v>
      </c>
    </row>
    <row r="135" spans="1:10" ht="21" x14ac:dyDescent="0.35">
      <c r="A135" s="142" t="s">
        <v>100</v>
      </c>
      <c r="B135" s="142"/>
      <c r="C135" s="72">
        <f ca="1">J142</f>
        <v>21</v>
      </c>
      <c r="D135" s="68">
        <f ca="1">((100/H132)*C135)/100</f>
        <v>1</v>
      </c>
      <c r="E135" s="150"/>
      <c r="F135" s="151"/>
      <c r="G135" s="142"/>
      <c r="H135" s="142"/>
      <c r="I135" s="19" t="s">
        <v>121</v>
      </c>
      <c r="J135" s="22">
        <f ca="1">(IF(D132&gt;1,(H132/(D132+2)),H132*0.2))</f>
        <v>4.2</v>
      </c>
    </row>
    <row r="136" spans="1:10" ht="21" x14ac:dyDescent="0.35">
      <c r="A136" s="142" t="s">
        <v>130</v>
      </c>
      <c r="B136" s="142"/>
      <c r="C136" s="69">
        <v>5</v>
      </c>
      <c r="D136" s="68">
        <f ca="1">((100/(E132+G132+H132))*C136)/100</f>
        <v>0.22727272727272729</v>
      </c>
      <c r="E136" s="150"/>
      <c r="F136" s="151"/>
      <c r="G136" s="142"/>
      <c r="H136" s="142"/>
      <c r="I136" s="19" t="s">
        <v>122</v>
      </c>
      <c r="J136" s="22">
        <f ca="1">(IF(D132&gt;1,(H132/(D132+2)+J135),H132*0.2+J135))</f>
        <v>8.4</v>
      </c>
    </row>
    <row r="137" spans="1:10" ht="21" x14ac:dyDescent="0.35">
      <c r="A137" s="142" t="s">
        <v>131</v>
      </c>
      <c r="B137" s="142"/>
      <c r="C137" s="69">
        <v>0</v>
      </c>
      <c r="D137" s="68">
        <f ca="1">((100/H132)*C137)/100</f>
        <v>0</v>
      </c>
      <c r="E137" s="150"/>
      <c r="F137" s="151"/>
      <c r="G137" s="142"/>
      <c r="H137" s="142"/>
      <c r="I137" s="19" t="s">
        <v>133</v>
      </c>
      <c r="J137" s="22">
        <f>(IF(D132&gt;1,(H132/(D132+2)+J136),0))</f>
        <v>0</v>
      </c>
    </row>
    <row r="138" spans="1:10" ht="21" x14ac:dyDescent="0.35">
      <c r="A138" s="143" t="s">
        <v>132</v>
      </c>
      <c r="B138" s="144"/>
      <c r="C138" s="69">
        <v>0</v>
      </c>
      <c r="D138" s="68">
        <f ca="1">((100/H132)*C138)/100</f>
        <v>0</v>
      </c>
      <c r="E138" s="150"/>
      <c r="F138" s="151"/>
      <c r="G138" s="142"/>
      <c r="H138" s="142"/>
      <c r="I138" s="19" t="s">
        <v>134</v>
      </c>
      <c r="J138" s="22">
        <f>(IF(D132&gt;2,(H132/(D132+2)+J137),0))</f>
        <v>0</v>
      </c>
    </row>
    <row r="139" spans="1:10" ht="20.25" customHeight="1" x14ac:dyDescent="0.35">
      <c r="A139" s="143" t="s">
        <v>161</v>
      </c>
      <c r="B139" s="144"/>
      <c r="C139" s="69">
        <v>0</v>
      </c>
      <c r="D139" s="68">
        <f ca="1">((100/H132)*C139)/100</f>
        <v>0</v>
      </c>
      <c r="E139" s="150"/>
      <c r="F139" s="151"/>
      <c r="G139" s="142"/>
      <c r="H139" s="142"/>
      <c r="I139" s="19" t="s">
        <v>136</v>
      </c>
      <c r="J139" s="23">
        <f>(IF(D132&gt;3,(H132/(D132+2)+J138),0))</f>
        <v>0</v>
      </c>
    </row>
    <row r="140" spans="1:10" ht="67.5" customHeight="1" x14ac:dyDescent="0.35">
      <c r="A140" s="143" t="s">
        <v>158</v>
      </c>
      <c r="B140" s="144"/>
      <c r="C140" s="69">
        <v>0</v>
      </c>
      <c r="D140" s="68">
        <f ca="1">((100/(H132))*C140)/100</f>
        <v>0</v>
      </c>
      <c r="E140" s="150"/>
      <c r="F140" s="151"/>
      <c r="G140" s="142"/>
      <c r="H140" s="142"/>
      <c r="I140" s="19" t="s">
        <v>137</v>
      </c>
      <c r="J140" s="22">
        <f>(IF(D132&gt;4,(H132/(D132+2)+J139),0))</f>
        <v>0</v>
      </c>
    </row>
    <row r="141" spans="1:10" ht="20.25" customHeight="1" x14ac:dyDescent="0.35">
      <c r="A141" s="142" t="s">
        <v>135</v>
      </c>
      <c r="B141" s="142"/>
      <c r="C141" s="69">
        <v>0</v>
      </c>
      <c r="D141" s="68">
        <f ca="1">((100/(H132))*C141)/100</f>
        <v>0</v>
      </c>
      <c r="E141" s="150"/>
      <c r="F141" s="151"/>
      <c r="G141" s="142"/>
      <c r="H141" s="142"/>
      <c r="I141" s="19" t="s">
        <v>123</v>
      </c>
      <c r="J141" s="22">
        <f ca="1">(IF(D132=1,(H132/(D132+3)+J136),IF(D132=0,(H132*0.3+J136),IF(D132&gt;1,0))))</f>
        <v>14.7</v>
      </c>
    </row>
    <row r="142" spans="1:10" ht="20.25" customHeight="1" thickBot="1" x14ac:dyDescent="0.4">
      <c r="A142" s="142" t="s">
        <v>160</v>
      </c>
      <c r="B142" s="142"/>
      <c r="C142" s="69">
        <v>0</v>
      </c>
      <c r="D142" s="68">
        <f ca="1">((100/H132)*C142)/100</f>
        <v>0</v>
      </c>
      <c r="E142" s="150"/>
      <c r="F142" s="151"/>
      <c r="G142" s="142"/>
      <c r="H142" s="142"/>
      <c r="I142" s="20" t="s">
        <v>124</v>
      </c>
      <c r="J142" s="24">
        <f ca="1">(IF(D132&gt;1.5,(H132/(D132+2)+J136+MAX(0,J137-J136)+MAX(0,J138-J137)+MAX(0,J139-J138)+MAX(0,J140-J139)+MAX(0,J141-J140)),IF(D132=1,(H132/(D132+3)+J141),IF(D132=0,H132*0.3+J141))))</f>
        <v>21</v>
      </c>
    </row>
    <row r="143" spans="1:10" ht="20.25" x14ac:dyDescent="0.25">
      <c r="A143" s="142" t="s">
        <v>159</v>
      </c>
      <c r="B143" s="142"/>
      <c r="C143" s="69">
        <v>0</v>
      </c>
      <c r="D143" s="68">
        <f ca="1">((100/H132)*C143)/100</f>
        <v>0</v>
      </c>
      <c r="E143" s="150"/>
      <c r="F143" s="151"/>
      <c r="G143" s="142"/>
      <c r="H143" s="142"/>
    </row>
    <row r="144" spans="1:10" ht="21" customHeight="1" x14ac:dyDescent="0.25">
      <c r="A144" s="142" t="s">
        <v>138</v>
      </c>
      <c r="B144" s="142"/>
      <c r="C144" s="69">
        <v>0</v>
      </c>
      <c r="D144" s="68">
        <f ca="1">((100/(H132))*C144)/100</f>
        <v>0</v>
      </c>
      <c r="E144" s="150"/>
      <c r="F144" s="151"/>
      <c r="G144" s="142"/>
      <c r="H144" s="142"/>
    </row>
    <row r="145" spans="1:10" ht="21" customHeight="1" thickBot="1" x14ac:dyDescent="0.3">
      <c r="A145" s="142" t="s">
        <v>139</v>
      </c>
      <c r="B145" s="142"/>
      <c r="C145" s="69">
        <v>0</v>
      </c>
      <c r="D145" s="68">
        <f ca="1">((100/(H132))*C145)/100</f>
        <v>0</v>
      </c>
      <c r="E145" s="152"/>
      <c r="F145" s="153"/>
      <c r="G145" s="142"/>
      <c r="H145" s="142"/>
    </row>
    <row r="146" spans="1:10" ht="21" customHeight="1" x14ac:dyDescent="0.3">
      <c r="A146" s="147" t="s">
        <v>65</v>
      </c>
      <c r="B146" s="147"/>
      <c r="C146" s="147"/>
      <c r="D146" s="147"/>
      <c r="E146" s="147"/>
      <c r="F146" s="147"/>
      <c r="G146" s="147"/>
      <c r="H146" s="147"/>
      <c r="I146" s="15" t="str">
        <f ca="1">(IF(E150&gt;99%,"All work completed. Please provide OC.",IF(E150&gt;89.8%,"Plinth, RCC, Brick, Plaster, Flooring, Wooden, Plumbing, Electrification, etc., work Completed. Finishing work is in process.",IF(E150&lt;94%,(IF(C150=0,"Work not yet Started.",IF(D150=25%,"Piling work in process",IF(D150=50%,"Excavation work in process",IF(D150=100%,"Excavation work Completed. ","0")))&amp;(IF(C151=0%,"",IF(C151=J151,"Footing work is process",IF(C151=J152,"Footing work Completed",IF(C151=J153,"1st Basement Completed",IF(C151=J154,"1st &amp; 2nd Basement Completed",IF(C151=J155,"1st to 3rd Basement Completed",IF(C151=J156,"1st to 4th Basement Completed",IF(C151=J157,"Plinth work is process",IF(C151=J158,"Plinth work completed","0")))))))))))&amp;(IF(C152=(E148+G148+H148),", RCC Slab",IF(C152&gt;0,", RCC upto "&amp;C152&amp;" Slab",""))&amp;(IF(C153=H148,", Brickwork",IF(C153&gt;0,", Brickwork upto "&amp;C153&amp;" Floor",""))&amp;(IF(C154=H148,", Internal Plaster",IF(C154&gt;0,", Internal Plaster upto "&amp;C154&amp;" Floor",""))&amp;(IF(C155=H148,", External Plaster",IF(C155&gt;0,", External Plaster upto "&amp;C155&amp;" Floor",""))&amp;(IF(C156=H148,", External Plumbing, Elevation and Waterproofing",IF(C156&gt;0,", External Plumbing, Elevation and Waterproofing upto "&amp;C156&amp;" Floor",""))&amp;(IF(C157=H148,", Flooring &amp; Fitting",IF(C157&gt;0,", Flooring &amp; Fitting upto "&amp;C157&amp;" Floor",""))&amp;(IF(C158=H148,", Wooden Work",IF(C158&gt;0,", Wooden Work upto "&amp;C158&amp;" Floor",""))&amp;(IF(C159=H148,", Electrical &amp; Sanitary fittings",IF(C159&gt;0,", Electrical &amp; Sanitary fittings upto "&amp;C159&amp;" Floor",""))&amp;(IF(C160&gt;0,", Finishing upto "&amp;C160&amp;" Floor","")&amp;(IF(C152&gt;0.5," Completed",""))))))))))))))))</f>
        <v>Excavation work Completed. Plinth work completed, RCC upto 6 Slab Completed</v>
      </c>
      <c r="J146" s="17"/>
    </row>
    <row r="147" spans="1:10" ht="21" customHeight="1" x14ac:dyDescent="0.3">
      <c r="A147" s="188" t="str">
        <f>CONCATENATE((IF(OR(A51="",A51="NA"),"",A51)),"= ",(IF(OR(D51="",D51="NA"),"",D51)),".")</f>
        <v>Wing F= St + 5P + 6th to 21st Floor.</v>
      </c>
      <c r="B147" s="188"/>
      <c r="C147" s="188"/>
      <c r="D147" s="69" t="s">
        <v>112</v>
      </c>
      <c r="E147" s="189" t="s">
        <v>99</v>
      </c>
      <c r="F147" s="189"/>
      <c r="G147" s="69" t="s">
        <v>113</v>
      </c>
      <c r="H147" s="69" t="s">
        <v>114</v>
      </c>
      <c r="I147" s="16" t="s">
        <v>118</v>
      </c>
      <c r="J147" s="17"/>
    </row>
    <row r="148" spans="1:10" ht="20.25" x14ac:dyDescent="0.3">
      <c r="A148" s="188"/>
      <c r="B148" s="188"/>
      <c r="C148" s="188"/>
      <c r="D148" s="76">
        <f>IF(AND(ISNUMBER(SEARCH("1B",A147))),1,IF(AND(ISNUMBER(SEARCH("2B",A147))),2,IF(AND(ISNUMBER(SEARCH("3B",A147))),3,IF(AND(ISNUMBER(SEARCH("4B",A147))),4,IF(ISNUMBER(SEARCH("5B",A147)),5,0)))))</f>
        <v>0</v>
      </c>
      <c r="E148" s="189">
        <v>1</v>
      </c>
      <c r="F148" s="189"/>
      <c r="G148" s="76">
        <v>0</v>
      </c>
      <c r="H148" s="69">
        <f ca="1">--TRIM(RIGHT(SUBSTITUTE(LEFT(A147,_xlfn.AGGREGATE(16,6,FIND({0,1,2,3,4,5,6,7,8,9},A147,ROW(INDIRECT("1:"&amp;LEN(A147)))),1))," ",REPT(" ",LEN(A147))),LEN(A147)))</f>
        <v>21</v>
      </c>
      <c r="I148" s="19" t="s">
        <v>128</v>
      </c>
      <c r="J148" s="18">
        <f ca="1">H148*25%</f>
        <v>5.25</v>
      </c>
    </row>
    <row r="149" spans="1:10" ht="20.25" x14ac:dyDescent="0.3">
      <c r="A149" s="192" t="s">
        <v>116</v>
      </c>
      <c r="B149" s="192"/>
      <c r="C149" s="70" t="s">
        <v>126</v>
      </c>
      <c r="D149" s="70" t="s">
        <v>127</v>
      </c>
      <c r="E149" s="192" t="s">
        <v>117</v>
      </c>
      <c r="F149" s="192"/>
      <c r="G149" s="26" t="s">
        <v>115</v>
      </c>
      <c r="H149" s="26"/>
      <c r="I149" s="19" t="s">
        <v>119</v>
      </c>
      <c r="J149" s="21">
        <f ca="1">H148*50%</f>
        <v>10.5</v>
      </c>
    </row>
    <row r="150" spans="1:10" ht="20.25" x14ac:dyDescent="0.3">
      <c r="A150" s="142" t="s">
        <v>129</v>
      </c>
      <c r="B150" s="142"/>
      <c r="C150" s="69">
        <f ca="1">J150</f>
        <v>21</v>
      </c>
      <c r="D150" s="68">
        <f ca="1">((100/H148)*C150)/100</f>
        <v>1</v>
      </c>
      <c r="E150" s="148">
        <f ca="1">(((C150/H148*10)+(C151/H148*15)+(25/(E148+G148+H148)*C152)+(5/(H148)*C153)+(2.5/(H148)*C154)+(2.5/(H148)*C155)+(5/H148*C156)+(10/H148*C157)+(2.5/H148*C158)+(2.5/H148*C159)+(10/H148*C160)+(10/H148*C161))/100)</f>
        <v>0.31818181818181818</v>
      </c>
      <c r="F150" s="149"/>
      <c r="G150" s="142" t="str">
        <f ca="1">I146</f>
        <v>Excavation work Completed. Plinth work completed, RCC upto 6 Slab Completed</v>
      </c>
      <c r="H150" s="142"/>
      <c r="I150" s="19" t="s">
        <v>120</v>
      </c>
      <c r="J150" s="21">
        <f ca="1">H148</f>
        <v>21</v>
      </c>
    </row>
    <row r="151" spans="1:10" ht="21" x14ac:dyDescent="0.35">
      <c r="A151" s="142" t="s">
        <v>100</v>
      </c>
      <c r="B151" s="142"/>
      <c r="C151" s="72">
        <f ca="1">J158</f>
        <v>21</v>
      </c>
      <c r="D151" s="68">
        <f ca="1">((100/H148)*C151)/100</f>
        <v>1</v>
      </c>
      <c r="E151" s="150"/>
      <c r="F151" s="151"/>
      <c r="G151" s="142"/>
      <c r="H151" s="142"/>
      <c r="I151" s="19" t="s">
        <v>121</v>
      </c>
      <c r="J151" s="22">
        <f ca="1">(IF(D148&gt;1,(H148/(D148+2)),H148*0.2))</f>
        <v>4.2</v>
      </c>
    </row>
    <row r="152" spans="1:10" ht="21" x14ac:dyDescent="0.35">
      <c r="A152" s="142" t="s">
        <v>130</v>
      </c>
      <c r="B152" s="142"/>
      <c r="C152" s="69">
        <v>6</v>
      </c>
      <c r="D152" s="68">
        <f ca="1">((100/(E148+G148+H148))*C152)/100</f>
        <v>0.27272727272727271</v>
      </c>
      <c r="E152" s="150"/>
      <c r="F152" s="151"/>
      <c r="G152" s="142"/>
      <c r="H152" s="142"/>
      <c r="I152" s="19" t="s">
        <v>122</v>
      </c>
      <c r="J152" s="22">
        <f ca="1">(IF(D148&gt;1,(H148/(D148+2)+J151),H148*0.2+J151))</f>
        <v>8.4</v>
      </c>
    </row>
    <row r="153" spans="1:10" ht="21" x14ac:dyDescent="0.35">
      <c r="A153" s="142" t="s">
        <v>131</v>
      </c>
      <c r="B153" s="142"/>
      <c r="C153" s="69">
        <v>0</v>
      </c>
      <c r="D153" s="68">
        <f ca="1">((100/H148)*C153)/100</f>
        <v>0</v>
      </c>
      <c r="E153" s="150"/>
      <c r="F153" s="151"/>
      <c r="G153" s="142"/>
      <c r="H153" s="142"/>
      <c r="I153" s="19" t="s">
        <v>133</v>
      </c>
      <c r="J153" s="22">
        <f>(IF(D148&gt;1,(H148/(D148+2)+J152),0))</f>
        <v>0</v>
      </c>
    </row>
    <row r="154" spans="1:10" ht="21" x14ac:dyDescent="0.35">
      <c r="A154" s="143" t="s">
        <v>132</v>
      </c>
      <c r="B154" s="144"/>
      <c r="C154" s="69">
        <v>0</v>
      </c>
      <c r="D154" s="68">
        <f ca="1">((100/H148)*C154)/100</f>
        <v>0</v>
      </c>
      <c r="E154" s="150"/>
      <c r="F154" s="151"/>
      <c r="G154" s="142"/>
      <c r="H154" s="142"/>
      <c r="I154" s="19" t="s">
        <v>134</v>
      </c>
      <c r="J154" s="22">
        <f>(IF(D148&gt;2,(H148/(D148+2)+J153),0))</f>
        <v>0</v>
      </c>
    </row>
    <row r="155" spans="1:10" ht="20.25" customHeight="1" x14ac:dyDescent="0.35">
      <c r="A155" s="143" t="s">
        <v>161</v>
      </c>
      <c r="B155" s="144"/>
      <c r="C155" s="69">
        <v>0</v>
      </c>
      <c r="D155" s="68">
        <f ca="1">((100/H148)*C155)/100</f>
        <v>0</v>
      </c>
      <c r="E155" s="150"/>
      <c r="F155" s="151"/>
      <c r="G155" s="142"/>
      <c r="H155" s="142"/>
      <c r="I155" s="19" t="s">
        <v>136</v>
      </c>
      <c r="J155" s="23">
        <f>(IF(D148&gt;3,(H148/(D148+2)+J154),0))</f>
        <v>0</v>
      </c>
    </row>
    <row r="156" spans="1:10" ht="21" x14ac:dyDescent="0.35">
      <c r="A156" s="143" t="s">
        <v>158</v>
      </c>
      <c r="B156" s="144"/>
      <c r="C156" s="69">
        <v>0</v>
      </c>
      <c r="D156" s="68">
        <f ca="1">((100/(H148))*C156)/100</f>
        <v>0</v>
      </c>
      <c r="E156" s="150"/>
      <c r="F156" s="151"/>
      <c r="G156" s="142"/>
      <c r="H156" s="142"/>
      <c r="I156" s="19" t="s">
        <v>137</v>
      </c>
      <c r="J156" s="22">
        <f>(IF(D148&gt;4,(H148/(D148+2)+J155),0))</f>
        <v>0</v>
      </c>
    </row>
    <row r="157" spans="1:10" ht="20.25" customHeight="1" x14ac:dyDescent="0.35">
      <c r="A157" s="142" t="s">
        <v>135</v>
      </c>
      <c r="B157" s="142"/>
      <c r="C157" s="69">
        <v>0</v>
      </c>
      <c r="D157" s="68">
        <f ca="1">((100/(H148))*C157)/100</f>
        <v>0</v>
      </c>
      <c r="E157" s="150"/>
      <c r="F157" s="151"/>
      <c r="G157" s="142"/>
      <c r="H157" s="142"/>
      <c r="I157" s="19" t="s">
        <v>123</v>
      </c>
      <c r="J157" s="22">
        <f ca="1">(IF(D148=1,(H148/(D148+3)+J152),IF(D148=0,(H148*0.3+J152),IF(D148&gt;1,0))))</f>
        <v>14.7</v>
      </c>
    </row>
    <row r="158" spans="1:10" ht="20.25" customHeight="1" thickBot="1" x14ac:dyDescent="0.4">
      <c r="A158" s="142" t="s">
        <v>160</v>
      </c>
      <c r="B158" s="142"/>
      <c r="C158" s="69">
        <v>0</v>
      </c>
      <c r="D158" s="68">
        <f ca="1">((100/H148)*C158)/100</f>
        <v>0</v>
      </c>
      <c r="E158" s="150"/>
      <c r="F158" s="151"/>
      <c r="G158" s="142"/>
      <c r="H158" s="142"/>
      <c r="I158" s="20" t="s">
        <v>124</v>
      </c>
      <c r="J158" s="24">
        <f ca="1">(IF(D148&gt;1.5,(H148/(D148+2)+J152+MAX(0,J153-J152)+MAX(0,J154-J153)+MAX(0,J155-J154)+MAX(0,J156-J155)+MAX(0,J157-J156)),IF(D148=1,(H148/(D148+3)+J157),IF(D148=0,H148*0.3+J157))))</f>
        <v>21</v>
      </c>
    </row>
    <row r="159" spans="1:10" ht="20.25" x14ac:dyDescent="0.25">
      <c r="A159" s="142" t="s">
        <v>159</v>
      </c>
      <c r="B159" s="142"/>
      <c r="C159" s="69">
        <v>0</v>
      </c>
      <c r="D159" s="68">
        <f ca="1">((100/H148)*C159)/100</f>
        <v>0</v>
      </c>
      <c r="E159" s="150"/>
      <c r="F159" s="151"/>
      <c r="G159" s="142"/>
      <c r="H159" s="142"/>
    </row>
    <row r="160" spans="1:10" ht="21" customHeight="1" x14ac:dyDescent="0.25">
      <c r="A160" s="142" t="s">
        <v>138</v>
      </c>
      <c r="B160" s="142"/>
      <c r="C160" s="69">
        <v>0</v>
      </c>
      <c r="D160" s="68">
        <f ca="1">((100/(H148))*C160)/100</f>
        <v>0</v>
      </c>
      <c r="E160" s="150"/>
      <c r="F160" s="151"/>
      <c r="G160" s="142"/>
      <c r="H160" s="142"/>
    </row>
    <row r="161" spans="1:10" ht="21" customHeight="1" thickBot="1" x14ac:dyDescent="0.3">
      <c r="A161" s="142" t="s">
        <v>139</v>
      </c>
      <c r="B161" s="142"/>
      <c r="C161" s="69">
        <v>0</v>
      </c>
      <c r="D161" s="68">
        <f ca="1">((100/(H148))*C161)/100</f>
        <v>0</v>
      </c>
      <c r="E161" s="152"/>
      <c r="F161" s="153"/>
      <c r="G161" s="142"/>
      <c r="H161" s="142"/>
    </row>
    <row r="162" spans="1:10" ht="21" customHeight="1" x14ac:dyDescent="0.3">
      <c r="A162" s="147" t="s">
        <v>65</v>
      </c>
      <c r="B162" s="147"/>
      <c r="C162" s="147"/>
      <c r="D162" s="147"/>
      <c r="E162" s="147"/>
      <c r="F162" s="147"/>
      <c r="G162" s="147"/>
      <c r="H162" s="147"/>
      <c r="I162" s="15" t="str">
        <f ca="1">(IF(E166&gt;99%,"All work completed. Please provide OC.",IF(E166&gt;89.8%,"Plinth, RCC, Brick, Plaster, Flooring, Wooden, Plumbing, Electrification, etc., work Completed. Finishing work is in process.",IF(E166&lt;94%,(IF(C166=0,"Work not yet Started.",IF(D166=25%,"Piling work in process",IF(D166=50%,"Excavation work in process",IF(D166=100%,"Excavation work Completed. ","0")))&amp;(IF(C167=0%,"",IF(C167=J167,"Footing work is process",IF(C167=J168,"Footing work Completed",IF(C167=J169,"1st Basement Completed",IF(C167=J170,"1st &amp; 2nd Basement Completed",IF(C167=J171,"1st to 3rd Basement Completed",IF(C167=J172,"1st to 4th Basement Completed",IF(C167=J173,"Plinth work is process",IF(C167=J174,"Plinth work completed","0")))))))))))&amp;(IF(C168=(E164+G164+H164),", RCC Slab",IF(C168&gt;0,", RCC upto "&amp;C168&amp;" Slab",""))&amp;(IF(C169=H164,", Brickwork",IF(C169&gt;0,", Brickwork upto "&amp;C169&amp;" Floor",""))&amp;(IF(C170=H164,", Internal Plaster",IF(C170&gt;0,", Internal Plaster upto "&amp;C170&amp;" Floor",""))&amp;(IF(C171=H164,", External Plaster",IF(C171&gt;0,", External Plaster upto "&amp;C171&amp;" Floor",""))&amp;(IF(C172=H164,", External Plumbing, Elevation and Waterproofing",IF(C172&gt;0,", External Plumbing, Elevation and Waterproofing upto "&amp;C172&amp;" Floor",""))&amp;(IF(C173=H164,", Flooring &amp; Fitting",IF(C173&gt;0,", Flooring &amp; Fitting upto "&amp;C173&amp;" Floor",""))&amp;(IF(C174=H164,", Wooden Work",IF(C174&gt;0,", Wooden Work upto "&amp;C174&amp;" Floor",""))&amp;(IF(C175=H164,", Electrical &amp; Sanitary fittings",IF(C175&gt;0,", Electrical &amp; Sanitary fittings upto "&amp;C175&amp;" Floor",""))&amp;(IF(C176&gt;0,", Finishing upto "&amp;C176&amp;" Floor","")&amp;(IF(C168&gt;0.5," Completed",""))))))))))))))))</f>
        <v>Excavation work Completed. Plinth work completed, RCC upto 6 Slab Completed</v>
      </c>
      <c r="J162" s="17"/>
    </row>
    <row r="163" spans="1:10" ht="21" customHeight="1" x14ac:dyDescent="0.3">
      <c r="A163" s="188" t="str">
        <f>CONCATENATE((IF(OR(A52="",A52="NA"),"",A52)),"= ",(IF(OR(D52="",D52="NA"),"",D52)),".")</f>
        <v>Wing G= St + 5P + 6th to 21st Floor.</v>
      </c>
      <c r="B163" s="188"/>
      <c r="C163" s="188"/>
      <c r="D163" s="69" t="s">
        <v>112</v>
      </c>
      <c r="E163" s="189" t="s">
        <v>99</v>
      </c>
      <c r="F163" s="189"/>
      <c r="G163" s="69" t="s">
        <v>113</v>
      </c>
      <c r="H163" s="69" t="s">
        <v>114</v>
      </c>
      <c r="I163" s="16" t="s">
        <v>118</v>
      </c>
      <c r="J163" s="17"/>
    </row>
    <row r="164" spans="1:10" ht="20.25" x14ac:dyDescent="0.3">
      <c r="A164" s="188"/>
      <c r="B164" s="188"/>
      <c r="C164" s="188"/>
      <c r="D164" s="76">
        <f>IF(AND(ISNUMBER(SEARCH("1B",A163))),1,IF(AND(ISNUMBER(SEARCH("2B",A163))),2,IF(AND(ISNUMBER(SEARCH("3B",A163))),3,IF(AND(ISNUMBER(SEARCH("4B",A163))),4,IF(ISNUMBER(SEARCH("5B",A163)),5,0)))))</f>
        <v>0</v>
      </c>
      <c r="E164" s="189">
        <v>1</v>
      </c>
      <c r="F164" s="189"/>
      <c r="G164" s="76">
        <v>0</v>
      </c>
      <c r="H164" s="69">
        <f ca="1">--TRIM(RIGHT(SUBSTITUTE(LEFT(A163,_xlfn.AGGREGATE(16,6,FIND({0,1,2,3,4,5,6,7,8,9},A163,ROW(INDIRECT("1:"&amp;LEN(A163)))),1))," ",REPT(" ",LEN(A163))),LEN(A163)))</f>
        <v>21</v>
      </c>
      <c r="I164" s="19" t="s">
        <v>128</v>
      </c>
      <c r="J164" s="18">
        <f ca="1">H164*25%</f>
        <v>5.25</v>
      </c>
    </row>
    <row r="165" spans="1:10" ht="20.25" x14ac:dyDescent="0.3">
      <c r="A165" s="192" t="s">
        <v>116</v>
      </c>
      <c r="B165" s="192"/>
      <c r="C165" s="70" t="s">
        <v>126</v>
      </c>
      <c r="D165" s="70" t="s">
        <v>127</v>
      </c>
      <c r="E165" s="192" t="s">
        <v>117</v>
      </c>
      <c r="F165" s="192"/>
      <c r="G165" s="26" t="s">
        <v>115</v>
      </c>
      <c r="H165" s="26"/>
      <c r="I165" s="19" t="s">
        <v>119</v>
      </c>
      <c r="J165" s="21">
        <f ca="1">H164*50%</f>
        <v>10.5</v>
      </c>
    </row>
    <row r="166" spans="1:10" ht="20.25" x14ac:dyDescent="0.3">
      <c r="A166" s="142" t="s">
        <v>129</v>
      </c>
      <c r="B166" s="142"/>
      <c r="C166" s="69">
        <f ca="1">J166</f>
        <v>21</v>
      </c>
      <c r="D166" s="68">
        <f ca="1">((100/H164)*C166)/100</f>
        <v>1</v>
      </c>
      <c r="E166" s="148">
        <f ca="1">(((C166/H164*10)+(C167/H164*15)+(25/(E164+G164+H164)*C168)+(5/(H164)*C169)+(2.5/(H164)*C170)+(2.5/(H164)*C171)+(5/H164*C172)+(10/H164*C173)+(2.5/H164*C174)+(2.5/H164*C175)+(10/H164*C176)+(10/H164*C177))/100)</f>
        <v>0.31818181818181818</v>
      </c>
      <c r="F166" s="149"/>
      <c r="G166" s="142" t="str">
        <f ca="1">I162</f>
        <v>Excavation work Completed. Plinth work completed, RCC upto 6 Slab Completed</v>
      </c>
      <c r="H166" s="142"/>
      <c r="I166" s="19" t="s">
        <v>120</v>
      </c>
      <c r="J166" s="21">
        <f ca="1">H164</f>
        <v>21</v>
      </c>
    </row>
    <row r="167" spans="1:10" ht="21" x14ac:dyDescent="0.35">
      <c r="A167" s="142" t="s">
        <v>100</v>
      </c>
      <c r="B167" s="142"/>
      <c r="C167" s="72">
        <f ca="1">J174</f>
        <v>21</v>
      </c>
      <c r="D167" s="68">
        <f ca="1">((100/H164)*C167)/100</f>
        <v>1</v>
      </c>
      <c r="E167" s="150"/>
      <c r="F167" s="151"/>
      <c r="G167" s="142"/>
      <c r="H167" s="142"/>
      <c r="I167" s="19" t="s">
        <v>121</v>
      </c>
      <c r="J167" s="22">
        <f ca="1">(IF(D164&gt;1,(H164/(D164+2)),H164*0.2))</f>
        <v>4.2</v>
      </c>
    </row>
    <row r="168" spans="1:10" ht="21" x14ac:dyDescent="0.35">
      <c r="A168" s="142" t="s">
        <v>130</v>
      </c>
      <c r="B168" s="142"/>
      <c r="C168" s="69">
        <v>6</v>
      </c>
      <c r="D168" s="68">
        <f ca="1">((100/(E164+G164+H164))*C168)/100</f>
        <v>0.27272727272727271</v>
      </c>
      <c r="E168" s="150"/>
      <c r="F168" s="151"/>
      <c r="G168" s="142"/>
      <c r="H168" s="142"/>
      <c r="I168" s="19" t="s">
        <v>122</v>
      </c>
      <c r="J168" s="22">
        <f ca="1">(IF(D164&gt;1,(H164/(D164+2)+J167),H164*0.2+J167))</f>
        <v>8.4</v>
      </c>
    </row>
    <row r="169" spans="1:10" ht="21" x14ac:dyDescent="0.35">
      <c r="A169" s="142" t="s">
        <v>131</v>
      </c>
      <c r="B169" s="142"/>
      <c r="C169" s="69">
        <v>0</v>
      </c>
      <c r="D169" s="68">
        <f ca="1">((100/H164)*C169)/100</f>
        <v>0</v>
      </c>
      <c r="E169" s="150"/>
      <c r="F169" s="151"/>
      <c r="G169" s="142"/>
      <c r="H169" s="142"/>
      <c r="I169" s="19" t="s">
        <v>133</v>
      </c>
      <c r="J169" s="22">
        <f>(IF(D164&gt;1,(H164/(D164+2)+J168),0))</f>
        <v>0</v>
      </c>
    </row>
    <row r="170" spans="1:10" ht="21" x14ac:dyDescent="0.35">
      <c r="A170" s="143" t="s">
        <v>132</v>
      </c>
      <c r="B170" s="144"/>
      <c r="C170" s="69">
        <v>0</v>
      </c>
      <c r="D170" s="68">
        <f ca="1">((100/H164)*C170)/100</f>
        <v>0</v>
      </c>
      <c r="E170" s="150"/>
      <c r="F170" s="151"/>
      <c r="G170" s="142"/>
      <c r="H170" s="142"/>
      <c r="I170" s="19" t="s">
        <v>134</v>
      </c>
      <c r="J170" s="22">
        <f>(IF(D164&gt;2,(H164/(D164+2)+J169),0))</f>
        <v>0</v>
      </c>
    </row>
    <row r="171" spans="1:10" ht="21" x14ac:dyDescent="0.35">
      <c r="A171" s="143" t="s">
        <v>161</v>
      </c>
      <c r="B171" s="144"/>
      <c r="C171" s="69">
        <v>0</v>
      </c>
      <c r="D171" s="68">
        <f ca="1">((100/H164)*C171)/100</f>
        <v>0</v>
      </c>
      <c r="E171" s="150"/>
      <c r="F171" s="151"/>
      <c r="G171" s="142"/>
      <c r="H171" s="142"/>
      <c r="I171" s="19" t="s">
        <v>136</v>
      </c>
      <c r="J171" s="23">
        <f>(IF(D164&gt;3,(H164/(D164+2)+J170),0))</f>
        <v>0</v>
      </c>
    </row>
    <row r="172" spans="1:10" ht="58.5" customHeight="1" x14ac:dyDescent="0.35">
      <c r="A172" s="143" t="s">
        <v>158</v>
      </c>
      <c r="B172" s="144"/>
      <c r="C172" s="69">
        <v>0</v>
      </c>
      <c r="D172" s="68">
        <f ca="1">((100/(H164))*C172)/100</f>
        <v>0</v>
      </c>
      <c r="E172" s="150"/>
      <c r="F172" s="151"/>
      <c r="G172" s="142"/>
      <c r="H172" s="142"/>
      <c r="I172" s="19" t="s">
        <v>137</v>
      </c>
      <c r="J172" s="22">
        <f>(IF(D164&gt;4,(H164/(D164+2)+J171),0))</f>
        <v>0</v>
      </c>
    </row>
    <row r="173" spans="1:10" ht="21" x14ac:dyDescent="0.35">
      <c r="A173" s="142" t="s">
        <v>135</v>
      </c>
      <c r="B173" s="142"/>
      <c r="C173" s="69">
        <v>0</v>
      </c>
      <c r="D173" s="68">
        <f ca="1">((100/(H164))*C173)/100</f>
        <v>0</v>
      </c>
      <c r="E173" s="150"/>
      <c r="F173" s="151"/>
      <c r="G173" s="142"/>
      <c r="H173" s="142"/>
      <c r="I173" s="19" t="s">
        <v>123</v>
      </c>
      <c r="J173" s="22">
        <f ca="1">(IF(D164=1,(H164/(D164+3)+J168),IF(D164=0,(H164*0.3+J168),IF(D164&gt;1,0))))</f>
        <v>14.7</v>
      </c>
    </row>
    <row r="174" spans="1:10" ht="21.75" thickBot="1" x14ac:dyDescent="0.4">
      <c r="A174" s="142" t="s">
        <v>160</v>
      </c>
      <c r="B174" s="142"/>
      <c r="C174" s="69">
        <v>0</v>
      </c>
      <c r="D174" s="68">
        <f ca="1">((100/H164)*C174)/100</f>
        <v>0</v>
      </c>
      <c r="E174" s="150"/>
      <c r="F174" s="151"/>
      <c r="G174" s="142"/>
      <c r="H174" s="142"/>
      <c r="I174" s="20" t="s">
        <v>124</v>
      </c>
      <c r="J174" s="24">
        <f ca="1">(IF(D164&gt;1.5,(H164/(D164+2)+J168+MAX(0,J169-J168)+MAX(0,J170-J169)+MAX(0,J171-J170)+MAX(0,J172-J171)+MAX(0,J173-J172)),IF(D164=1,(H164/(D164+3)+J173),IF(D164=0,H164*0.3+J173))))</f>
        <v>21</v>
      </c>
    </row>
    <row r="175" spans="1:10" ht="20.25" x14ac:dyDescent="0.25">
      <c r="A175" s="142" t="s">
        <v>159</v>
      </c>
      <c r="B175" s="142"/>
      <c r="C175" s="69">
        <v>0</v>
      </c>
      <c r="D175" s="68">
        <f ca="1">((100/H164)*C175)/100</f>
        <v>0</v>
      </c>
      <c r="E175" s="150"/>
      <c r="F175" s="151"/>
      <c r="G175" s="142"/>
      <c r="H175" s="142"/>
    </row>
    <row r="176" spans="1:10" ht="20.25" customHeight="1" x14ac:dyDescent="0.25">
      <c r="A176" s="142" t="s">
        <v>138</v>
      </c>
      <c r="B176" s="142"/>
      <c r="C176" s="69">
        <v>0</v>
      </c>
      <c r="D176" s="68">
        <f ca="1">((100/(H164))*C176)/100</f>
        <v>0</v>
      </c>
      <c r="E176" s="150"/>
      <c r="F176" s="151"/>
      <c r="G176" s="142"/>
      <c r="H176" s="142"/>
    </row>
    <row r="177" spans="1:150 16226:16383" ht="20.25" customHeight="1" x14ac:dyDescent="0.25">
      <c r="A177" s="142" t="s">
        <v>139</v>
      </c>
      <c r="B177" s="142"/>
      <c r="C177" s="69">
        <v>0</v>
      </c>
      <c r="D177" s="68">
        <f ca="1">((100/(H164))*C177)/100</f>
        <v>0</v>
      </c>
      <c r="E177" s="152"/>
      <c r="F177" s="153"/>
      <c r="G177" s="142"/>
      <c r="H177" s="142"/>
    </row>
    <row r="178" spans="1:150 16226:16383" ht="20.25" customHeight="1" x14ac:dyDescent="0.25">
      <c r="A178" s="202" t="s">
        <v>125</v>
      </c>
      <c r="B178" s="203"/>
      <c r="C178" s="203"/>
      <c r="D178" s="203"/>
      <c r="E178" s="203"/>
      <c r="F178" s="203"/>
      <c r="G178" s="190">
        <f ca="1">AVERAGE(E70,E86,E102,E118,E134,E150,E166)</f>
        <v>0.29220779220779219</v>
      </c>
      <c r="H178" s="191"/>
    </row>
    <row r="179" spans="1:150 16226:16383" ht="20.25" x14ac:dyDescent="0.25">
      <c r="A179" s="176" t="s">
        <v>69</v>
      </c>
      <c r="B179" s="177"/>
      <c r="C179" s="177"/>
      <c r="D179" s="177"/>
      <c r="E179" s="177"/>
      <c r="F179" s="177"/>
      <c r="G179" s="177"/>
      <c r="H179" s="178"/>
    </row>
    <row r="180" spans="1:150 16226:16383" s="3" customFormat="1" ht="20.25" x14ac:dyDescent="0.25">
      <c r="A180" s="129" t="s">
        <v>70</v>
      </c>
      <c r="B180" s="130"/>
      <c r="C180" s="131" t="s">
        <v>104</v>
      </c>
      <c r="D180" s="132"/>
      <c r="E180" s="129" t="s">
        <v>140</v>
      </c>
      <c r="F180" s="130" t="s">
        <v>4</v>
      </c>
      <c r="G180" s="201" t="s">
        <v>152</v>
      </c>
      <c r="H180" s="20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29" t="s">
        <v>149</v>
      </c>
      <c r="B181" s="130"/>
      <c r="C181" s="131" t="s">
        <v>390</v>
      </c>
      <c r="D181" s="132"/>
      <c r="E181" s="129" t="s">
        <v>150</v>
      </c>
      <c r="F181" s="130" t="s">
        <v>4</v>
      </c>
      <c r="G181" s="128" t="s">
        <v>141</v>
      </c>
      <c r="H181" s="128"/>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29" t="s">
        <v>71</v>
      </c>
      <c r="B182" s="130"/>
      <c r="C182" s="99">
        <v>800000</v>
      </c>
      <c r="D182" s="101"/>
      <c r="E182" s="129" t="s">
        <v>98</v>
      </c>
      <c r="F182" s="130" t="s">
        <v>4</v>
      </c>
      <c r="G182" s="131" t="s">
        <v>105</v>
      </c>
      <c r="H182" s="132"/>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ht="41.25" customHeight="1" x14ac:dyDescent="0.25">
      <c r="A183" s="176" t="s">
        <v>68</v>
      </c>
      <c r="B183" s="177"/>
      <c r="C183" s="177"/>
      <c r="D183" s="177"/>
      <c r="E183" s="177"/>
      <c r="F183" s="177"/>
      <c r="G183" s="177"/>
      <c r="H183" s="178"/>
    </row>
    <row r="184" spans="1:150 16226:16383" s="3" customFormat="1" ht="20.25" x14ac:dyDescent="0.25">
      <c r="A184" s="129" t="s">
        <v>8</v>
      </c>
      <c r="B184" s="133"/>
      <c r="C184" s="133"/>
      <c r="D184" s="133"/>
      <c r="E184" s="133"/>
      <c r="F184" s="130"/>
      <c r="G184" s="186">
        <f>58050/10.764</f>
        <v>5392.9765886287632</v>
      </c>
      <c r="H184" s="187"/>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29" t="s">
        <v>28</v>
      </c>
      <c r="B185" s="133"/>
      <c r="C185" s="133"/>
      <c r="D185" s="133"/>
      <c r="E185" s="133"/>
      <c r="F185" s="130" t="s">
        <v>4</v>
      </c>
      <c r="G185" s="184">
        <f>142230/10.764</f>
        <v>13213.489409141584</v>
      </c>
      <c r="H185" s="18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129" t="s">
        <v>106</v>
      </c>
      <c r="B186" s="133"/>
      <c r="C186" s="133"/>
      <c r="D186" s="133"/>
      <c r="E186" s="133"/>
      <c r="F186" s="130" t="s">
        <v>4</v>
      </c>
      <c r="G186" s="184">
        <f>G184*0.8</f>
        <v>4314.3812709030108</v>
      </c>
      <c r="H186" s="18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182" t="s">
        <v>235</v>
      </c>
      <c r="B187" s="183"/>
      <c r="C187" s="183"/>
      <c r="D187" s="183"/>
      <c r="E187" s="183"/>
      <c r="F187" s="183"/>
      <c r="G187" s="183"/>
      <c r="H187" s="16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13" t="s">
        <v>146</v>
      </c>
      <c r="B188" s="114"/>
      <c r="C188" s="113" t="s">
        <v>147</v>
      </c>
      <c r="D188" s="114"/>
      <c r="E188" s="113" t="s">
        <v>145</v>
      </c>
      <c r="F188" s="114"/>
      <c r="G188" s="113" t="s">
        <v>157</v>
      </c>
      <c r="H188" s="11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02" t="s">
        <v>387</v>
      </c>
      <c r="B189" s="103"/>
      <c r="C189" s="111" t="s">
        <v>92</v>
      </c>
      <c r="D189" s="112"/>
      <c r="E189" s="111">
        <f>COUNT(E207:E212)+COUNT(E215:E219,E220:E222)+COUNT(E224:E234)+COUNT(E236:E246)*2</f>
        <v>47</v>
      </c>
      <c r="F189" s="112"/>
      <c r="G189" s="111">
        <f>SUM(H207:H212)+SUM(H215:H219,H220:H222)+SUM(H224:H234)+SUM(H236:H246)*2</f>
        <v>19623.417840000002</v>
      </c>
      <c r="H189" s="112"/>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113" t="s">
        <v>148</v>
      </c>
      <c r="B190" s="114"/>
      <c r="C190" s="113" t="s">
        <v>92</v>
      </c>
      <c r="D190" s="114"/>
      <c r="E190" s="113">
        <f>SUM(E189)</f>
        <v>47</v>
      </c>
      <c r="F190" s="114"/>
      <c r="G190" s="113">
        <f>SUM(G189)</f>
        <v>19623.417840000002</v>
      </c>
      <c r="H190" s="11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182" t="s">
        <v>388</v>
      </c>
      <c r="B191" s="183"/>
      <c r="C191" s="183"/>
      <c r="D191" s="183"/>
      <c r="E191" s="183"/>
      <c r="F191" s="183"/>
      <c r="G191" s="183"/>
      <c r="H191" s="16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113" t="s">
        <v>146</v>
      </c>
      <c r="B192" s="114"/>
      <c r="C192" s="113" t="s">
        <v>147</v>
      </c>
      <c r="D192" s="114"/>
      <c r="E192" s="113" t="s">
        <v>145</v>
      </c>
      <c r="F192" s="114"/>
      <c r="G192" s="113" t="s">
        <v>157</v>
      </c>
      <c r="H192" s="11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102" t="s">
        <v>317</v>
      </c>
      <c r="B193" s="103"/>
      <c r="C193" s="102" t="s">
        <v>92</v>
      </c>
      <c r="D193" s="103"/>
      <c r="E193" s="102">
        <f>COUNT(E255:E258)*14+COUNT(E260:E261,E263)*2</f>
        <v>62</v>
      </c>
      <c r="F193" s="103"/>
      <c r="G193" s="102">
        <f>SUM(H255:H258)*14+SUM(H260:H261,H263)*2</f>
        <v>36567.676079999997</v>
      </c>
      <c r="H193" s="10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ht="20.25" x14ac:dyDescent="0.25">
      <c r="A194" s="102" t="s">
        <v>318</v>
      </c>
      <c r="B194" s="103"/>
      <c r="C194" s="102" t="s">
        <v>92</v>
      </c>
      <c r="D194" s="103"/>
      <c r="E194" s="102">
        <f>COUNT(E271:E274)*14+COUNT(E276:E277,E279)*2</f>
        <v>62</v>
      </c>
      <c r="F194" s="103"/>
      <c r="G194" s="102">
        <f>SUM(H271:H274)*14+SUM(H276:H277,H279)*2</f>
        <v>34359.549119999996</v>
      </c>
      <c r="H194" s="103"/>
    </row>
    <row r="195" spans="1:150 16226:16383" ht="20.25" x14ac:dyDescent="0.25">
      <c r="A195" s="102" t="s">
        <v>319</v>
      </c>
      <c r="B195" s="103"/>
      <c r="C195" s="102" t="s">
        <v>92</v>
      </c>
      <c r="D195" s="103"/>
      <c r="E195" s="102">
        <f>COUNT(E287:E291)*14+COUNT(E293:E296)+COUNT(E299:E300,E304)</f>
        <v>77</v>
      </c>
      <c r="F195" s="103"/>
      <c r="G195" s="102">
        <f>SUM(H287:H291)*14+SUM(H293:H296)+SUM(H299:H300,H304)</f>
        <v>59303.935079999996</v>
      </c>
      <c r="H195" s="103"/>
    </row>
    <row r="196" spans="1:150 16226:16383" s="3" customFormat="1" ht="20.25" x14ac:dyDescent="0.25">
      <c r="A196" s="102" t="s">
        <v>320</v>
      </c>
      <c r="B196" s="103"/>
      <c r="C196" s="102" t="s">
        <v>92</v>
      </c>
      <c r="D196" s="103"/>
      <c r="E196" s="102">
        <f>COUNT(E313:E314)*8+COUNT(E316:E317)*7</f>
        <v>30</v>
      </c>
      <c r="F196" s="103"/>
      <c r="G196" s="102">
        <f>SUM(H313:H314)*8+SUM(H316:H317)*7</f>
        <v>31881.891599999995</v>
      </c>
      <c r="H196" s="103"/>
      <c r="I196" s="73">
        <v>10.763999999999999</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x14ac:dyDescent="0.25">
      <c r="A197" s="102" t="s">
        <v>321</v>
      </c>
      <c r="B197" s="103"/>
      <c r="C197" s="102" t="s">
        <v>92</v>
      </c>
      <c r="D197" s="103"/>
      <c r="E197" s="102">
        <f>COUNT(E325:E329)*14+COUNT(E332:E335)+COUNT(E337,E340:E341)</f>
        <v>77</v>
      </c>
      <c r="F197" s="103"/>
      <c r="G197" s="102">
        <f>SUM(H325:H329)*14+SUM(H332:H335)+SUM(H337,H340:H341)</f>
        <v>58612.886279999999</v>
      </c>
      <c r="H197" s="10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102" t="s">
        <v>322</v>
      </c>
      <c r="B198" s="103"/>
      <c r="C198" s="102" t="s">
        <v>92</v>
      </c>
      <c r="D198" s="103"/>
      <c r="E198" s="102">
        <f>COUNT(E350:E353)*14+COUNT(E355,E357:E358)*2</f>
        <v>62</v>
      </c>
      <c r="F198" s="103"/>
      <c r="G198" s="102">
        <f>SUM(H350:H353)*14+SUM(H355,H357:H358)*2</f>
        <v>34759.754639999999</v>
      </c>
      <c r="H198" s="103"/>
      <c r="I198" s="81" t="s">
        <v>364</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102" t="s">
        <v>323</v>
      </c>
      <c r="B199" s="103"/>
      <c r="C199" s="102" t="s">
        <v>92</v>
      </c>
      <c r="D199" s="103"/>
      <c r="E199" s="102">
        <f>COUNT(E366:E369)*14+COUNT(E371:E374)*2</f>
        <v>62</v>
      </c>
      <c r="F199" s="103"/>
      <c r="G199" s="102">
        <f>SUM(H366:H369)*14+SUM(H371:H374)*2</f>
        <v>36556.481519999994</v>
      </c>
      <c r="H199" s="10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13" t="s">
        <v>148</v>
      </c>
      <c r="B200" s="114"/>
      <c r="C200" s="113" t="s">
        <v>92</v>
      </c>
      <c r="D200" s="114"/>
      <c r="E200" s="113">
        <f>SUM(E193:F199)</f>
        <v>432</v>
      </c>
      <c r="F200" s="114"/>
      <c r="G200" s="113">
        <f>SUM(G193:H199)</f>
        <v>292042.17431999999</v>
      </c>
      <c r="H200" s="11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113" t="s">
        <v>236</v>
      </c>
      <c r="B201" s="114"/>
      <c r="C201" s="113" t="s">
        <v>92</v>
      </c>
      <c r="D201" s="114"/>
      <c r="E201" s="113">
        <f>SUM(E190,E200)</f>
        <v>479</v>
      </c>
      <c r="F201" s="114"/>
      <c r="G201" s="113">
        <f>SUM(G190,G200)</f>
        <v>311665.59216</v>
      </c>
      <c r="H201" s="11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116" t="s">
        <v>384</v>
      </c>
      <c r="B202" s="117"/>
      <c r="C202" s="117"/>
      <c r="D202" s="117"/>
      <c r="E202" s="117"/>
      <c r="F202" s="117"/>
      <c r="G202" s="117"/>
      <c r="H202" s="16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81" x14ac:dyDescent="0.25">
      <c r="A203" s="48" t="s">
        <v>378</v>
      </c>
      <c r="B203" s="28" t="s">
        <v>224</v>
      </c>
      <c r="C203" s="78" t="s">
        <v>225</v>
      </c>
      <c r="D203" s="28" t="s">
        <v>86</v>
      </c>
      <c r="E203" s="28" t="s">
        <v>336</v>
      </c>
      <c r="F203" s="30" t="s">
        <v>226</v>
      </c>
      <c r="G203" s="28" t="s">
        <v>88</v>
      </c>
      <c r="H203" s="28" t="s">
        <v>87</v>
      </c>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116" t="s">
        <v>391</v>
      </c>
      <c r="B204" s="117"/>
      <c r="C204" s="117"/>
      <c r="D204" s="117"/>
      <c r="E204" s="117"/>
      <c r="F204" s="117"/>
      <c r="G204" s="117"/>
      <c r="H204" s="118"/>
      <c r="I204" s="8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16" t="s">
        <v>392</v>
      </c>
      <c r="B205" s="117"/>
      <c r="C205" s="117"/>
      <c r="D205" s="117"/>
      <c r="E205" s="117"/>
      <c r="F205" s="117"/>
      <c r="G205" s="117"/>
      <c r="H205" s="118"/>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04" t="s">
        <v>360</v>
      </c>
      <c r="B206" s="105"/>
      <c r="C206" s="105"/>
      <c r="D206" s="105"/>
      <c r="E206" s="105"/>
      <c r="F206" s="105"/>
      <c r="G206" s="105"/>
      <c r="H206" s="106"/>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110">
        <v>1</v>
      </c>
      <c r="B207" s="110"/>
      <c r="C207" s="49" t="s">
        <v>92</v>
      </c>
      <c r="D207" s="49" t="s">
        <v>359</v>
      </c>
      <c r="E207" s="73">
        <f>(48.2)*10.764</f>
        <v>518.82479999999998</v>
      </c>
      <c r="F207" s="73">
        <v>0</v>
      </c>
      <c r="G207" s="73">
        <v>0</v>
      </c>
      <c r="H207" s="73">
        <f>E207+F207+(IF(G207&lt;101,G207,IF(G207&lt;201,G207/2,IF(G207&lt;=301,G207/3,G207/4))))</f>
        <v>518.82479999999998</v>
      </c>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11">
        <f>A207+1</f>
        <v>2</v>
      </c>
      <c r="B208" s="112"/>
      <c r="C208" s="49" t="s">
        <v>92</v>
      </c>
      <c r="D208" s="49" t="s">
        <v>359</v>
      </c>
      <c r="E208" s="73">
        <f>(54.89)*10.764</f>
        <v>590.83596</v>
      </c>
      <c r="F208" s="73">
        <v>0</v>
      </c>
      <c r="G208" s="73">
        <v>0</v>
      </c>
      <c r="H208" s="73">
        <f t="shared" ref="H208:H211" si="0">E208+F208+(IF(G208&lt;101,G208,IF(G208&lt;201,G208/2,IF(G208&lt;=301,G208/3,G208/4))))</f>
        <v>590.83596</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11">
        <v>3</v>
      </c>
      <c r="B209" s="112"/>
      <c r="C209" s="49" t="s">
        <v>92</v>
      </c>
      <c r="D209" s="49" t="s">
        <v>359</v>
      </c>
      <c r="E209" s="77">
        <f>(39.76)*10.764</f>
        <v>427.97663999999997</v>
      </c>
      <c r="F209" s="77">
        <v>0</v>
      </c>
      <c r="G209" s="77">
        <v>0</v>
      </c>
      <c r="H209" s="77">
        <f t="shared" si="0"/>
        <v>427.97663999999997</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111">
        <v>4</v>
      </c>
      <c r="B210" s="112"/>
      <c r="C210" s="49" t="s">
        <v>92</v>
      </c>
      <c r="D210" s="49" t="s">
        <v>359</v>
      </c>
      <c r="E210" s="77">
        <f>(54.17)*10.764</f>
        <v>583.08587999999997</v>
      </c>
      <c r="F210" s="77">
        <v>0</v>
      </c>
      <c r="G210" s="77">
        <v>0</v>
      </c>
      <c r="H210" s="77">
        <f t="shared" si="0"/>
        <v>583.08587999999997</v>
      </c>
      <c r="I210" s="86"/>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11">
        <v>5</v>
      </c>
      <c r="B211" s="112"/>
      <c r="C211" s="49" t="s">
        <v>92</v>
      </c>
      <c r="D211" s="49" t="s">
        <v>359</v>
      </c>
      <c r="E211" s="77">
        <f>(62.7)*10.764</f>
        <v>674.90279999999996</v>
      </c>
      <c r="F211" s="77">
        <v>0</v>
      </c>
      <c r="G211" s="77">
        <v>0</v>
      </c>
      <c r="H211" s="77">
        <f t="shared" si="0"/>
        <v>674.90279999999996</v>
      </c>
      <c r="I211" s="86"/>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110">
        <v>6</v>
      </c>
      <c r="B212" s="110"/>
      <c r="C212" s="49" t="s">
        <v>92</v>
      </c>
      <c r="D212" s="49" t="s">
        <v>332</v>
      </c>
      <c r="E212" s="73">
        <f>(94.36)*10.764</f>
        <v>1015.6910399999999</v>
      </c>
      <c r="F212" s="73">
        <v>0</v>
      </c>
      <c r="G212" s="73">
        <v>0</v>
      </c>
      <c r="H212" s="73">
        <f>E212+F212+(IF(G212&lt;101,G212,IF(G212&lt;201,G212/2,IF(G212&lt;=301,G212/3,G212/4))))</f>
        <v>1015.6910399999999</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104" t="s">
        <v>379</v>
      </c>
      <c r="B213" s="105"/>
      <c r="C213" s="105"/>
      <c r="D213" s="105"/>
      <c r="E213" s="105"/>
      <c r="F213" s="105"/>
      <c r="G213" s="105"/>
      <c r="H213" s="106"/>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07" t="s">
        <v>333</v>
      </c>
      <c r="B214" s="108"/>
      <c r="C214" s="108"/>
      <c r="D214" s="108"/>
      <c r="E214" s="108"/>
      <c r="F214" s="108"/>
      <c r="G214" s="108"/>
      <c r="H214" s="109"/>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10">
        <v>1</v>
      </c>
      <c r="B215" s="110"/>
      <c r="C215" s="49" t="s">
        <v>92</v>
      </c>
      <c r="D215" s="49" t="s">
        <v>359</v>
      </c>
      <c r="E215" s="73">
        <f>(19.85)*10.764</f>
        <v>213.66540000000001</v>
      </c>
      <c r="F215" s="73">
        <v>0</v>
      </c>
      <c r="G215" s="73">
        <v>0</v>
      </c>
      <c r="H215" s="73">
        <f>E215+F215+(IF(G215&lt;101,G215,IF(G215&lt;201,G215/2,IF(G215&lt;=301,G215/3,G215/4))))</f>
        <v>213.66540000000001</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111">
        <f>A215+1</f>
        <v>2</v>
      </c>
      <c r="B216" s="112"/>
      <c r="C216" s="49" t="s">
        <v>92</v>
      </c>
      <c r="D216" s="49" t="s">
        <v>359</v>
      </c>
      <c r="E216" s="73">
        <f>(24.39)*10.764</f>
        <v>262.53395999999998</v>
      </c>
      <c r="F216" s="73">
        <v>0</v>
      </c>
      <c r="G216" s="73">
        <v>0</v>
      </c>
      <c r="H216" s="73">
        <f t="shared" ref="H216:H218" si="1">E216+F216+(IF(G216&lt;101,G216,IF(G216&lt;201,G216/2,IF(G216&lt;=301,G216/3,G216/4))))</f>
        <v>262.53395999999998</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111">
        <f t="shared" ref="A217:A219" si="2">A216+1</f>
        <v>3</v>
      </c>
      <c r="B217" s="112"/>
      <c r="C217" s="49" t="s">
        <v>92</v>
      </c>
      <c r="D217" s="49" t="s">
        <v>359</v>
      </c>
      <c r="E217" s="73">
        <f>(19.57)*10.764</f>
        <v>210.65147999999999</v>
      </c>
      <c r="F217" s="73">
        <v>0</v>
      </c>
      <c r="G217" s="73">
        <v>0</v>
      </c>
      <c r="H217" s="73">
        <f t="shared" si="1"/>
        <v>210.65147999999999</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11">
        <f t="shared" si="2"/>
        <v>4</v>
      </c>
      <c r="B218" s="112"/>
      <c r="C218" s="49" t="s">
        <v>92</v>
      </c>
      <c r="D218" s="49" t="s">
        <v>359</v>
      </c>
      <c r="E218" s="73">
        <f>(43.76)*10.764</f>
        <v>471.03263999999996</v>
      </c>
      <c r="F218" s="73">
        <v>0</v>
      </c>
      <c r="G218" s="73">
        <v>0</v>
      </c>
      <c r="H218" s="73">
        <f t="shared" si="1"/>
        <v>471.03263999999996</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111">
        <f t="shared" si="2"/>
        <v>5</v>
      </c>
      <c r="B219" s="112"/>
      <c r="C219" s="49" t="s">
        <v>92</v>
      </c>
      <c r="D219" s="49" t="s">
        <v>359</v>
      </c>
      <c r="E219" s="83">
        <f>(45.46)*10.764</f>
        <v>489.33143999999999</v>
      </c>
      <c r="F219" s="83">
        <v>0</v>
      </c>
      <c r="G219" s="83">
        <v>0</v>
      </c>
      <c r="H219" s="83">
        <f t="shared" ref="H219:H222" si="3">E219+F219+(IF(G219&lt;101,G219,IF(G219&lt;201,G219/2,IF(G219&lt;=301,G219/3,G219/4))))</f>
        <v>489.33143999999999</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115">
        <v>6</v>
      </c>
      <c r="B220" s="115"/>
      <c r="C220" s="49" t="s">
        <v>92</v>
      </c>
      <c r="D220" s="49" t="s">
        <v>359</v>
      </c>
      <c r="E220" s="83">
        <f>(38.27)*10.764</f>
        <v>411.93828000000002</v>
      </c>
      <c r="F220" s="49">
        <v>0</v>
      </c>
      <c r="G220" s="49">
        <v>0</v>
      </c>
      <c r="H220" s="83">
        <f t="shared" si="3"/>
        <v>411.93828000000002</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111">
        <f t="shared" ref="A221:A222" si="4">A220+1</f>
        <v>7</v>
      </c>
      <c r="B221" s="112"/>
      <c r="C221" s="49" t="s">
        <v>92</v>
      </c>
      <c r="D221" s="49" t="s">
        <v>359</v>
      </c>
      <c r="E221" s="83">
        <f>(28.06)*10.764</f>
        <v>302.03783999999996</v>
      </c>
      <c r="F221" s="83">
        <v>0</v>
      </c>
      <c r="G221" s="83">
        <v>0</v>
      </c>
      <c r="H221" s="83">
        <f t="shared" si="3"/>
        <v>302.03783999999996</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111">
        <f t="shared" si="4"/>
        <v>8</v>
      </c>
      <c r="B222" s="112"/>
      <c r="C222" s="49" t="s">
        <v>92</v>
      </c>
      <c r="D222" s="49" t="s">
        <v>359</v>
      </c>
      <c r="E222" s="83">
        <f>(43.29)*10.764</f>
        <v>465.97355999999996</v>
      </c>
      <c r="F222" s="83">
        <v>0</v>
      </c>
      <c r="G222" s="83">
        <v>0</v>
      </c>
      <c r="H222" s="83">
        <f t="shared" si="3"/>
        <v>465.97355999999996</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104" t="s">
        <v>361</v>
      </c>
      <c r="B223" s="105"/>
      <c r="C223" s="105"/>
      <c r="D223" s="105"/>
      <c r="E223" s="105"/>
      <c r="F223" s="105"/>
      <c r="G223" s="105"/>
      <c r="H223" s="10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110">
        <v>1</v>
      </c>
      <c r="B224" s="110"/>
      <c r="C224" s="49" t="s">
        <v>92</v>
      </c>
      <c r="D224" s="49" t="s">
        <v>359</v>
      </c>
      <c r="E224" s="73">
        <f>(54.41)*10.764</f>
        <v>585.66923999999995</v>
      </c>
      <c r="F224" s="73">
        <v>0</v>
      </c>
      <c r="G224" s="73">
        <v>0</v>
      </c>
      <c r="H224" s="73">
        <f>E224+F224+(IF(G224&lt;101,G224,IF(G224&lt;201,G224/2,IF(G224&lt;=301,G224/3,G224/4))))</f>
        <v>585.66923999999995</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111">
        <f>A224+1</f>
        <v>2</v>
      </c>
      <c r="B225" s="112"/>
      <c r="C225" s="49" t="s">
        <v>92</v>
      </c>
      <c r="D225" s="49" t="s">
        <v>359</v>
      </c>
      <c r="E225" s="73">
        <f>(38.43)*10.764</f>
        <v>413.66051999999996</v>
      </c>
      <c r="F225" s="73">
        <v>0</v>
      </c>
      <c r="G225" s="73">
        <v>0</v>
      </c>
      <c r="H225" s="73">
        <f t="shared" ref="H225:H228" si="5">E225+F225+(IF(G225&lt;101,G225,IF(G225&lt;201,G225/2,IF(G225&lt;=301,G225/3,G225/4))))</f>
        <v>413.66051999999996</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111">
        <f t="shared" ref="A226:A234" si="6">A225+1</f>
        <v>3</v>
      </c>
      <c r="B226" s="112"/>
      <c r="C226" s="49" t="s">
        <v>92</v>
      </c>
      <c r="D226" s="49" t="s">
        <v>359</v>
      </c>
      <c r="E226" s="73">
        <f>(19.85)*10.764</f>
        <v>213.66540000000001</v>
      </c>
      <c r="F226" s="73">
        <v>0</v>
      </c>
      <c r="G226" s="73">
        <v>0</v>
      </c>
      <c r="H226" s="73">
        <f t="shared" si="5"/>
        <v>213.66540000000001</v>
      </c>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111">
        <f t="shared" si="6"/>
        <v>4</v>
      </c>
      <c r="B227" s="112"/>
      <c r="C227" s="49" t="s">
        <v>92</v>
      </c>
      <c r="D227" s="49" t="s">
        <v>359</v>
      </c>
      <c r="E227" s="73">
        <f>(24.39)*10.764</f>
        <v>262.53395999999998</v>
      </c>
      <c r="F227" s="73">
        <v>0</v>
      </c>
      <c r="G227" s="73">
        <v>0</v>
      </c>
      <c r="H227" s="73">
        <f t="shared" si="5"/>
        <v>262.53395999999998</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111">
        <f t="shared" si="6"/>
        <v>5</v>
      </c>
      <c r="B228" s="112"/>
      <c r="C228" s="49" t="s">
        <v>92</v>
      </c>
      <c r="D228" s="49" t="s">
        <v>359</v>
      </c>
      <c r="E228" s="73">
        <f>(19.57)*10.764</f>
        <v>210.65147999999999</v>
      </c>
      <c r="F228" s="73">
        <v>0</v>
      </c>
      <c r="G228" s="73">
        <v>0</v>
      </c>
      <c r="H228" s="73">
        <f t="shared" si="5"/>
        <v>210.65147999999999</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x14ac:dyDescent="0.25">
      <c r="A229" s="111">
        <f t="shared" si="6"/>
        <v>6</v>
      </c>
      <c r="B229" s="112"/>
      <c r="C229" s="49" t="s">
        <v>92</v>
      </c>
      <c r="D229" s="49" t="s">
        <v>359</v>
      </c>
      <c r="E229" s="73">
        <f>(43.76)*10.764</f>
        <v>471.03263999999996</v>
      </c>
      <c r="F229" s="73">
        <v>0</v>
      </c>
      <c r="G229" s="73">
        <v>0</v>
      </c>
      <c r="H229" s="73">
        <f t="shared" ref="H229" si="7">E229+F229+(IF(G229&lt;101,G229,IF(G229&lt;201,G229/2,IF(G229&lt;=301,G229/3,G229/4))))</f>
        <v>471.03263999999996</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111">
        <f t="shared" si="6"/>
        <v>7</v>
      </c>
      <c r="B230" s="112"/>
      <c r="C230" s="49" t="s">
        <v>92</v>
      </c>
      <c r="D230" s="49" t="s">
        <v>359</v>
      </c>
      <c r="E230" s="83">
        <f>(45.46)*10.764</f>
        <v>489.33143999999999</v>
      </c>
      <c r="F230" s="83">
        <v>0</v>
      </c>
      <c r="G230" s="83">
        <v>0</v>
      </c>
      <c r="H230" s="83">
        <f t="shared" ref="H230:H234" si="8">E230+F230+(IF(G230&lt;101,G230,IF(G230&lt;201,G230/2,IF(G230&lt;=301,G230/3,G230/4))))</f>
        <v>489.33143999999999</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111">
        <f t="shared" si="6"/>
        <v>8</v>
      </c>
      <c r="B231" s="112"/>
      <c r="C231" s="49" t="s">
        <v>92</v>
      </c>
      <c r="D231" s="49" t="s">
        <v>359</v>
      </c>
      <c r="E231" s="83">
        <f>(38.27)*10.764</f>
        <v>411.93828000000002</v>
      </c>
      <c r="F231" s="83">
        <v>0</v>
      </c>
      <c r="G231" s="83">
        <v>0</v>
      </c>
      <c r="H231" s="83">
        <f t="shared" si="8"/>
        <v>411.93828000000002</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111">
        <f t="shared" si="6"/>
        <v>9</v>
      </c>
      <c r="B232" s="112"/>
      <c r="C232" s="49" t="s">
        <v>92</v>
      </c>
      <c r="D232" s="49" t="s">
        <v>359</v>
      </c>
      <c r="E232" s="83">
        <f>(28.06)*10.764</f>
        <v>302.03783999999996</v>
      </c>
      <c r="F232" s="83">
        <v>0</v>
      </c>
      <c r="G232" s="83">
        <v>0</v>
      </c>
      <c r="H232" s="83">
        <f t="shared" si="8"/>
        <v>302.03783999999996</v>
      </c>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111">
        <f t="shared" si="6"/>
        <v>10</v>
      </c>
      <c r="B233" s="112"/>
      <c r="C233" s="49" t="s">
        <v>92</v>
      </c>
      <c r="D233" s="49" t="s">
        <v>359</v>
      </c>
      <c r="E233" s="83">
        <f>(28.62)*10.764</f>
        <v>308.06567999999999</v>
      </c>
      <c r="F233" s="83">
        <v>0</v>
      </c>
      <c r="G233" s="83">
        <v>0</v>
      </c>
      <c r="H233" s="83">
        <f t="shared" si="8"/>
        <v>308.06567999999999</v>
      </c>
      <c r="I233" s="87">
        <f>4.57*4.6+1.4*2.5+1.45*2.51+4.53*3.13+0.9*(1.25+1.25)</f>
        <v>44.590399999999995</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111">
        <f t="shared" si="6"/>
        <v>11</v>
      </c>
      <c r="B234" s="112"/>
      <c r="C234" s="49" t="s">
        <v>92</v>
      </c>
      <c r="D234" s="49" t="s">
        <v>359</v>
      </c>
      <c r="E234" s="83">
        <f>(61.29)*10.764</f>
        <v>659.72555999999997</v>
      </c>
      <c r="F234" s="83">
        <v>0</v>
      </c>
      <c r="G234" s="83">
        <v>0</v>
      </c>
      <c r="H234" s="83">
        <f t="shared" si="8"/>
        <v>659.72555999999997</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104" t="s">
        <v>362</v>
      </c>
      <c r="B235" s="105"/>
      <c r="C235" s="105"/>
      <c r="D235" s="105"/>
      <c r="E235" s="105"/>
      <c r="F235" s="105"/>
      <c r="G235" s="105"/>
      <c r="H235" s="106"/>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110">
        <v>1</v>
      </c>
      <c r="B236" s="110"/>
      <c r="C236" s="49" t="s">
        <v>92</v>
      </c>
      <c r="D236" s="49" t="s">
        <v>359</v>
      </c>
      <c r="E236" s="77">
        <f>(54.41)*10.764</f>
        <v>585.66923999999995</v>
      </c>
      <c r="F236" s="77">
        <v>0</v>
      </c>
      <c r="G236" s="77">
        <v>0</v>
      </c>
      <c r="H236" s="77">
        <f>E236+F236+(IF(G236&lt;101,G236,IF(G236&lt;201,G236/2,IF(G236&lt;=301,G236/3,G236/4))))</f>
        <v>585.66923999999995</v>
      </c>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111">
        <f>A236+1</f>
        <v>2</v>
      </c>
      <c r="B237" s="112"/>
      <c r="C237" s="49" t="s">
        <v>92</v>
      </c>
      <c r="D237" s="49" t="s">
        <v>359</v>
      </c>
      <c r="E237" s="77">
        <f>(38.43)*10.764</f>
        <v>413.66051999999996</v>
      </c>
      <c r="F237" s="77">
        <v>0</v>
      </c>
      <c r="G237" s="77">
        <v>0</v>
      </c>
      <c r="H237" s="77">
        <f t="shared" ref="H237:H240" si="9">E237+F237+(IF(G237&lt;101,G237,IF(G237&lt;201,G237/2,IF(G237&lt;=301,G237/3,G237/4))))</f>
        <v>413.66051999999996</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x14ac:dyDescent="0.25">
      <c r="A238" s="111">
        <f t="shared" ref="A238:A246" si="10">A237+1</f>
        <v>3</v>
      </c>
      <c r="B238" s="112"/>
      <c r="C238" s="49" t="s">
        <v>92</v>
      </c>
      <c r="D238" s="49" t="s">
        <v>359</v>
      </c>
      <c r="E238" s="77">
        <f>(19.85)*10.764</f>
        <v>213.66540000000001</v>
      </c>
      <c r="F238" s="77">
        <v>0</v>
      </c>
      <c r="G238" s="77">
        <v>0</v>
      </c>
      <c r="H238" s="77">
        <f t="shared" si="9"/>
        <v>213.66540000000001</v>
      </c>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x14ac:dyDescent="0.25">
      <c r="A239" s="111">
        <f t="shared" si="10"/>
        <v>4</v>
      </c>
      <c r="B239" s="112"/>
      <c r="C239" s="49" t="s">
        <v>92</v>
      </c>
      <c r="D239" s="49" t="s">
        <v>359</v>
      </c>
      <c r="E239" s="77">
        <f>(24.39)*10.764</f>
        <v>262.53395999999998</v>
      </c>
      <c r="F239" s="77">
        <v>0</v>
      </c>
      <c r="G239" s="77">
        <v>0</v>
      </c>
      <c r="H239" s="77">
        <f t="shared" si="9"/>
        <v>262.53395999999998</v>
      </c>
      <c r="I239" s="73">
        <v>10.763999999999999</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x14ac:dyDescent="0.25">
      <c r="A240" s="111">
        <f t="shared" si="10"/>
        <v>5</v>
      </c>
      <c r="B240" s="112"/>
      <c r="C240" s="49" t="s">
        <v>92</v>
      </c>
      <c r="D240" s="49" t="s">
        <v>359</v>
      </c>
      <c r="E240" s="77">
        <f>(19.57)*10.764</f>
        <v>210.65147999999999</v>
      </c>
      <c r="F240" s="77">
        <v>0</v>
      </c>
      <c r="G240" s="77">
        <v>0</v>
      </c>
      <c r="H240" s="77">
        <f t="shared" si="9"/>
        <v>210.65147999999999</v>
      </c>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111">
        <f t="shared" si="10"/>
        <v>6</v>
      </c>
      <c r="B241" s="112"/>
      <c r="C241" s="49" t="s">
        <v>92</v>
      </c>
      <c r="D241" s="49" t="s">
        <v>359</v>
      </c>
      <c r="E241" s="77">
        <f>(43.76)*10.764</f>
        <v>471.03263999999996</v>
      </c>
      <c r="F241" s="77">
        <v>0</v>
      </c>
      <c r="G241" s="77">
        <v>0</v>
      </c>
      <c r="H241" s="77">
        <f t="shared" ref="H241:H246" si="11">E241+F241+(IF(G241&lt;101,G241,IF(G241&lt;201,G241/2,IF(G241&lt;=301,G241/3,G241/4))))</f>
        <v>471.03263999999996</v>
      </c>
      <c r="I241" s="79">
        <v>1</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111">
        <f t="shared" si="10"/>
        <v>7</v>
      </c>
      <c r="B242" s="112"/>
      <c r="C242" s="49" t="s">
        <v>92</v>
      </c>
      <c r="D242" s="49" t="s">
        <v>359</v>
      </c>
      <c r="E242" s="83">
        <f>(45.46)*10.764</f>
        <v>489.33143999999999</v>
      </c>
      <c r="F242" s="83">
        <v>0</v>
      </c>
      <c r="G242" s="83">
        <v>0</v>
      </c>
      <c r="H242" s="83">
        <f t="shared" si="11"/>
        <v>489.33143999999999</v>
      </c>
      <c r="I242" s="79">
        <v>2</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111">
        <f t="shared" si="10"/>
        <v>8</v>
      </c>
      <c r="B243" s="112"/>
      <c r="C243" s="49" t="s">
        <v>92</v>
      </c>
      <c r="D243" s="49" t="s">
        <v>359</v>
      </c>
      <c r="E243" s="83">
        <f>(38.27)*10.764</f>
        <v>411.93828000000002</v>
      </c>
      <c r="F243" s="83">
        <v>0</v>
      </c>
      <c r="G243" s="83">
        <v>0</v>
      </c>
      <c r="H243" s="83">
        <f t="shared" si="11"/>
        <v>411.93828000000002</v>
      </c>
      <c r="I243" s="79">
        <v>1</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x14ac:dyDescent="0.25">
      <c r="A244" s="111">
        <f t="shared" si="10"/>
        <v>9</v>
      </c>
      <c r="B244" s="112"/>
      <c r="C244" s="49" t="s">
        <v>92</v>
      </c>
      <c r="D244" s="49" t="s">
        <v>359</v>
      </c>
      <c r="E244" s="83">
        <f>(28.06)*10.764</f>
        <v>302.03783999999996</v>
      </c>
      <c r="F244" s="83">
        <v>0</v>
      </c>
      <c r="G244" s="83">
        <v>0</v>
      </c>
      <c r="H244" s="83">
        <f t="shared" si="11"/>
        <v>302.03783999999996</v>
      </c>
      <c r="I244" s="79">
        <v>1</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x14ac:dyDescent="0.25">
      <c r="A245" s="111">
        <f t="shared" si="10"/>
        <v>10</v>
      </c>
      <c r="B245" s="112"/>
      <c r="C245" s="49" t="s">
        <v>92</v>
      </c>
      <c r="D245" s="49" t="s">
        <v>359</v>
      </c>
      <c r="E245" s="83">
        <f>(28.62)*10.764</f>
        <v>308.06567999999999</v>
      </c>
      <c r="F245" s="83">
        <v>0</v>
      </c>
      <c r="G245" s="83">
        <v>0</v>
      </c>
      <c r="H245" s="83">
        <f t="shared" si="11"/>
        <v>308.06567999999999</v>
      </c>
      <c r="I245" s="79">
        <f>14</f>
        <v>14</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111">
        <f t="shared" si="10"/>
        <v>11</v>
      </c>
      <c r="B246" s="112"/>
      <c r="C246" s="49" t="s">
        <v>92</v>
      </c>
      <c r="D246" s="49" t="s">
        <v>359</v>
      </c>
      <c r="E246" s="83">
        <f>(61.29)*10.764</f>
        <v>659.72555999999997</v>
      </c>
      <c r="F246" s="83">
        <v>0</v>
      </c>
      <c r="G246" s="83">
        <v>0</v>
      </c>
      <c r="H246" s="83">
        <f t="shared" si="11"/>
        <v>659.72555999999997</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x14ac:dyDescent="0.25">
      <c r="A247" s="104" t="s">
        <v>363</v>
      </c>
      <c r="B247" s="105"/>
      <c r="C247" s="105"/>
      <c r="D247" s="105"/>
      <c r="E247" s="105"/>
      <c r="F247" s="105"/>
      <c r="G247" s="105"/>
      <c r="H247" s="106"/>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x14ac:dyDescent="0.25">
      <c r="A248" s="116" t="s">
        <v>317</v>
      </c>
      <c r="B248" s="117"/>
      <c r="C248" s="117"/>
      <c r="D248" s="117"/>
      <c r="E248" s="117"/>
      <c r="F248" s="117"/>
      <c r="G248" s="117"/>
      <c r="H248" s="118"/>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104" t="s">
        <v>341</v>
      </c>
      <c r="B249" s="105"/>
      <c r="C249" s="105"/>
      <c r="D249" s="105"/>
      <c r="E249" s="105"/>
      <c r="F249" s="105"/>
      <c r="G249" s="105"/>
      <c r="H249" s="106"/>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x14ac:dyDescent="0.25">
      <c r="A250" s="104" t="s">
        <v>342</v>
      </c>
      <c r="B250" s="105"/>
      <c r="C250" s="105"/>
      <c r="D250" s="105"/>
      <c r="E250" s="105"/>
      <c r="F250" s="105"/>
      <c r="G250" s="105"/>
      <c r="H250" s="106"/>
      <c r="I250" s="79">
        <v>2</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x14ac:dyDescent="0.25">
      <c r="A251" s="104" t="s">
        <v>344</v>
      </c>
      <c r="B251" s="105"/>
      <c r="C251" s="105"/>
      <c r="D251" s="105"/>
      <c r="E251" s="105"/>
      <c r="F251" s="105"/>
      <c r="G251" s="105"/>
      <c r="H251" s="106"/>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104" t="s">
        <v>343</v>
      </c>
      <c r="B252" s="105"/>
      <c r="C252" s="105"/>
      <c r="D252" s="105"/>
      <c r="E252" s="105"/>
      <c r="F252" s="105"/>
      <c r="G252" s="105"/>
      <c r="H252" s="106"/>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x14ac:dyDescent="0.25">
      <c r="A253" s="104" t="s">
        <v>334</v>
      </c>
      <c r="B253" s="105"/>
      <c r="C253" s="105"/>
      <c r="D253" s="105"/>
      <c r="E253" s="105"/>
      <c r="F253" s="105"/>
      <c r="G253" s="105"/>
      <c r="H253" s="106"/>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104" t="s">
        <v>335</v>
      </c>
      <c r="B254" s="105"/>
      <c r="C254" s="105"/>
      <c r="D254" s="105"/>
      <c r="E254" s="105"/>
      <c r="F254" s="105"/>
      <c r="G254" s="105"/>
      <c r="H254" s="106"/>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110">
        <v>1</v>
      </c>
      <c r="B255" s="110"/>
      <c r="C255" s="49" t="s">
        <v>92</v>
      </c>
      <c r="D255" s="49" t="s">
        <v>337</v>
      </c>
      <c r="E255" s="74">
        <f>(48.63)*10.764</f>
        <v>523.45331999999996</v>
      </c>
      <c r="F255" s="73">
        <v>0</v>
      </c>
      <c r="G255" s="73">
        <v>0</v>
      </c>
      <c r="H255" s="73">
        <f>E255+F255+(IF(G255&lt;101,G255,IF(G255&lt;201,G255/2,IF(G255&lt;=301,G255/3,G255/4))))</f>
        <v>523.45331999999996</v>
      </c>
      <c r="I255" s="79">
        <v>1</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x14ac:dyDescent="0.25">
      <c r="A256" s="111">
        <f>A255+1</f>
        <v>2</v>
      </c>
      <c r="B256" s="112"/>
      <c r="C256" s="49" t="s">
        <v>92</v>
      </c>
      <c r="D256" s="49" t="s">
        <v>337</v>
      </c>
      <c r="E256" s="74">
        <f>(58.15)*10.764</f>
        <v>625.92659999999989</v>
      </c>
      <c r="F256" s="73">
        <v>0</v>
      </c>
      <c r="G256" s="73">
        <v>0</v>
      </c>
      <c r="H256" s="73">
        <f t="shared" ref="H256:H258" si="12">E256+F256+(IF(G256&lt;101,G256,IF(G256&lt;201,G256/2,IF(G256&lt;=301,G256/3,G256/4))))</f>
        <v>625.92659999999989</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111">
        <f t="shared" ref="A257:A258" si="13">A256+1</f>
        <v>3</v>
      </c>
      <c r="B257" s="112"/>
      <c r="C257" s="49" t="s">
        <v>92</v>
      </c>
      <c r="D257" s="49" t="s">
        <v>337</v>
      </c>
      <c r="E257" s="74">
        <f>(58.27)*10.764</f>
        <v>627.21828000000005</v>
      </c>
      <c r="F257" s="73">
        <v>0</v>
      </c>
      <c r="G257" s="73">
        <v>0</v>
      </c>
      <c r="H257" s="73">
        <f t="shared" si="12"/>
        <v>627.21828000000005</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x14ac:dyDescent="0.25">
      <c r="A258" s="111">
        <f t="shared" si="13"/>
        <v>4</v>
      </c>
      <c r="B258" s="112"/>
      <c r="C258" s="49" t="s">
        <v>92</v>
      </c>
      <c r="D258" s="49" t="s">
        <v>337</v>
      </c>
      <c r="E258" s="74">
        <f>(54.56)*10.764</f>
        <v>587.28383999999994</v>
      </c>
      <c r="F258" s="73">
        <v>0</v>
      </c>
      <c r="G258" s="73">
        <v>0</v>
      </c>
      <c r="H258" s="73">
        <f t="shared" si="12"/>
        <v>587.28383999999994</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104" t="s">
        <v>345</v>
      </c>
      <c r="B259" s="105"/>
      <c r="C259" s="105"/>
      <c r="D259" s="105"/>
      <c r="E259" s="105"/>
      <c r="F259" s="105"/>
      <c r="G259" s="105"/>
      <c r="H259" s="106"/>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x14ac:dyDescent="0.25">
      <c r="A260" s="110">
        <v>1</v>
      </c>
      <c r="B260" s="110"/>
      <c r="C260" s="49" t="s">
        <v>92</v>
      </c>
      <c r="D260" s="49" t="s">
        <v>337</v>
      </c>
      <c r="E260" s="74">
        <f>(48.63)*10.764</f>
        <v>523.45331999999996</v>
      </c>
      <c r="F260" s="73">
        <v>0</v>
      </c>
      <c r="G260" s="73">
        <v>0</v>
      </c>
      <c r="H260" s="73">
        <f>E260+F260+(IF(G260&lt;101,G260,IF(G260&lt;201,G260/2,IF(G260&lt;=301,G260/3,G260/4))))</f>
        <v>523.45331999999996</v>
      </c>
      <c r="I260" s="73">
        <v>10.763999999999999</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x14ac:dyDescent="0.25">
      <c r="A261" s="111">
        <f>A260+1</f>
        <v>2</v>
      </c>
      <c r="B261" s="112"/>
      <c r="C261" s="49" t="s">
        <v>92</v>
      </c>
      <c r="D261" s="49" t="s">
        <v>337</v>
      </c>
      <c r="E261" s="74">
        <f>(58.15)*10.764</f>
        <v>625.92659999999989</v>
      </c>
      <c r="F261" s="73">
        <v>0</v>
      </c>
      <c r="G261" s="73">
        <v>0</v>
      </c>
      <c r="H261" s="73">
        <f t="shared" ref="H261:H263" si="14">E261+F261+(IF(G261&lt;101,G261,IF(G261&lt;201,G261/2,IF(G261&lt;=301,G261/3,G261/4))))</f>
        <v>625.92659999999989</v>
      </c>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x14ac:dyDescent="0.25">
      <c r="A262" s="111">
        <f t="shared" ref="A262:A263" si="15">A261+1</f>
        <v>3</v>
      </c>
      <c r="B262" s="112"/>
      <c r="C262" s="111" t="s">
        <v>339</v>
      </c>
      <c r="D262" s="119"/>
      <c r="E262" s="119"/>
      <c r="F262" s="119"/>
      <c r="G262" s="119"/>
      <c r="H262" s="112"/>
      <c r="I262" s="79">
        <v>1</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111">
        <f t="shared" si="15"/>
        <v>4</v>
      </c>
      <c r="B263" s="112"/>
      <c r="C263" s="49" t="s">
        <v>92</v>
      </c>
      <c r="D263" s="49" t="s">
        <v>337</v>
      </c>
      <c r="E263" s="74">
        <f>(54.56)*10.764</f>
        <v>587.28383999999994</v>
      </c>
      <c r="F263" s="73">
        <v>0</v>
      </c>
      <c r="G263" s="73">
        <v>0</v>
      </c>
      <c r="H263" s="73">
        <f t="shared" si="14"/>
        <v>587.28383999999994</v>
      </c>
      <c r="I263" s="79">
        <v>2</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x14ac:dyDescent="0.25">
      <c r="A264" s="116" t="s">
        <v>318</v>
      </c>
      <c r="B264" s="117"/>
      <c r="C264" s="117"/>
      <c r="D264" s="117"/>
      <c r="E264" s="117"/>
      <c r="F264" s="117"/>
      <c r="G264" s="117"/>
      <c r="H264" s="118"/>
      <c r="I264" s="91">
        <f>13100000/H271</f>
        <v>24990.13748009373</v>
      </c>
      <c r="J264" s="1"/>
      <c r="K264" s="91">
        <f>13400000/H271</f>
        <v>25562.430704828705</v>
      </c>
      <c r="L264" s="91">
        <f>11712249/H271</f>
        <v>22342.802497029796</v>
      </c>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104" t="s">
        <v>341</v>
      </c>
      <c r="B265" s="105"/>
      <c r="C265" s="105"/>
      <c r="D265" s="105"/>
      <c r="E265" s="105"/>
      <c r="F265" s="105"/>
      <c r="G265" s="105"/>
      <c r="H265" s="106"/>
      <c r="I265" s="1"/>
      <c r="J265" s="1"/>
      <c r="K265" s="1"/>
      <c r="L265" s="1" t="e">
        <f>H272*#REF!</f>
        <v>#REF!</v>
      </c>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104" t="s">
        <v>342</v>
      </c>
      <c r="B266" s="105"/>
      <c r="C266" s="105"/>
      <c r="D266" s="105"/>
      <c r="E266" s="105"/>
      <c r="F266" s="105"/>
      <c r="G266" s="105"/>
      <c r="H266" s="106"/>
      <c r="I266" s="79">
        <v>2</v>
      </c>
      <c r="J266" s="1"/>
      <c r="K266" s="1"/>
      <c r="L266" s="1" t="e">
        <f>H273*#REF!</f>
        <v>#REF!</v>
      </c>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x14ac:dyDescent="0.25">
      <c r="A267" s="104" t="s">
        <v>344</v>
      </c>
      <c r="B267" s="105"/>
      <c r="C267" s="105"/>
      <c r="D267" s="105"/>
      <c r="E267" s="105"/>
      <c r="F267" s="105"/>
      <c r="G267" s="105"/>
      <c r="H267" s="106"/>
      <c r="I267" s="91">
        <f>14700000/H274</f>
        <v>25090.2686420184</v>
      </c>
      <c r="J267" s="1"/>
      <c r="K267" s="1"/>
      <c r="L267" s="1" t="e">
        <f>H274*#REF!</f>
        <v>#REF!</v>
      </c>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104" t="s">
        <v>343</v>
      </c>
      <c r="B268" s="105"/>
      <c r="C268" s="105"/>
      <c r="D268" s="105"/>
      <c r="E268" s="105"/>
      <c r="F268" s="105"/>
      <c r="G268" s="105"/>
      <c r="H268" s="106"/>
      <c r="I268" s="1"/>
      <c r="J268" s="1"/>
      <c r="K268" s="1"/>
      <c r="L268" s="1" t="e">
        <f>H275*#REF!</f>
        <v>#REF!</v>
      </c>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104" t="s">
        <v>334</v>
      </c>
      <c r="B269" s="105"/>
      <c r="C269" s="105"/>
      <c r="D269" s="105"/>
      <c r="E269" s="105"/>
      <c r="F269" s="105"/>
      <c r="G269" s="105"/>
      <c r="H269" s="106"/>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104" t="s">
        <v>335</v>
      </c>
      <c r="B270" s="105"/>
      <c r="C270" s="105"/>
      <c r="D270" s="105"/>
      <c r="E270" s="105"/>
      <c r="F270" s="105"/>
      <c r="G270" s="105"/>
      <c r="H270" s="106"/>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110">
        <v>1</v>
      </c>
      <c r="B271" s="110"/>
      <c r="C271" s="49" t="s">
        <v>92</v>
      </c>
      <c r="D271" s="49" t="s">
        <v>337</v>
      </c>
      <c r="E271" s="73">
        <f>(48.7)*10.764</f>
        <v>524.20680000000004</v>
      </c>
      <c r="F271" s="73">
        <v>0</v>
      </c>
      <c r="G271" s="73">
        <v>0</v>
      </c>
      <c r="H271" s="73">
        <f>E271+F271+(IF(G271&lt;101,G271,IF(G271&lt;201,G271/2,IF(G271&lt;=301,G271/3,G271/4))))</f>
        <v>524.20680000000004</v>
      </c>
      <c r="I271" s="73">
        <v>10.763999999999999</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x14ac:dyDescent="0.25">
      <c r="A272" s="111">
        <f>A271+1</f>
        <v>2</v>
      </c>
      <c r="B272" s="112"/>
      <c r="C272" s="49" t="s">
        <v>92</v>
      </c>
      <c r="D272" s="49" t="s">
        <v>337</v>
      </c>
      <c r="E272" s="73">
        <f>(48.81)*10.764</f>
        <v>525.39084000000003</v>
      </c>
      <c r="F272" s="73">
        <v>0</v>
      </c>
      <c r="G272" s="73">
        <v>0</v>
      </c>
      <c r="H272" s="73">
        <f t="shared" ref="H272:H274" si="16">E272+F272+(IF(G272&lt;101,G272,IF(G272&lt;201,G272/2,IF(G272&lt;=301,G272/3,G272/4))))</f>
        <v>525.39084000000003</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x14ac:dyDescent="0.25">
      <c r="A273" s="111">
        <f t="shared" ref="A273:A274" si="17">A272+1</f>
        <v>3</v>
      </c>
      <c r="B273" s="112"/>
      <c r="C273" s="49" t="s">
        <v>92</v>
      </c>
      <c r="D273" s="49" t="s">
        <v>337</v>
      </c>
      <c r="E273" s="73">
        <f>(54.36)*10.764</f>
        <v>585.13103999999998</v>
      </c>
      <c r="F273" s="73">
        <v>0</v>
      </c>
      <c r="G273" s="73">
        <v>0</v>
      </c>
      <c r="H273" s="73">
        <f t="shared" si="16"/>
        <v>585.13103999999998</v>
      </c>
      <c r="I273" s="79">
        <v>1</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x14ac:dyDescent="0.25">
      <c r="A274" s="111">
        <f t="shared" si="17"/>
        <v>4</v>
      </c>
      <c r="B274" s="112"/>
      <c r="C274" s="49" t="s">
        <v>92</v>
      </c>
      <c r="D274" s="49" t="s">
        <v>337</v>
      </c>
      <c r="E274" s="73">
        <f>(54.43)*10.764</f>
        <v>585.88451999999995</v>
      </c>
      <c r="F274" s="73">
        <v>0</v>
      </c>
      <c r="G274" s="73">
        <v>0</v>
      </c>
      <c r="H274" s="73">
        <f t="shared" si="16"/>
        <v>585.88451999999995</v>
      </c>
      <c r="I274" s="79">
        <v>2</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x14ac:dyDescent="0.25">
      <c r="A275" s="104" t="s">
        <v>345</v>
      </c>
      <c r="B275" s="105"/>
      <c r="C275" s="105"/>
      <c r="D275" s="105"/>
      <c r="E275" s="105"/>
      <c r="F275" s="105"/>
      <c r="G275" s="105"/>
      <c r="H275" s="106"/>
      <c r="I275" s="79">
        <v>1</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x14ac:dyDescent="0.25">
      <c r="A276" s="110">
        <v>1</v>
      </c>
      <c r="B276" s="110"/>
      <c r="C276" s="49" t="s">
        <v>92</v>
      </c>
      <c r="D276" s="49" t="s">
        <v>337</v>
      </c>
      <c r="E276" s="74">
        <f>(48.7)*10.764</f>
        <v>524.20680000000004</v>
      </c>
      <c r="F276" s="73">
        <v>0</v>
      </c>
      <c r="G276" s="73">
        <v>0</v>
      </c>
      <c r="H276" s="73">
        <f>E276+F276+(IF(G276&lt;101,G276,IF(G276&lt;201,G276/2,IF(G276&lt;=301,G276/3,G276/4))))</f>
        <v>524.20680000000004</v>
      </c>
      <c r="I276" s="79">
        <v>1</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x14ac:dyDescent="0.25">
      <c r="A277" s="111">
        <f>A276+1</f>
        <v>2</v>
      </c>
      <c r="B277" s="112"/>
      <c r="C277" s="49" t="s">
        <v>92</v>
      </c>
      <c r="D277" s="49" t="s">
        <v>337</v>
      </c>
      <c r="E277" s="74">
        <f>(48.81)*10.764</f>
        <v>525.39084000000003</v>
      </c>
      <c r="F277" s="73">
        <v>0</v>
      </c>
      <c r="G277" s="73">
        <v>0</v>
      </c>
      <c r="H277" s="73">
        <f t="shared" ref="H277:H279" si="18">E277+F277+(IF(G277&lt;101,G277,IF(G277&lt;201,G277/2,IF(G277&lt;=301,G277/3,G277/4))))</f>
        <v>525.39084000000003</v>
      </c>
      <c r="I277" s="79">
        <v>14</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x14ac:dyDescent="0.25">
      <c r="A278" s="111">
        <f t="shared" ref="A278:A279" si="19">A277+1</f>
        <v>3</v>
      </c>
      <c r="B278" s="112"/>
      <c r="C278" s="111" t="s">
        <v>339</v>
      </c>
      <c r="D278" s="119"/>
      <c r="E278" s="119"/>
      <c r="F278" s="119"/>
      <c r="G278" s="119"/>
      <c r="H278" s="112"/>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x14ac:dyDescent="0.25">
      <c r="A279" s="111">
        <f t="shared" si="19"/>
        <v>4</v>
      </c>
      <c r="B279" s="112"/>
      <c r="C279" s="49" t="s">
        <v>92</v>
      </c>
      <c r="D279" s="49" t="s">
        <v>337</v>
      </c>
      <c r="E279" s="74">
        <f>(54.43)*10.764</f>
        <v>585.88451999999995</v>
      </c>
      <c r="F279" s="73">
        <v>0</v>
      </c>
      <c r="G279" s="73">
        <v>0</v>
      </c>
      <c r="H279" s="73">
        <f t="shared" si="18"/>
        <v>585.88451999999995</v>
      </c>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x14ac:dyDescent="0.25">
      <c r="A280" s="116" t="s">
        <v>319</v>
      </c>
      <c r="B280" s="117"/>
      <c r="C280" s="117"/>
      <c r="D280" s="117"/>
      <c r="E280" s="117"/>
      <c r="F280" s="117"/>
      <c r="G280" s="117"/>
      <c r="H280" s="118"/>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104" t="s">
        <v>341</v>
      </c>
      <c r="B281" s="105"/>
      <c r="C281" s="105"/>
      <c r="D281" s="105"/>
      <c r="E281" s="105"/>
      <c r="F281" s="105"/>
      <c r="G281" s="105"/>
      <c r="H281" s="106"/>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104" t="s">
        <v>342</v>
      </c>
      <c r="B282" s="105"/>
      <c r="C282" s="105"/>
      <c r="D282" s="105"/>
      <c r="E282" s="105"/>
      <c r="F282" s="105"/>
      <c r="G282" s="105"/>
      <c r="H282" s="106"/>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x14ac:dyDescent="0.25">
      <c r="A283" s="104" t="s">
        <v>344</v>
      </c>
      <c r="B283" s="105"/>
      <c r="C283" s="105"/>
      <c r="D283" s="105"/>
      <c r="E283" s="105"/>
      <c r="F283" s="105"/>
      <c r="G283" s="105"/>
      <c r="H283" s="106"/>
      <c r="I283" s="79">
        <v>1</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x14ac:dyDescent="0.25">
      <c r="A284" s="104" t="s">
        <v>343</v>
      </c>
      <c r="B284" s="105"/>
      <c r="C284" s="105"/>
      <c r="D284" s="105"/>
      <c r="E284" s="105"/>
      <c r="F284" s="105"/>
      <c r="G284" s="105"/>
      <c r="H284" s="106"/>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x14ac:dyDescent="0.25">
      <c r="A285" s="104" t="s">
        <v>346</v>
      </c>
      <c r="B285" s="105"/>
      <c r="C285" s="105"/>
      <c r="D285" s="105"/>
      <c r="E285" s="105"/>
      <c r="F285" s="105"/>
      <c r="G285" s="105"/>
      <c r="H285" s="106"/>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x14ac:dyDescent="0.25">
      <c r="A286" s="104" t="s">
        <v>335</v>
      </c>
      <c r="B286" s="105"/>
      <c r="C286" s="105"/>
      <c r="D286" s="105"/>
      <c r="E286" s="105"/>
      <c r="F286" s="105"/>
      <c r="G286" s="105"/>
      <c r="H286" s="106"/>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110">
        <v>1</v>
      </c>
      <c r="B287" s="110"/>
      <c r="C287" s="49" t="s">
        <v>92</v>
      </c>
      <c r="D287" s="49" t="s">
        <v>347</v>
      </c>
      <c r="E287" s="73">
        <f>(74.57)*10.764</f>
        <v>802.67147999999986</v>
      </c>
      <c r="F287" s="73">
        <v>0</v>
      </c>
      <c r="G287" s="73">
        <v>0</v>
      </c>
      <c r="H287" s="73">
        <f>E287+F287+(IF(G287&lt;101,G287,IF(G287&lt;201,G287/2,IF(G287&lt;=301,G287/3,G287/4))))</f>
        <v>802.67147999999986</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111">
        <f>A287+1</f>
        <v>2</v>
      </c>
      <c r="B288" s="112"/>
      <c r="C288" s="49" t="s">
        <v>92</v>
      </c>
      <c r="D288" s="49" t="s">
        <v>337</v>
      </c>
      <c r="E288" s="73">
        <f>(63.1)*10.764</f>
        <v>679.20839999999998</v>
      </c>
      <c r="F288" s="73">
        <v>0</v>
      </c>
      <c r="G288" s="73">
        <v>0</v>
      </c>
      <c r="H288" s="73">
        <f t="shared" ref="H288:H290" si="20">E288+F288+(IF(G288&lt;101,G288,IF(G288&lt;201,G288/2,IF(G288&lt;=301,G288/3,G288/4))))</f>
        <v>679.20839999999998</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x14ac:dyDescent="0.25">
      <c r="A289" s="111">
        <f t="shared" ref="A289:A291" si="21">A288+1</f>
        <v>3</v>
      </c>
      <c r="B289" s="112"/>
      <c r="C289" s="49" t="s">
        <v>92</v>
      </c>
      <c r="D289" s="49" t="s">
        <v>337</v>
      </c>
      <c r="E289" s="73">
        <f>(63.34)*10.764</f>
        <v>681.79175999999995</v>
      </c>
      <c r="F289" s="73">
        <f>(4.75)*10.764</f>
        <v>51.128999999999998</v>
      </c>
      <c r="G289" s="73">
        <v>0</v>
      </c>
      <c r="H289" s="73">
        <f t="shared" si="20"/>
        <v>732.92075999999997</v>
      </c>
      <c r="I289" s="79">
        <v>1</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x14ac:dyDescent="0.25">
      <c r="A290" s="111">
        <f t="shared" si="21"/>
        <v>4</v>
      </c>
      <c r="B290" s="112"/>
      <c r="C290" s="49" t="s">
        <v>92</v>
      </c>
      <c r="D290" s="49" t="s">
        <v>337</v>
      </c>
      <c r="E290" s="73">
        <f>(67.53)*10.764</f>
        <v>726.89292</v>
      </c>
      <c r="F290" s="73">
        <v>0</v>
      </c>
      <c r="G290" s="73">
        <v>0</v>
      </c>
      <c r="H290" s="73">
        <f t="shared" si="20"/>
        <v>726.89292</v>
      </c>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x14ac:dyDescent="0.25">
      <c r="A291" s="111">
        <f t="shared" si="21"/>
        <v>5</v>
      </c>
      <c r="B291" s="112"/>
      <c r="C291" s="49" t="s">
        <v>92</v>
      </c>
      <c r="D291" s="49" t="s">
        <v>347</v>
      </c>
      <c r="E291" s="73">
        <f>(80.34)*10.764</f>
        <v>864.77976000000001</v>
      </c>
      <c r="F291" s="73">
        <f>(4.49)*10.764</f>
        <v>48.330359999999999</v>
      </c>
      <c r="G291" s="73">
        <v>0</v>
      </c>
      <c r="H291" s="73">
        <f t="shared" ref="H291" si="22">E291+F291+(IF(G291&lt;101,G291,IF(G291&lt;201,G291/2,IF(G291&lt;=301,G291/3,G291/4))))</f>
        <v>913.11012000000005</v>
      </c>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x14ac:dyDescent="0.25">
      <c r="A292" s="104" t="s">
        <v>338</v>
      </c>
      <c r="B292" s="105"/>
      <c r="C292" s="105"/>
      <c r="D292" s="105"/>
      <c r="E292" s="105"/>
      <c r="F292" s="105"/>
      <c r="G292" s="105"/>
      <c r="H292" s="106"/>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110">
        <v>1</v>
      </c>
      <c r="B293" s="110"/>
      <c r="C293" s="49" t="s">
        <v>92</v>
      </c>
      <c r="D293" s="49" t="s">
        <v>347</v>
      </c>
      <c r="E293" s="74">
        <f>(74.57)*10.764</f>
        <v>802.67147999999986</v>
      </c>
      <c r="F293" s="73">
        <v>0</v>
      </c>
      <c r="G293" s="73">
        <v>0</v>
      </c>
      <c r="H293" s="73">
        <f>E293+F293+(IF(G293&lt;101,G293,IF(G293&lt;201,G293/2,IF(G293&lt;=301,G293/3,G293/4))))</f>
        <v>802.67147999999986</v>
      </c>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111">
        <f>A293+1</f>
        <v>2</v>
      </c>
      <c r="B294" s="112"/>
      <c r="C294" s="49" t="s">
        <v>92</v>
      </c>
      <c r="D294" s="49" t="s">
        <v>337</v>
      </c>
      <c r="E294" s="74">
        <f>(63.1)*10.764</f>
        <v>679.20839999999998</v>
      </c>
      <c r="F294" s="73">
        <v>0</v>
      </c>
      <c r="G294" s="73">
        <v>0</v>
      </c>
      <c r="H294" s="73">
        <f t="shared" ref="H294:H296" si="23">E294+F294+(IF(G294&lt;101,G294,IF(G294&lt;201,G294/2,IF(G294&lt;=301,G294/3,G294/4))))</f>
        <v>679.20839999999998</v>
      </c>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111">
        <f t="shared" ref="A295:A297" si="24">A294+1</f>
        <v>3</v>
      </c>
      <c r="B295" s="112"/>
      <c r="C295" s="49" t="s">
        <v>92</v>
      </c>
      <c r="D295" s="49" t="s">
        <v>337</v>
      </c>
      <c r="E295" s="74">
        <f>(63.34)*10.764</f>
        <v>681.79175999999995</v>
      </c>
      <c r="F295" s="73">
        <f>(4.75)*10.764</f>
        <v>51.128999999999998</v>
      </c>
      <c r="G295" s="73">
        <v>0</v>
      </c>
      <c r="H295" s="73">
        <f t="shared" si="23"/>
        <v>732.92075999999997</v>
      </c>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x14ac:dyDescent="0.25">
      <c r="A296" s="111">
        <f t="shared" si="24"/>
        <v>4</v>
      </c>
      <c r="B296" s="112"/>
      <c r="C296" s="49" t="s">
        <v>92</v>
      </c>
      <c r="D296" s="49" t="s">
        <v>337</v>
      </c>
      <c r="E296" s="74">
        <f>(67.53)*10.764</f>
        <v>726.89292</v>
      </c>
      <c r="F296" s="73">
        <v>0</v>
      </c>
      <c r="G296" s="73">
        <v>0</v>
      </c>
      <c r="H296" s="73">
        <f t="shared" si="23"/>
        <v>726.89292</v>
      </c>
      <c r="I296" s="80">
        <v>10.763999999999999</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x14ac:dyDescent="0.25">
      <c r="A297" s="111">
        <f t="shared" si="24"/>
        <v>5</v>
      </c>
      <c r="B297" s="112"/>
      <c r="C297" s="111" t="s">
        <v>339</v>
      </c>
      <c r="D297" s="119"/>
      <c r="E297" s="119"/>
      <c r="F297" s="119"/>
      <c r="G297" s="119"/>
      <c r="H297" s="112"/>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x14ac:dyDescent="0.25">
      <c r="A298" s="104" t="s">
        <v>348</v>
      </c>
      <c r="B298" s="105"/>
      <c r="C298" s="105"/>
      <c r="D298" s="105"/>
      <c r="E298" s="105"/>
      <c r="F298" s="105"/>
      <c r="G298" s="105"/>
      <c r="H298" s="106"/>
      <c r="I298" s="79">
        <v>1</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x14ac:dyDescent="0.25">
      <c r="A299" s="110">
        <v>1</v>
      </c>
      <c r="B299" s="110"/>
      <c r="C299" s="49" t="s">
        <v>92</v>
      </c>
      <c r="D299" s="49" t="s">
        <v>347</v>
      </c>
      <c r="E299" s="74">
        <f>(74.57)*10.764</f>
        <v>802.67147999999986</v>
      </c>
      <c r="F299" s="73">
        <v>0</v>
      </c>
      <c r="G299" s="73">
        <v>0</v>
      </c>
      <c r="H299" s="73">
        <f>E299+F299+(IF(G299&lt;101,G299,IF(G299&lt;201,G299/2,IF(G299&lt;=301,G299/3,G299/4))))</f>
        <v>802.67147999999986</v>
      </c>
      <c r="I299" s="79">
        <v>2</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111">
        <f>A299+1</f>
        <v>2</v>
      </c>
      <c r="B300" s="112"/>
      <c r="C300" s="49" t="s">
        <v>92</v>
      </c>
      <c r="D300" s="49" t="s">
        <v>337</v>
      </c>
      <c r="E300" s="74">
        <f>(63.1)*10.764</f>
        <v>679.20839999999998</v>
      </c>
      <c r="F300" s="73">
        <v>0</v>
      </c>
      <c r="G300" s="73">
        <v>0</v>
      </c>
      <c r="H300" s="73">
        <f t="shared" ref="H300:H304" si="25">E300+F300+(IF(G300&lt;101,G300,IF(G300&lt;201,G300/2,IF(G300&lt;=301,G300/3,G300/4))))</f>
        <v>679.20839999999998</v>
      </c>
      <c r="I300" s="79">
        <v>1</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111">
        <f t="shared" ref="A301:A302" si="26">A300+1</f>
        <v>3</v>
      </c>
      <c r="B301" s="112"/>
      <c r="C301" s="154" t="s">
        <v>339</v>
      </c>
      <c r="D301" s="155"/>
      <c r="E301" s="155"/>
      <c r="F301" s="155"/>
      <c r="G301" s="155"/>
      <c r="H301" s="156"/>
      <c r="I301" s="79">
        <v>1</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x14ac:dyDescent="0.25">
      <c r="A302" s="111">
        <f t="shared" si="26"/>
        <v>4</v>
      </c>
      <c r="B302" s="112"/>
      <c r="C302" s="157"/>
      <c r="D302" s="158"/>
      <c r="E302" s="158"/>
      <c r="F302" s="158"/>
      <c r="G302" s="158"/>
      <c r="H302" s="159"/>
      <c r="I302" s="79">
        <v>1</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x14ac:dyDescent="0.25">
      <c r="A303" s="111" t="s">
        <v>92</v>
      </c>
      <c r="B303" s="112"/>
      <c r="C303" s="111" t="s">
        <v>349</v>
      </c>
      <c r="D303" s="119"/>
      <c r="E303" s="119"/>
      <c r="F303" s="119"/>
      <c r="G303" s="119"/>
      <c r="H303" s="112"/>
      <c r="I303" s="79">
        <v>8</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x14ac:dyDescent="0.25">
      <c r="A304" s="111">
        <f>A302+1</f>
        <v>5</v>
      </c>
      <c r="B304" s="112"/>
      <c r="C304" s="49" t="s">
        <v>92</v>
      </c>
      <c r="D304" s="49" t="s">
        <v>347</v>
      </c>
      <c r="E304" s="74">
        <f>(80.34)*10.764</f>
        <v>864.77976000000001</v>
      </c>
      <c r="F304" s="73">
        <f>(4.49)*10.764</f>
        <v>48.330359999999999</v>
      </c>
      <c r="G304" s="73">
        <v>0</v>
      </c>
      <c r="H304" s="73">
        <f t="shared" si="25"/>
        <v>913.11012000000005</v>
      </c>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x14ac:dyDescent="0.25">
      <c r="A305" s="116" t="s">
        <v>320</v>
      </c>
      <c r="B305" s="117"/>
      <c r="C305" s="117"/>
      <c r="D305" s="117"/>
      <c r="E305" s="117"/>
      <c r="F305" s="117"/>
      <c r="G305" s="117"/>
      <c r="H305" s="118"/>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x14ac:dyDescent="0.25">
      <c r="A306" s="104" t="s">
        <v>341</v>
      </c>
      <c r="B306" s="105"/>
      <c r="C306" s="105"/>
      <c r="D306" s="105"/>
      <c r="E306" s="105"/>
      <c r="F306" s="105"/>
      <c r="G306" s="105"/>
      <c r="H306" s="106"/>
      <c r="I306" s="79">
        <v>7</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x14ac:dyDescent="0.25">
      <c r="A307" s="104" t="s">
        <v>342</v>
      </c>
      <c r="B307" s="105"/>
      <c r="C307" s="105"/>
      <c r="D307" s="105"/>
      <c r="E307" s="105"/>
      <c r="F307" s="105"/>
      <c r="G307" s="105"/>
      <c r="H307" s="106"/>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x14ac:dyDescent="0.25">
      <c r="A308" s="104" t="s">
        <v>344</v>
      </c>
      <c r="B308" s="105"/>
      <c r="C308" s="105"/>
      <c r="D308" s="105"/>
      <c r="E308" s="105"/>
      <c r="F308" s="105"/>
      <c r="G308" s="105"/>
      <c r="H308" s="106"/>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x14ac:dyDescent="0.25">
      <c r="A309" s="104" t="s">
        <v>343</v>
      </c>
      <c r="B309" s="105"/>
      <c r="C309" s="105"/>
      <c r="D309" s="105"/>
      <c r="E309" s="105"/>
      <c r="F309" s="105"/>
      <c r="G309" s="105"/>
      <c r="H309" s="106"/>
      <c r="I309" s="73">
        <v>10.763999999999999</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x14ac:dyDescent="0.25">
      <c r="A310" s="104" t="s">
        <v>346</v>
      </c>
      <c r="B310" s="105"/>
      <c r="C310" s="105"/>
      <c r="D310" s="105"/>
      <c r="E310" s="105"/>
      <c r="F310" s="105"/>
      <c r="G310" s="105"/>
      <c r="H310" s="106"/>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x14ac:dyDescent="0.25">
      <c r="A311" s="104" t="s">
        <v>350</v>
      </c>
      <c r="B311" s="105"/>
      <c r="C311" s="105"/>
      <c r="D311" s="105"/>
      <c r="E311" s="105"/>
      <c r="F311" s="105"/>
      <c r="G311" s="105"/>
      <c r="H311" s="106"/>
      <c r="I311" s="79">
        <v>1</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104" t="s">
        <v>352</v>
      </c>
      <c r="B312" s="105"/>
      <c r="C312" s="105"/>
      <c r="D312" s="105"/>
      <c r="E312" s="105"/>
      <c r="F312" s="105"/>
      <c r="G312" s="105"/>
      <c r="H312" s="106"/>
      <c r="I312" s="79">
        <v>2</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x14ac:dyDescent="0.25">
      <c r="A313" s="110">
        <v>1</v>
      </c>
      <c r="B313" s="110"/>
      <c r="C313" s="49" t="s">
        <v>92</v>
      </c>
      <c r="D313" s="49" t="s">
        <v>347</v>
      </c>
      <c r="E313" s="74">
        <f>(94.22)*10.764</f>
        <v>1014.1840799999999</v>
      </c>
      <c r="F313" s="73">
        <f>(4.44)*10.764</f>
        <v>47.792160000000003</v>
      </c>
      <c r="G313" s="73">
        <v>0</v>
      </c>
      <c r="H313" s="73">
        <f>E313+F313+(IF(G313&lt;101,G313,IF(G313&lt;201,G313/2,IF(G313&lt;=301,G313/3,G313/4))))</f>
        <v>1061.97624</v>
      </c>
      <c r="I313" s="79">
        <v>1</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x14ac:dyDescent="0.25">
      <c r="A314" s="111">
        <f>A313+1</f>
        <v>2</v>
      </c>
      <c r="B314" s="112"/>
      <c r="C314" s="49" t="s">
        <v>92</v>
      </c>
      <c r="D314" s="49" t="s">
        <v>347</v>
      </c>
      <c r="E314" s="74">
        <f>(94.36)*10.764</f>
        <v>1015.6910399999999</v>
      </c>
      <c r="F314" s="73">
        <f>(4.44)*10.764</f>
        <v>47.792160000000003</v>
      </c>
      <c r="G314" s="73">
        <v>0</v>
      </c>
      <c r="H314" s="73">
        <f t="shared" ref="H314" si="27">E314+F314+(IF(G314&lt;101,G314,IF(G314&lt;201,G314/2,IF(G314&lt;=301,G314/3,G314/4))))</f>
        <v>1063.4831999999999</v>
      </c>
      <c r="I314" s="79">
        <v>1</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x14ac:dyDescent="0.25">
      <c r="A315" s="104" t="s">
        <v>351</v>
      </c>
      <c r="B315" s="105"/>
      <c r="C315" s="105"/>
      <c r="D315" s="105"/>
      <c r="E315" s="105"/>
      <c r="F315" s="105"/>
      <c r="G315" s="105"/>
      <c r="H315" s="106"/>
      <c r="I315" s="79">
        <v>14</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x14ac:dyDescent="0.25">
      <c r="A316" s="110">
        <v>1</v>
      </c>
      <c r="B316" s="110"/>
      <c r="C316" s="49" t="s">
        <v>92</v>
      </c>
      <c r="D316" s="49" t="s">
        <v>347</v>
      </c>
      <c r="E316" s="73">
        <f>(94.22)*10.764</f>
        <v>1014.1840799999999</v>
      </c>
      <c r="F316" s="73">
        <f>(4.44)*10.764</f>
        <v>47.792160000000003</v>
      </c>
      <c r="G316" s="73">
        <v>0</v>
      </c>
      <c r="H316" s="73">
        <f>E316+F316+(IF(G316&lt;101,G316,IF(G316&lt;201,G316/2,IF(G316&lt;=301,G316/3,G316/4))))</f>
        <v>1061.97624</v>
      </c>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x14ac:dyDescent="0.25">
      <c r="A317" s="111">
        <f>A316+1</f>
        <v>2</v>
      </c>
      <c r="B317" s="112"/>
      <c r="C317" s="49" t="s">
        <v>92</v>
      </c>
      <c r="D317" s="49" t="s">
        <v>347</v>
      </c>
      <c r="E317" s="73">
        <f>(94.36)*10.764</f>
        <v>1015.6910399999999</v>
      </c>
      <c r="F317" s="73">
        <f>(4.44)*10.764</f>
        <v>47.792160000000003</v>
      </c>
      <c r="G317" s="73">
        <v>0</v>
      </c>
      <c r="H317" s="73">
        <f t="shared" ref="H317" si="28">E317+F317+(IF(G317&lt;101,G317,IF(G317&lt;201,G317/2,IF(G317&lt;=301,G317/3,G317/4))))</f>
        <v>1063.4831999999999</v>
      </c>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x14ac:dyDescent="0.25">
      <c r="A318" s="116" t="s">
        <v>321</v>
      </c>
      <c r="B318" s="117"/>
      <c r="C318" s="117"/>
      <c r="D318" s="117"/>
      <c r="E318" s="117"/>
      <c r="F318" s="117"/>
      <c r="G318" s="117"/>
      <c r="H318" s="118"/>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104" t="s">
        <v>341</v>
      </c>
      <c r="B319" s="105"/>
      <c r="C319" s="105"/>
      <c r="D319" s="105"/>
      <c r="E319" s="105"/>
      <c r="F319" s="105"/>
      <c r="G319" s="105"/>
      <c r="H319" s="106"/>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104" t="s">
        <v>342</v>
      </c>
      <c r="B320" s="105"/>
      <c r="C320" s="105"/>
      <c r="D320" s="105"/>
      <c r="E320" s="105"/>
      <c r="F320" s="105"/>
      <c r="G320" s="105"/>
      <c r="H320" s="106"/>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x14ac:dyDescent="0.25">
      <c r="A321" s="104" t="s">
        <v>344</v>
      </c>
      <c r="B321" s="105"/>
      <c r="C321" s="105"/>
      <c r="D321" s="105"/>
      <c r="E321" s="105"/>
      <c r="F321" s="105"/>
      <c r="G321" s="105"/>
      <c r="H321" s="106"/>
      <c r="I321" s="79">
        <v>1</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x14ac:dyDescent="0.25">
      <c r="A322" s="104" t="s">
        <v>343</v>
      </c>
      <c r="B322" s="105"/>
      <c r="C322" s="105"/>
      <c r="D322" s="105"/>
      <c r="E322" s="105"/>
      <c r="F322" s="105"/>
      <c r="G322" s="105"/>
      <c r="H322" s="106"/>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x14ac:dyDescent="0.25">
      <c r="A323" s="104" t="s">
        <v>357</v>
      </c>
      <c r="B323" s="105"/>
      <c r="C323" s="105"/>
      <c r="D323" s="105"/>
      <c r="E323" s="105"/>
      <c r="F323" s="105"/>
      <c r="G323" s="105"/>
      <c r="H323" s="106"/>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x14ac:dyDescent="0.25">
      <c r="A324" s="104" t="s">
        <v>335</v>
      </c>
      <c r="B324" s="105"/>
      <c r="C324" s="105"/>
      <c r="D324" s="105"/>
      <c r="E324" s="105"/>
      <c r="F324" s="105"/>
      <c r="G324" s="105"/>
      <c r="H324" s="106"/>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110">
        <v>1</v>
      </c>
      <c r="B325" s="110"/>
      <c r="C325" s="49" t="s">
        <v>92</v>
      </c>
      <c r="D325" s="49" t="s">
        <v>347</v>
      </c>
      <c r="E325" s="73">
        <f>(80.22)*10.764</f>
        <v>863.48807999999997</v>
      </c>
      <c r="F325" s="73">
        <f>(4.49)*10.764</f>
        <v>48.330359999999999</v>
      </c>
      <c r="G325" s="73">
        <v>0</v>
      </c>
      <c r="H325" s="73">
        <f>E325+F325+(IF(G325&lt;101,G325,IF(G325&lt;201,G325/2,IF(G325&lt;=301,G325/3,G325/4))))</f>
        <v>911.81844000000001</v>
      </c>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111">
        <f>A325+1</f>
        <v>2</v>
      </c>
      <c r="B326" s="112"/>
      <c r="C326" s="49" t="s">
        <v>92</v>
      </c>
      <c r="D326" s="49" t="s">
        <v>337</v>
      </c>
      <c r="E326" s="73">
        <f>(62.88)*10.764</f>
        <v>676.84032000000002</v>
      </c>
      <c r="F326" s="73">
        <v>0</v>
      </c>
      <c r="G326" s="73">
        <v>0</v>
      </c>
      <c r="H326" s="73">
        <f t="shared" ref="H326:H329" si="29">E326+F326+(IF(G326&lt;101,G326,IF(G326&lt;201,G326/2,IF(G326&lt;=301,G326/3,G326/4))))</f>
        <v>676.84032000000002</v>
      </c>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x14ac:dyDescent="0.25">
      <c r="A327" s="111">
        <f t="shared" ref="A327:A329" si="30">A326+1</f>
        <v>3</v>
      </c>
      <c r="B327" s="112"/>
      <c r="C327" s="49" t="s">
        <v>92</v>
      </c>
      <c r="D327" s="49" t="s">
        <v>337</v>
      </c>
      <c r="E327" s="73">
        <f>(63.14)*10.764</f>
        <v>679.63896</v>
      </c>
      <c r="F327" s="73">
        <v>0</v>
      </c>
      <c r="G327" s="73">
        <v>0</v>
      </c>
      <c r="H327" s="73">
        <f t="shared" si="29"/>
        <v>679.63896</v>
      </c>
      <c r="I327" s="79">
        <v>1</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x14ac:dyDescent="0.25">
      <c r="A328" s="111">
        <f t="shared" si="30"/>
        <v>4</v>
      </c>
      <c r="B328" s="112"/>
      <c r="C328" s="49" t="s">
        <v>92</v>
      </c>
      <c r="D328" s="49" t="s">
        <v>337</v>
      </c>
      <c r="E328" s="73">
        <f>(63.44)*10.764</f>
        <v>682.86815999999999</v>
      </c>
      <c r="F328" s="73">
        <f>(4.76)*10.764</f>
        <v>51.236639999999994</v>
      </c>
      <c r="G328" s="73">
        <v>0</v>
      </c>
      <c r="H328" s="73">
        <f t="shared" si="29"/>
        <v>734.10479999999995</v>
      </c>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x14ac:dyDescent="0.25">
      <c r="A329" s="111">
        <f t="shared" si="30"/>
        <v>5</v>
      </c>
      <c r="B329" s="112"/>
      <c r="C329" s="49" t="s">
        <v>92</v>
      </c>
      <c r="D329" s="49" t="s">
        <v>347</v>
      </c>
      <c r="E329" s="73">
        <f>(74.57)*10.764</f>
        <v>802.67147999999986</v>
      </c>
      <c r="F329" s="73">
        <v>0</v>
      </c>
      <c r="G329" s="73">
        <v>0</v>
      </c>
      <c r="H329" s="73">
        <f t="shared" si="29"/>
        <v>802.67147999999986</v>
      </c>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x14ac:dyDescent="0.25">
      <c r="A330" s="104" t="s">
        <v>338</v>
      </c>
      <c r="B330" s="105"/>
      <c r="C330" s="105"/>
      <c r="D330" s="105"/>
      <c r="E330" s="105"/>
      <c r="F330" s="105"/>
      <c r="G330" s="105"/>
      <c r="H330" s="106"/>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25">
      <c r="A331" s="110">
        <v>1</v>
      </c>
      <c r="B331" s="110"/>
      <c r="C331" s="111" t="s">
        <v>339</v>
      </c>
      <c r="D331" s="119"/>
      <c r="E331" s="119"/>
      <c r="F331" s="119"/>
      <c r="G331" s="119"/>
      <c r="H331" s="112"/>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25">
      <c r="A332" s="111">
        <f>A331+1</f>
        <v>2</v>
      </c>
      <c r="B332" s="112"/>
      <c r="C332" s="49" t="s">
        <v>92</v>
      </c>
      <c r="D332" s="49" t="s">
        <v>337</v>
      </c>
      <c r="E332" s="74">
        <f>(62.88)*10.764</f>
        <v>676.84032000000002</v>
      </c>
      <c r="F332" s="73">
        <v>0</v>
      </c>
      <c r="G332" s="73">
        <v>0</v>
      </c>
      <c r="H332" s="73">
        <f t="shared" ref="H332:H335" si="31">E332+F332+(IF(G332&lt;101,G332,IF(G332&lt;201,G332/2,IF(G332&lt;=301,G332/3,G332/4))))</f>
        <v>676.84032000000002</v>
      </c>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x14ac:dyDescent="0.25">
      <c r="A333" s="111">
        <f t="shared" ref="A333:A335" si="32">A332+1</f>
        <v>3</v>
      </c>
      <c r="B333" s="112"/>
      <c r="C333" s="49" t="s">
        <v>92</v>
      </c>
      <c r="D333" s="49" t="s">
        <v>337</v>
      </c>
      <c r="E333" s="74">
        <f>(63.14)*10.764</f>
        <v>679.63896</v>
      </c>
      <c r="F333" s="73">
        <v>0</v>
      </c>
      <c r="G333" s="73">
        <v>0</v>
      </c>
      <c r="H333" s="73">
        <f t="shared" si="31"/>
        <v>679.63896</v>
      </c>
      <c r="I333" s="73">
        <v>10.763999999999999</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x14ac:dyDescent="0.25">
      <c r="A334" s="111">
        <f t="shared" si="32"/>
        <v>4</v>
      </c>
      <c r="B334" s="112"/>
      <c r="C334" s="49" t="s">
        <v>92</v>
      </c>
      <c r="D334" s="49" t="s">
        <v>337</v>
      </c>
      <c r="E334" s="74">
        <f>(63.44)*10.764</f>
        <v>682.86815999999999</v>
      </c>
      <c r="F334" s="73">
        <f>(4.76)*10.764</f>
        <v>51.236639999999994</v>
      </c>
      <c r="G334" s="73">
        <v>0</v>
      </c>
      <c r="H334" s="73">
        <f t="shared" si="31"/>
        <v>734.10479999999995</v>
      </c>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x14ac:dyDescent="0.25">
      <c r="A335" s="111">
        <f t="shared" si="32"/>
        <v>5</v>
      </c>
      <c r="B335" s="112"/>
      <c r="C335" s="49" t="s">
        <v>92</v>
      </c>
      <c r="D335" s="49" t="s">
        <v>347</v>
      </c>
      <c r="E335" s="74">
        <f>(74.57)*10.764</f>
        <v>802.67147999999986</v>
      </c>
      <c r="F335" s="73">
        <v>0</v>
      </c>
      <c r="G335" s="73">
        <v>0</v>
      </c>
      <c r="H335" s="73">
        <f t="shared" si="31"/>
        <v>802.67147999999986</v>
      </c>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x14ac:dyDescent="0.25">
      <c r="A336" s="104" t="s">
        <v>340</v>
      </c>
      <c r="B336" s="105"/>
      <c r="C336" s="105"/>
      <c r="D336" s="105"/>
      <c r="E336" s="105"/>
      <c r="F336" s="105"/>
      <c r="G336" s="105"/>
      <c r="H336" s="106"/>
      <c r="I336" s="79">
        <v>1</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x14ac:dyDescent="0.25">
      <c r="A337" s="110">
        <v>1</v>
      </c>
      <c r="B337" s="110"/>
      <c r="C337" s="49" t="s">
        <v>92</v>
      </c>
      <c r="D337" s="49" t="s">
        <v>347</v>
      </c>
      <c r="E337" s="74">
        <f>(80.22)*10.764</f>
        <v>863.48807999999997</v>
      </c>
      <c r="F337" s="73">
        <f>(4.49)*10.764</f>
        <v>48.330359999999999</v>
      </c>
      <c r="G337" s="73">
        <v>0</v>
      </c>
      <c r="H337" s="73">
        <f>E337+F337+(IF(G337&lt;101,G337,IF(G337&lt;201,G337/2,IF(G337&lt;=301,G337/3,G337/4))))</f>
        <v>911.81844000000001</v>
      </c>
      <c r="I337" s="79">
        <v>2</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x14ac:dyDescent="0.25">
      <c r="A338" s="111">
        <f>A337+1</f>
        <v>2</v>
      </c>
      <c r="B338" s="112"/>
      <c r="C338" s="120" t="s">
        <v>339</v>
      </c>
      <c r="D338" s="121"/>
      <c r="E338" s="121"/>
      <c r="F338" s="121"/>
      <c r="G338" s="121"/>
      <c r="H338" s="122"/>
      <c r="I338" s="79">
        <v>1</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x14ac:dyDescent="0.25">
      <c r="A339" s="111">
        <f t="shared" ref="A339:A341" si="33">A338+1</f>
        <v>3</v>
      </c>
      <c r="B339" s="112"/>
      <c r="C339" s="123"/>
      <c r="D339" s="124"/>
      <c r="E339" s="124"/>
      <c r="F339" s="124"/>
      <c r="G339" s="124"/>
      <c r="H339" s="125"/>
      <c r="I339" s="79">
        <v>1</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x14ac:dyDescent="0.25">
      <c r="A340" s="111">
        <f t="shared" si="33"/>
        <v>4</v>
      </c>
      <c r="B340" s="112"/>
      <c r="C340" s="49" t="s">
        <v>92</v>
      </c>
      <c r="D340" s="49" t="s">
        <v>337</v>
      </c>
      <c r="E340" s="74">
        <f>(63.44)*10.764</f>
        <v>682.86815999999999</v>
      </c>
      <c r="F340" s="73">
        <f>(4.76)*10.764</f>
        <v>51.236639999999994</v>
      </c>
      <c r="G340" s="73">
        <v>0</v>
      </c>
      <c r="H340" s="73">
        <f t="shared" ref="H340:H341" si="34">E340+F340+(IF(G340&lt;101,G340,IF(G340&lt;201,G340/2,IF(G340&lt;=301,G340/3,G340/4))))</f>
        <v>734.10479999999995</v>
      </c>
      <c r="I340" s="79">
        <v>14</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x14ac:dyDescent="0.25">
      <c r="A341" s="111">
        <f t="shared" si="33"/>
        <v>5</v>
      </c>
      <c r="B341" s="112"/>
      <c r="C341" s="49" t="s">
        <v>92</v>
      </c>
      <c r="D341" s="49" t="s">
        <v>347</v>
      </c>
      <c r="E341" s="74">
        <f>(74.57)*10.764</f>
        <v>802.67147999999986</v>
      </c>
      <c r="F341" s="73">
        <v>0</v>
      </c>
      <c r="G341" s="73">
        <v>0</v>
      </c>
      <c r="H341" s="73">
        <f t="shared" si="34"/>
        <v>802.67147999999986</v>
      </c>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x14ac:dyDescent="0.25">
      <c r="A342" s="116" t="s">
        <v>322</v>
      </c>
      <c r="B342" s="117"/>
      <c r="C342" s="117"/>
      <c r="D342" s="117"/>
      <c r="E342" s="117"/>
      <c r="F342" s="117"/>
      <c r="G342" s="117"/>
      <c r="H342" s="118"/>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x14ac:dyDescent="0.25">
      <c r="A343" s="104" t="s">
        <v>358</v>
      </c>
      <c r="B343" s="105"/>
      <c r="C343" s="105"/>
      <c r="D343" s="105"/>
      <c r="E343" s="105"/>
      <c r="F343" s="105"/>
      <c r="G343" s="105"/>
      <c r="H343" s="106"/>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25">
      <c r="A344" s="104" t="s">
        <v>341</v>
      </c>
      <c r="B344" s="105"/>
      <c r="C344" s="105"/>
      <c r="D344" s="105"/>
      <c r="E344" s="105"/>
      <c r="F344" s="105"/>
      <c r="G344" s="105"/>
      <c r="H344" s="106"/>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x14ac:dyDescent="0.25">
      <c r="A345" s="104" t="s">
        <v>342</v>
      </c>
      <c r="B345" s="105"/>
      <c r="C345" s="105"/>
      <c r="D345" s="105"/>
      <c r="E345" s="105"/>
      <c r="F345" s="105"/>
      <c r="G345" s="105"/>
      <c r="H345" s="106"/>
      <c r="I345" s="79">
        <v>2</v>
      </c>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x14ac:dyDescent="0.25">
      <c r="A346" s="104" t="s">
        <v>344</v>
      </c>
      <c r="B346" s="105"/>
      <c r="C346" s="105"/>
      <c r="D346" s="105"/>
      <c r="E346" s="105"/>
      <c r="F346" s="105"/>
      <c r="G346" s="105"/>
      <c r="H346" s="106"/>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x14ac:dyDescent="0.25">
      <c r="A347" s="104" t="s">
        <v>343</v>
      </c>
      <c r="B347" s="105"/>
      <c r="C347" s="105"/>
      <c r="D347" s="105"/>
      <c r="E347" s="105"/>
      <c r="F347" s="105"/>
      <c r="G347" s="105"/>
      <c r="H347" s="106"/>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x14ac:dyDescent="0.25">
      <c r="A348" s="104" t="s">
        <v>334</v>
      </c>
      <c r="B348" s="105"/>
      <c r="C348" s="105"/>
      <c r="D348" s="105"/>
      <c r="E348" s="105"/>
      <c r="F348" s="105"/>
      <c r="G348" s="105"/>
      <c r="H348" s="106"/>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104" t="s">
        <v>335</v>
      </c>
      <c r="B349" s="105"/>
      <c r="C349" s="105"/>
      <c r="D349" s="105"/>
      <c r="E349" s="105"/>
      <c r="F349" s="105"/>
      <c r="G349" s="105"/>
      <c r="H349" s="106"/>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x14ac:dyDescent="0.25">
      <c r="A350" s="110">
        <v>1</v>
      </c>
      <c r="B350" s="110"/>
      <c r="C350" s="49" t="s">
        <v>92</v>
      </c>
      <c r="D350" s="49" t="s">
        <v>337</v>
      </c>
      <c r="E350" s="73">
        <f>(56.64)*10.764</f>
        <v>609.67295999999999</v>
      </c>
      <c r="F350" s="73">
        <v>0</v>
      </c>
      <c r="G350" s="73">
        <v>0</v>
      </c>
      <c r="H350" s="73">
        <f>E350+F350+(IF(G350&lt;101,G350,IF(G350&lt;201,G350/2,IF(G350&lt;=301,G350/3,G350/4))))</f>
        <v>609.67295999999999</v>
      </c>
      <c r="I350" s="73">
        <v>10.763999999999999</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x14ac:dyDescent="0.25">
      <c r="A351" s="111">
        <f>A350+1</f>
        <v>2</v>
      </c>
      <c r="B351" s="112"/>
      <c r="C351" s="49" t="s">
        <v>92</v>
      </c>
      <c r="D351" s="49" t="s">
        <v>337</v>
      </c>
      <c r="E351" s="73">
        <f>(54.49)*10.764</f>
        <v>586.53035999999997</v>
      </c>
      <c r="F351" s="73">
        <v>0</v>
      </c>
      <c r="G351" s="73">
        <v>0</v>
      </c>
      <c r="H351" s="73">
        <f t="shared" ref="H351:H353" si="35">E351+F351+(IF(G351&lt;101,G351,IF(G351&lt;201,G351/2,IF(G351&lt;=301,G351/3,G351/4))))</f>
        <v>586.53035999999997</v>
      </c>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x14ac:dyDescent="0.25">
      <c r="A352" s="111">
        <f t="shared" ref="A352:A353" si="36">A351+1</f>
        <v>3</v>
      </c>
      <c r="B352" s="112"/>
      <c r="C352" s="49" t="s">
        <v>92</v>
      </c>
      <c r="D352" s="49" t="s">
        <v>337</v>
      </c>
      <c r="E352" s="73">
        <f>(48.81)*10.764</f>
        <v>525.39084000000003</v>
      </c>
      <c r="F352" s="73">
        <v>0</v>
      </c>
      <c r="G352" s="73">
        <v>0</v>
      </c>
      <c r="H352" s="73">
        <f t="shared" si="35"/>
        <v>525.39084000000003</v>
      </c>
      <c r="I352" s="79">
        <v>1</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x14ac:dyDescent="0.25">
      <c r="A353" s="111">
        <f t="shared" si="36"/>
        <v>4</v>
      </c>
      <c r="B353" s="112"/>
      <c r="C353" s="49" t="s">
        <v>92</v>
      </c>
      <c r="D353" s="49" t="s">
        <v>337</v>
      </c>
      <c r="E353" s="73">
        <f>(48.7)*10.764</f>
        <v>524.20680000000004</v>
      </c>
      <c r="F353" s="73">
        <v>0</v>
      </c>
      <c r="G353" s="73">
        <v>0</v>
      </c>
      <c r="H353" s="73">
        <f t="shared" si="35"/>
        <v>524.20680000000004</v>
      </c>
      <c r="I353" s="79">
        <v>1</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x14ac:dyDescent="0.25">
      <c r="A354" s="104" t="s">
        <v>345</v>
      </c>
      <c r="B354" s="105"/>
      <c r="C354" s="105"/>
      <c r="D354" s="105"/>
      <c r="E354" s="105"/>
      <c r="F354" s="105"/>
      <c r="G354" s="105"/>
      <c r="H354" s="106"/>
      <c r="I354" s="79">
        <v>2</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x14ac:dyDescent="0.25">
      <c r="A355" s="110">
        <v>1</v>
      </c>
      <c r="B355" s="110"/>
      <c r="C355" s="49" t="s">
        <v>92</v>
      </c>
      <c r="D355" s="49" t="s">
        <v>337</v>
      </c>
      <c r="E355" s="74">
        <f>(56.64)*10.764</f>
        <v>609.67295999999999</v>
      </c>
      <c r="F355" s="73">
        <v>0</v>
      </c>
      <c r="G355" s="73">
        <v>0</v>
      </c>
      <c r="H355" s="73">
        <f>E355+F355+(IF(G355&lt;101,G355,IF(G355&lt;201,G355/2,IF(G355&lt;=301,G355/3,G355/4))))</f>
        <v>609.67295999999999</v>
      </c>
      <c r="I355" s="79">
        <v>1</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x14ac:dyDescent="0.25">
      <c r="A356" s="111">
        <f>A355+1</f>
        <v>2</v>
      </c>
      <c r="B356" s="112"/>
      <c r="C356" s="111" t="s">
        <v>339</v>
      </c>
      <c r="D356" s="119"/>
      <c r="E356" s="119"/>
      <c r="F356" s="119"/>
      <c r="G356" s="119"/>
      <c r="H356" s="112"/>
      <c r="I356" s="79">
        <v>14</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x14ac:dyDescent="0.25">
      <c r="A357" s="111">
        <f t="shared" ref="A357:A358" si="37">A356+1</f>
        <v>3</v>
      </c>
      <c r="B357" s="112"/>
      <c r="C357" s="49" t="s">
        <v>92</v>
      </c>
      <c r="D357" s="49" t="s">
        <v>337</v>
      </c>
      <c r="E357" s="74">
        <f>(48.81)*10.764</f>
        <v>525.39084000000003</v>
      </c>
      <c r="F357" s="73">
        <v>0</v>
      </c>
      <c r="G357" s="73">
        <v>0</v>
      </c>
      <c r="H357" s="73">
        <f t="shared" ref="H357:H358" si="38">E357+F357+(IF(G357&lt;101,G357,IF(G357&lt;201,G357/2,IF(G357&lt;=301,G357/3,G357/4))))</f>
        <v>525.39084000000003</v>
      </c>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x14ac:dyDescent="0.25">
      <c r="A358" s="111">
        <f t="shared" si="37"/>
        <v>4</v>
      </c>
      <c r="B358" s="112"/>
      <c r="C358" s="49" t="s">
        <v>92</v>
      </c>
      <c r="D358" s="49" t="s">
        <v>337</v>
      </c>
      <c r="E358" s="74">
        <f>(48.7)*10.764</f>
        <v>524.20680000000004</v>
      </c>
      <c r="F358" s="73">
        <v>0</v>
      </c>
      <c r="G358" s="73">
        <v>0</v>
      </c>
      <c r="H358" s="73">
        <f t="shared" si="38"/>
        <v>524.20680000000004</v>
      </c>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x14ac:dyDescent="0.25">
      <c r="A359" s="116" t="s">
        <v>323</v>
      </c>
      <c r="B359" s="117"/>
      <c r="C359" s="117"/>
      <c r="D359" s="117"/>
      <c r="E359" s="117"/>
      <c r="F359" s="117"/>
      <c r="G359" s="117"/>
      <c r="H359" s="118"/>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customHeight="1" x14ac:dyDescent="0.25">
      <c r="A360" s="104" t="s">
        <v>353</v>
      </c>
      <c r="B360" s="105"/>
      <c r="C360" s="105"/>
      <c r="D360" s="105"/>
      <c r="E360" s="105"/>
      <c r="F360" s="105"/>
      <c r="G360" s="105"/>
      <c r="H360" s="106"/>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x14ac:dyDescent="0.25">
      <c r="A361" s="104" t="s">
        <v>354</v>
      </c>
      <c r="B361" s="105"/>
      <c r="C361" s="105"/>
      <c r="D361" s="105"/>
      <c r="E361" s="105"/>
      <c r="F361" s="105"/>
      <c r="G361" s="105"/>
      <c r="H361" s="106"/>
      <c r="I361" s="79">
        <v>2</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x14ac:dyDescent="0.25">
      <c r="A362" s="104" t="s">
        <v>355</v>
      </c>
      <c r="B362" s="105"/>
      <c r="C362" s="105"/>
      <c r="D362" s="105"/>
      <c r="E362" s="105"/>
      <c r="F362" s="105"/>
      <c r="G362" s="105"/>
      <c r="H362" s="106"/>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x14ac:dyDescent="0.25">
      <c r="A363" s="104" t="s">
        <v>356</v>
      </c>
      <c r="B363" s="105"/>
      <c r="C363" s="105"/>
      <c r="D363" s="105"/>
      <c r="E363" s="105"/>
      <c r="F363" s="105"/>
      <c r="G363" s="105"/>
      <c r="H363" s="106"/>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x14ac:dyDescent="0.25">
      <c r="A364" s="104" t="s">
        <v>334</v>
      </c>
      <c r="B364" s="105"/>
      <c r="C364" s="105"/>
      <c r="D364" s="105"/>
      <c r="E364" s="105"/>
      <c r="F364" s="105"/>
      <c r="G364" s="105"/>
      <c r="H364" s="106"/>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104" t="s">
        <v>335</v>
      </c>
      <c r="B365" s="105"/>
      <c r="C365" s="105"/>
      <c r="D365" s="105"/>
      <c r="E365" s="105"/>
      <c r="F365" s="105"/>
      <c r="G365" s="105"/>
      <c r="H365" s="106"/>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x14ac:dyDescent="0.25">
      <c r="A366" s="110">
        <v>1</v>
      </c>
      <c r="B366" s="110"/>
      <c r="C366" s="49" t="s">
        <v>92</v>
      </c>
      <c r="D366" s="49" t="s">
        <v>337</v>
      </c>
      <c r="E366" s="73">
        <f>(54.56)*10.764</f>
        <v>587.28383999999994</v>
      </c>
      <c r="F366" s="73">
        <v>0</v>
      </c>
      <c r="G366" s="73">
        <v>0</v>
      </c>
      <c r="H366" s="73">
        <f>E366+F366+(IF(G366&lt;101,G366,IF(G366&lt;201,G366/2,IF(G366&lt;=301,G366/3,G366/4))))</f>
        <v>587.28383999999994</v>
      </c>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ht="20.25" x14ac:dyDescent="0.25">
      <c r="A367" s="111">
        <f>A366+1</f>
        <v>2</v>
      </c>
      <c r="B367" s="112"/>
      <c r="C367" s="49" t="s">
        <v>92</v>
      </c>
      <c r="D367" s="49" t="s">
        <v>337</v>
      </c>
      <c r="E367" s="73">
        <f>(58.15)*10.764</f>
        <v>625.92659999999989</v>
      </c>
      <c r="F367" s="73">
        <v>0</v>
      </c>
      <c r="G367" s="73">
        <v>0</v>
      </c>
      <c r="H367" s="73">
        <f t="shared" ref="H367:H369" si="39">E367+F367+(IF(G367&lt;101,G367,IF(G367&lt;201,G367/2,IF(G367&lt;=301,G367/3,G367/4))))</f>
        <v>625.92659999999989</v>
      </c>
    </row>
    <row r="368" spans="1:150 16226:16383" ht="20.25" x14ac:dyDescent="0.25">
      <c r="A368" s="111">
        <f t="shared" ref="A368:A369" si="40">A367+1</f>
        <v>3</v>
      </c>
      <c r="B368" s="112"/>
      <c r="C368" s="49" t="s">
        <v>92</v>
      </c>
      <c r="D368" s="49" t="s">
        <v>337</v>
      </c>
      <c r="E368" s="73">
        <f>(58.15)*10.764</f>
        <v>625.92659999999989</v>
      </c>
      <c r="F368" s="73">
        <v>0</v>
      </c>
      <c r="G368" s="73">
        <v>0</v>
      </c>
      <c r="H368" s="73">
        <f t="shared" si="39"/>
        <v>625.92659999999989</v>
      </c>
    </row>
    <row r="369" spans="1:9" ht="20.25" x14ac:dyDescent="0.25">
      <c r="A369" s="111">
        <f t="shared" si="40"/>
        <v>4</v>
      </c>
      <c r="B369" s="112"/>
      <c r="C369" s="49" t="s">
        <v>92</v>
      </c>
      <c r="D369" s="49" t="s">
        <v>337</v>
      </c>
      <c r="E369" s="73">
        <f>(48.67)*10.764</f>
        <v>523.88387999999998</v>
      </c>
      <c r="F369" s="73">
        <v>0</v>
      </c>
      <c r="G369" s="73">
        <v>0</v>
      </c>
      <c r="H369" s="73">
        <f t="shared" si="39"/>
        <v>523.88387999999998</v>
      </c>
    </row>
    <row r="370" spans="1:9" ht="20.25" x14ac:dyDescent="0.25">
      <c r="A370" s="104" t="s">
        <v>345</v>
      </c>
      <c r="B370" s="105"/>
      <c r="C370" s="105"/>
      <c r="D370" s="105"/>
      <c r="E370" s="105"/>
      <c r="F370" s="105"/>
      <c r="G370" s="105"/>
      <c r="H370" s="106"/>
    </row>
    <row r="371" spans="1:9" ht="20.25" x14ac:dyDescent="0.25">
      <c r="A371" s="110">
        <v>1</v>
      </c>
      <c r="B371" s="110"/>
      <c r="C371" s="49" t="s">
        <v>92</v>
      </c>
      <c r="D371" s="49" t="s">
        <v>337</v>
      </c>
      <c r="E371" s="82">
        <f>(54.56)*10.764</f>
        <v>587.28383999999994</v>
      </c>
      <c r="F371" s="83">
        <v>0</v>
      </c>
      <c r="G371" s="83">
        <v>0</v>
      </c>
      <c r="H371" s="83">
        <f t="shared" ref="H371" si="41">E371+F371+(IF(G371&lt;101,G371,IF(G371&lt;201,G371/2,IF(G371&lt;=301,G371/3,G371/4))))</f>
        <v>587.28383999999994</v>
      </c>
    </row>
    <row r="372" spans="1:9" ht="20.25" x14ac:dyDescent="0.25">
      <c r="A372" s="111">
        <f>A371+1</f>
        <v>2</v>
      </c>
      <c r="B372" s="112"/>
      <c r="C372" s="107" t="s">
        <v>339</v>
      </c>
      <c r="D372" s="108"/>
      <c r="E372" s="108"/>
      <c r="F372" s="108"/>
      <c r="G372" s="108"/>
      <c r="H372" s="109"/>
    </row>
    <row r="373" spans="1:9" ht="20.25" x14ac:dyDescent="0.25">
      <c r="A373" s="111">
        <f t="shared" ref="A373:A374" si="42">A372+1</f>
        <v>3</v>
      </c>
      <c r="B373" s="112"/>
      <c r="C373" s="49" t="s">
        <v>92</v>
      </c>
      <c r="D373" s="49" t="s">
        <v>337</v>
      </c>
      <c r="E373" s="74">
        <f>(58.15)*10.764</f>
        <v>625.92659999999989</v>
      </c>
      <c r="F373" s="73">
        <v>0</v>
      </c>
      <c r="G373" s="73">
        <v>0</v>
      </c>
      <c r="H373" s="73">
        <f t="shared" ref="H373:H374" si="43">E373+F373+(IF(G373&lt;101,G373,IF(G373&lt;201,G373/2,IF(G373&lt;=301,G373/3,G373/4))))</f>
        <v>625.92659999999989</v>
      </c>
    </row>
    <row r="374" spans="1:9" ht="20.25" x14ac:dyDescent="0.25">
      <c r="A374" s="111">
        <f t="shared" si="42"/>
        <v>4</v>
      </c>
      <c r="B374" s="112"/>
      <c r="C374" s="49" t="s">
        <v>92</v>
      </c>
      <c r="D374" s="49" t="s">
        <v>337</v>
      </c>
      <c r="E374" s="74">
        <f>(48.67)*10.764</f>
        <v>523.88387999999998</v>
      </c>
      <c r="F374" s="73">
        <v>0</v>
      </c>
      <c r="G374" s="73">
        <v>0</v>
      </c>
      <c r="H374" s="73">
        <f t="shared" si="43"/>
        <v>523.88387999999998</v>
      </c>
    </row>
    <row r="375" spans="1:9" ht="20.25" x14ac:dyDescent="0.25">
      <c r="A375" s="147" t="s">
        <v>66</v>
      </c>
      <c r="B375" s="147"/>
      <c r="C375" s="147"/>
      <c r="D375" s="147"/>
      <c r="E375" s="147"/>
      <c r="F375" s="147"/>
      <c r="G375" s="147"/>
      <c r="H375" s="147"/>
    </row>
    <row r="376" spans="1:9" ht="20.25" x14ac:dyDescent="0.25">
      <c r="A376" s="2" t="s">
        <v>227</v>
      </c>
      <c r="B376" s="96" t="s">
        <v>369</v>
      </c>
      <c r="C376" s="97"/>
      <c r="D376" s="97"/>
      <c r="E376" s="97"/>
      <c r="F376" s="97"/>
      <c r="G376" s="97"/>
      <c r="H376" s="98"/>
    </row>
    <row r="377" spans="1:9" ht="20.25" x14ac:dyDescent="0.25">
      <c r="A377" s="2" t="s">
        <v>227</v>
      </c>
      <c r="B377" s="99" t="s">
        <v>228</v>
      </c>
      <c r="C377" s="100"/>
      <c r="D377" s="100"/>
      <c r="E377" s="100"/>
      <c r="F377" s="100"/>
      <c r="G377" s="100"/>
      <c r="H377" s="101"/>
      <c r="I377" s="92"/>
    </row>
    <row r="378" spans="1:9" ht="20.25" x14ac:dyDescent="0.25">
      <c r="A378" s="2" t="s">
        <v>227</v>
      </c>
      <c r="B378" s="99" t="s">
        <v>385</v>
      </c>
      <c r="C378" s="100"/>
      <c r="D378" s="100"/>
      <c r="E378" s="100"/>
      <c r="F378" s="100"/>
      <c r="G378" s="100"/>
      <c r="H378" s="101"/>
    </row>
    <row r="379" spans="1:9" ht="20.25" customHeight="1" x14ac:dyDescent="0.25">
      <c r="A379" s="2" t="s">
        <v>227</v>
      </c>
      <c r="B379" s="99" t="s">
        <v>229</v>
      </c>
      <c r="C379" s="100"/>
      <c r="D379" s="100"/>
      <c r="E379" s="100"/>
      <c r="F379" s="100"/>
      <c r="G379" s="100"/>
      <c r="H379" s="101"/>
    </row>
    <row r="380" spans="1:9" ht="20.25" x14ac:dyDescent="0.25">
      <c r="A380" s="2" t="s">
        <v>227</v>
      </c>
      <c r="B380" s="99" t="s">
        <v>230</v>
      </c>
      <c r="C380" s="100"/>
      <c r="D380" s="100"/>
      <c r="E380" s="100"/>
      <c r="F380" s="100"/>
      <c r="G380" s="100"/>
      <c r="H380" s="101"/>
    </row>
    <row r="381" spans="1:9" ht="20.25" x14ac:dyDescent="0.25">
      <c r="A381" s="84" t="s">
        <v>227</v>
      </c>
      <c r="B381" s="96" t="s">
        <v>370</v>
      </c>
      <c r="C381" s="97"/>
      <c r="D381" s="97"/>
      <c r="E381" s="97"/>
      <c r="F381" s="97"/>
      <c r="G381" s="97"/>
      <c r="H381" s="98"/>
    </row>
    <row r="382" spans="1:9" ht="20.25" x14ac:dyDescent="0.25">
      <c r="A382" s="2" t="s">
        <v>227</v>
      </c>
      <c r="B382" s="96" t="s">
        <v>371</v>
      </c>
      <c r="C382" s="97"/>
      <c r="D382" s="97"/>
      <c r="E382" s="97"/>
      <c r="F382" s="97"/>
      <c r="G382" s="97"/>
      <c r="H382" s="98"/>
    </row>
    <row r="383" spans="1:9" ht="61.5" customHeight="1" x14ac:dyDescent="0.25">
      <c r="A383" s="2" t="s">
        <v>227</v>
      </c>
      <c r="B383" s="99" t="s">
        <v>394</v>
      </c>
      <c r="C383" s="100"/>
      <c r="D383" s="100"/>
      <c r="E383" s="100"/>
      <c r="F383" s="100"/>
      <c r="G383" s="100"/>
      <c r="H383" s="101"/>
    </row>
    <row r="384" spans="1:9" ht="20.25" x14ac:dyDescent="0.25">
      <c r="A384" s="84" t="s">
        <v>227</v>
      </c>
      <c r="B384" s="96" t="s">
        <v>400</v>
      </c>
      <c r="C384" s="97"/>
      <c r="D384" s="97"/>
      <c r="E384" s="97"/>
      <c r="F384" s="97"/>
      <c r="G384" s="97"/>
      <c r="H384" s="98"/>
    </row>
    <row r="385" spans="1:8" ht="20.25" x14ac:dyDescent="0.25">
      <c r="A385" s="88" t="s">
        <v>227</v>
      </c>
      <c r="B385" s="96" t="s">
        <v>395</v>
      </c>
      <c r="C385" s="97"/>
      <c r="D385" s="97"/>
      <c r="E385" s="97"/>
      <c r="F385" s="97"/>
      <c r="G385" s="97"/>
      <c r="H385" s="98"/>
    </row>
    <row r="386" spans="1:8" ht="20.25" x14ac:dyDescent="0.25">
      <c r="A386" s="166" t="s">
        <v>72</v>
      </c>
      <c r="B386" s="166"/>
      <c r="C386" s="166"/>
      <c r="D386" s="166"/>
      <c r="E386" s="166"/>
      <c r="F386" s="166"/>
      <c r="G386" s="166"/>
      <c r="H386" s="166"/>
    </row>
    <row r="387" spans="1:8" ht="20.25" x14ac:dyDescent="0.25">
      <c r="A387" s="126" t="s">
        <v>67</v>
      </c>
      <c r="B387" s="126"/>
      <c r="C387" s="126"/>
      <c r="D387" s="99" t="str">
        <f>C3</f>
        <v>Arkade Rare</v>
      </c>
      <c r="E387" s="100"/>
      <c r="F387" s="100"/>
      <c r="G387" s="100"/>
      <c r="H387" s="101"/>
    </row>
    <row r="388" spans="1:8" ht="20.25" x14ac:dyDescent="0.25">
      <c r="A388" s="126" t="s">
        <v>101</v>
      </c>
      <c r="B388" s="126"/>
      <c r="C388" s="126"/>
      <c r="D388" s="99" t="str">
        <f>C9</f>
        <v>Arkade Rare, 403B ,403B/1 ,403B/2 ,403B/3 ,403B/4 at Kanjurmarg, Kurla, Mumbai Suburban, 400078</v>
      </c>
      <c r="E388" s="100"/>
      <c r="F388" s="100"/>
      <c r="G388" s="100"/>
      <c r="H388" s="101"/>
    </row>
    <row r="389" spans="1:8" ht="20.25" x14ac:dyDescent="0.25">
      <c r="A389" s="179" t="s">
        <v>107</v>
      </c>
      <c r="B389" s="179"/>
      <c r="C389" s="179"/>
      <c r="D389" s="99" t="str">
        <f>G3</f>
        <v>29/07/2025 at 02:24PM</v>
      </c>
      <c r="E389" s="100"/>
      <c r="F389" s="100"/>
      <c r="G389" s="100"/>
      <c r="H389" s="101"/>
    </row>
    <row r="390" spans="1:8" ht="20.25" x14ac:dyDescent="0.25">
      <c r="A390" s="9"/>
      <c r="B390" s="10"/>
      <c r="C390" s="10"/>
      <c r="D390" s="10"/>
      <c r="E390" s="10"/>
      <c r="F390" s="10"/>
      <c r="G390" s="10"/>
      <c r="H390" s="6"/>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1"/>
      <c r="B405" s="12"/>
      <c r="C405" s="12"/>
      <c r="D405" s="12"/>
      <c r="E405" s="12"/>
      <c r="F405" s="12"/>
      <c r="G405" s="12"/>
      <c r="H405" s="7"/>
    </row>
    <row r="406" spans="1:8" ht="20.25" x14ac:dyDescent="0.25">
      <c r="A406" s="11"/>
      <c r="B406" s="12"/>
      <c r="C406" s="12"/>
      <c r="D406" s="12"/>
      <c r="E406" s="12"/>
      <c r="F406" s="12"/>
      <c r="G406" s="12"/>
      <c r="H406" s="7"/>
    </row>
    <row r="407" spans="1:8" ht="20.25" x14ac:dyDescent="0.25">
      <c r="A407" s="11"/>
      <c r="B407" s="12"/>
      <c r="C407" s="12"/>
      <c r="D407" s="12"/>
      <c r="E407" s="12"/>
      <c r="F407" s="12"/>
      <c r="G407" s="12"/>
      <c r="H407" s="7"/>
    </row>
    <row r="408" spans="1:8" ht="20.25" x14ac:dyDescent="0.25">
      <c r="A408" s="11"/>
      <c r="B408" s="12"/>
      <c r="C408" s="12"/>
      <c r="D408" s="12"/>
      <c r="E408" s="12"/>
      <c r="F408" s="12"/>
      <c r="G408" s="12"/>
      <c r="H408" s="7"/>
    </row>
    <row r="409" spans="1:8" ht="20.25" x14ac:dyDescent="0.25">
      <c r="A409" s="11"/>
      <c r="B409" s="12"/>
      <c r="C409" s="12"/>
      <c r="D409" s="12"/>
      <c r="E409" s="12"/>
      <c r="F409" s="12"/>
      <c r="G409" s="12"/>
      <c r="H409" s="7"/>
    </row>
    <row r="410" spans="1:8" ht="20.25" x14ac:dyDescent="0.25">
      <c r="A410" s="11"/>
      <c r="B410" s="12"/>
      <c r="C410" s="12"/>
      <c r="D410" s="12"/>
      <c r="E410" s="12"/>
      <c r="F410" s="12"/>
      <c r="G410" s="12"/>
      <c r="H410" s="7"/>
    </row>
    <row r="411" spans="1:8" ht="20.25" x14ac:dyDescent="0.25">
      <c r="A411" s="11"/>
      <c r="B411" s="12"/>
      <c r="C411" s="12"/>
      <c r="D411" s="12"/>
      <c r="E411" s="12"/>
      <c r="F411" s="12"/>
      <c r="G411" s="12"/>
      <c r="H411" s="7"/>
    </row>
    <row r="412" spans="1:8" ht="20.25" x14ac:dyDescent="0.25">
      <c r="A412" s="11"/>
      <c r="B412" s="12"/>
      <c r="C412" s="12"/>
      <c r="D412" s="12"/>
      <c r="E412" s="12"/>
      <c r="F412" s="12"/>
      <c r="G412" s="12"/>
      <c r="H412" s="7"/>
    </row>
    <row r="413" spans="1:8" ht="20.25" x14ac:dyDescent="0.25">
      <c r="A413" s="11"/>
      <c r="B413" s="12"/>
      <c r="C413" s="12"/>
      <c r="D413" s="12"/>
      <c r="E413" s="12"/>
      <c r="F413" s="12"/>
      <c r="G413" s="12"/>
      <c r="H413" s="7"/>
    </row>
    <row r="414" spans="1:8" ht="20.25" x14ac:dyDescent="0.25">
      <c r="A414" s="11"/>
      <c r="B414" s="12"/>
      <c r="C414" s="12"/>
      <c r="D414" s="12"/>
      <c r="E414" s="12"/>
      <c r="F414" s="12"/>
      <c r="G414" s="12"/>
      <c r="H414" s="7"/>
    </row>
    <row r="415" spans="1:8" ht="20.25" x14ac:dyDescent="0.25">
      <c r="A415" s="11"/>
      <c r="B415" s="12"/>
      <c r="C415" s="12"/>
      <c r="D415" s="12"/>
      <c r="E415" s="12"/>
      <c r="F415" s="12"/>
      <c r="G415" s="12"/>
      <c r="H415" s="7"/>
    </row>
    <row r="416" spans="1:8" ht="20.25" x14ac:dyDescent="0.25">
      <c r="A416" s="11"/>
      <c r="B416" s="12"/>
      <c r="C416" s="12"/>
      <c r="D416" s="12"/>
      <c r="E416" s="12"/>
      <c r="F416" s="12"/>
      <c r="G416" s="12"/>
      <c r="H416" s="7"/>
    </row>
    <row r="417" spans="1:8" ht="20.25" x14ac:dyDescent="0.25">
      <c r="A417" s="11"/>
      <c r="B417" s="12"/>
      <c r="C417" s="12"/>
      <c r="D417" s="12"/>
      <c r="E417" s="12"/>
      <c r="F417" s="12"/>
      <c r="G417" s="12"/>
      <c r="H417" s="7"/>
    </row>
    <row r="418" spans="1:8" ht="20.25" x14ac:dyDescent="0.25">
      <c r="A418" s="11"/>
      <c r="B418" s="12"/>
      <c r="C418" s="12"/>
      <c r="D418" s="12"/>
      <c r="E418" s="12"/>
      <c r="F418" s="12"/>
      <c r="G418" s="12"/>
      <c r="H418" s="7"/>
    </row>
    <row r="419" spans="1:8" ht="20.25" x14ac:dyDescent="0.25">
      <c r="A419" s="11"/>
      <c r="B419" s="12"/>
      <c r="C419" s="12"/>
      <c r="D419" s="12"/>
      <c r="E419" s="12"/>
      <c r="F419" s="12"/>
      <c r="G419" s="12"/>
      <c r="H419" s="7"/>
    </row>
    <row r="420" spans="1:8" ht="20.25" x14ac:dyDescent="0.25">
      <c r="A420" s="11"/>
      <c r="B420" s="12"/>
      <c r="C420" s="12"/>
      <c r="D420" s="12"/>
      <c r="E420" s="12"/>
      <c r="F420" s="12"/>
      <c r="G420" s="12"/>
      <c r="H420" s="7"/>
    </row>
    <row r="421" spans="1:8" ht="20.25" x14ac:dyDescent="0.25">
      <c r="A421" s="11"/>
      <c r="B421" s="12"/>
      <c r="C421" s="12"/>
      <c r="D421" s="12"/>
      <c r="E421" s="12"/>
      <c r="F421" s="12"/>
      <c r="G421" s="12"/>
      <c r="H421" s="7"/>
    </row>
    <row r="422" spans="1:8" ht="20.25" x14ac:dyDescent="0.25">
      <c r="A422" s="11"/>
      <c r="B422" s="12"/>
      <c r="C422" s="12"/>
      <c r="D422" s="12"/>
      <c r="E422" s="12"/>
      <c r="F422" s="12"/>
      <c r="G422" s="12"/>
      <c r="H422" s="7"/>
    </row>
    <row r="423" spans="1:8" ht="20.25" x14ac:dyDescent="0.25">
      <c r="A423" s="11"/>
      <c r="B423" s="12"/>
      <c r="C423" s="12"/>
      <c r="D423" s="12"/>
      <c r="E423" s="12"/>
      <c r="F423" s="12"/>
      <c r="G423" s="12"/>
      <c r="H423" s="7"/>
    </row>
    <row r="424" spans="1:8" ht="20.25" x14ac:dyDescent="0.25">
      <c r="A424" s="11"/>
      <c r="B424" s="12"/>
      <c r="C424" s="12"/>
      <c r="D424" s="12"/>
      <c r="E424" s="12"/>
      <c r="F424" s="12"/>
      <c r="G424" s="12"/>
      <c r="H424" s="7"/>
    </row>
    <row r="425" spans="1:8" ht="20.25" x14ac:dyDescent="0.25">
      <c r="A425" s="11"/>
      <c r="B425" s="12"/>
      <c r="C425" s="12"/>
      <c r="D425" s="12"/>
      <c r="E425" s="12"/>
      <c r="F425" s="12"/>
      <c r="G425" s="12"/>
      <c r="H425" s="7"/>
    </row>
    <row r="426" spans="1:8" ht="20.25" x14ac:dyDescent="0.25">
      <c r="A426" s="11"/>
      <c r="B426" s="12"/>
      <c r="C426" s="12"/>
      <c r="D426" s="12"/>
      <c r="E426" s="12"/>
      <c r="F426" s="12"/>
      <c r="G426" s="12"/>
      <c r="H426" s="7"/>
    </row>
    <row r="427" spans="1:8" ht="20.25" x14ac:dyDescent="0.25">
      <c r="A427" s="11"/>
      <c r="B427" s="12"/>
      <c r="C427" s="12"/>
      <c r="D427" s="12"/>
      <c r="E427" s="12"/>
      <c r="F427" s="12"/>
      <c r="G427" s="12"/>
      <c r="H427" s="7"/>
    </row>
    <row r="428" spans="1:8" ht="20.25" x14ac:dyDescent="0.25">
      <c r="A428" s="11"/>
      <c r="B428" s="12"/>
      <c r="C428" s="12"/>
      <c r="D428" s="12"/>
      <c r="E428" s="12"/>
      <c r="F428" s="12"/>
      <c r="G428" s="12"/>
      <c r="H428" s="7"/>
    </row>
    <row r="429" spans="1:8" ht="20.25" x14ac:dyDescent="0.25">
      <c r="A429" s="11"/>
      <c r="B429" s="12"/>
      <c r="C429" s="12"/>
      <c r="D429" s="12"/>
      <c r="E429" s="12"/>
      <c r="F429" s="12"/>
      <c r="G429" s="12"/>
      <c r="H429" s="7"/>
    </row>
    <row r="430" spans="1:8" ht="20.25" x14ac:dyDescent="0.25">
      <c r="A430" s="11"/>
      <c r="B430" s="12"/>
      <c r="C430" s="12"/>
      <c r="D430" s="12"/>
      <c r="E430" s="12"/>
      <c r="F430" s="12"/>
      <c r="G430" s="12"/>
      <c r="H430" s="7"/>
    </row>
    <row r="431" spans="1:8" ht="20.25" x14ac:dyDescent="0.25">
      <c r="A431" s="11"/>
      <c r="B431" s="12"/>
      <c r="C431" s="12"/>
      <c r="D431" s="12"/>
      <c r="E431" s="12"/>
      <c r="F431" s="12"/>
      <c r="G431" s="12"/>
      <c r="H431" s="7"/>
    </row>
    <row r="432" spans="1:8" ht="20.25" x14ac:dyDescent="0.25">
      <c r="A432" s="11"/>
      <c r="B432" s="12"/>
      <c r="C432" s="12"/>
      <c r="D432" s="12"/>
      <c r="E432" s="12"/>
      <c r="F432" s="12"/>
      <c r="G432" s="12"/>
      <c r="H432" s="7"/>
    </row>
    <row r="433" spans="1:8" ht="20.25" x14ac:dyDescent="0.25">
      <c r="A433" s="13"/>
      <c r="B433" s="14"/>
      <c r="C433" s="14"/>
      <c r="D433" s="14"/>
      <c r="E433" s="14"/>
      <c r="F433" s="14"/>
      <c r="G433" s="14"/>
      <c r="H433" s="8"/>
    </row>
    <row r="434" spans="1:8" ht="20.25" x14ac:dyDescent="0.25">
      <c r="A434" s="147" t="s">
        <v>154</v>
      </c>
      <c r="B434" s="147"/>
      <c r="C434" s="147"/>
      <c r="D434" s="147"/>
      <c r="E434" s="147"/>
      <c r="F434" s="147"/>
      <c r="G434" s="147"/>
      <c r="H434" s="147"/>
    </row>
    <row r="435" spans="1:8" ht="20.25" x14ac:dyDescent="0.25">
      <c r="A435" s="9"/>
      <c r="B435" s="10"/>
      <c r="C435" s="10"/>
      <c r="D435" s="10"/>
      <c r="E435" s="10"/>
      <c r="F435" s="10"/>
      <c r="G435" s="10"/>
      <c r="H435" s="6"/>
    </row>
    <row r="436" spans="1:8" ht="20.25" x14ac:dyDescent="0.25">
      <c r="A436" s="11"/>
      <c r="B436" s="12"/>
      <c r="C436" s="12"/>
      <c r="D436" s="12"/>
      <c r="E436" s="12"/>
      <c r="F436" s="12"/>
      <c r="G436" s="12"/>
      <c r="H436" s="7"/>
    </row>
    <row r="437" spans="1:8" ht="20.25" x14ac:dyDescent="0.25">
      <c r="A437" s="11"/>
      <c r="B437" s="12"/>
      <c r="C437" s="12"/>
      <c r="D437" s="12"/>
      <c r="E437" s="12"/>
      <c r="F437" s="12"/>
      <c r="G437" s="12"/>
      <c r="H437" s="7"/>
    </row>
    <row r="438" spans="1:8" ht="20.25" x14ac:dyDescent="0.25">
      <c r="A438" s="11"/>
      <c r="B438" s="12"/>
      <c r="C438" s="12"/>
      <c r="D438" s="12"/>
      <c r="E438" s="12"/>
      <c r="F438" s="12"/>
      <c r="G438" s="12"/>
      <c r="H438" s="7"/>
    </row>
    <row r="439" spans="1:8" ht="20.25" x14ac:dyDescent="0.25">
      <c r="A439" s="11"/>
      <c r="B439" s="12"/>
      <c r="C439" s="12"/>
      <c r="D439" s="12"/>
      <c r="E439" s="12"/>
      <c r="F439" s="12"/>
      <c r="G439" s="12"/>
      <c r="H439" s="7"/>
    </row>
    <row r="440" spans="1:8" ht="20.25" x14ac:dyDescent="0.25">
      <c r="A440" s="11"/>
      <c r="B440" s="12"/>
      <c r="C440" s="12"/>
      <c r="D440" s="12"/>
      <c r="E440" s="12"/>
      <c r="F440" s="12"/>
      <c r="G440" s="12"/>
      <c r="H440" s="7"/>
    </row>
    <row r="441" spans="1:8" ht="20.25" x14ac:dyDescent="0.25">
      <c r="A441" s="11"/>
      <c r="B441" s="12"/>
      <c r="C441" s="12"/>
      <c r="D441" s="12"/>
      <c r="E441" s="12"/>
      <c r="F441" s="12"/>
      <c r="G441" s="12"/>
      <c r="H441" s="7"/>
    </row>
    <row r="442" spans="1:8" ht="20.25" x14ac:dyDescent="0.25">
      <c r="A442" s="11"/>
      <c r="B442" s="12"/>
      <c r="C442" s="12"/>
      <c r="D442" s="12"/>
      <c r="E442" s="12"/>
      <c r="F442" s="12"/>
      <c r="G442" s="12"/>
      <c r="H442" s="7"/>
    </row>
    <row r="443" spans="1:8" ht="20.25" x14ac:dyDescent="0.25">
      <c r="A443" s="11"/>
      <c r="B443" s="12"/>
      <c r="C443" s="12"/>
      <c r="D443" s="12"/>
      <c r="E443" s="12"/>
      <c r="F443" s="12"/>
      <c r="G443" s="12"/>
      <c r="H443" s="7"/>
    </row>
    <row r="444" spans="1:8" ht="20.25" x14ac:dyDescent="0.25">
      <c r="A444" s="11"/>
      <c r="B444" s="12"/>
      <c r="C444" s="12"/>
      <c r="D444" s="12"/>
      <c r="E444" s="12"/>
      <c r="F444" s="12"/>
      <c r="G444" s="12"/>
      <c r="H444" s="7"/>
    </row>
    <row r="445" spans="1:8" ht="20.25" x14ac:dyDescent="0.25">
      <c r="A445" s="11"/>
      <c r="B445" s="12"/>
      <c r="C445" s="12"/>
      <c r="D445" s="12"/>
      <c r="E445" s="12"/>
      <c r="F445" s="12"/>
      <c r="G445" s="12"/>
      <c r="H445" s="7"/>
    </row>
    <row r="446" spans="1:8" ht="20.25" x14ac:dyDescent="0.25">
      <c r="A446" s="11"/>
      <c r="B446" s="12"/>
      <c r="C446" s="12"/>
      <c r="D446" s="12"/>
      <c r="E446" s="12"/>
      <c r="F446" s="12"/>
      <c r="G446" s="12"/>
      <c r="H446" s="7"/>
    </row>
    <row r="447" spans="1:8" ht="20.25" x14ac:dyDescent="0.25">
      <c r="A447" s="11"/>
      <c r="B447" s="12"/>
      <c r="C447" s="12"/>
      <c r="D447" s="12"/>
      <c r="E447" s="12"/>
      <c r="F447" s="12"/>
      <c r="G447" s="12"/>
      <c r="H447" s="7"/>
    </row>
    <row r="448" spans="1:8" ht="20.25" x14ac:dyDescent="0.25">
      <c r="A448" s="11"/>
      <c r="B448" s="12"/>
      <c r="C448" s="12"/>
      <c r="D448" s="12"/>
      <c r="E448" s="12"/>
      <c r="F448" s="12"/>
      <c r="G448" s="12"/>
      <c r="H448" s="7"/>
    </row>
    <row r="449" spans="1:8" ht="20.25" x14ac:dyDescent="0.25">
      <c r="A449" s="11"/>
      <c r="B449" s="12"/>
      <c r="C449" s="12"/>
      <c r="D449" s="12"/>
      <c r="E449" s="12"/>
      <c r="F449" s="12"/>
      <c r="G449" s="12"/>
      <c r="H449" s="7"/>
    </row>
    <row r="450" spans="1:8" ht="20.25" x14ac:dyDescent="0.25">
      <c r="A450" s="11"/>
      <c r="B450" s="12"/>
      <c r="C450" s="12"/>
      <c r="D450" s="12"/>
      <c r="E450" s="12"/>
      <c r="F450" s="12"/>
      <c r="G450" s="12"/>
      <c r="H450" s="7"/>
    </row>
    <row r="451" spans="1:8" ht="20.25" x14ac:dyDescent="0.25">
      <c r="A451" s="11"/>
      <c r="B451" s="12"/>
      <c r="C451" s="12"/>
      <c r="D451" s="12"/>
      <c r="E451" s="12"/>
      <c r="F451" s="12"/>
      <c r="G451" s="12"/>
      <c r="H451" s="7"/>
    </row>
    <row r="452" spans="1:8" ht="20.25" x14ac:dyDescent="0.25">
      <c r="A452" s="11"/>
      <c r="B452" s="12"/>
      <c r="C452" s="12"/>
      <c r="D452" s="12"/>
      <c r="E452" s="12"/>
      <c r="F452" s="12"/>
      <c r="G452" s="12"/>
      <c r="H452" s="7"/>
    </row>
    <row r="453" spans="1:8" ht="20.25" x14ac:dyDescent="0.25">
      <c r="A453" s="11"/>
      <c r="B453" s="12"/>
      <c r="C453" s="12"/>
      <c r="D453" s="12"/>
      <c r="E453" s="12"/>
      <c r="F453" s="12"/>
      <c r="G453" s="12"/>
      <c r="H453" s="7"/>
    </row>
    <row r="454" spans="1:8" ht="20.25" x14ac:dyDescent="0.25">
      <c r="A454" s="11"/>
      <c r="B454" s="12"/>
      <c r="C454" s="12"/>
      <c r="D454" s="12"/>
      <c r="E454" s="12"/>
      <c r="F454" s="12"/>
      <c r="G454" s="12"/>
      <c r="H454" s="7"/>
    </row>
    <row r="455" spans="1:8" ht="20.25" x14ac:dyDescent="0.25">
      <c r="A455" s="11"/>
      <c r="B455" s="12"/>
      <c r="C455" s="12"/>
      <c r="D455" s="12"/>
      <c r="E455" s="12"/>
      <c r="F455" s="12"/>
      <c r="G455" s="12"/>
      <c r="H455" s="7"/>
    </row>
    <row r="456" spans="1:8" ht="20.25" x14ac:dyDescent="0.25">
      <c r="A456" s="11"/>
      <c r="B456" s="12"/>
      <c r="C456" s="12"/>
      <c r="D456" s="12"/>
      <c r="E456" s="12"/>
      <c r="F456" s="12"/>
      <c r="G456" s="12"/>
      <c r="H456" s="7"/>
    </row>
    <row r="457" spans="1:8" ht="20.25" x14ac:dyDescent="0.25">
      <c r="A457" s="11"/>
      <c r="B457" s="12"/>
      <c r="C457" s="12"/>
      <c r="D457" s="12"/>
      <c r="E457" s="12"/>
      <c r="F457" s="12"/>
      <c r="G457" s="12"/>
      <c r="H457" s="7"/>
    </row>
    <row r="458" spans="1:8" ht="20.25" x14ac:dyDescent="0.25">
      <c r="A458" s="11"/>
      <c r="B458" s="12"/>
      <c r="C458" s="12"/>
      <c r="D458" s="12"/>
      <c r="E458" s="12"/>
      <c r="F458" s="12"/>
      <c r="G458" s="12"/>
      <c r="H458" s="7"/>
    </row>
    <row r="459" spans="1:8" ht="20.25" x14ac:dyDescent="0.25">
      <c r="A459" s="11"/>
      <c r="B459" s="12"/>
      <c r="C459" s="12"/>
      <c r="D459" s="12"/>
      <c r="E459" s="12"/>
      <c r="F459" s="12"/>
      <c r="G459" s="12"/>
      <c r="H459" s="7"/>
    </row>
    <row r="460" spans="1:8" ht="20.25" x14ac:dyDescent="0.25">
      <c r="A460" s="11"/>
      <c r="B460" s="12"/>
      <c r="C460" s="12"/>
      <c r="D460" s="12"/>
      <c r="E460" s="12"/>
      <c r="F460" s="12"/>
      <c r="G460" s="12"/>
      <c r="H460" s="7"/>
    </row>
    <row r="461" spans="1:8" ht="20.25" x14ac:dyDescent="0.25">
      <c r="A461" s="11"/>
      <c r="B461" s="12"/>
      <c r="C461" s="12"/>
      <c r="D461" s="12"/>
      <c r="E461" s="12"/>
      <c r="F461" s="12"/>
      <c r="G461" s="12"/>
      <c r="H461" s="7"/>
    </row>
    <row r="462" spans="1:8" ht="20.25" x14ac:dyDescent="0.25">
      <c r="A462" s="11"/>
      <c r="B462" s="12"/>
      <c r="C462" s="12"/>
      <c r="D462" s="12"/>
      <c r="E462" s="12"/>
      <c r="F462" s="12"/>
      <c r="G462" s="12"/>
      <c r="H462" s="7"/>
    </row>
    <row r="463" spans="1:8" ht="20.25" x14ac:dyDescent="0.25">
      <c r="A463" s="11"/>
      <c r="B463" s="12"/>
      <c r="C463" s="12"/>
      <c r="D463" s="12"/>
      <c r="E463" s="12"/>
      <c r="F463" s="12"/>
      <c r="G463" s="12"/>
      <c r="H463" s="7"/>
    </row>
    <row r="464" spans="1:8" ht="20.25" x14ac:dyDescent="0.25">
      <c r="A464" s="11"/>
      <c r="B464" s="12"/>
      <c r="C464" s="12"/>
      <c r="D464" s="12"/>
      <c r="E464" s="12"/>
      <c r="F464" s="12"/>
      <c r="G464" s="12"/>
      <c r="H464" s="7"/>
    </row>
    <row r="465" spans="1:8" ht="20.25" x14ac:dyDescent="0.25">
      <c r="A465" s="11"/>
      <c r="B465" s="12"/>
      <c r="C465" s="12"/>
      <c r="D465" s="12"/>
      <c r="E465" s="12"/>
      <c r="F465" s="12"/>
      <c r="G465" s="12"/>
      <c r="H465" s="7"/>
    </row>
    <row r="466" spans="1:8" ht="20.25" x14ac:dyDescent="0.25">
      <c r="A466" s="11"/>
      <c r="B466" s="12"/>
      <c r="C466" s="12"/>
      <c r="D466" s="12"/>
      <c r="E466" s="12"/>
      <c r="F466" s="12"/>
      <c r="G466" s="12"/>
      <c r="H466" s="7"/>
    </row>
    <row r="467" spans="1:8" ht="20.25" x14ac:dyDescent="0.25">
      <c r="A467" s="11"/>
      <c r="B467" s="12"/>
      <c r="C467" s="12"/>
      <c r="D467" s="12"/>
      <c r="E467" s="12"/>
      <c r="F467" s="12"/>
      <c r="G467" s="12"/>
      <c r="H467" s="7"/>
    </row>
    <row r="468" spans="1:8" ht="20.25" x14ac:dyDescent="0.25">
      <c r="A468" s="11"/>
      <c r="B468" s="12"/>
      <c r="C468" s="12"/>
      <c r="D468" s="12"/>
      <c r="E468" s="12"/>
      <c r="F468" s="12"/>
      <c r="G468" s="12"/>
      <c r="H468" s="7"/>
    </row>
    <row r="469" spans="1:8" ht="20.25" x14ac:dyDescent="0.25">
      <c r="A469" s="11"/>
      <c r="B469" s="12"/>
      <c r="C469" s="12"/>
      <c r="D469" s="12"/>
      <c r="E469" s="12"/>
      <c r="F469" s="12"/>
      <c r="G469" s="12"/>
      <c r="H469" s="7"/>
    </row>
    <row r="470" spans="1:8" ht="20.25" x14ac:dyDescent="0.25">
      <c r="A470" s="11"/>
      <c r="B470" s="12"/>
      <c r="C470" s="12"/>
      <c r="D470" s="12"/>
      <c r="E470" s="12"/>
      <c r="F470" s="12"/>
      <c r="G470" s="12"/>
      <c r="H470" s="7"/>
    </row>
    <row r="471" spans="1:8" ht="20.25" x14ac:dyDescent="0.25">
      <c r="A471" s="11"/>
      <c r="B471" s="12"/>
      <c r="C471" s="12"/>
      <c r="D471" s="12"/>
      <c r="E471" s="12"/>
      <c r="F471" s="12"/>
      <c r="G471" s="12"/>
      <c r="H471" s="7"/>
    </row>
    <row r="472" spans="1:8" ht="20.25" x14ac:dyDescent="0.25">
      <c r="A472" s="11"/>
      <c r="B472" s="12"/>
      <c r="C472" s="12"/>
      <c r="D472" s="12"/>
      <c r="E472" s="12"/>
      <c r="F472" s="12"/>
      <c r="G472" s="12"/>
      <c r="H472" s="7"/>
    </row>
    <row r="473" spans="1:8" ht="20.25" x14ac:dyDescent="0.25">
      <c r="A473" s="11"/>
      <c r="B473" s="12"/>
      <c r="C473" s="12"/>
      <c r="D473" s="12"/>
      <c r="E473" s="12"/>
      <c r="F473" s="12"/>
      <c r="G473" s="12"/>
      <c r="H473" s="7"/>
    </row>
    <row r="474" spans="1:8" ht="20.25" x14ac:dyDescent="0.25">
      <c r="A474" s="11"/>
      <c r="B474" s="12"/>
      <c r="C474" s="12"/>
      <c r="D474" s="12"/>
      <c r="E474" s="12"/>
      <c r="F474" s="12"/>
      <c r="G474" s="12"/>
      <c r="H474" s="7"/>
    </row>
    <row r="475" spans="1:8" ht="20.25" x14ac:dyDescent="0.25">
      <c r="A475" s="11"/>
      <c r="B475" s="12"/>
      <c r="C475" s="12"/>
      <c r="D475" s="12"/>
      <c r="E475" s="12"/>
      <c r="F475" s="12"/>
      <c r="G475" s="12"/>
      <c r="H475" s="7"/>
    </row>
    <row r="476" spans="1:8" ht="20.25" x14ac:dyDescent="0.25">
      <c r="A476" s="11"/>
      <c r="B476" s="12"/>
      <c r="C476" s="12"/>
      <c r="D476" s="12"/>
      <c r="E476" s="12"/>
      <c r="F476" s="12"/>
      <c r="G476" s="12"/>
      <c r="H476" s="7"/>
    </row>
    <row r="477" spans="1:8" ht="20.25" x14ac:dyDescent="0.25">
      <c r="A477" s="11"/>
      <c r="B477" s="12"/>
      <c r="C477" s="12"/>
      <c r="D477" s="12"/>
      <c r="E477" s="12"/>
      <c r="F477" s="12"/>
      <c r="G477" s="12"/>
      <c r="H477" s="7"/>
    </row>
    <row r="478" spans="1:8" ht="20.25" x14ac:dyDescent="0.25">
      <c r="A478" s="11"/>
      <c r="B478" s="12"/>
      <c r="C478" s="12"/>
      <c r="D478" s="12"/>
      <c r="E478" s="12"/>
      <c r="F478" s="12"/>
      <c r="G478" s="12"/>
      <c r="H478" s="7"/>
    </row>
    <row r="479" spans="1:8" ht="20.25" x14ac:dyDescent="0.25">
      <c r="A479" s="11"/>
      <c r="B479" s="12"/>
      <c r="C479" s="12"/>
      <c r="D479" s="12"/>
      <c r="E479" s="12"/>
      <c r="F479" s="12"/>
      <c r="G479" s="12"/>
      <c r="H479" s="7"/>
    </row>
    <row r="480" spans="1:8" ht="20.25" x14ac:dyDescent="0.25">
      <c r="A480" s="11"/>
      <c r="B480" s="12"/>
      <c r="C480" s="12"/>
      <c r="D480" s="12"/>
      <c r="E480" s="12"/>
      <c r="F480" s="12"/>
      <c r="G480" s="12"/>
      <c r="H480" s="7"/>
    </row>
    <row r="481" spans="1:8" ht="20.25" x14ac:dyDescent="0.25">
      <c r="A481" s="11"/>
      <c r="B481" s="12"/>
      <c r="C481" s="12"/>
      <c r="D481" s="12"/>
      <c r="E481" s="12"/>
      <c r="F481" s="12"/>
      <c r="G481" s="12"/>
      <c r="H481" s="7"/>
    </row>
    <row r="482" spans="1:8" ht="20.25" x14ac:dyDescent="0.25">
      <c r="A482" s="11"/>
      <c r="B482" s="12"/>
      <c r="C482" s="12"/>
      <c r="D482" s="12"/>
      <c r="E482" s="12"/>
      <c r="F482" s="12"/>
      <c r="G482" s="12"/>
      <c r="H482" s="7"/>
    </row>
    <row r="483" spans="1:8" ht="20.25" x14ac:dyDescent="0.25">
      <c r="A483" s="13"/>
      <c r="B483" s="14"/>
      <c r="C483" s="14"/>
      <c r="D483" s="14"/>
      <c r="E483" s="14"/>
      <c r="F483" s="14"/>
      <c r="G483" s="14"/>
      <c r="H483" s="8"/>
    </row>
    <row r="484" spans="1:8" ht="20.25" x14ac:dyDescent="0.25">
      <c r="A484" s="176" t="s">
        <v>73</v>
      </c>
      <c r="B484" s="177"/>
      <c r="C484" s="177"/>
      <c r="D484" s="177"/>
      <c r="E484" s="177"/>
      <c r="F484" s="177"/>
      <c r="G484" s="177"/>
      <c r="H484" s="178"/>
    </row>
    <row r="485" spans="1:8" ht="20.25" x14ac:dyDescent="0.25">
      <c r="A485" s="9"/>
      <c r="B485" s="10"/>
      <c r="C485" s="10"/>
      <c r="D485" s="10"/>
      <c r="E485" s="10"/>
      <c r="F485" s="10"/>
      <c r="G485" s="10"/>
      <c r="H485" s="6"/>
    </row>
    <row r="486" spans="1:8" ht="20.25" x14ac:dyDescent="0.25">
      <c r="A486" s="11"/>
      <c r="B486" s="12"/>
      <c r="C486" s="12"/>
      <c r="D486" s="12"/>
      <c r="E486" s="12"/>
      <c r="F486" s="12"/>
      <c r="G486" s="12"/>
      <c r="H486" s="7"/>
    </row>
    <row r="487" spans="1:8" ht="20.25" x14ac:dyDescent="0.25">
      <c r="A487" s="11"/>
      <c r="B487" s="12"/>
      <c r="C487" s="12"/>
      <c r="D487" s="12"/>
      <c r="E487" s="12"/>
      <c r="F487" s="12"/>
      <c r="G487" s="12"/>
      <c r="H487" s="7"/>
    </row>
    <row r="488" spans="1:8" ht="20.25" x14ac:dyDescent="0.25">
      <c r="A488" s="11"/>
      <c r="B488" s="12"/>
      <c r="C488" s="12"/>
      <c r="D488" s="12"/>
      <c r="E488" s="12"/>
      <c r="F488" s="12"/>
      <c r="G488" s="12"/>
      <c r="H488" s="7"/>
    </row>
    <row r="489" spans="1:8" ht="20.25" x14ac:dyDescent="0.25">
      <c r="A489" s="11"/>
      <c r="B489" s="12"/>
      <c r="C489" s="12"/>
      <c r="D489" s="12"/>
      <c r="E489" s="12"/>
      <c r="F489" s="12"/>
      <c r="G489" s="12"/>
      <c r="H489" s="7"/>
    </row>
    <row r="490" spans="1:8" ht="20.25" x14ac:dyDescent="0.25">
      <c r="A490" s="11"/>
      <c r="B490" s="12"/>
      <c r="C490" s="12"/>
      <c r="D490" s="12"/>
      <c r="E490" s="12"/>
      <c r="F490" s="12"/>
      <c r="G490" s="12"/>
      <c r="H490" s="7"/>
    </row>
    <row r="491" spans="1:8" ht="20.25" x14ac:dyDescent="0.25">
      <c r="A491" s="11"/>
      <c r="B491" s="12"/>
      <c r="C491" s="12"/>
      <c r="D491" s="12"/>
      <c r="E491" s="12"/>
      <c r="F491" s="12"/>
      <c r="G491" s="12"/>
      <c r="H491" s="7"/>
    </row>
    <row r="492" spans="1:8" ht="20.25" x14ac:dyDescent="0.25">
      <c r="A492" s="11"/>
      <c r="B492" s="12"/>
      <c r="C492" s="12"/>
      <c r="D492" s="12"/>
      <c r="E492" s="12"/>
      <c r="F492" s="12"/>
      <c r="G492" s="12"/>
      <c r="H492" s="7"/>
    </row>
    <row r="493" spans="1:8" ht="20.25" x14ac:dyDescent="0.25">
      <c r="A493" s="11"/>
      <c r="B493" s="12"/>
      <c r="C493" s="12"/>
      <c r="D493" s="12"/>
      <c r="E493" s="12"/>
      <c r="F493" s="12"/>
      <c r="G493" s="12"/>
      <c r="H493" s="7"/>
    </row>
    <row r="494" spans="1:8" ht="20.25" x14ac:dyDescent="0.25">
      <c r="A494" s="11"/>
      <c r="B494" s="12"/>
      <c r="C494" s="12"/>
      <c r="D494" s="12"/>
      <c r="E494" s="12"/>
      <c r="F494" s="12"/>
      <c r="G494" s="12"/>
      <c r="H494" s="7"/>
    </row>
    <row r="495" spans="1:8" ht="20.25" x14ac:dyDescent="0.25">
      <c r="A495" s="11"/>
      <c r="B495" s="12"/>
      <c r="C495" s="12"/>
      <c r="D495" s="12"/>
      <c r="E495" s="12"/>
      <c r="F495" s="12"/>
      <c r="G495" s="12"/>
      <c r="H495" s="7"/>
    </row>
    <row r="496" spans="1:8" ht="20.25" x14ac:dyDescent="0.25">
      <c r="A496" s="11"/>
      <c r="B496" s="12"/>
      <c r="C496" s="12"/>
      <c r="D496" s="12"/>
      <c r="E496" s="12"/>
      <c r="F496" s="12"/>
      <c r="G496" s="12"/>
      <c r="H496" s="7"/>
    </row>
    <row r="497" spans="1:8" ht="20.25" x14ac:dyDescent="0.25">
      <c r="A497" s="11"/>
      <c r="B497" s="12"/>
      <c r="C497" s="12"/>
      <c r="D497" s="12"/>
      <c r="E497" s="12"/>
      <c r="F497" s="12"/>
      <c r="G497" s="12"/>
      <c r="H497" s="7"/>
    </row>
    <row r="498" spans="1:8" ht="20.25" x14ac:dyDescent="0.25">
      <c r="A498" s="11"/>
      <c r="B498" s="12"/>
      <c r="C498" s="12"/>
      <c r="D498" s="12"/>
      <c r="E498" s="12"/>
      <c r="F498" s="12"/>
      <c r="G498" s="12"/>
      <c r="H498" s="7"/>
    </row>
    <row r="499" spans="1:8" ht="20.25" x14ac:dyDescent="0.25">
      <c r="A499" s="11"/>
      <c r="B499" s="12"/>
      <c r="C499" s="12"/>
      <c r="D499" s="12"/>
      <c r="E499" s="12"/>
      <c r="F499" s="12"/>
      <c r="G499" s="12"/>
      <c r="H499" s="7"/>
    </row>
    <row r="500" spans="1:8" ht="20.25" x14ac:dyDescent="0.25">
      <c r="A500" s="11"/>
      <c r="B500" s="12"/>
      <c r="C500" s="12"/>
      <c r="D500" s="12"/>
      <c r="E500" s="12"/>
      <c r="F500" s="12"/>
      <c r="G500" s="12"/>
      <c r="H500" s="7"/>
    </row>
    <row r="501" spans="1:8" ht="20.25" x14ac:dyDescent="0.25">
      <c r="A501" s="11"/>
      <c r="B501" s="12"/>
      <c r="C501" s="12"/>
      <c r="D501" s="12"/>
      <c r="E501" s="12"/>
      <c r="F501" s="12"/>
      <c r="G501" s="12"/>
      <c r="H501" s="7"/>
    </row>
    <row r="502" spans="1:8" ht="20.25" x14ac:dyDescent="0.25">
      <c r="A502" s="11"/>
      <c r="B502" s="12"/>
      <c r="C502" s="12"/>
      <c r="D502" s="12"/>
      <c r="E502" s="12"/>
      <c r="F502" s="12"/>
      <c r="G502" s="12"/>
      <c r="H502" s="7"/>
    </row>
    <row r="503" spans="1:8" ht="20.25" x14ac:dyDescent="0.25">
      <c r="A503" s="11"/>
      <c r="B503" s="12"/>
      <c r="C503" s="12"/>
      <c r="D503" s="12"/>
      <c r="E503" s="12"/>
      <c r="F503" s="12"/>
      <c r="G503" s="12"/>
      <c r="H503" s="7"/>
    </row>
    <row r="504" spans="1:8" ht="20.25" x14ac:dyDescent="0.25">
      <c r="A504" s="11"/>
      <c r="B504" s="12"/>
      <c r="C504" s="12"/>
      <c r="D504" s="12"/>
      <c r="E504" s="12"/>
      <c r="F504" s="12"/>
      <c r="G504" s="12"/>
      <c r="H504" s="7"/>
    </row>
    <row r="505" spans="1:8" ht="20.25" x14ac:dyDescent="0.25">
      <c r="A505" s="11"/>
      <c r="B505" s="12"/>
      <c r="C505" s="12"/>
      <c r="D505" s="12"/>
      <c r="E505" s="12"/>
      <c r="F505" s="12"/>
      <c r="G505" s="12"/>
      <c r="H505" s="7"/>
    </row>
    <row r="506" spans="1:8" ht="20.25" x14ac:dyDescent="0.25">
      <c r="A506" s="11"/>
      <c r="B506" s="12"/>
      <c r="C506" s="12"/>
      <c r="D506" s="12"/>
      <c r="E506" s="12"/>
      <c r="F506" s="12"/>
      <c r="G506" s="12"/>
      <c r="H506" s="7"/>
    </row>
    <row r="507" spans="1:8" ht="20.25" x14ac:dyDescent="0.25">
      <c r="A507" s="11"/>
      <c r="B507" s="12"/>
      <c r="C507" s="12"/>
      <c r="D507" s="12"/>
      <c r="E507" s="12"/>
      <c r="F507" s="12"/>
      <c r="G507" s="12"/>
      <c r="H507" s="7"/>
    </row>
    <row r="508" spans="1:8" ht="20.25" x14ac:dyDescent="0.25">
      <c r="A508" s="11"/>
      <c r="B508" s="12"/>
      <c r="C508" s="12"/>
      <c r="D508" s="12"/>
      <c r="E508" s="12"/>
      <c r="F508" s="12"/>
      <c r="G508" s="12"/>
      <c r="H508" s="7"/>
    </row>
    <row r="509" spans="1:8" ht="20.25" x14ac:dyDescent="0.25">
      <c r="A509" s="11"/>
      <c r="B509" s="12"/>
      <c r="C509" s="12"/>
      <c r="D509" s="12"/>
      <c r="E509" s="12"/>
      <c r="F509" s="12"/>
      <c r="G509" s="12"/>
      <c r="H509" s="7"/>
    </row>
    <row r="510" spans="1:8" ht="20.25" x14ac:dyDescent="0.25">
      <c r="A510" s="11"/>
      <c r="B510" s="12"/>
      <c r="C510" s="12"/>
      <c r="D510" s="12"/>
      <c r="E510" s="12"/>
      <c r="F510" s="12"/>
      <c r="G510" s="12"/>
      <c r="H510" s="7"/>
    </row>
    <row r="511" spans="1:8" ht="20.25" x14ac:dyDescent="0.25">
      <c r="A511" s="11"/>
      <c r="B511" s="12"/>
      <c r="C511" s="12"/>
      <c r="D511" s="12"/>
      <c r="E511" s="12"/>
      <c r="F511" s="12"/>
      <c r="G511" s="12"/>
      <c r="H511" s="7"/>
    </row>
    <row r="512" spans="1:8" ht="42" customHeight="1" x14ac:dyDescent="0.25">
      <c r="A512" s="11"/>
      <c r="B512" s="12"/>
      <c r="C512" s="12"/>
      <c r="D512" s="12"/>
      <c r="E512" s="12"/>
      <c r="F512" s="12"/>
      <c r="G512" s="12"/>
      <c r="H512" s="7"/>
    </row>
    <row r="513" spans="1:8" ht="42.75" customHeight="1" x14ac:dyDescent="0.25">
      <c r="A513" s="11"/>
      <c r="B513" s="12"/>
      <c r="C513" s="12"/>
      <c r="D513" s="12"/>
      <c r="E513" s="12"/>
      <c r="F513" s="12"/>
      <c r="G513" s="12"/>
      <c r="H513" s="7"/>
    </row>
    <row r="514" spans="1:8" ht="20.25" x14ac:dyDescent="0.25">
      <c r="A514" s="11"/>
      <c r="B514" s="12"/>
      <c r="C514" s="12"/>
      <c r="D514" s="12"/>
      <c r="E514" s="12"/>
      <c r="F514" s="12"/>
      <c r="G514" s="12"/>
      <c r="H514" s="7"/>
    </row>
    <row r="515" spans="1:8" ht="25.5" customHeight="1" x14ac:dyDescent="0.25">
      <c r="A515" s="147" t="s">
        <v>24</v>
      </c>
      <c r="B515" s="147"/>
      <c r="C515" s="147"/>
      <c r="D515" s="147"/>
      <c r="E515" s="147"/>
      <c r="F515" s="147"/>
      <c r="G515" s="147"/>
      <c r="H515" s="147"/>
    </row>
    <row r="516" spans="1:8" ht="20.25" x14ac:dyDescent="0.25">
      <c r="A516" s="167" t="s">
        <v>74</v>
      </c>
      <c r="B516" s="168"/>
      <c r="C516" s="168"/>
      <c r="D516" s="168"/>
      <c r="E516" s="168"/>
      <c r="F516" s="168"/>
      <c r="G516" s="168"/>
      <c r="H516" s="169"/>
    </row>
    <row r="517" spans="1:8" ht="20.25" x14ac:dyDescent="0.25">
      <c r="A517" s="170" t="s">
        <v>75</v>
      </c>
      <c r="B517" s="171"/>
      <c r="C517" s="171"/>
      <c r="D517" s="171"/>
      <c r="E517" s="171"/>
      <c r="F517" s="171"/>
      <c r="G517" s="171"/>
      <c r="H517" s="172"/>
    </row>
    <row r="518" spans="1:8" ht="44.25" customHeight="1" x14ac:dyDescent="0.25">
      <c r="A518" s="170" t="s">
        <v>76</v>
      </c>
      <c r="B518" s="171"/>
      <c r="C518" s="171"/>
      <c r="D518" s="171"/>
      <c r="E518" s="171"/>
      <c r="F518" s="171"/>
      <c r="G518" s="171"/>
      <c r="H518" s="172"/>
    </row>
    <row r="519" spans="1:8" ht="45" customHeight="1" x14ac:dyDescent="0.25">
      <c r="A519" s="170" t="s">
        <v>77</v>
      </c>
      <c r="B519" s="171"/>
      <c r="C519" s="171"/>
      <c r="D519" s="171"/>
      <c r="E519" s="171"/>
      <c r="F519" s="171"/>
      <c r="G519" s="171"/>
      <c r="H519" s="172"/>
    </row>
    <row r="520" spans="1:8" ht="20.25" x14ac:dyDescent="0.25">
      <c r="A520" s="170" t="s">
        <v>78</v>
      </c>
      <c r="B520" s="171"/>
      <c r="C520" s="171"/>
      <c r="D520" s="171"/>
      <c r="E520" s="171"/>
      <c r="F520" s="171"/>
      <c r="G520" s="171"/>
      <c r="H520" s="172"/>
    </row>
    <row r="521" spans="1:8" ht="20.25" x14ac:dyDescent="0.25">
      <c r="A521" s="170" t="s">
        <v>79</v>
      </c>
      <c r="B521" s="171"/>
      <c r="C521" s="171"/>
      <c r="D521" s="171"/>
      <c r="E521" s="171"/>
      <c r="F521" s="171"/>
      <c r="G521" s="171"/>
      <c r="H521" s="172"/>
    </row>
    <row r="522" spans="1:8" ht="61.5" customHeight="1" x14ac:dyDescent="0.25">
      <c r="A522" s="170" t="s">
        <v>80</v>
      </c>
      <c r="B522" s="171"/>
      <c r="C522" s="171"/>
      <c r="D522" s="171"/>
      <c r="E522" s="171"/>
      <c r="F522" s="171"/>
      <c r="G522" s="171"/>
      <c r="H522" s="172"/>
    </row>
    <row r="523" spans="1:8" ht="45.75" customHeight="1" x14ac:dyDescent="0.25">
      <c r="A523" s="170" t="s">
        <v>81</v>
      </c>
      <c r="B523" s="171"/>
      <c r="C523" s="171"/>
      <c r="D523" s="171"/>
      <c r="E523" s="171"/>
      <c r="F523" s="171"/>
      <c r="G523" s="171"/>
      <c r="H523" s="172"/>
    </row>
    <row r="524" spans="1:8" ht="20.25" x14ac:dyDescent="0.25">
      <c r="A524" s="173" t="s">
        <v>82</v>
      </c>
      <c r="B524" s="174"/>
      <c r="C524" s="174"/>
      <c r="D524" s="174"/>
      <c r="E524" s="174"/>
      <c r="F524" s="174"/>
      <c r="G524" s="174"/>
      <c r="H524" s="175"/>
    </row>
    <row r="525" spans="1:8" ht="88.5" customHeight="1" x14ac:dyDescent="0.25">
      <c r="A525" s="163" t="s">
        <v>30</v>
      </c>
      <c r="B525" s="164"/>
      <c r="C525" s="180" t="s">
        <v>372</v>
      </c>
      <c r="D525" s="181"/>
      <c r="E525" s="163" t="s">
        <v>9</v>
      </c>
      <c r="F525" s="164"/>
      <c r="G525" s="138"/>
      <c r="H525" s="138"/>
    </row>
  </sheetData>
  <mergeCells count="606">
    <mergeCell ref="A247:H247"/>
    <mergeCell ref="A230:B230"/>
    <mergeCell ref="A231:B231"/>
    <mergeCell ref="A232:B232"/>
    <mergeCell ref="A233:B233"/>
    <mergeCell ref="A234:B234"/>
    <mergeCell ref="A243:B243"/>
    <mergeCell ref="A244:B244"/>
    <mergeCell ref="A245:B245"/>
    <mergeCell ref="A242:B242"/>
    <mergeCell ref="A246:B246"/>
    <mergeCell ref="A235:H235"/>
    <mergeCell ref="A236:B236"/>
    <mergeCell ref="A237:B237"/>
    <mergeCell ref="A238:B238"/>
    <mergeCell ref="A239:B239"/>
    <mergeCell ref="A240:B240"/>
    <mergeCell ref="A241:B241"/>
    <mergeCell ref="E190:F190"/>
    <mergeCell ref="A188:B188"/>
    <mergeCell ref="A189:B189"/>
    <mergeCell ref="C188:D188"/>
    <mergeCell ref="A190:B190"/>
    <mergeCell ref="C189:D189"/>
    <mergeCell ref="G188:H188"/>
    <mergeCell ref="G189:H189"/>
    <mergeCell ref="G190:H190"/>
    <mergeCell ref="C190:D190"/>
    <mergeCell ref="A206:H206"/>
    <mergeCell ref="A212:B212"/>
    <mergeCell ref="E188:F188"/>
    <mergeCell ref="E189:F189"/>
    <mergeCell ref="A146:H146"/>
    <mergeCell ref="A147:C148"/>
    <mergeCell ref="E147:F147"/>
    <mergeCell ref="E148:F148"/>
    <mergeCell ref="A149:B149"/>
    <mergeCell ref="E149:F149"/>
    <mergeCell ref="A150:B150"/>
    <mergeCell ref="E150:F161"/>
    <mergeCell ref="G150:H161"/>
    <mergeCell ref="A151:B151"/>
    <mergeCell ref="A176:B176"/>
    <mergeCell ref="A177:B177"/>
    <mergeCell ref="A179:H179"/>
    <mergeCell ref="G180:H180"/>
    <mergeCell ref="A178:F178"/>
    <mergeCell ref="C31:D31"/>
    <mergeCell ref="A28:B28"/>
    <mergeCell ref="A29:B29"/>
    <mergeCell ref="A30:B30"/>
    <mergeCell ref="A117:B117"/>
    <mergeCell ref="A98:H98"/>
    <mergeCell ref="A99:C100"/>
    <mergeCell ref="E101:F101"/>
    <mergeCell ref="A102:B102"/>
    <mergeCell ref="E102:F113"/>
    <mergeCell ref="G102:H113"/>
    <mergeCell ref="A103:B103"/>
    <mergeCell ref="A104:B104"/>
    <mergeCell ref="C63:F63"/>
    <mergeCell ref="C64:F64"/>
    <mergeCell ref="A66:H66"/>
    <mergeCell ref="A69:B69"/>
    <mergeCell ref="E69:F69"/>
    <mergeCell ref="E67:F67"/>
    <mergeCell ref="D52:F52"/>
    <mergeCell ref="G52:H52"/>
    <mergeCell ref="A54:B54"/>
    <mergeCell ref="A56:B56"/>
    <mergeCell ref="E70:F81"/>
    <mergeCell ref="E68:F68"/>
    <mergeCell ref="A67:C68"/>
    <mergeCell ref="A64:B65"/>
    <mergeCell ref="A45:B45"/>
    <mergeCell ref="A46:B46"/>
    <mergeCell ref="A47:B47"/>
    <mergeCell ref="D46:F46"/>
    <mergeCell ref="D45:F45"/>
    <mergeCell ref="D47:F47"/>
    <mergeCell ref="A48:B48"/>
    <mergeCell ref="D48:F48"/>
    <mergeCell ref="A63:B63"/>
    <mergeCell ref="A57:B59"/>
    <mergeCell ref="C59:H59"/>
    <mergeCell ref="C57:F58"/>
    <mergeCell ref="C62:H62"/>
    <mergeCell ref="C60:F61"/>
    <mergeCell ref="A60:B62"/>
    <mergeCell ref="G48:H48"/>
    <mergeCell ref="A52:B52"/>
    <mergeCell ref="A101:B101"/>
    <mergeCell ref="E84:F84"/>
    <mergeCell ref="A85:B85"/>
    <mergeCell ref="E85:F85"/>
    <mergeCell ref="A86:B86"/>
    <mergeCell ref="A74:B74"/>
    <mergeCell ref="A77:B77"/>
    <mergeCell ref="A126:B126"/>
    <mergeCell ref="A127:B127"/>
    <mergeCell ref="A105:B105"/>
    <mergeCell ref="A106:B106"/>
    <mergeCell ref="A81:B81"/>
    <mergeCell ref="A123:B123"/>
    <mergeCell ref="A124:B124"/>
    <mergeCell ref="A125:B125"/>
    <mergeCell ref="A107:B107"/>
    <mergeCell ref="A108:B108"/>
    <mergeCell ref="A109:B109"/>
    <mergeCell ref="A110:B110"/>
    <mergeCell ref="A111:B111"/>
    <mergeCell ref="A112:B112"/>
    <mergeCell ref="A113:B113"/>
    <mergeCell ref="A119:B119"/>
    <mergeCell ref="A120:B120"/>
    <mergeCell ref="A128:B128"/>
    <mergeCell ref="A129:B129"/>
    <mergeCell ref="A130:H130"/>
    <mergeCell ref="A131:C132"/>
    <mergeCell ref="E131:F131"/>
    <mergeCell ref="A114:H114"/>
    <mergeCell ref="A115:C116"/>
    <mergeCell ref="E115:F115"/>
    <mergeCell ref="E116:F116"/>
    <mergeCell ref="E117:F117"/>
    <mergeCell ref="A118:B118"/>
    <mergeCell ref="E118:F129"/>
    <mergeCell ref="G118:H129"/>
    <mergeCell ref="A121:B121"/>
    <mergeCell ref="A122:B122"/>
    <mergeCell ref="G182:H182"/>
    <mergeCell ref="G186:H186"/>
    <mergeCell ref="A183:H183"/>
    <mergeCell ref="E180:F180"/>
    <mergeCell ref="A182:B182"/>
    <mergeCell ref="E181:F181"/>
    <mergeCell ref="G181:H181"/>
    <mergeCell ref="A157:B157"/>
    <mergeCell ref="A158:B158"/>
    <mergeCell ref="A159:B159"/>
    <mergeCell ref="A160:B160"/>
    <mergeCell ref="A161:B161"/>
    <mergeCell ref="A162:H162"/>
    <mergeCell ref="A163:C164"/>
    <mergeCell ref="E163:F163"/>
    <mergeCell ref="E164:F164"/>
    <mergeCell ref="A165:B165"/>
    <mergeCell ref="E165:F165"/>
    <mergeCell ref="A166:B166"/>
    <mergeCell ref="E166:F177"/>
    <mergeCell ref="G166:H177"/>
    <mergeCell ref="A167:B167"/>
    <mergeCell ref="A154:B154"/>
    <mergeCell ref="A155:B155"/>
    <mergeCell ref="A156:B156"/>
    <mergeCell ref="A168:B168"/>
    <mergeCell ref="A169:B169"/>
    <mergeCell ref="A170:B170"/>
    <mergeCell ref="A171:B171"/>
    <mergeCell ref="A172:B172"/>
    <mergeCell ref="A135:B135"/>
    <mergeCell ref="A136:B136"/>
    <mergeCell ref="A137:B137"/>
    <mergeCell ref="A138:B138"/>
    <mergeCell ref="A139:B139"/>
    <mergeCell ref="A140:B140"/>
    <mergeCell ref="A141:B141"/>
    <mergeCell ref="A142:B142"/>
    <mergeCell ref="A143:B143"/>
    <mergeCell ref="A144:B144"/>
    <mergeCell ref="A145:B145"/>
    <mergeCell ref="A152:B152"/>
    <mergeCell ref="C525:D525"/>
    <mergeCell ref="A1:H1"/>
    <mergeCell ref="A387:C387"/>
    <mergeCell ref="G27:H27"/>
    <mergeCell ref="G28:H28"/>
    <mergeCell ref="A37:H37"/>
    <mergeCell ref="A44:H44"/>
    <mergeCell ref="A53:H53"/>
    <mergeCell ref="A187:H187"/>
    <mergeCell ref="G185:H185"/>
    <mergeCell ref="G7:H7"/>
    <mergeCell ref="G47:H47"/>
    <mergeCell ref="G45:H45"/>
    <mergeCell ref="A25:H25"/>
    <mergeCell ref="G26:H26"/>
    <mergeCell ref="G20:H20"/>
    <mergeCell ref="G21:H21"/>
    <mergeCell ref="A9:A11"/>
    <mergeCell ref="G6:H6"/>
    <mergeCell ref="A5:H5"/>
    <mergeCell ref="A33:H33"/>
    <mergeCell ref="A173:B173"/>
    <mergeCell ref="A174:B174"/>
    <mergeCell ref="A175:B175"/>
    <mergeCell ref="G30:H30"/>
    <mergeCell ref="G29:H29"/>
    <mergeCell ref="A13:H13"/>
    <mergeCell ref="E28:F28"/>
    <mergeCell ref="E29:F29"/>
    <mergeCell ref="E30:F30"/>
    <mergeCell ref="G525:H525"/>
    <mergeCell ref="A386:H386"/>
    <mergeCell ref="D388:H388"/>
    <mergeCell ref="A516:H516"/>
    <mergeCell ref="A522:H522"/>
    <mergeCell ref="A523:H523"/>
    <mergeCell ref="A524:H524"/>
    <mergeCell ref="A517:H517"/>
    <mergeCell ref="A518:H518"/>
    <mergeCell ref="A519:H519"/>
    <mergeCell ref="A520:H520"/>
    <mergeCell ref="A388:C388"/>
    <mergeCell ref="A515:H515"/>
    <mergeCell ref="A521:H521"/>
    <mergeCell ref="A484:H484"/>
    <mergeCell ref="D387:H387"/>
    <mergeCell ref="A389:C389"/>
    <mergeCell ref="D389:H389"/>
    <mergeCell ref="A434:H434"/>
    <mergeCell ref="E525:F525"/>
    <mergeCell ref="A525:B525"/>
    <mergeCell ref="A248:H248"/>
    <mergeCell ref="A254:H254"/>
    <mergeCell ref="A255:B255"/>
    <mergeCell ref="G14:H14"/>
    <mergeCell ref="G16:H16"/>
    <mergeCell ref="G17:H17"/>
    <mergeCell ref="G15:H15"/>
    <mergeCell ref="G18:H18"/>
    <mergeCell ref="G19:H19"/>
    <mergeCell ref="G46:H46"/>
    <mergeCell ref="G31:H31"/>
    <mergeCell ref="G22:H22"/>
    <mergeCell ref="G36:H36"/>
    <mergeCell ref="G35:H35"/>
    <mergeCell ref="C32:H32"/>
    <mergeCell ref="C18:D18"/>
    <mergeCell ref="C19:D19"/>
    <mergeCell ref="C20:D20"/>
    <mergeCell ref="C21:D21"/>
    <mergeCell ref="C22:D22"/>
    <mergeCell ref="C24:H24"/>
    <mergeCell ref="E26:F26"/>
    <mergeCell ref="E27:F27"/>
    <mergeCell ref="E193:F193"/>
    <mergeCell ref="C192:D192"/>
    <mergeCell ref="E194:F194"/>
    <mergeCell ref="C194:D194"/>
    <mergeCell ref="E201:F201"/>
    <mergeCell ref="C200:D200"/>
    <mergeCell ref="C56:F56"/>
    <mergeCell ref="A185:F185"/>
    <mergeCell ref="A186:F186"/>
    <mergeCell ref="A134:B134"/>
    <mergeCell ref="E134:F145"/>
    <mergeCell ref="C26:D26"/>
    <mergeCell ref="A201:B201"/>
    <mergeCell ref="A191:H191"/>
    <mergeCell ref="A192:B192"/>
    <mergeCell ref="E192:F192"/>
    <mergeCell ref="C193:D193"/>
    <mergeCell ref="C201:D201"/>
    <mergeCell ref="A82:H82"/>
    <mergeCell ref="A83:C84"/>
    <mergeCell ref="E83:F83"/>
    <mergeCell ref="G178:H178"/>
    <mergeCell ref="A204:H204"/>
    <mergeCell ref="A202:H202"/>
    <mergeCell ref="A200:B200"/>
    <mergeCell ref="G200:H200"/>
    <mergeCell ref="G192:H192"/>
    <mergeCell ref="A193:B193"/>
    <mergeCell ref="G193:H193"/>
    <mergeCell ref="A194:B194"/>
    <mergeCell ref="G194:H194"/>
    <mergeCell ref="E198:F198"/>
    <mergeCell ref="G201:H201"/>
    <mergeCell ref="B377:H377"/>
    <mergeCell ref="B376:H376"/>
    <mergeCell ref="B380:H380"/>
    <mergeCell ref="B379:H379"/>
    <mergeCell ref="B378:H378"/>
    <mergeCell ref="A264:H264"/>
    <mergeCell ref="A265:H265"/>
    <mergeCell ref="A268:H268"/>
    <mergeCell ref="A269:H269"/>
    <mergeCell ref="C301:H302"/>
    <mergeCell ref="A303:B303"/>
    <mergeCell ref="A280:H280"/>
    <mergeCell ref="A281:H281"/>
    <mergeCell ref="A282:H282"/>
    <mergeCell ref="A283:H283"/>
    <mergeCell ref="A271:B271"/>
    <mergeCell ref="A272:B272"/>
    <mergeCell ref="A273:B273"/>
    <mergeCell ref="B382:H382"/>
    <mergeCell ref="B381:H381"/>
    <mergeCell ref="B383:H383"/>
    <mergeCell ref="A375:H375"/>
    <mergeCell ref="E3:F3"/>
    <mergeCell ref="E4:F4"/>
    <mergeCell ref="E86:F97"/>
    <mergeCell ref="G86:H97"/>
    <mergeCell ref="A87:B87"/>
    <mergeCell ref="A88:B88"/>
    <mergeCell ref="A89:B89"/>
    <mergeCell ref="A90:B90"/>
    <mergeCell ref="A91:B91"/>
    <mergeCell ref="A92:B92"/>
    <mergeCell ref="A93:B93"/>
    <mergeCell ref="A94:B94"/>
    <mergeCell ref="A95:B95"/>
    <mergeCell ref="A96:B96"/>
    <mergeCell ref="A97:B97"/>
    <mergeCell ref="A71:B71"/>
    <mergeCell ref="C27:D27"/>
    <mergeCell ref="A78:B78"/>
    <mergeCell ref="A79:B79"/>
    <mergeCell ref="A80:B8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3:H23"/>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31:F31"/>
    <mergeCell ref="C28:D28"/>
    <mergeCell ref="C29:D29"/>
    <mergeCell ref="C30:D30"/>
    <mergeCell ref="J38:K38"/>
    <mergeCell ref="M38:N38"/>
    <mergeCell ref="C38:E38"/>
    <mergeCell ref="F38:H38"/>
    <mergeCell ref="C39:E39"/>
    <mergeCell ref="F39:H39"/>
    <mergeCell ref="F40:H40"/>
    <mergeCell ref="C40:E40"/>
    <mergeCell ref="A41:B41"/>
    <mergeCell ref="C41:E41"/>
    <mergeCell ref="F41:H41"/>
    <mergeCell ref="A39:B39"/>
    <mergeCell ref="A40:B40"/>
    <mergeCell ref="A49:B49"/>
    <mergeCell ref="D49:F49"/>
    <mergeCell ref="G49:H49"/>
    <mergeCell ref="A50:B50"/>
    <mergeCell ref="D50:F50"/>
    <mergeCell ref="G50:H50"/>
    <mergeCell ref="A51:B51"/>
    <mergeCell ref="D51:F51"/>
    <mergeCell ref="G51:H51"/>
    <mergeCell ref="A55:B55"/>
    <mergeCell ref="C54:H54"/>
    <mergeCell ref="C55:F55"/>
    <mergeCell ref="A180:B180"/>
    <mergeCell ref="C180:D180"/>
    <mergeCell ref="C181:D181"/>
    <mergeCell ref="C182:D182"/>
    <mergeCell ref="E182:F182"/>
    <mergeCell ref="A184:F184"/>
    <mergeCell ref="A181:B181"/>
    <mergeCell ref="A72:B72"/>
    <mergeCell ref="A73:B73"/>
    <mergeCell ref="A75:B75"/>
    <mergeCell ref="G134:H145"/>
    <mergeCell ref="G184:H184"/>
    <mergeCell ref="G70:H81"/>
    <mergeCell ref="A70:B70"/>
    <mergeCell ref="A76:B76"/>
    <mergeCell ref="E99:F99"/>
    <mergeCell ref="E100:F100"/>
    <mergeCell ref="E132:F132"/>
    <mergeCell ref="A133:B133"/>
    <mergeCell ref="E133:F133"/>
    <mergeCell ref="A153:B153"/>
    <mergeCell ref="A343:H343"/>
    <mergeCell ref="A349:H349"/>
    <mergeCell ref="A358:B358"/>
    <mergeCell ref="C356:H356"/>
    <mergeCell ref="A347:H347"/>
    <mergeCell ref="A267:H267"/>
    <mergeCell ref="A285:H285"/>
    <mergeCell ref="A287:B287"/>
    <mergeCell ref="A288:B288"/>
    <mergeCell ref="A289:B289"/>
    <mergeCell ref="A274:B274"/>
    <mergeCell ref="A275:H275"/>
    <mergeCell ref="A276:B276"/>
    <mergeCell ref="A277:B277"/>
    <mergeCell ref="A278:B278"/>
    <mergeCell ref="A279:B279"/>
    <mergeCell ref="C278:H278"/>
    <mergeCell ref="A293:B293"/>
    <mergeCell ref="A294:B294"/>
    <mergeCell ref="A290:B290"/>
    <mergeCell ref="A291:B291"/>
    <mergeCell ref="A292:H292"/>
    <mergeCell ref="A256:B256"/>
    <mergeCell ref="A257:B257"/>
    <mergeCell ref="A258:B258"/>
    <mergeCell ref="A310:H310"/>
    <mergeCell ref="A315:H315"/>
    <mergeCell ref="A316:B316"/>
    <mergeCell ref="A317:B317"/>
    <mergeCell ref="A311:H311"/>
    <mergeCell ref="A312:H312"/>
    <mergeCell ref="A313:B313"/>
    <mergeCell ref="A314:B314"/>
    <mergeCell ref="A259:H259"/>
    <mergeCell ref="A260:B260"/>
    <mergeCell ref="A261:B261"/>
    <mergeCell ref="A262:B262"/>
    <mergeCell ref="A263:B263"/>
    <mergeCell ref="C262:H262"/>
    <mergeCell ref="A306:H306"/>
    <mergeCell ref="A295:B295"/>
    <mergeCell ref="A266:H266"/>
    <mergeCell ref="A298:H298"/>
    <mergeCell ref="A299:B299"/>
    <mergeCell ref="A300:B300"/>
    <mergeCell ref="A301:B301"/>
    <mergeCell ref="A249:H249"/>
    <mergeCell ref="A250:H250"/>
    <mergeCell ref="A251:H251"/>
    <mergeCell ref="A252:H252"/>
    <mergeCell ref="A253:H253"/>
    <mergeCell ref="A270:H270"/>
    <mergeCell ref="A366:B366"/>
    <mergeCell ref="A357:B357"/>
    <mergeCell ref="A322:H322"/>
    <mergeCell ref="A323:H323"/>
    <mergeCell ref="A330:H330"/>
    <mergeCell ref="A331:B331"/>
    <mergeCell ref="A332:B332"/>
    <mergeCell ref="A333:B333"/>
    <mergeCell ref="A334:B334"/>
    <mergeCell ref="A335:B335"/>
    <mergeCell ref="C331:H331"/>
    <mergeCell ref="C338:H339"/>
    <mergeCell ref="A342:H342"/>
    <mergeCell ref="A344:H344"/>
    <mergeCell ref="A345:H345"/>
    <mergeCell ref="A346:H346"/>
    <mergeCell ref="A356:B356"/>
    <mergeCell ref="A284:H284"/>
    <mergeCell ref="A360:H360"/>
    <mergeCell ref="A361:H361"/>
    <mergeCell ref="A363:H363"/>
    <mergeCell ref="A364:H364"/>
    <mergeCell ref="A362:H362"/>
    <mergeCell ref="A365:H365"/>
    <mergeCell ref="A296:B296"/>
    <mergeCell ref="A297:B297"/>
    <mergeCell ref="C297:H297"/>
    <mergeCell ref="A350:B350"/>
    <mergeCell ref="A351:B351"/>
    <mergeCell ref="A352:B352"/>
    <mergeCell ref="A353:B353"/>
    <mergeCell ref="A354:H354"/>
    <mergeCell ref="A355:B355"/>
    <mergeCell ref="A348:H348"/>
    <mergeCell ref="A359:H359"/>
    <mergeCell ref="A302:B302"/>
    <mergeCell ref="A304:B304"/>
    <mergeCell ref="C303:H303"/>
    <mergeCell ref="A305:H305"/>
    <mergeCell ref="A307:H307"/>
    <mergeCell ref="A308:H308"/>
    <mergeCell ref="A309:H309"/>
    <mergeCell ref="A368:B368"/>
    <mergeCell ref="A369:B369"/>
    <mergeCell ref="A370:H370"/>
    <mergeCell ref="A371:B371"/>
    <mergeCell ref="A372:B372"/>
    <mergeCell ref="A373:B373"/>
    <mergeCell ref="A374:B374"/>
    <mergeCell ref="A318:H318"/>
    <mergeCell ref="A336:H336"/>
    <mergeCell ref="A337:B337"/>
    <mergeCell ref="A338:B338"/>
    <mergeCell ref="A339:B339"/>
    <mergeCell ref="A340:B340"/>
    <mergeCell ref="A341:B341"/>
    <mergeCell ref="A324:H324"/>
    <mergeCell ref="A325:B325"/>
    <mergeCell ref="A326:B326"/>
    <mergeCell ref="A327:B327"/>
    <mergeCell ref="A328:B328"/>
    <mergeCell ref="A329:B329"/>
    <mergeCell ref="A319:H319"/>
    <mergeCell ref="A320:H320"/>
    <mergeCell ref="A321:H321"/>
    <mergeCell ref="A367:B367"/>
    <mergeCell ref="A226:B226"/>
    <mergeCell ref="A227:B227"/>
    <mergeCell ref="E195:F195"/>
    <mergeCell ref="G195:H195"/>
    <mergeCell ref="A196:B196"/>
    <mergeCell ref="C196:D196"/>
    <mergeCell ref="E196:F196"/>
    <mergeCell ref="G196:H196"/>
    <mergeCell ref="A197:B197"/>
    <mergeCell ref="C197:D197"/>
    <mergeCell ref="E197:F197"/>
    <mergeCell ref="G197:H197"/>
    <mergeCell ref="E200:F200"/>
    <mergeCell ref="A213:H213"/>
    <mergeCell ref="A220:B220"/>
    <mergeCell ref="A221:B221"/>
    <mergeCell ref="A222:B222"/>
    <mergeCell ref="A214:H214"/>
    <mergeCell ref="A209:B209"/>
    <mergeCell ref="A210:B210"/>
    <mergeCell ref="A211:B211"/>
    <mergeCell ref="A195:B195"/>
    <mergeCell ref="C195:D195"/>
    <mergeCell ref="A205:H205"/>
    <mergeCell ref="B385:H385"/>
    <mergeCell ref="C65:H65"/>
    <mergeCell ref="A199:B199"/>
    <mergeCell ref="C199:D199"/>
    <mergeCell ref="E199:F199"/>
    <mergeCell ref="G199:H199"/>
    <mergeCell ref="A198:B198"/>
    <mergeCell ref="C198:D198"/>
    <mergeCell ref="A286:H286"/>
    <mergeCell ref="C372:H372"/>
    <mergeCell ref="B384:H384"/>
    <mergeCell ref="G198:H198"/>
    <mergeCell ref="A207:B207"/>
    <mergeCell ref="A208:B208"/>
    <mergeCell ref="A228:B228"/>
    <mergeCell ref="A229:B229"/>
    <mergeCell ref="A219:B219"/>
    <mergeCell ref="A215:B215"/>
    <mergeCell ref="A216:B216"/>
    <mergeCell ref="A217:B217"/>
    <mergeCell ref="A218:B218"/>
    <mergeCell ref="A223:H223"/>
    <mergeCell ref="A224:B224"/>
    <mergeCell ref="A225:B225"/>
  </mergeCells>
  <dataValidations disablePrompts="1" count="7">
    <dataValidation type="list" allowBlank="1" showInputMessage="1" showErrorMessage="1" sqref="G6:H6">
      <formula1>"Miss Tanvi, Mr. Suraj Khare,Miss Rupali, Miss Vinaya"</formula1>
    </dataValidation>
    <dataValidation type="list" allowBlank="1" showInputMessage="1" showErrorMessage="1" sqref="G26:H26">
      <formula1>"Middle,Upper"</formula1>
    </dataValidation>
    <dataValidation type="list" allowBlank="1" showInputMessage="1" showErrorMessage="1" sqref="C182">
      <formula1>"300000,350000,400000,500000,600000,700000,800000,900000,1000000,1200000,1400000,1500000,1600000"</formula1>
    </dataValidation>
    <dataValidation type="list" allowBlank="1" showInputMessage="1" showErrorMessage="1" sqref="F203">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4:H54 G35:H35">
      <formula1>"Yes,No"</formula1>
    </dataValidation>
    <dataValidation type="list" allowBlank="1" showInputMessage="1" showErrorMessage="1" sqref="C203">
      <formula1>"Sale /         Rehab /           PAP,Sale / Mhada,Sale / Landowner"</formula1>
    </dataValidation>
  </dataValidations>
  <hyperlinks>
    <hyperlink ref="C23" r:id="rId1"/>
    <hyperlink ref="I24" r:id="rId2" display="https://arkadeshubharambh.in/?utm_source=GoogleSearch&amp;utm_medium=FE_03_AG_01_Phrasekw_Rare_p_arkade%20rare&amp;utm_campaign=FE_03_Arkade_Shubharambh_Search_MaxConv_Brand_Keyword&amp;utm_Display=FE_03_AG_01_AD_01_Rare_RSA&amp;gad_source=1&amp;gad_campaignid=22789493263&amp;gbraid=0AAAAA-EUfy5bfnlJFQoiW_IbwQZ1CvqYC&amp;gclid=CjwKCAjwv5zEBhBwEiwAOg2YKDbWK44501TEs3yFeLSV-tqvz9RxeJ6bA0mZgyHCMQ-dcoPGDw_msRoC9lUQAvD_BwE"/>
    <hyperlink ref="I46" r:id="rId3" display="https://www.arkaderarebhandupwest.com/?utm_source=google&amp;utm_medium=cpc&amp;utm_campaign=Arkade+Rare+Central&amp;utm_term=arkade%20rare&amp;utm_Physical_Location=9062223&amp;utm_Targetid=kwd-2321075479859&amp;utm_Target=&amp;utm_Placement=&amp;utm_Adposition=&amp;gad_source=1&amp;gad_campaignid=21616592589&amp;gbraid=0AAAAA9iUuL4ddRxdBNH9G9dpK8gf7qML2&amp;gclid=CjwKCAjwv5zEBhBwEiwAOg2YKHwft_d7XSWvehr_4DS5HwhpdO0ZiDi51NnaGwuXr6Mu0mS_moXnEhoCZekQAvD_BwE"/>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8" manualBreakCount="8">
    <brk id="113" max="7" man="1"/>
    <brk id="161" max="16383" man="1"/>
    <brk id="201" max="16383" man="1"/>
    <brk id="247" max="7" man="1"/>
    <brk id="358" max="7" man="1"/>
    <brk id="385" max="16383" man="1"/>
    <brk id="433" max="16383" man="1"/>
    <brk id="483"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47" t="s">
        <v>65</v>
      </c>
      <c r="B3" s="147"/>
      <c r="C3" s="147"/>
      <c r="D3" s="147"/>
      <c r="E3" s="147"/>
      <c r="F3" s="147"/>
      <c r="G3" s="147"/>
      <c r="H3" s="147"/>
      <c r="I3" s="147"/>
    </row>
    <row r="4" spans="1:11" s="1" customFormat="1" ht="20.25" customHeight="1" x14ac:dyDescent="0.3">
      <c r="A4" s="204">
        <v>1</v>
      </c>
      <c r="B4" s="204"/>
      <c r="C4" s="204"/>
      <c r="D4" s="205" t="s">
        <v>4</v>
      </c>
      <c r="E4" s="27" t="s">
        <v>112</v>
      </c>
      <c r="F4" s="189" t="s">
        <v>99</v>
      </c>
      <c r="G4" s="189"/>
      <c r="H4" s="27" t="s">
        <v>113</v>
      </c>
      <c r="I4" s="27" t="s">
        <v>114</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204"/>
      <c r="B5" s="204"/>
      <c r="C5" s="204"/>
      <c r="D5" s="205"/>
      <c r="E5" s="27">
        <v>3</v>
      </c>
      <c r="F5" s="189">
        <v>1</v>
      </c>
      <c r="G5" s="189"/>
      <c r="H5" s="27">
        <v>0</v>
      </c>
      <c r="I5" s="27">
        <f ca="1">--TRIM(RIGHT(SUBSTITUTE(LEFT(A4,_xlfn.AGGREGATE(16,6,FIND({0,1,2,3,4,5,6,7,8,9},A4,ROW(INDIRECT("1:"&amp;LEN(A4)))),1))," ",REPT(" ",LEN(A4))),LEN(A4)))</f>
        <v>1</v>
      </c>
      <c r="J5" s="16" t="s">
        <v>118</v>
      </c>
      <c r="K5" s="17"/>
    </row>
    <row r="6" spans="1:11" s="1" customFormat="1" ht="20.25" customHeight="1" x14ac:dyDescent="0.3">
      <c r="A6" s="192" t="s">
        <v>116</v>
      </c>
      <c r="B6" s="192"/>
      <c r="C6" s="192" t="s">
        <v>126</v>
      </c>
      <c r="D6" s="192"/>
      <c r="E6" s="25" t="s">
        <v>127</v>
      </c>
      <c r="F6" s="192" t="s">
        <v>117</v>
      </c>
      <c r="G6" s="192"/>
      <c r="H6" s="26" t="s">
        <v>115</v>
      </c>
      <c r="I6" s="26"/>
      <c r="J6" s="19" t="s">
        <v>128</v>
      </c>
      <c r="K6" s="18">
        <f ca="1">I5*25%</f>
        <v>0.25</v>
      </c>
    </row>
    <row r="7" spans="1:11" s="1" customFormat="1" ht="20.25" customHeight="1" x14ac:dyDescent="0.3">
      <c r="A7" s="142" t="s">
        <v>129</v>
      </c>
      <c r="B7" s="142"/>
      <c r="C7" s="189">
        <f ca="1">K8</f>
        <v>1</v>
      </c>
      <c r="D7" s="189"/>
      <c r="E7" s="5">
        <f ca="1">((100/I5)*C7)/100</f>
        <v>1</v>
      </c>
      <c r="F7" s="142">
        <f ca="1">(((C7/I5*5)+(C8/I5*20)+(25/(F5+H5+I5)*C9)+(5/(I5)*C10)+(2.5/(I5)*C11)+(2.5/(I5)*C12)+(5/I5*C13)+(10/I5*C14)+(2.5/I5*C15)+(2.5/I5*C16)+(10/I5*C17)+(10/I5*C18))/100)</f>
        <v>0.25</v>
      </c>
      <c r="G7" s="142"/>
      <c r="H7" s="142" t="str">
        <f ca="1">J4</f>
        <v>Excavation work Completed. Plinth work completed</v>
      </c>
      <c r="I7" s="142"/>
      <c r="J7" s="19" t="s">
        <v>119</v>
      </c>
      <c r="K7" s="21">
        <f ca="1">I5*50%</f>
        <v>0.5</v>
      </c>
    </row>
    <row r="8" spans="1:11" s="1" customFormat="1" ht="20.25" x14ac:dyDescent="0.3">
      <c r="A8" s="142" t="s">
        <v>100</v>
      </c>
      <c r="B8" s="142"/>
      <c r="C8" s="206">
        <f ca="1">K16</f>
        <v>1</v>
      </c>
      <c r="D8" s="189"/>
      <c r="E8" s="5">
        <f ca="1">((100/I5)*C8)/100</f>
        <v>1</v>
      </c>
      <c r="F8" s="142"/>
      <c r="G8" s="142"/>
      <c r="H8" s="142"/>
      <c r="I8" s="142"/>
      <c r="J8" s="19" t="s">
        <v>120</v>
      </c>
      <c r="K8" s="21">
        <f ca="1">I5</f>
        <v>1</v>
      </c>
    </row>
    <row r="9" spans="1:11" s="1" customFormat="1" ht="21" customHeight="1" x14ac:dyDescent="0.35">
      <c r="A9" s="142" t="s">
        <v>130</v>
      </c>
      <c r="B9" s="142"/>
      <c r="C9" s="189">
        <v>0</v>
      </c>
      <c r="D9" s="189"/>
      <c r="E9" s="5">
        <f ca="1">((100/(F5+H5+I5))*C9)/100</f>
        <v>0</v>
      </c>
      <c r="F9" s="142"/>
      <c r="G9" s="142"/>
      <c r="H9" s="142"/>
      <c r="I9" s="142"/>
      <c r="J9" s="19" t="s">
        <v>121</v>
      </c>
      <c r="K9" s="22">
        <f ca="1">(IF(E5&gt;1,(I5/(E5+2)),I5*0.2))</f>
        <v>0.2</v>
      </c>
    </row>
    <row r="10" spans="1:11" s="1" customFormat="1" ht="21" customHeight="1" x14ac:dyDescent="0.35">
      <c r="A10" s="142" t="s">
        <v>131</v>
      </c>
      <c r="B10" s="142"/>
      <c r="C10" s="189">
        <v>0</v>
      </c>
      <c r="D10" s="189"/>
      <c r="E10" s="5">
        <f ca="1">((100/I5)*C10)/100</f>
        <v>0</v>
      </c>
      <c r="F10" s="142"/>
      <c r="G10" s="142"/>
      <c r="H10" s="142"/>
      <c r="I10" s="142"/>
      <c r="J10" s="19" t="s">
        <v>122</v>
      </c>
      <c r="K10" s="22">
        <f ca="1">(IF(E5&gt;1,(I5/(E5+2)+K9),I5*0.2+K9))</f>
        <v>0.4</v>
      </c>
    </row>
    <row r="11" spans="1:11" s="1" customFormat="1" ht="21" customHeight="1" x14ac:dyDescent="0.35">
      <c r="A11" s="143" t="s">
        <v>132</v>
      </c>
      <c r="B11" s="144"/>
      <c r="C11" s="189">
        <v>0</v>
      </c>
      <c r="D11" s="189"/>
      <c r="E11" s="5">
        <f ca="1">((100/I5)*C11)/100</f>
        <v>0</v>
      </c>
      <c r="F11" s="142"/>
      <c r="G11" s="142"/>
      <c r="H11" s="142"/>
      <c r="I11" s="142"/>
      <c r="J11" s="19" t="s">
        <v>133</v>
      </c>
      <c r="K11" s="22">
        <f ca="1">(IF(E5&gt;1,(I5/(E5+2)+K10),0))</f>
        <v>0.60000000000000009</v>
      </c>
    </row>
    <row r="12" spans="1:11" s="1" customFormat="1" ht="21" customHeight="1" x14ac:dyDescent="0.35">
      <c r="A12" s="143" t="s">
        <v>161</v>
      </c>
      <c r="B12" s="144"/>
      <c r="C12" s="189">
        <v>0</v>
      </c>
      <c r="D12" s="189"/>
      <c r="E12" s="5">
        <f ca="1">((100/I5)*C12)/100</f>
        <v>0</v>
      </c>
      <c r="F12" s="142"/>
      <c r="G12" s="142"/>
      <c r="H12" s="142"/>
      <c r="I12" s="142"/>
      <c r="J12" s="19" t="s">
        <v>134</v>
      </c>
      <c r="K12" s="22">
        <f ca="1">(IF(E5&gt;2,(I5/(E5+2)+K11),0))</f>
        <v>0.8</v>
      </c>
    </row>
    <row r="13" spans="1:11" s="1" customFormat="1" ht="57.75" customHeight="1" x14ac:dyDescent="0.35">
      <c r="A13" s="143" t="s">
        <v>158</v>
      </c>
      <c r="B13" s="144"/>
      <c r="C13" s="189">
        <v>0</v>
      </c>
      <c r="D13" s="189"/>
      <c r="E13" s="5">
        <f ca="1">((100/(I5))*C13)/100</f>
        <v>0</v>
      </c>
      <c r="F13" s="142"/>
      <c r="G13" s="142"/>
      <c r="H13" s="142"/>
      <c r="I13" s="142"/>
      <c r="J13" s="19" t="s">
        <v>136</v>
      </c>
      <c r="K13" s="23">
        <f>(IF(E5&gt;3,(I5/(E5+2)+K12),0))</f>
        <v>0</v>
      </c>
    </row>
    <row r="14" spans="1:11" s="1" customFormat="1" ht="21" x14ac:dyDescent="0.35">
      <c r="A14" s="142" t="s">
        <v>135</v>
      </c>
      <c r="B14" s="142"/>
      <c r="C14" s="189">
        <v>0</v>
      </c>
      <c r="D14" s="189"/>
      <c r="E14" s="5">
        <f ca="1">((100/(I5))*C14)/100</f>
        <v>0</v>
      </c>
      <c r="F14" s="142"/>
      <c r="G14" s="142"/>
      <c r="H14" s="142"/>
      <c r="I14" s="142"/>
      <c r="J14" s="19" t="s">
        <v>137</v>
      </c>
      <c r="K14" s="22">
        <f>(IF(E5&gt;4,(I5/(E5+2)+K13),0))</f>
        <v>0</v>
      </c>
    </row>
    <row r="15" spans="1:11" s="1" customFormat="1" ht="21" customHeight="1" x14ac:dyDescent="0.35">
      <c r="A15" s="142" t="s">
        <v>160</v>
      </c>
      <c r="B15" s="142"/>
      <c r="C15" s="189">
        <v>0</v>
      </c>
      <c r="D15" s="189"/>
      <c r="E15" s="5">
        <f ca="1">((100/I5)*C15)/100</f>
        <v>0</v>
      </c>
      <c r="F15" s="142"/>
      <c r="G15" s="142"/>
      <c r="H15" s="142"/>
      <c r="I15" s="142"/>
      <c r="J15" s="19" t="s">
        <v>123</v>
      </c>
      <c r="K15" s="22">
        <f>(IF(E5=1,(I5/(E5+3)+K10),IF(E5=0,(I5*0.3+K10),IF(E5&gt;1,0))))</f>
        <v>0</v>
      </c>
    </row>
    <row r="16" spans="1:11" s="1" customFormat="1" ht="21.75" thickBot="1" x14ac:dyDescent="0.4">
      <c r="A16" s="142" t="s">
        <v>159</v>
      </c>
      <c r="B16" s="142"/>
      <c r="C16" s="189">
        <v>0</v>
      </c>
      <c r="D16" s="189"/>
      <c r="E16" s="5">
        <f ca="1">((100/I5)*C16)/100</f>
        <v>0</v>
      </c>
      <c r="F16" s="142"/>
      <c r="G16" s="142"/>
      <c r="H16" s="142"/>
      <c r="I16" s="142"/>
      <c r="J16" s="20" t="s">
        <v>124</v>
      </c>
      <c r="K16" s="24">
        <f ca="1">(IF(E5&gt;1.5,(I5/(E5+2)+K10+MAX(0,K11-K10)+MAX(0,K12-K11)+MAX(0,K13-K12)+MAX(0,K14-K13)+MAX(0,K15-K14)),IF(E5=1,(I5/(E5+3)+K15),IF(E5=0,I5*0.3+K15))))</f>
        <v>1</v>
      </c>
    </row>
    <row r="17" spans="1:9" s="1" customFormat="1" ht="20.25" x14ac:dyDescent="0.25">
      <c r="A17" s="142" t="s">
        <v>138</v>
      </c>
      <c r="B17" s="142"/>
      <c r="C17" s="189">
        <v>0</v>
      </c>
      <c r="D17" s="189"/>
      <c r="E17" s="5">
        <f ca="1">((100/(I5))*C17)/100</f>
        <v>0</v>
      </c>
      <c r="F17" s="142"/>
      <c r="G17" s="142"/>
      <c r="H17" s="142"/>
      <c r="I17" s="142"/>
    </row>
    <row r="18" spans="1:9" s="1" customFormat="1" ht="20.25" x14ac:dyDescent="0.25">
      <c r="A18" s="142" t="s">
        <v>139</v>
      </c>
      <c r="B18" s="142"/>
      <c r="C18" s="189">
        <v>0</v>
      </c>
      <c r="D18" s="189"/>
      <c r="E18" s="5">
        <f ca="1">((100/(I5))*C18)/100</f>
        <v>0</v>
      </c>
      <c r="F18" s="142"/>
      <c r="G18" s="142"/>
      <c r="H18" s="142"/>
      <c r="I18" s="142"/>
    </row>
    <row r="23" spans="1:9" x14ac:dyDescent="0.25">
      <c r="B23" s="207" t="s">
        <v>162</v>
      </c>
      <c r="C23" s="207"/>
      <c r="D23" s="207"/>
      <c r="E23" s="207"/>
      <c r="F23" s="207"/>
      <c r="G23" s="207"/>
    </row>
    <row r="24" spans="1:9" ht="14.45" customHeight="1" x14ac:dyDescent="0.25">
      <c r="B24" s="210" t="s">
        <v>163</v>
      </c>
      <c r="C24" s="210" t="s">
        <v>164</v>
      </c>
      <c r="D24" s="213" t="s">
        <v>165</v>
      </c>
      <c r="E24" s="214" t="s">
        <v>166</v>
      </c>
      <c r="F24" s="211" t="s">
        <v>167</v>
      </c>
      <c r="G24" s="210" t="s">
        <v>168</v>
      </c>
    </row>
    <row r="25" spans="1:9" x14ac:dyDescent="0.25">
      <c r="B25" s="210"/>
      <c r="C25" s="210"/>
      <c r="D25" s="213"/>
      <c r="E25" s="214"/>
      <c r="F25" s="211"/>
      <c r="G25" s="210"/>
    </row>
    <row r="26" spans="1:9" x14ac:dyDescent="0.25">
      <c r="B26" s="33" t="s">
        <v>169</v>
      </c>
      <c r="C26" s="34">
        <v>10</v>
      </c>
      <c r="D26" s="34">
        <v>1</v>
      </c>
      <c r="E26" s="35"/>
      <c r="F26" s="36">
        <f>((E26/D26)*0.05)*100</f>
        <v>0</v>
      </c>
      <c r="G26" s="36">
        <f t="shared" ref="G26:G37" si="0">((E26/D26)*(C26/100))*100</f>
        <v>0</v>
      </c>
    </row>
    <row r="27" spans="1:9" x14ac:dyDescent="0.25">
      <c r="B27" s="33" t="s">
        <v>170</v>
      </c>
      <c r="C27" s="35">
        <v>10</v>
      </c>
      <c r="D27" s="35">
        <v>1</v>
      </c>
      <c r="E27" s="35"/>
      <c r="F27" s="36">
        <f>((E27/D27)*0.05)*100</f>
        <v>0</v>
      </c>
      <c r="G27" s="36">
        <f t="shared" si="0"/>
        <v>0</v>
      </c>
    </row>
    <row r="28" spans="1:9" x14ac:dyDescent="0.25">
      <c r="B28" s="33" t="s">
        <v>171</v>
      </c>
      <c r="C28" s="35">
        <v>15</v>
      </c>
      <c r="D28" s="35">
        <v>1</v>
      </c>
      <c r="E28" s="35"/>
      <c r="F28" s="36">
        <f>((E28/D28)*0.15)*100</f>
        <v>0</v>
      </c>
      <c r="G28" s="36">
        <f t="shared" si="0"/>
        <v>0</v>
      </c>
    </row>
    <row r="29" spans="1:9" x14ac:dyDescent="0.25">
      <c r="B29" s="37" t="s">
        <v>172</v>
      </c>
      <c r="C29" s="35">
        <v>25</v>
      </c>
      <c r="D29" s="35">
        <v>40</v>
      </c>
      <c r="E29" s="35"/>
      <c r="F29" s="36">
        <f>((E29/D29)*0.25)*100</f>
        <v>0</v>
      </c>
      <c r="G29" s="36">
        <f t="shared" si="0"/>
        <v>0</v>
      </c>
    </row>
    <row r="30" spans="1:9" x14ac:dyDescent="0.25">
      <c r="B30" s="37" t="s">
        <v>173</v>
      </c>
      <c r="C30" s="35">
        <v>5</v>
      </c>
      <c r="D30" s="35">
        <v>39</v>
      </c>
      <c r="E30" s="35"/>
      <c r="F30" s="36">
        <f>((E30/D30)*0.05)*100</f>
        <v>0</v>
      </c>
      <c r="G30" s="36">
        <f t="shared" si="0"/>
        <v>0</v>
      </c>
    </row>
    <row r="31" spans="1:9" ht="30" x14ac:dyDescent="0.25">
      <c r="B31" s="37" t="s">
        <v>174</v>
      </c>
      <c r="C31" s="35">
        <v>2.5</v>
      </c>
      <c r="D31" s="35">
        <v>39</v>
      </c>
      <c r="E31" s="35"/>
      <c r="F31" s="36">
        <f>((E31/D31)*0.025)*100</f>
        <v>0</v>
      </c>
      <c r="G31" s="36">
        <f t="shared" si="0"/>
        <v>0</v>
      </c>
    </row>
    <row r="32" spans="1:9" ht="30" x14ac:dyDescent="0.25">
      <c r="B32" s="37" t="s">
        <v>175</v>
      </c>
      <c r="C32" s="35">
        <v>2.5</v>
      </c>
      <c r="D32" s="35">
        <v>39</v>
      </c>
      <c r="E32" s="35"/>
      <c r="F32" s="36">
        <f>((E32/D32)*0.025)*100</f>
        <v>0</v>
      </c>
      <c r="G32" s="36">
        <f t="shared" si="0"/>
        <v>0</v>
      </c>
    </row>
    <row r="33" spans="1:7" ht="45" x14ac:dyDescent="0.25">
      <c r="B33" s="38" t="s">
        <v>176</v>
      </c>
      <c r="C33" s="35">
        <v>5</v>
      </c>
      <c r="D33" s="35">
        <v>39</v>
      </c>
      <c r="E33" s="35"/>
      <c r="F33" s="36">
        <f>((E33/D33)*0.05)*100</f>
        <v>0</v>
      </c>
      <c r="G33" s="36">
        <f t="shared" si="0"/>
        <v>0</v>
      </c>
    </row>
    <row r="34" spans="1:7" ht="30" x14ac:dyDescent="0.25">
      <c r="B34" s="38" t="s">
        <v>177</v>
      </c>
      <c r="C34" s="35">
        <v>5</v>
      </c>
      <c r="D34" s="35">
        <v>39</v>
      </c>
      <c r="E34" s="35"/>
      <c r="F34" s="36">
        <f>((E34/D34)*0.1)*100</f>
        <v>0</v>
      </c>
      <c r="G34" s="36">
        <f t="shared" si="0"/>
        <v>0</v>
      </c>
    </row>
    <row r="35" spans="1:7" ht="30" x14ac:dyDescent="0.25">
      <c r="B35" s="38" t="s">
        <v>178</v>
      </c>
      <c r="C35" s="35">
        <v>5</v>
      </c>
      <c r="D35" s="35">
        <v>39</v>
      </c>
      <c r="E35" s="35"/>
      <c r="F35" s="36">
        <f>((E35/D35)*0.05)*100</f>
        <v>0</v>
      </c>
      <c r="G35" s="36">
        <f t="shared" si="0"/>
        <v>0</v>
      </c>
    </row>
    <row r="36" spans="1:7" ht="60" x14ac:dyDescent="0.25">
      <c r="B36" s="38" t="s">
        <v>179</v>
      </c>
      <c r="C36" s="35">
        <v>10</v>
      </c>
      <c r="D36" s="35">
        <v>39</v>
      </c>
      <c r="E36" s="35"/>
      <c r="F36" s="36">
        <f>((E36/D36)*0.1)*100</f>
        <v>0</v>
      </c>
      <c r="G36" s="36">
        <f t="shared" si="0"/>
        <v>0</v>
      </c>
    </row>
    <row r="37" spans="1:7" ht="45" x14ac:dyDescent="0.25">
      <c r="B37" s="38" t="s">
        <v>180</v>
      </c>
      <c r="C37" s="35">
        <v>5</v>
      </c>
      <c r="D37" s="35">
        <v>39</v>
      </c>
      <c r="E37" s="35"/>
      <c r="F37" s="36">
        <f>((E37/D37)*0.1)*100</f>
        <v>0</v>
      </c>
      <c r="G37" s="36">
        <f t="shared" si="0"/>
        <v>0</v>
      </c>
    </row>
    <row r="38" spans="1:7" ht="15.75" x14ac:dyDescent="0.25">
      <c r="B38" s="39" t="s">
        <v>181</v>
      </c>
      <c r="C38" s="40">
        <f>SUM(C26:C37)</f>
        <v>100</v>
      </c>
      <c r="D38" s="39"/>
      <c r="E38" s="39"/>
      <c r="F38" s="40">
        <f>SUM(F26:F37)</f>
        <v>0</v>
      </c>
      <c r="G38" s="40">
        <f>SUM(G26:G37)</f>
        <v>0</v>
      </c>
    </row>
    <row r="39" spans="1:7" x14ac:dyDescent="0.25">
      <c r="B39" s="211" t="s">
        <v>182</v>
      </c>
      <c r="C39" s="211"/>
      <c r="D39" s="211"/>
      <c r="E39" s="211"/>
      <c r="F39" s="211"/>
      <c r="G39" s="211"/>
    </row>
    <row r="40" spans="1:7" x14ac:dyDescent="0.25">
      <c r="B40" s="212" t="s">
        <v>183</v>
      </c>
      <c r="C40" s="212"/>
      <c r="D40" s="212"/>
      <c r="E40" s="212" t="s">
        <v>184</v>
      </c>
      <c r="F40" s="212"/>
      <c r="G40" s="212"/>
    </row>
    <row r="41" spans="1:7" x14ac:dyDescent="0.25">
      <c r="B41" s="208" t="s">
        <v>185</v>
      </c>
      <c r="C41" s="208"/>
      <c r="D41" s="208"/>
      <c r="E41" s="208" t="s">
        <v>186</v>
      </c>
      <c r="F41" s="208"/>
      <c r="G41" s="208"/>
    </row>
    <row r="42" spans="1:7" x14ac:dyDescent="0.25">
      <c r="B42" s="208" t="s">
        <v>187</v>
      </c>
      <c r="C42" s="208"/>
      <c r="D42" s="208"/>
      <c r="E42" s="208" t="s">
        <v>188</v>
      </c>
      <c r="F42" s="208"/>
      <c r="G42" s="208"/>
    </row>
    <row r="43" spans="1:7" x14ac:dyDescent="0.25">
      <c r="B43" s="209" t="s">
        <v>189</v>
      </c>
      <c r="C43" s="209"/>
      <c r="D43" s="209"/>
      <c r="E43" s="209" t="s">
        <v>190</v>
      </c>
      <c r="F43" s="209"/>
      <c r="G43" s="209"/>
    </row>
    <row r="45" spans="1:7" ht="15.75" thickBot="1" x14ac:dyDescent="0.3"/>
    <row r="46" spans="1:7" ht="17.25" thickTop="1" thickBot="1" x14ac:dyDescent="0.3">
      <c r="A46" s="41" t="s">
        <v>191</v>
      </c>
      <c r="B46" s="41" t="s">
        <v>163</v>
      </c>
      <c r="C46" s="42" t="s">
        <v>192</v>
      </c>
      <c r="D46" s="42" t="s">
        <v>193</v>
      </c>
      <c r="E46" s="42" t="s">
        <v>194</v>
      </c>
    </row>
    <row r="47" spans="1:7" ht="31.5" thickTop="1" thickBot="1" x14ac:dyDescent="0.3">
      <c r="A47" s="43">
        <v>1</v>
      </c>
      <c r="B47" s="44" t="s">
        <v>195</v>
      </c>
      <c r="C47" s="45">
        <v>0</v>
      </c>
      <c r="D47" s="46">
        <v>0.1</v>
      </c>
      <c r="E47" s="45">
        <v>0.1</v>
      </c>
    </row>
    <row r="48" spans="1:7" ht="31.5" thickTop="1" thickBot="1" x14ac:dyDescent="0.3">
      <c r="A48" s="43">
        <v>2</v>
      </c>
      <c r="B48" s="44" t="s">
        <v>196</v>
      </c>
      <c r="C48" s="45" t="s">
        <v>197</v>
      </c>
      <c r="D48" s="46" t="s">
        <v>198</v>
      </c>
      <c r="E48" s="45">
        <v>0.3</v>
      </c>
    </row>
    <row r="49" spans="1:5" ht="61.5" thickTop="1" thickBot="1" x14ac:dyDescent="0.3">
      <c r="A49" s="43">
        <v>3</v>
      </c>
      <c r="B49" s="44" t="s">
        <v>199</v>
      </c>
      <c r="C49" s="45" t="s">
        <v>200</v>
      </c>
      <c r="D49" s="46" t="s">
        <v>201</v>
      </c>
      <c r="E49" s="45">
        <v>0.45</v>
      </c>
    </row>
    <row r="50" spans="1:5" ht="76.5" thickTop="1" thickBot="1" x14ac:dyDescent="0.3">
      <c r="A50" s="43">
        <v>4</v>
      </c>
      <c r="B50" s="44" t="s">
        <v>202</v>
      </c>
      <c r="C50" s="45" t="s">
        <v>203</v>
      </c>
      <c r="D50" s="46" t="s">
        <v>204</v>
      </c>
      <c r="E50" s="45">
        <v>0.7</v>
      </c>
    </row>
    <row r="51" spans="1:5" ht="76.5" thickTop="1" thickBot="1" x14ac:dyDescent="0.3">
      <c r="A51" s="43">
        <v>5</v>
      </c>
      <c r="B51" s="44" t="s">
        <v>205</v>
      </c>
      <c r="C51" s="45" t="s">
        <v>206</v>
      </c>
      <c r="D51" s="46" t="s">
        <v>207</v>
      </c>
      <c r="E51" s="45">
        <v>0.75</v>
      </c>
    </row>
    <row r="52" spans="1:5" ht="76.5" thickTop="1" thickBot="1" x14ac:dyDescent="0.3">
      <c r="A52" s="43">
        <v>6</v>
      </c>
      <c r="B52" s="44" t="s">
        <v>208</v>
      </c>
      <c r="C52" s="45" t="s">
        <v>209</v>
      </c>
      <c r="D52" s="46" t="s">
        <v>210</v>
      </c>
      <c r="E52" s="45">
        <v>0.8</v>
      </c>
    </row>
    <row r="53" spans="1:5" ht="121.5" thickTop="1" thickBot="1" x14ac:dyDescent="0.3">
      <c r="A53" s="43">
        <v>7</v>
      </c>
      <c r="B53" s="44" t="s">
        <v>211</v>
      </c>
      <c r="C53" s="45" t="s">
        <v>212</v>
      </c>
      <c r="D53" s="46" t="s">
        <v>213</v>
      </c>
      <c r="E53" s="45">
        <v>0.85</v>
      </c>
    </row>
    <row r="54" spans="1:5" ht="211.5" thickTop="1" thickBot="1" x14ac:dyDescent="0.3">
      <c r="A54" s="43">
        <v>8</v>
      </c>
      <c r="B54" s="44" t="s">
        <v>214</v>
      </c>
      <c r="C54" s="45" t="s">
        <v>215</v>
      </c>
      <c r="D54" s="46" t="s">
        <v>216</v>
      </c>
      <c r="E54" s="45">
        <v>0.95</v>
      </c>
    </row>
    <row r="55" spans="1:5" ht="91.5" thickTop="1" thickBot="1" x14ac:dyDescent="0.3">
      <c r="A55" s="43">
        <v>9</v>
      </c>
      <c r="B55" s="44" t="s">
        <v>217</v>
      </c>
      <c r="C55" s="45" t="s">
        <v>218</v>
      </c>
      <c r="D55" s="46" t="s">
        <v>219</v>
      </c>
      <c r="E55" s="45">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5">
        <v>1</v>
      </c>
      <c r="C2" s="52" t="s">
        <v>237</v>
      </c>
    </row>
    <row r="3" spans="2:3" x14ac:dyDescent="0.25">
      <c r="B3" s="35">
        <v>2</v>
      </c>
      <c r="C3" s="53" t="s">
        <v>238</v>
      </c>
    </row>
    <row r="4" spans="2:3" x14ac:dyDescent="0.25">
      <c r="B4" s="35">
        <v>3</v>
      </c>
      <c r="C4" s="35" t="s">
        <v>239</v>
      </c>
    </row>
    <row r="5" spans="2:3" x14ac:dyDescent="0.25">
      <c r="B5" s="35">
        <v>4</v>
      </c>
      <c r="C5" s="53" t="s">
        <v>240</v>
      </c>
    </row>
    <row r="6" spans="2:3" x14ac:dyDescent="0.25">
      <c r="B6" s="35">
        <v>5</v>
      </c>
      <c r="C6" s="35" t="s">
        <v>241</v>
      </c>
    </row>
    <row r="7" spans="2:3" ht="30" x14ac:dyDescent="0.25">
      <c r="B7" s="35">
        <v>6</v>
      </c>
      <c r="C7" s="53" t="s">
        <v>242</v>
      </c>
    </row>
    <row r="8" spans="2:3" ht="75" x14ac:dyDescent="0.25">
      <c r="B8" s="35">
        <v>7</v>
      </c>
      <c r="C8" s="53" t="s">
        <v>243</v>
      </c>
    </row>
    <row r="9" spans="2:3" x14ac:dyDescent="0.25">
      <c r="B9" s="35">
        <v>8</v>
      </c>
      <c r="C9" s="35" t="s">
        <v>244</v>
      </c>
    </row>
    <row r="10" spans="2:3" x14ac:dyDescent="0.25">
      <c r="B10" s="35">
        <v>9</v>
      </c>
      <c r="C10" s="35" t="s">
        <v>245</v>
      </c>
    </row>
    <row r="11" spans="2:3" x14ac:dyDescent="0.25">
      <c r="B11" s="35">
        <v>10</v>
      </c>
      <c r="C11" s="35" t="s">
        <v>246</v>
      </c>
    </row>
    <row r="12" spans="2:3" x14ac:dyDescent="0.25">
      <c r="B12" s="35">
        <v>11</v>
      </c>
      <c r="C12" s="35" t="s">
        <v>247</v>
      </c>
    </row>
    <row r="13" spans="2:3" x14ac:dyDescent="0.25">
      <c r="B13" s="35">
        <v>12</v>
      </c>
      <c r="C13" s="35" t="s">
        <v>248</v>
      </c>
    </row>
    <row r="14" spans="2:3" x14ac:dyDescent="0.25">
      <c r="B14" s="35">
        <v>13</v>
      </c>
      <c r="C14" s="35" t="s">
        <v>249</v>
      </c>
    </row>
    <row r="15" spans="2:3" x14ac:dyDescent="0.25">
      <c r="B15" s="35">
        <v>14</v>
      </c>
      <c r="C15" s="35" t="s">
        <v>239</v>
      </c>
    </row>
    <row r="16" spans="2:3" x14ac:dyDescent="0.25">
      <c r="B16" s="35">
        <v>15</v>
      </c>
      <c r="C16" s="35" t="s">
        <v>231</v>
      </c>
    </row>
    <row r="17" spans="2:3" x14ac:dyDescent="0.25">
      <c r="B17" s="54">
        <v>16</v>
      </c>
      <c r="C17" s="55" t="s">
        <v>250</v>
      </c>
    </row>
    <row r="18" spans="2:3" x14ac:dyDescent="0.25">
      <c r="B18" s="56">
        <v>17</v>
      </c>
      <c r="C18" s="55" t="s">
        <v>251</v>
      </c>
    </row>
    <row r="19" spans="2:3" x14ac:dyDescent="0.25">
      <c r="B19" s="57">
        <v>18</v>
      </c>
      <c r="C19" s="35" t="s">
        <v>252</v>
      </c>
    </row>
    <row r="20" spans="2:3" x14ac:dyDescent="0.25">
      <c r="B20" s="56">
        <v>19</v>
      </c>
      <c r="C20" s="35" t="s">
        <v>253</v>
      </c>
    </row>
    <row r="21" spans="2:3" x14ac:dyDescent="0.25">
      <c r="B21" s="35">
        <v>20</v>
      </c>
      <c r="C21" s="35" t="s">
        <v>254</v>
      </c>
    </row>
    <row r="22" spans="2:3" x14ac:dyDescent="0.25">
      <c r="B22" s="56">
        <v>21</v>
      </c>
      <c r="C22" s="35" t="s">
        <v>252</v>
      </c>
    </row>
    <row r="23" spans="2:3" s="59" customFormat="1" ht="30" x14ac:dyDescent="0.25">
      <c r="B23" s="58">
        <v>22</v>
      </c>
      <c r="C23" s="52" t="s">
        <v>255</v>
      </c>
    </row>
    <row r="24" spans="2:3" s="59" customFormat="1" ht="30" x14ac:dyDescent="0.25">
      <c r="B24" s="60">
        <v>23</v>
      </c>
      <c r="C24" s="52" t="s">
        <v>256</v>
      </c>
    </row>
    <row r="25" spans="2:3" x14ac:dyDescent="0.25">
      <c r="B25" s="35">
        <v>24</v>
      </c>
      <c r="C25" s="35" t="s">
        <v>257</v>
      </c>
    </row>
    <row r="26" spans="2:3" x14ac:dyDescent="0.25">
      <c r="B26" s="56">
        <v>25</v>
      </c>
      <c r="C26" s="35" t="s">
        <v>258</v>
      </c>
    </row>
    <row r="27" spans="2:3" x14ac:dyDescent="0.25">
      <c r="B27" s="60">
        <v>26</v>
      </c>
      <c r="C27" s="35" t="s">
        <v>259</v>
      </c>
    </row>
    <row r="28" spans="2:3" x14ac:dyDescent="0.25">
      <c r="B28" s="56">
        <v>27</v>
      </c>
      <c r="C28" s="35" t="s">
        <v>260</v>
      </c>
    </row>
    <row r="29" spans="2:3" ht="60" x14ac:dyDescent="0.25">
      <c r="B29" s="61">
        <v>28</v>
      </c>
      <c r="C29" s="53" t="s">
        <v>261</v>
      </c>
    </row>
    <row r="30" spans="2:3" x14ac:dyDescent="0.25">
      <c r="B30" s="60">
        <v>29</v>
      </c>
      <c r="C30" s="35" t="s">
        <v>262</v>
      </c>
    </row>
    <row r="31" spans="2:3" ht="30" x14ac:dyDescent="0.25">
      <c r="B31" s="60">
        <v>30</v>
      </c>
      <c r="C31" s="53" t="s">
        <v>290</v>
      </c>
    </row>
    <row r="32" spans="2:3" x14ac:dyDescent="0.25">
      <c r="B32" s="60">
        <v>31</v>
      </c>
      <c r="C32" s="35" t="s">
        <v>291</v>
      </c>
    </row>
    <row r="33" spans="2:3" x14ac:dyDescent="0.25">
      <c r="B33" s="60">
        <v>32</v>
      </c>
      <c r="C33" s="35" t="s">
        <v>292</v>
      </c>
    </row>
    <row r="34" spans="2:3" ht="30" x14ac:dyDescent="0.25">
      <c r="B34" s="60">
        <v>33</v>
      </c>
      <c r="C34" s="55" t="s">
        <v>293</v>
      </c>
    </row>
    <row r="35" spans="2:3" x14ac:dyDescent="0.25">
      <c r="B35" s="60">
        <v>34</v>
      </c>
      <c r="C35" s="35"/>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2"/>
    <col min="2" max="2" width="12.28515625" style="62" customWidth="1"/>
    <col min="3" max="16384" width="9.140625" style="62"/>
  </cols>
  <sheetData>
    <row r="2" spans="1:12" x14ac:dyDescent="0.25">
      <c r="B2" s="63" t="s">
        <v>263</v>
      </c>
      <c r="C2" s="215"/>
      <c r="D2" s="215"/>
    </row>
    <row r="3" spans="1:12" x14ac:dyDescent="0.25">
      <c r="D3" s="64"/>
      <c r="E3" s="64"/>
      <c r="F3" s="64"/>
      <c r="G3" s="64"/>
      <c r="H3" s="64"/>
      <c r="I3" s="64"/>
    </row>
    <row r="4" spans="1:12" x14ac:dyDescent="0.25">
      <c r="A4" s="63" t="s">
        <v>264</v>
      </c>
      <c r="B4" s="51" t="s">
        <v>265</v>
      </c>
      <c r="C4" s="216" t="s">
        <v>266</v>
      </c>
      <c r="D4" s="216"/>
      <c r="E4" s="216"/>
      <c r="F4" s="51"/>
      <c r="G4" s="217" t="s">
        <v>267</v>
      </c>
      <c r="H4" s="217"/>
      <c r="I4" s="217"/>
      <c r="J4" s="218" t="s">
        <v>268</v>
      </c>
      <c r="K4" s="218"/>
      <c r="L4" s="218"/>
    </row>
    <row r="5" spans="1:12" x14ac:dyDescent="0.25">
      <c r="A5" s="63"/>
      <c r="B5" s="51"/>
      <c r="C5" s="51" t="s">
        <v>269</v>
      </c>
      <c r="D5" s="51" t="s">
        <v>270</v>
      </c>
      <c r="E5" s="51" t="s">
        <v>271</v>
      </c>
      <c r="F5" s="51"/>
      <c r="G5" s="51" t="s">
        <v>269</v>
      </c>
      <c r="H5" s="51" t="s">
        <v>270</v>
      </c>
      <c r="I5" s="51" t="s">
        <v>271</v>
      </c>
      <c r="J5" s="51" t="s">
        <v>269</v>
      </c>
      <c r="K5" s="51" t="s">
        <v>270</v>
      </c>
      <c r="L5" s="51" t="s">
        <v>271</v>
      </c>
    </row>
    <row r="6" spans="1:12" x14ac:dyDescent="0.25">
      <c r="B6" s="50" t="s">
        <v>272</v>
      </c>
      <c r="C6" s="50"/>
      <c r="D6" s="50"/>
      <c r="E6" s="50">
        <f>C6*D6</f>
        <v>0</v>
      </c>
      <c r="F6" s="50" t="s">
        <v>273</v>
      </c>
      <c r="G6" s="50"/>
      <c r="H6" s="50"/>
      <c r="I6" s="50">
        <f>G6*H6</f>
        <v>0</v>
      </c>
      <c r="J6" s="50"/>
      <c r="K6" s="50"/>
      <c r="L6" s="50">
        <f>J6*K6</f>
        <v>0</v>
      </c>
    </row>
    <row r="7" spans="1:12" x14ac:dyDescent="0.25">
      <c r="B7" s="50"/>
      <c r="C7" s="50"/>
      <c r="D7" s="50"/>
      <c r="E7" s="50">
        <f t="shared" ref="E7:E41" si="0">C7*D7</f>
        <v>0</v>
      </c>
      <c r="F7" s="50" t="s">
        <v>273</v>
      </c>
      <c r="G7" s="50"/>
      <c r="H7" s="50"/>
      <c r="I7" s="50">
        <f t="shared" ref="I7:I35" si="1">G7*H7</f>
        <v>0</v>
      </c>
      <c r="J7" s="50"/>
      <c r="K7" s="50"/>
      <c r="L7" s="50">
        <f t="shared" ref="L7:L35" si="2">J7*K7</f>
        <v>0</v>
      </c>
    </row>
    <row r="8" spans="1:12" x14ac:dyDescent="0.25">
      <c r="B8" s="50"/>
      <c r="C8" s="50"/>
      <c r="D8" s="50"/>
      <c r="E8" s="50">
        <f t="shared" si="0"/>
        <v>0</v>
      </c>
      <c r="F8" s="50"/>
      <c r="G8" s="50"/>
      <c r="H8" s="50"/>
      <c r="I8" s="50">
        <f t="shared" si="1"/>
        <v>0</v>
      </c>
      <c r="J8" s="50"/>
      <c r="K8" s="50"/>
      <c r="L8" s="50">
        <f t="shared" si="2"/>
        <v>0</v>
      </c>
    </row>
    <row r="9" spans="1:12" x14ac:dyDescent="0.25">
      <c r="B9" s="50"/>
      <c r="C9" s="50"/>
      <c r="D9" s="50"/>
      <c r="E9" s="50">
        <f t="shared" si="0"/>
        <v>0</v>
      </c>
      <c r="F9" s="50" t="s">
        <v>274</v>
      </c>
      <c r="G9" s="50"/>
      <c r="H9" s="50"/>
      <c r="I9" s="50">
        <f t="shared" si="1"/>
        <v>0</v>
      </c>
      <c r="J9" s="50"/>
      <c r="K9" s="50"/>
      <c r="L9" s="50">
        <f t="shared" si="2"/>
        <v>0</v>
      </c>
    </row>
    <row r="10" spans="1:12" x14ac:dyDescent="0.25">
      <c r="B10" s="50" t="s">
        <v>275</v>
      </c>
      <c r="C10" s="50"/>
      <c r="D10" s="50"/>
      <c r="E10" s="50">
        <f t="shared" si="0"/>
        <v>0</v>
      </c>
      <c r="F10" s="50" t="s">
        <v>274</v>
      </c>
      <c r="G10" s="50"/>
      <c r="H10" s="50"/>
      <c r="I10" s="50">
        <f t="shared" si="1"/>
        <v>0</v>
      </c>
      <c r="J10" s="50"/>
      <c r="K10" s="50"/>
      <c r="L10" s="50">
        <f t="shared" si="2"/>
        <v>0</v>
      </c>
    </row>
    <row r="11" spans="1:12" x14ac:dyDescent="0.25">
      <c r="B11" s="50"/>
      <c r="C11" s="50"/>
      <c r="D11" s="50"/>
      <c r="E11" s="50">
        <f t="shared" si="0"/>
        <v>0</v>
      </c>
      <c r="F11" s="50" t="s">
        <v>276</v>
      </c>
      <c r="G11" s="50"/>
      <c r="H11" s="50"/>
      <c r="I11" s="50">
        <f t="shared" si="1"/>
        <v>0</v>
      </c>
      <c r="J11" s="50"/>
      <c r="K11" s="50"/>
      <c r="L11" s="50">
        <f t="shared" si="2"/>
        <v>0</v>
      </c>
    </row>
    <row r="12" spans="1:12" x14ac:dyDescent="0.25">
      <c r="B12" s="50"/>
      <c r="C12" s="50"/>
      <c r="D12" s="50"/>
      <c r="E12" s="50">
        <f t="shared" si="0"/>
        <v>0</v>
      </c>
      <c r="F12" s="50"/>
      <c r="G12" s="50"/>
      <c r="H12" s="50"/>
      <c r="I12" s="50">
        <f t="shared" si="1"/>
        <v>0</v>
      </c>
      <c r="J12" s="50"/>
      <c r="K12" s="50"/>
      <c r="L12" s="50">
        <f t="shared" si="2"/>
        <v>0</v>
      </c>
    </row>
    <row r="13" spans="1:12" x14ac:dyDescent="0.25">
      <c r="B13" s="50"/>
      <c r="C13" s="50"/>
      <c r="D13" s="50"/>
      <c r="E13" s="50">
        <f t="shared" si="0"/>
        <v>0</v>
      </c>
      <c r="F13" s="50"/>
      <c r="G13" s="50"/>
      <c r="H13" s="50"/>
      <c r="I13" s="50">
        <f t="shared" si="1"/>
        <v>0</v>
      </c>
      <c r="J13" s="50"/>
      <c r="K13" s="50"/>
      <c r="L13" s="50">
        <f t="shared" si="2"/>
        <v>0</v>
      </c>
    </row>
    <row r="14" spans="1:12" x14ac:dyDescent="0.25">
      <c r="B14" s="50" t="s">
        <v>277</v>
      </c>
      <c r="C14" s="50"/>
      <c r="D14" s="50"/>
      <c r="E14" s="50">
        <f t="shared" si="0"/>
        <v>0</v>
      </c>
      <c r="F14" s="50" t="s">
        <v>274</v>
      </c>
      <c r="G14" s="50"/>
      <c r="H14" s="50"/>
      <c r="I14" s="50">
        <f t="shared" si="1"/>
        <v>0</v>
      </c>
      <c r="J14" s="50"/>
      <c r="K14" s="50"/>
      <c r="L14" s="50">
        <f t="shared" si="2"/>
        <v>0</v>
      </c>
    </row>
    <row r="15" spans="1:12" x14ac:dyDescent="0.25">
      <c r="B15" s="50"/>
      <c r="C15" s="50"/>
      <c r="D15" s="50"/>
      <c r="E15" s="50">
        <f t="shared" si="0"/>
        <v>0</v>
      </c>
      <c r="F15" s="50" t="s">
        <v>276</v>
      </c>
      <c r="G15" s="50"/>
      <c r="H15" s="50"/>
      <c r="I15" s="50">
        <f t="shared" si="1"/>
        <v>0</v>
      </c>
      <c r="J15" s="50"/>
      <c r="K15" s="50"/>
      <c r="L15" s="50">
        <f t="shared" si="2"/>
        <v>0</v>
      </c>
    </row>
    <row r="16" spans="1:12" x14ac:dyDescent="0.25">
      <c r="B16" s="50"/>
      <c r="C16" s="50"/>
      <c r="D16" s="50"/>
      <c r="E16" s="50">
        <f t="shared" si="0"/>
        <v>0</v>
      </c>
      <c r="F16" s="50"/>
      <c r="G16" s="50"/>
      <c r="H16" s="50"/>
      <c r="I16" s="50">
        <f t="shared" si="1"/>
        <v>0</v>
      </c>
      <c r="J16" s="50"/>
      <c r="K16" s="50"/>
      <c r="L16" s="50">
        <f t="shared" si="2"/>
        <v>0</v>
      </c>
    </row>
    <row r="17" spans="2:12" x14ac:dyDescent="0.25">
      <c r="B17" s="50"/>
      <c r="C17" s="50"/>
      <c r="D17" s="50"/>
      <c r="E17" s="50">
        <f t="shared" si="0"/>
        <v>0</v>
      </c>
      <c r="F17" s="50"/>
      <c r="G17" s="50"/>
      <c r="H17" s="50"/>
      <c r="I17" s="50">
        <f t="shared" si="1"/>
        <v>0</v>
      </c>
      <c r="J17" s="50"/>
      <c r="K17" s="50"/>
      <c r="L17" s="50">
        <f t="shared" si="2"/>
        <v>0</v>
      </c>
    </row>
    <row r="18" spans="2:12" x14ac:dyDescent="0.25">
      <c r="B18" s="50" t="s">
        <v>278</v>
      </c>
      <c r="C18" s="50"/>
      <c r="D18" s="50"/>
      <c r="E18" s="50">
        <f t="shared" si="0"/>
        <v>0</v>
      </c>
      <c r="F18" s="50" t="s">
        <v>274</v>
      </c>
      <c r="G18" s="50"/>
      <c r="H18" s="50"/>
      <c r="I18" s="50">
        <f t="shared" si="1"/>
        <v>0</v>
      </c>
      <c r="J18" s="50"/>
      <c r="K18" s="50"/>
      <c r="L18" s="50">
        <f t="shared" si="2"/>
        <v>0</v>
      </c>
    </row>
    <row r="19" spans="2:12" x14ac:dyDescent="0.25">
      <c r="B19" s="50"/>
      <c r="C19" s="50"/>
      <c r="D19" s="50"/>
      <c r="E19" s="50">
        <f t="shared" si="0"/>
        <v>0</v>
      </c>
      <c r="F19" s="50" t="s">
        <v>276</v>
      </c>
      <c r="G19" s="50"/>
      <c r="H19" s="50"/>
      <c r="I19" s="50">
        <f t="shared" si="1"/>
        <v>0</v>
      </c>
      <c r="J19" s="50"/>
      <c r="K19" s="50"/>
      <c r="L19" s="50">
        <f t="shared" si="2"/>
        <v>0</v>
      </c>
    </row>
    <row r="20" spans="2:12" x14ac:dyDescent="0.25">
      <c r="B20" s="50"/>
      <c r="C20" s="50"/>
      <c r="D20" s="50"/>
      <c r="E20" s="50">
        <f t="shared" si="0"/>
        <v>0</v>
      </c>
      <c r="F20" s="50"/>
      <c r="G20" s="50"/>
      <c r="H20" s="50"/>
      <c r="I20" s="50">
        <f t="shared" si="1"/>
        <v>0</v>
      </c>
      <c r="J20" s="50"/>
      <c r="K20" s="50"/>
      <c r="L20" s="50">
        <f t="shared" si="2"/>
        <v>0</v>
      </c>
    </row>
    <row r="21" spans="2:12" x14ac:dyDescent="0.25">
      <c r="B21" s="50" t="s">
        <v>279</v>
      </c>
      <c r="C21" s="50"/>
      <c r="D21" s="50"/>
      <c r="E21" s="50">
        <f t="shared" si="0"/>
        <v>0</v>
      </c>
      <c r="F21" s="50" t="s">
        <v>274</v>
      </c>
      <c r="G21" s="50"/>
      <c r="H21" s="50"/>
      <c r="I21" s="50">
        <f t="shared" si="1"/>
        <v>0</v>
      </c>
      <c r="J21" s="50"/>
      <c r="K21" s="50"/>
      <c r="L21" s="50">
        <f t="shared" si="2"/>
        <v>0</v>
      </c>
    </row>
    <row r="22" spans="2:12" x14ac:dyDescent="0.25">
      <c r="B22" s="50"/>
      <c r="C22" s="50"/>
      <c r="D22" s="50"/>
      <c r="E22" s="50">
        <f t="shared" si="0"/>
        <v>0</v>
      </c>
      <c r="F22" s="50" t="s">
        <v>276</v>
      </c>
      <c r="G22" s="50"/>
      <c r="H22" s="50"/>
      <c r="I22" s="50">
        <f t="shared" si="1"/>
        <v>0</v>
      </c>
      <c r="J22" s="50"/>
      <c r="K22" s="50"/>
      <c r="L22" s="50">
        <f t="shared" si="2"/>
        <v>0</v>
      </c>
    </row>
    <row r="23" spans="2:12" x14ac:dyDescent="0.25">
      <c r="B23" s="50"/>
      <c r="C23" s="50"/>
      <c r="D23" s="50"/>
      <c r="E23" s="50">
        <f t="shared" si="0"/>
        <v>0</v>
      </c>
      <c r="F23" s="50"/>
      <c r="G23" s="50"/>
      <c r="H23" s="50"/>
      <c r="I23" s="50">
        <f t="shared" si="1"/>
        <v>0</v>
      </c>
      <c r="J23" s="50"/>
      <c r="K23" s="50"/>
      <c r="L23" s="50">
        <f t="shared" si="2"/>
        <v>0</v>
      </c>
    </row>
    <row r="24" spans="2:12" x14ac:dyDescent="0.25">
      <c r="B24" s="50" t="s">
        <v>280</v>
      </c>
      <c r="C24" s="50"/>
      <c r="D24" s="50"/>
      <c r="E24" s="50">
        <f t="shared" si="0"/>
        <v>0</v>
      </c>
      <c r="F24" s="50" t="s">
        <v>281</v>
      </c>
      <c r="G24" s="50"/>
      <c r="H24" s="50"/>
      <c r="I24" s="50">
        <f t="shared" si="1"/>
        <v>0</v>
      </c>
      <c r="J24" s="50"/>
      <c r="K24" s="50"/>
      <c r="L24" s="50">
        <f t="shared" si="2"/>
        <v>0</v>
      </c>
    </row>
    <row r="25" spans="2:12" x14ac:dyDescent="0.25">
      <c r="B25" s="50"/>
      <c r="C25" s="50"/>
      <c r="D25" s="50"/>
      <c r="E25" s="50">
        <f t="shared" si="0"/>
        <v>0</v>
      </c>
      <c r="F25" s="50" t="s">
        <v>281</v>
      </c>
      <c r="G25" s="50"/>
      <c r="H25" s="50"/>
      <c r="I25" s="50">
        <f t="shared" si="1"/>
        <v>0</v>
      </c>
      <c r="J25" s="50"/>
      <c r="K25" s="50"/>
      <c r="L25" s="50">
        <f t="shared" si="2"/>
        <v>0</v>
      </c>
    </row>
    <row r="26" spans="2:12" x14ac:dyDescent="0.25">
      <c r="B26" s="50"/>
      <c r="C26" s="50"/>
      <c r="D26" s="50"/>
      <c r="E26" s="50">
        <f t="shared" si="0"/>
        <v>0</v>
      </c>
      <c r="F26" s="50" t="s">
        <v>281</v>
      </c>
      <c r="G26" s="50"/>
      <c r="H26" s="50"/>
      <c r="I26" s="50">
        <f t="shared" si="1"/>
        <v>0</v>
      </c>
      <c r="J26" s="50"/>
      <c r="K26" s="50"/>
      <c r="L26" s="50">
        <f t="shared" si="2"/>
        <v>0</v>
      </c>
    </row>
    <row r="27" spans="2:12" x14ac:dyDescent="0.25">
      <c r="B27" s="50"/>
      <c r="C27" s="50"/>
      <c r="D27" s="50"/>
      <c r="E27" s="50">
        <f t="shared" si="0"/>
        <v>0</v>
      </c>
      <c r="F27" s="50" t="s">
        <v>281</v>
      </c>
      <c r="G27" s="50"/>
      <c r="H27" s="50"/>
      <c r="I27" s="50">
        <f t="shared" si="1"/>
        <v>0</v>
      </c>
      <c r="J27" s="50"/>
      <c r="K27" s="50"/>
      <c r="L27" s="50">
        <f t="shared" si="2"/>
        <v>0</v>
      </c>
    </row>
    <row r="28" spans="2:12" x14ac:dyDescent="0.25">
      <c r="B28" s="50" t="s">
        <v>282</v>
      </c>
      <c r="C28" s="50"/>
      <c r="D28" s="50"/>
      <c r="E28" s="50">
        <f t="shared" si="0"/>
        <v>0</v>
      </c>
      <c r="F28" s="50" t="s">
        <v>281</v>
      </c>
      <c r="G28" s="50"/>
      <c r="H28" s="50"/>
      <c r="I28" s="50">
        <f t="shared" si="1"/>
        <v>0</v>
      </c>
      <c r="J28" s="50"/>
      <c r="K28" s="50"/>
      <c r="L28" s="50">
        <f t="shared" si="2"/>
        <v>0</v>
      </c>
    </row>
    <row r="29" spans="2:12" x14ac:dyDescent="0.25">
      <c r="B29" s="50" t="s">
        <v>283</v>
      </c>
      <c r="C29" s="50"/>
      <c r="D29" s="50"/>
      <c r="E29" s="50">
        <f t="shared" si="0"/>
        <v>0</v>
      </c>
      <c r="F29" s="50" t="s">
        <v>281</v>
      </c>
      <c r="G29" s="50"/>
      <c r="H29" s="50"/>
      <c r="I29" s="50">
        <f t="shared" si="1"/>
        <v>0</v>
      </c>
      <c r="J29" s="50"/>
      <c r="K29" s="50"/>
      <c r="L29" s="50">
        <f t="shared" si="2"/>
        <v>0</v>
      </c>
    </row>
    <row r="30" spans="2:12" x14ac:dyDescent="0.25">
      <c r="B30" s="50" t="s">
        <v>284</v>
      </c>
      <c r="C30" s="50"/>
      <c r="D30" s="50"/>
      <c r="E30" s="50">
        <f t="shared" si="0"/>
        <v>0</v>
      </c>
      <c r="F30" s="50"/>
      <c r="G30" s="50"/>
      <c r="H30" s="50"/>
      <c r="I30" s="50">
        <f t="shared" si="1"/>
        <v>0</v>
      </c>
      <c r="J30" s="50"/>
      <c r="K30" s="50"/>
      <c r="L30" s="50">
        <f t="shared" si="2"/>
        <v>0</v>
      </c>
    </row>
    <row r="31" spans="2:12" x14ac:dyDescent="0.25">
      <c r="B31" s="50"/>
      <c r="C31" s="50"/>
      <c r="D31" s="50"/>
      <c r="E31" s="50">
        <f t="shared" si="0"/>
        <v>0</v>
      </c>
      <c r="F31" s="50"/>
      <c r="G31" s="50"/>
      <c r="H31" s="50"/>
      <c r="I31" s="50">
        <f t="shared" si="1"/>
        <v>0</v>
      </c>
      <c r="J31" s="50"/>
      <c r="K31" s="50"/>
      <c r="L31" s="50">
        <f t="shared" si="2"/>
        <v>0</v>
      </c>
    </row>
    <row r="32" spans="2:12" x14ac:dyDescent="0.25">
      <c r="B32" s="50"/>
      <c r="C32" s="50"/>
      <c r="D32" s="50"/>
      <c r="E32" s="50">
        <f t="shared" si="0"/>
        <v>0</v>
      </c>
      <c r="F32" s="50"/>
      <c r="G32" s="50"/>
      <c r="H32" s="50"/>
      <c r="I32" s="50">
        <f t="shared" si="1"/>
        <v>0</v>
      </c>
      <c r="J32" s="50"/>
      <c r="K32" s="50"/>
      <c r="L32" s="50">
        <f t="shared" si="2"/>
        <v>0</v>
      </c>
    </row>
    <row r="33" spans="2:12" x14ac:dyDescent="0.25">
      <c r="B33" s="50" t="s">
        <v>285</v>
      </c>
      <c r="C33" s="50"/>
      <c r="D33" s="50"/>
      <c r="E33" s="50">
        <f t="shared" si="0"/>
        <v>0</v>
      </c>
      <c r="F33" s="50"/>
      <c r="G33" s="50"/>
      <c r="H33" s="50"/>
      <c r="I33" s="50">
        <f t="shared" si="1"/>
        <v>0</v>
      </c>
      <c r="J33" s="50"/>
      <c r="K33" s="50"/>
      <c r="L33" s="50">
        <f t="shared" si="2"/>
        <v>0</v>
      </c>
    </row>
    <row r="34" spans="2:12" x14ac:dyDescent="0.25">
      <c r="B34" s="50" t="s">
        <v>286</v>
      </c>
      <c r="C34" s="50"/>
      <c r="D34" s="50"/>
      <c r="E34" s="50">
        <f t="shared" si="0"/>
        <v>0</v>
      </c>
      <c r="F34" s="50"/>
      <c r="G34" s="50"/>
      <c r="H34" s="50"/>
      <c r="I34" s="50">
        <f t="shared" si="1"/>
        <v>0</v>
      </c>
      <c r="J34" s="50"/>
      <c r="K34" s="50"/>
      <c r="L34" s="50">
        <f t="shared" si="2"/>
        <v>0</v>
      </c>
    </row>
    <row r="35" spans="2:12" x14ac:dyDescent="0.25">
      <c r="B35" s="50" t="s">
        <v>287</v>
      </c>
      <c r="C35" s="50"/>
      <c r="D35" s="50"/>
      <c r="E35" s="50">
        <f t="shared" si="0"/>
        <v>0</v>
      </c>
      <c r="F35" s="50"/>
      <c r="G35" s="50"/>
      <c r="H35" s="50"/>
      <c r="I35" s="50">
        <f t="shared" si="1"/>
        <v>0</v>
      </c>
      <c r="J35" s="50"/>
      <c r="K35" s="50"/>
      <c r="L35" s="50">
        <f t="shared" si="2"/>
        <v>0</v>
      </c>
    </row>
    <row r="36" spans="2:12" x14ac:dyDescent="0.25">
      <c r="B36" s="50" t="s">
        <v>288</v>
      </c>
      <c r="C36" s="50"/>
      <c r="D36" s="50"/>
      <c r="E36" s="50">
        <f t="shared" si="0"/>
        <v>0</v>
      </c>
      <c r="F36" s="50"/>
      <c r="G36" s="50"/>
      <c r="H36" s="50"/>
      <c r="I36" s="50">
        <f>G36*H36</f>
        <v>0</v>
      </c>
      <c r="J36" s="50"/>
      <c r="K36" s="50"/>
      <c r="L36" s="50">
        <f>J36*K36</f>
        <v>0</v>
      </c>
    </row>
    <row r="37" spans="2:12" x14ac:dyDescent="0.25">
      <c r="B37" s="50"/>
      <c r="C37" s="50"/>
      <c r="D37" s="50"/>
      <c r="E37" s="50">
        <f t="shared" si="0"/>
        <v>0</v>
      </c>
      <c r="F37" s="50"/>
      <c r="G37" s="50"/>
      <c r="H37" s="50"/>
      <c r="I37" s="50">
        <f t="shared" ref="I37:I38" si="3">G37*H37</f>
        <v>0</v>
      </c>
      <c r="J37" s="50"/>
      <c r="K37" s="50"/>
      <c r="L37" s="50">
        <f t="shared" ref="L37:L38" si="4">J37*K37</f>
        <v>0</v>
      </c>
    </row>
    <row r="38" spans="2:12" x14ac:dyDescent="0.25">
      <c r="B38" s="50" t="s">
        <v>289</v>
      </c>
      <c r="C38" s="50"/>
      <c r="D38" s="50"/>
      <c r="E38" s="50">
        <f t="shared" si="0"/>
        <v>0</v>
      </c>
      <c r="F38" s="50"/>
      <c r="G38" s="50"/>
      <c r="H38" s="50"/>
      <c r="I38" s="50">
        <f t="shared" si="3"/>
        <v>0</v>
      </c>
      <c r="J38" s="50"/>
      <c r="K38" s="50"/>
      <c r="L38" s="50">
        <f t="shared" si="4"/>
        <v>0</v>
      </c>
    </row>
    <row r="39" spans="2:12" x14ac:dyDescent="0.25">
      <c r="B39" s="50"/>
      <c r="C39" s="50"/>
      <c r="D39" s="50"/>
      <c r="E39" s="50">
        <f t="shared" si="0"/>
        <v>0</v>
      </c>
      <c r="F39" s="50"/>
      <c r="G39" s="50"/>
      <c r="H39" s="50"/>
      <c r="I39" s="50">
        <f>G39*H39</f>
        <v>0</v>
      </c>
      <c r="J39" s="50"/>
      <c r="K39" s="50"/>
      <c r="L39" s="50">
        <f>J39*K39</f>
        <v>0</v>
      </c>
    </row>
    <row r="40" spans="2:12" x14ac:dyDescent="0.25">
      <c r="B40" s="50"/>
      <c r="C40" s="50"/>
      <c r="D40" s="50"/>
      <c r="E40" s="50">
        <f t="shared" si="0"/>
        <v>0</v>
      </c>
      <c r="F40" s="50"/>
      <c r="G40" s="50"/>
      <c r="H40" s="50"/>
      <c r="I40" s="50">
        <f>G40*H40</f>
        <v>0</v>
      </c>
      <c r="J40" s="50"/>
      <c r="K40" s="50"/>
      <c r="L40" s="50">
        <f>J40*K40</f>
        <v>0</v>
      </c>
    </row>
    <row r="41" spans="2:12" x14ac:dyDescent="0.25">
      <c r="B41" s="50"/>
      <c r="C41" s="50"/>
      <c r="D41" s="50"/>
      <c r="E41" s="50">
        <f t="shared" si="0"/>
        <v>0</v>
      </c>
      <c r="F41" s="50"/>
      <c r="G41" s="50"/>
      <c r="H41" s="50"/>
      <c r="I41" s="50">
        <f>G41*H41</f>
        <v>0</v>
      </c>
      <c r="J41" s="50"/>
      <c r="K41" s="50"/>
      <c r="L41" s="50">
        <f>J41*K41</f>
        <v>0</v>
      </c>
    </row>
    <row r="42" spans="2:12" x14ac:dyDescent="0.25">
      <c r="B42" s="50" t="s">
        <v>148</v>
      </c>
      <c r="C42" s="50"/>
      <c r="D42" s="50">
        <f>E42*10.764</f>
        <v>0</v>
      </c>
      <c r="E42" s="65">
        <f>SUM(E6:E41)</f>
        <v>0</v>
      </c>
      <c r="F42" s="50"/>
      <c r="G42" s="50"/>
      <c r="H42" s="50">
        <f>I42*10.764</f>
        <v>0</v>
      </c>
      <c r="I42" s="66">
        <f>SUM(I6:I41)</f>
        <v>0</v>
      </c>
      <c r="J42" s="50"/>
      <c r="K42" s="50">
        <f>L42*10.764</f>
        <v>0</v>
      </c>
      <c r="L42" s="67">
        <f>SUM(L6:L41)</f>
        <v>0</v>
      </c>
    </row>
    <row r="44" spans="2:12" x14ac:dyDescent="0.25">
      <c r="D44" s="62">
        <f>D42+H42</f>
        <v>0</v>
      </c>
      <c r="E44" s="6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2025-07-30T08:59:59Z</cp:lastPrinted>
  <dcterms:created xsi:type="dcterms:W3CDTF">2010-11-23T11:42:48Z</dcterms:created>
  <dcterms:modified xsi:type="dcterms:W3CDTF">2025-09-22T10:01:24Z</dcterms:modified>
</cp:coreProperties>
</file>