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sjadon\common drive\APF\25-26\July 2025\AXIS\Update\Saurav\15772- Matunga Wing B\"/>
    </mc:Choice>
  </mc:AlternateContent>
  <bookViews>
    <workbookView xWindow="0" yWindow="0" windowWidth="20490" windowHeight="7320" tabRatio="725"/>
  </bookViews>
  <sheets>
    <sheet name="Report" sheetId="1" r:id="rId1"/>
    <sheet name="valuation" sheetId="5" r:id="rId2"/>
    <sheet name="Research" sheetId="4" r:id="rId3"/>
  </sheets>
  <definedNames>
    <definedName name="_xlnm._FilterDatabase" localSheetId="0" hidden="1">Report!$A$1:$P$119</definedName>
    <definedName name="_xlnm.Print_Area" localSheetId="0">Report!$A$1:$H$341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8" i="1" l="1"/>
  <c r="C16" i="1" l="1"/>
  <c r="C84" i="1"/>
  <c r="C86" i="1" s="1"/>
  <c r="G183" i="1" l="1"/>
  <c r="G181" i="1"/>
  <c r="E181" i="1"/>
  <c r="D181" i="1"/>
  <c r="E183" i="1"/>
  <c r="D183" i="1"/>
  <c r="F183" i="1" s="1"/>
  <c r="H183" i="1" s="1"/>
  <c r="E167" i="1"/>
  <c r="C91" i="1" l="1"/>
  <c r="C77" i="1"/>
  <c r="I174" i="1"/>
  <c r="F181" i="1"/>
  <c r="H181" i="1" s="1"/>
  <c r="E176" i="1"/>
  <c r="D176" i="1"/>
  <c r="E175" i="1"/>
  <c r="D175" i="1"/>
  <c r="E178" i="1"/>
  <c r="D178" i="1"/>
  <c r="E172" i="1"/>
  <c r="D172" i="1"/>
  <c r="E170" i="1"/>
  <c r="D170" i="1"/>
  <c r="E169" i="1"/>
  <c r="D169" i="1"/>
  <c r="D167" i="1"/>
  <c r="I161" i="1"/>
  <c r="I127" i="1"/>
  <c r="I168" i="1"/>
  <c r="I166" i="1"/>
  <c r="I171" i="1"/>
  <c r="I177" i="1"/>
  <c r="I180" i="1"/>
  <c r="A176" i="1"/>
  <c r="A179" i="1"/>
  <c r="A173" i="1"/>
  <c r="A170" i="1"/>
  <c r="F167" i="1" l="1"/>
  <c r="C123" i="1"/>
  <c r="F175" i="1"/>
  <c r="H175" i="1" s="1"/>
  <c r="F170" i="1"/>
  <c r="H170" i="1" s="1"/>
  <c r="F178" i="1"/>
  <c r="H178" i="1" s="1"/>
  <c r="F176" i="1"/>
  <c r="H176" i="1" s="1"/>
  <c r="F169" i="1"/>
  <c r="H169" i="1" s="1"/>
  <c r="F172" i="1"/>
  <c r="H172" i="1" s="1"/>
  <c r="H167" i="1" l="1"/>
  <c r="G123" i="1" s="1"/>
  <c r="E123" i="1"/>
  <c r="D65" i="1"/>
  <c r="I65" i="1"/>
  <c r="I44" i="1" l="1"/>
  <c r="I45" i="1" s="1"/>
  <c r="M45" i="1"/>
  <c r="M46" i="1"/>
  <c r="C85" i="1" l="1"/>
  <c r="D142" i="1" l="1"/>
  <c r="A142" i="1"/>
  <c r="K141" i="1"/>
  <c r="G141" i="1"/>
  <c r="D141" i="1"/>
  <c r="F141" i="1" s="1"/>
  <c r="J141" i="1" s="1"/>
  <c r="F142" i="1" l="1"/>
  <c r="K142" i="1" s="1"/>
  <c r="A197" i="1"/>
  <c r="A198" i="1" s="1"/>
  <c r="A199" i="1" s="1"/>
  <c r="K144" i="1"/>
  <c r="G156" i="1"/>
  <c r="D156" i="1"/>
  <c r="F156" i="1" s="1"/>
  <c r="D148" i="1"/>
  <c r="F148" i="1" s="1"/>
  <c r="J148" i="1" s="1"/>
  <c r="A148" i="1"/>
  <c r="G147" i="1"/>
  <c r="D147" i="1"/>
  <c r="F147" i="1" s="1"/>
  <c r="J147" i="1" s="1"/>
  <c r="D145" i="1"/>
  <c r="F145" i="1" s="1"/>
  <c r="J145" i="1" s="1"/>
  <c r="A145" i="1"/>
  <c r="G144" i="1"/>
  <c r="D144" i="1"/>
  <c r="F144" i="1" s="1"/>
  <c r="J144" i="1" s="1"/>
  <c r="D139" i="1"/>
  <c r="F139" i="1" s="1"/>
  <c r="A139" i="1"/>
  <c r="G138" i="1"/>
  <c r="D138" i="1"/>
  <c r="F138" i="1" s="1"/>
  <c r="D151" i="1"/>
  <c r="F151" i="1" s="1"/>
  <c r="A151" i="1"/>
  <c r="G150" i="1"/>
  <c r="D150" i="1"/>
  <c r="F150" i="1" s="1"/>
  <c r="J142" i="1" l="1"/>
  <c r="I135" i="1"/>
  <c r="J135" i="1"/>
  <c r="J136" i="1"/>
  <c r="K136" i="1"/>
  <c r="K135" i="1"/>
  <c r="L135" i="1" l="1"/>
  <c r="G159" i="1"/>
  <c r="D159" i="1"/>
  <c r="F159" i="1" s="1"/>
  <c r="I136" i="1"/>
  <c r="D135" i="1"/>
  <c r="D136" i="1"/>
  <c r="D153" i="1"/>
  <c r="E122" i="1" l="1"/>
  <c r="E124" i="1" s="1"/>
  <c r="C122" i="1"/>
  <c r="C124" i="1" s="1"/>
  <c r="E7" i="1"/>
  <c r="Z13" i="1" l="1"/>
  <c r="I15" i="1"/>
  <c r="F135" i="1" l="1"/>
  <c r="E44" i="1" l="1"/>
  <c r="E45" i="1" s="1"/>
  <c r="E31" i="1" l="1"/>
  <c r="F136" i="1" l="1"/>
  <c r="A136" i="1"/>
  <c r="G135" i="1"/>
  <c r="F119" i="1" l="1"/>
  <c r="B187" i="1" l="1"/>
  <c r="F153" i="1" l="1"/>
  <c r="G122" i="1" s="1"/>
  <c r="G124" i="1" s="1"/>
  <c r="F11" i="5" l="1"/>
  <c r="G11" i="5" s="1"/>
  <c r="F10" i="5"/>
  <c r="G10" i="5" s="1"/>
  <c r="F9" i="5"/>
  <c r="G9" i="5" s="1"/>
  <c r="F8" i="5"/>
  <c r="G8" i="5" s="1"/>
  <c r="F7" i="5"/>
  <c r="G7" i="5" s="1"/>
  <c r="F6" i="5"/>
  <c r="G6" i="5" s="1"/>
  <c r="F5" i="5"/>
  <c r="G5" i="5" s="1"/>
  <c r="G12" i="5" s="1"/>
  <c r="D217" i="1"/>
  <c r="G153" i="1"/>
  <c r="B78" i="1"/>
  <c r="C58" i="1"/>
  <c r="E28" i="1"/>
  <c r="E26" i="1"/>
  <c r="E3" i="1"/>
  <c r="D71" i="1" l="1"/>
  <c r="H78" i="1"/>
  <c r="D90" i="1" l="1"/>
  <c r="D88" i="1"/>
  <c r="D87" i="1"/>
  <c r="D84" i="1"/>
  <c r="D86" i="1"/>
  <c r="J83" i="1"/>
  <c r="J84" i="1" s="1"/>
  <c r="J89" i="1" s="1"/>
  <c r="D89" i="1"/>
  <c r="J77" i="1"/>
  <c r="J79" i="1" s="1"/>
  <c r="D85" i="1"/>
  <c r="J81" i="1"/>
  <c r="J82" i="1"/>
  <c r="C81" i="1" s="1"/>
  <c r="J80" i="1"/>
  <c r="D83" i="1"/>
  <c r="B92" i="1" l="1"/>
  <c r="J85" i="1"/>
  <c r="D81" i="1"/>
  <c r="H92" i="1"/>
  <c r="D104" i="1" l="1"/>
  <c r="D102" i="1"/>
  <c r="D100" i="1"/>
  <c r="D97" i="1"/>
  <c r="J95" i="1"/>
  <c r="D101" i="1"/>
  <c r="D99" i="1"/>
  <c r="J96" i="1"/>
  <c r="C95" i="1" s="1"/>
  <c r="J94" i="1"/>
  <c r="J91" i="1"/>
  <c r="J93" i="1" s="1"/>
  <c r="D103" i="1"/>
  <c r="D98" i="1"/>
  <c r="J102" i="1"/>
  <c r="J97" i="1"/>
  <c r="J98" i="1" s="1"/>
  <c r="J103" i="1" s="1"/>
  <c r="J101" i="1"/>
  <c r="J86" i="1"/>
  <c r="J99" i="1" l="1"/>
  <c r="J100" i="1" s="1"/>
  <c r="D95" i="1"/>
  <c r="J87" i="1"/>
  <c r="J88" i="1" s="1"/>
  <c r="J90" i="1"/>
  <c r="C82" i="1" s="1"/>
  <c r="E81" i="1" s="1"/>
  <c r="J104" i="1" l="1"/>
  <c r="C96" i="1" s="1"/>
  <c r="E95" i="1" s="1"/>
  <c r="J78" i="1"/>
  <c r="G81" i="1"/>
  <c r="D75" i="1" s="1"/>
  <c r="D76" i="1" s="1"/>
  <c r="D82" i="1"/>
  <c r="I78" i="1" s="1"/>
  <c r="I79" i="1" s="1"/>
  <c r="D96" i="1" l="1"/>
  <c r="I92" i="1" s="1"/>
  <c r="I93" i="1" s="1"/>
  <c r="J92" i="1"/>
  <c r="G95" i="1"/>
  <c r="F76" i="1"/>
  <c r="I77" i="1"/>
  <c r="C79" i="1" s="1"/>
  <c r="I91" i="1" l="1"/>
  <c r="C93" i="1" s="1"/>
</calcChain>
</file>

<file path=xl/comments1.xml><?xml version="1.0" encoding="utf-8"?>
<comments xmlns="http://schemas.openxmlformats.org/spreadsheetml/2006/main">
  <authors>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D6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<sst xmlns="http://schemas.openxmlformats.org/spreadsheetml/2006/main" count="524" uniqueCount="357">
  <si>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</si>
  <si>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</si>
  <si>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</si>
  <si>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</si>
  <si>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</si>
  <si>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</si>
  <si>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</si>
  <si>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</si>
  <si>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</si>
  <si>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</si>
  <si>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</si>
  <si>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</si>
  <si>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</si>
  <si>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</si>
  <si>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</si>
  <si>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</si>
  <si>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</si>
  <si>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</si>
  <si>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</si>
  <si>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</si>
  <si>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</si>
  <si>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</si>
  <si>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</si>
  <si>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</si>
  <si>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</si>
  <si>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</si>
  <si>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</si>
  <si>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</si>
  <si>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</si>
  <si>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</si>
  <si>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</si>
  <si>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</si>
  <si>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</si>
  <si>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</si>
  <si>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</si>
  <si>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</si>
  <si>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</si>
  <si>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</si>
  <si>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</si>
  <si>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</si>
  <si>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</si>
  <si>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</si>
  <si>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</si>
  <si>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</si>
  <si>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</si>
  <si>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</si>
  <si>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</si>
  <si>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</si>
  <si>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</si>
  <si>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</si>
  <si>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</si>
  <si>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</si>
  <si>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</si>
  <si>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</si>
  <si>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</si>
  <si>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</si>
  <si>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</si>
  <si>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</si>
  <si>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</si>
  <si>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</si>
  <si>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</si>
  <si>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</si>
  <si>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</si>
  <si>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</si>
  <si>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</si>
  <si>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</si>
  <si>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</si>
  <si>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</si>
  <si>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</si>
  <si>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</si>
  <si>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</si>
  <si>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</si>
  <si>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</si>
  <si>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</si>
  <si>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</si>
  <si>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</si>
  <si>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</si>
  <si>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</si>
  <si>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</si>
  <si>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</si>
  <si>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</si>
  <si>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</si>
  <si>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</si>
  <si>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</si>
  <si>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</si>
  <si>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</si>
  <si>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</si>
  <si>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</si>
  <si>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</si>
  <si>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</si>
  <si>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</si>
  <si>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</si>
  <si>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</si>
  <si>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</si>
  <si>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</si>
  <si>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</si>
  <si>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</si>
  <si>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</si>
  <si>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</si>
  <si>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</si>
  <si>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</si>
  <si>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</si>
  <si>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</si>
  <si>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</si>
  <si>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</si>
  <si>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</si>
  <si>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</si>
  <si>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</si>
  <si>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</si>
  <si>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</si>
  <si>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</si>
  <si>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</si>
  <si>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</si>
  <si>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</si>
  <si>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</si>
  <si>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</si>
  <si>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</si>
  <si>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</si>
  <si>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</si>
  <si>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</si>
  <si>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</si>
  <si>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</si>
  <si>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</si>
  <si>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</si>
  <si>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</si>
  <si>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</si>
  <si>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</si>
  <si>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</si>
  <si>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</si>
  <si>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</si>
  <si>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</si>
  <si>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</si>
  <si>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</si>
  <si>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</si>
  <si>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</si>
  <si>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</si>
  <si>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</si>
  <si>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</si>
  <si>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</si>
  <si>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</si>
  <si>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</si>
  <si>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</si>
  <si>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</si>
  <si>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</si>
  <si>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</si>
  <si>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</si>
  <si>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</si>
  <si>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</si>
  <si>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</si>
  <si>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</si>
  <si>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</si>
  <si>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</si>
  <si>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</si>
  <si>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</si>
  <si>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</si>
  <si>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</si>
  <si>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</si>
  <si>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</si>
  <si>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</si>
  <si>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</si>
  <si>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</si>
  <si>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</si>
  <si>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</si>
  <si>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</si>
  <si>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</si>
  <si>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</si>
  <si>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</si>
  <si>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</si>
  <si>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</si>
  <si>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</si>
  <si>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</si>
  <si>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</si>
  <si>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</si>
  <si>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</si>
  <si>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</si>
  <si>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</si>
  <si>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</si>
  <si>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</si>
  <si>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</si>
  <si>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</si>
  <si>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</si>
  <si>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</si>
  <si>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</si>
  <si>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</si>
  <si>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</si>
  <si>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</si>
  <si>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</si>
  <si>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</si>
  <si>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</si>
  <si>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</si>
  <si>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</si>
  <si>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</si>
  <si>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</si>
  <si>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</si>
  <si>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</si>
  <si>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</si>
  <si>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</si>
  <si>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</si>
  <si>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</si>
  <si>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</si>
  <si>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</si>
  <si>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</si>
  <si>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</si>
  <si>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</si>
  <si>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</si>
  <si>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</si>
  <si>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</si>
  <si>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</si>
  <si>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</si>
  <si>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</si>
  <si>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</si>
  <si>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</si>
  <si>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</si>
  <si>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</si>
  <si>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</si>
  <si>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</si>
  <si>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</si>
  <si>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</si>
  <si>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</si>
  <si>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</si>
  <si>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</si>
  <si>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</si>
  <si>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Commencement-CC No</t>
  </si>
  <si>
    <t xml:space="preserve">Valid Up to: </t>
  </si>
  <si>
    <r>
      <t xml:space="preserve">Proposed Amenities :                                                                                                                                                                                                                         </t>
    </r>
    <r>
      <rPr>
        <b/>
        <sz val="12"/>
        <rFont val="Times New Roman"/>
        <family val="1"/>
      </rPr>
      <t xml:space="preserve">                                               </t>
    </r>
  </si>
  <si>
    <t>Axis Thane</t>
  </si>
  <si>
    <t>Locality/Village</t>
  </si>
  <si>
    <t>Macrotech Developers Limited</t>
  </si>
  <si>
    <t>Mr. Rajendra Giri 9820248856</t>
  </si>
  <si>
    <t>CTS No</t>
  </si>
  <si>
    <t>Bhaudaji Road</t>
  </si>
  <si>
    <t>19.034173,72.858443</t>
  </si>
  <si>
    <t>https://goo.gl/maps/3fuVKzYDqHgwskZQ7</t>
  </si>
  <si>
    <t>Sion Hospital colony</t>
  </si>
  <si>
    <t>Sion East</t>
  </si>
  <si>
    <t>Midas CHS</t>
  </si>
  <si>
    <t>Mumbai Fnorth Ward</t>
  </si>
  <si>
    <t>1.30KM from Kings Circle Railway Station</t>
  </si>
  <si>
    <t>Vishramwadi</t>
  </si>
  <si>
    <t>9.00 M. Wide Road</t>
  </si>
  <si>
    <t>Other Plot</t>
  </si>
  <si>
    <t>Waterfront RMC Sion</t>
  </si>
  <si>
    <t>Shree Manav Seva Sangh Building</t>
  </si>
  <si>
    <t>Municipal Corporation Of Greater Mumbai (MCGM)</t>
  </si>
  <si>
    <t>CC upto plinth level, as per IOD Plans Dt. 06.07.2023(Building No. 5 Sale building i.e T-10) is approved</t>
  </si>
  <si>
    <t>https://www.lodhagroup.in/projects/campaigns/lodha-matunga-bhaudaji-road/?gclid=Cj0KCQjwmICoBhDxARIsABXkXlIZRCZXnXys-pYU2hyfmyvxmt0_L8XfYgc9GX_swVZLcNoURbsnjrIaAqajEALw_wcB</t>
  </si>
  <si>
    <t>3rd to 1st Basement Floor For Parking</t>
  </si>
  <si>
    <t>6(PT), Redevelopment of "Barracks No. T/57, T/58, T59"</t>
  </si>
  <si>
    <t>1st Floor For Fitness Center</t>
  </si>
  <si>
    <t>2nd (Service) Floor For Service Area</t>
  </si>
  <si>
    <t>4BHK</t>
  </si>
  <si>
    <t>3BHK</t>
  </si>
  <si>
    <t>Refuge area</t>
  </si>
  <si>
    <t>5BHK</t>
  </si>
  <si>
    <t xml:space="preserve">Details of Residential in Building   </t>
  </si>
  <si>
    <t>Remark</t>
  </si>
  <si>
    <t>P-16597/2023/6(PT)/F/North/
SION/337/1/New</t>
  </si>
  <si>
    <t>P-16597/2023/(6(PT))/F/North/
SION/CC/1/New</t>
  </si>
  <si>
    <t>Name from CC</t>
  </si>
  <si>
    <t>Swimming pool, Large sports lawn, Alfresco Terrace, Walking track, Children’s play area, Gym, Party hall, Indoor games, etc.</t>
  </si>
  <si>
    <t>Building Name as per Rera Tower A, As per C.C. Building No. 5 T10 &amp; As per Approved plan T-10 Wing G.</t>
  </si>
  <si>
    <t>BUILDING - SALE (T10) 3 BESHMENT+ GROUND FLOOR+ 35TH FLOOR</t>
  </si>
  <si>
    <t>Lodha Sales Office/Rehab-1(r1) Building/Bhaudaji Rd</t>
  </si>
  <si>
    <t>Internal Road/Open Plot</t>
  </si>
  <si>
    <t>3rd to 6th, 8th to 12th Floor For Residential</t>
  </si>
  <si>
    <t>13th Floor (14th Floor as per Builder)</t>
  </si>
  <si>
    <t>22nd to 27th Floor (23rd to 28th Floor as per Builder)</t>
  </si>
  <si>
    <t xml:space="preserve"> 29th to 35th Floor (30th to 36th Floor as per Builder)</t>
  </si>
  <si>
    <t>7th Floor (Part Refuge Area)</t>
  </si>
  <si>
    <t>14th &amp; 21st Floor (15th &amp; 22nd Floor as per Builder) (Part Refuge Area)</t>
  </si>
  <si>
    <t>28th Floor (29th Floor as per Builder) (Part Refuge Area)</t>
  </si>
  <si>
    <t>Ground Floor For Entrance Lobby, Fire Control Room, BMS Room, Conference Room, Panel Area, Meter Room, Yoga/Meditation Room, Community Hall &amp; Parking</t>
  </si>
  <si>
    <t>(3RD TO 6TH, 8TH TO 13TH,15TH TO 20TH, 22ND TO 27TH &amp; 29TH TO 35TH FLOOR)</t>
  </si>
  <si>
    <t>Lodha Site</t>
  </si>
  <si>
    <t>28500 to 31000</t>
  </si>
  <si>
    <t>8L to 15L</t>
  </si>
  <si>
    <t>Building Name</t>
  </si>
  <si>
    <t>Refrence</t>
  </si>
  <si>
    <t>Rera</t>
  </si>
  <si>
    <t>CC</t>
  </si>
  <si>
    <t>Approved Plan</t>
  </si>
  <si>
    <t>Lodha Matunga (Tower A)</t>
  </si>
  <si>
    <t>Building No. 5 T10</t>
  </si>
  <si>
    <t>T-10 Wing G.</t>
  </si>
  <si>
    <t>Lodha Vero</t>
  </si>
  <si>
    <t>Bellissimo Matunga</t>
  </si>
  <si>
    <t>16th to 20th Floor (17th to 21st Floor as per Builder)</t>
  </si>
  <si>
    <t>Flat No</t>
  </si>
  <si>
    <t>Loading</t>
  </si>
  <si>
    <t>Flat loading changed</t>
  </si>
  <si>
    <t>15th Floor (16th Floor as per Builder)</t>
  </si>
  <si>
    <t>Bank Person</t>
  </si>
  <si>
    <t>Sanjay</t>
  </si>
  <si>
    <t>Construction work is in process at the time of visit.(Internal visit not allowed).
Construction details are taken from Mr. Rajendra Giri.</t>
  </si>
  <si>
    <t>Slum Rehabilitation Authority (SRA)</t>
  </si>
  <si>
    <t>F-N/MCGM/0015/20200623/AP S-6</t>
  </si>
  <si>
    <t>Ground Floor For Driveway, Entrance Lobby, Community Hall, Yoga Room, Gym, Indoor Games, Upashray &amp; Meter Room</t>
  </si>
  <si>
    <t>Podium Floor For Drivers Room, Driveway &amp; Parking</t>
  </si>
  <si>
    <t>Service Floor For Service Area</t>
  </si>
  <si>
    <t>1st Floor For Residential</t>
  </si>
  <si>
    <t>3.5BHK</t>
  </si>
  <si>
    <t>4.5BHK</t>
  </si>
  <si>
    <t>6th, 14th &amp; 21st Floor For Residential ( Part Refuge Area)</t>
  </si>
  <si>
    <t>4.5 BHK</t>
  </si>
  <si>
    <t xml:space="preserve"> - </t>
  </si>
  <si>
    <t>Refuge Area</t>
  </si>
  <si>
    <t>28th Floor For Residential ( Part Refuge Area)</t>
  </si>
  <si>
    <t>5.5 BHK</t>
  </si>
  <si>
    <t>27th &amp; 32nd Floor</t>
  </si>
  <si>
    <t>33rd Floor</t>
  </si>
  <si>
    <t xml:space="preserve">34th Floor </t>
  </si>
  <si>
    <t>2nd to 5th, 7th to 12th, 15th to 20th, 22nd to 26th &amp; 29th to 31st Floor</t>
  </si>
  <si>
    <t>Issue in Count</t>
  </si>
  <si>
    <t>Saurav Panse</t>
  </si>
  <si>
    <t>F-N/MCGM/0015/20200623/AP S-6 (T9 to T10)</t>
  </si>
  <si>
    <t>This CC is now Re-Endorse and Further CC is extended from 3rd to 5th Floor of T9 for RCC work only and from 6th to 15th Floor of T10 for RCC work only and Staircase &amp; Lift Well Core upto four Upper floors above actual CC as per Approved Amended plans dtd. 11/04/2025.</t>
  </si>
  <si>
    <t>Total</t>
  </si>
  <si>
    <t>Flats - 120</t>
  </si>
  <si>
    <t xml:space="preserve">Mr. Akash Kadam </t>
  </si>
  <si>
    <t>Lodha Matunga - P51900052415
Matunga Wing B - P51900079441</t>
  </si>
  <si>
    <t>4.5BHK Duplex With Terrace Floor</t>
  </si>
  <si>
    <t>Name of the Project As per Builder</t>
  </si>
  <si>
    <t>6 (pt), 7 &amp; 41 Redevlopement of "Barracks No. T/57, T/58, T/59" Known As Rahat Plaza CHS, "Barracks No.T/70, T/71, T/72 &amp; T/6" Known As Matunga Sindhi Colony Panchayat CHS</t>
  </si>
  <si>
    <t>02 Buildings</t>
  </si>
  <si>
    <t>F-N/MCGM/0015/20200623/AP/S-6 (T9 to T10)</t>
  </si>
  <si>
    <t>Building T10</t>
  </si>
  <si>
    <t>Building T9</t>
  </si>
  <si>
    <t>Building T9 = 3B + Gr + 1st to 35th Floor</t>
  </si>
  <si>
    <t>Building T10 = 3B + Gr + 1st to 35th Floor</t>
  </si>
  <si>
    <t>Building T10 = 3B + Gr + 1st to 35th Floor
Building T9 = 3B + Gr + 1st to 34th Floor</t>
  </si>
  <si>
    <t>Lodha Matunga</t>
  </si>
  <si>
    <t>Wing A (Building T10)
Wing B (Building No. 6 - T9)</t>
  </si>
  <si>
    <t>Wing A (Building T10)</t>
  </si>
  <si>
    <t>Wing B (Building T9)</t>
  </si>
  <si>
    <t>As per RERA - Building T10 = 30/04/2028
Building T9 = 31/03/2029</t>
  </si>
  <si>
    <t>Residential Area Details : Flats</t>
  </si>
  <si>
    <t>Building No. 6 (T9)</t>
  </si>
  <si>
    <t xml:space="preserve">35th Terrace Floor Duplex with 34th Floor </t>
  </si>
  <si>
    <t>We considered Gross carpet area = Net carpet + Deck + Utility Area.</t>
  </si>
  <si>
    <t>Construction work goes beyond permissible floor. Please provide revised CC.</t>
  </si>
  <si>
    <t>We have added Building No. 6 (T9) on 28/07/2025.</t>
  </si>
  <si>
    <t>Barracks No. T/57, T/58, T/59" Known As Rahat Plaza CHS.
Barracks No.T/70, T/71, T/72 &amp; T/6" Known As Matunga Sindhi Colony Panchayat CHS</t>
  </si>
  <si>
    <t>As per approved plans dtd. 11/04/2025, CTS No. 7 &amp; 41 is newly added in project.
Please check legal title report.</t>
  </si>
  <si>
    <t>Fire NOC No</t>
  </si>
  <si>
    <t>P-21991/2024/(Part of C.S. No. 6 And Other)/F/North/SION/SRA/CFO/1/Amend</t>
  </si>
  <si>
    <t>Building T9 &amp; T10 = 3B + Gr + 1P + 1st floor terrace + Service Floor + 1st to 33rd Floor  (Total Height = 117.85 Mtrs.)</t>
  </si>
  <si>
    <t>Approved Plans, CC &amp; Fire NOC</t>
  </si>
  <si>
    <t>Please check for Environmental clearance certificate.</t>
  </si>
  <si>
    <t>13th floor is Missing in Building No. 6 (T9).</t>
  </si>
  <si>
    <t>32500 TO 35600</t>
  </si>
  <si>
    <t>Recommended Rates / Other charges of the Property have been revised on 08/08/2025.</t>
  </si>
  <si>
    <t>Utility/Infrastructure/Other charges</t>
  </si>
  <si>
    <t>Federation Common Area Maintenance (CAM) Deposit for 60 months</t>
  </si>
  <si>
    <t>Provisional Building Common Area Maintenance (CAM) Charges for 18 months</t>
  </si>
  <si>
    <t xml:space="preserve">BHARGAV </t>
  </si>
  <si>
    <t>TOWER B 2502 4BHK</t>
  </si>
  <si>
    <t>cost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</si>
</sst>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6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3"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0" borderId="25" xfId="0" applyFont="1" applyBorder="1"/>
    <xf numFmtId="0" fontId="25" fillId="0" borderId="4" xfId="0" applyFont="1" applyBorder="1"/>
    <xf numFmtId="0" fontId="12" fillId="0" borderId="1" xfId="1" applyFont="1" applyBorder="1" applyAlignment="1" applyProtection="1">
      <alignment horizontal="center" vertical="top"/>
      <protection locked="0"/>
    </xf>
    <xf numFmtId="1" fontId="8" fillId="0" borderId="2"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7" fillId="0" borderId="0" xfId="1" applyNumberFormat="1"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1" fontId="7" fillId="0" borderId="0" xfId="1" applyNumberFormat="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2" fontId="7" fillId="0" borderId="0" xfId="1" applyNumberFormat="1" applyFont="1"/>
    <xf numFmtId="164" fontId="7" fillId="0" borderId="0" xfId="1" applyNumberFormat="1" applyFont="1"/>
    <xf numFmtId="0" fontId="26" fillId="0" borderId="0" xfId="10"/>
    <xf numFmtId="1" fontId="7" fillId="2" borderId="0" xfId="1" applyNumberFormat="1" applyFont="1" applyFill="1" applyAlignment="1">
      <alignment horizontal="center" vertical="center"/>
    </xf>
    <xf numFmtId="0" fontId="7" fillId="2" borderId="0" xfId="1" applyFont="1" applyFill="1"/>
    <xf numFmtId="1" fontId="7" fillId="0" borderId="0" xfId="1" applyNumberFormat="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15" fillId="2" borderId="0" xfId="1" applyFont="1" applyFill="1"/>
    <xf numFmtId="0" fontId="29" fillId="2" borderId="0" xfId="1" applyFont="1" applyFill="1"/>
    <xf numFmtId="9" fontId="15" fillId="2" borderId="0" xfId="1" applyNumberFormat="1" applyFont="1" applyFill="1"/>
    <xf numFmtId="0" fontId="29" fillId="0" borderId="0" xfId="1" applyFont="1"/>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24" fillId="2" borderId="12" xfId="0" applyFont="1" applyFill="1" applyBorder="1"/>
    <xf numFmtId="0" fontId="25" fillId="0" borderId="8" xfId="0" applyFont="1" applyBorder="1"/>
    <xf numFmtId="0" fontId="7" fillId="0" borderId="1" xfId="1" applyFont="1" applyBorder="1" applyAlignment="1" applyProtection="1">
      <alignment horizontal="center" vertical="top" wrapText="1"/>
      <protection locked="0"/>
    </xf>
    <xf numFmtId="1" fontId="7" fillId="0" borderId="0" xfId="1" applyNumberFormat="1" applyFont="1" applyAlignment="1">
      <alignment horizontal="center" vertical="center"/>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0" fontId="7" fillId="0" borderId="1" xfId="1" applyFont="1" applyBorder="1" applyAlignment="1">
      <alignment horizontal="center" vertical="center"/>
    </xf>
    <xf numFmtId="0" fontId="15"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xf>
    <xf numFmtId="1" fontId="7" fillId="0" borderId="0" xfId="1" applyNumberFormat="1" applyFont="1" applyAlignment="1">
      <alignment horizontal="center" vertical="center"/>
    </xf>
    <xf numFmtId="1" fontId="12"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13" fillId="0" borderId="7" xfId="1" applyNumberFormat="1" applyFont="1" applyBorder="1" applyAlignment="1" applyProtection="1">
      <alignment horizontal="center" vertical="center" wrapText="1"/>
      <protection locked="0"/>
    </xf>
    <xf numFmtId="1" fontId="13" fillId="0" borderId="18"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4"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7" fillId="0" borderId="0" xfId="1" applyNumberFormat="1" applyFont="1" applyAlignment="1">
      <alignment horizontal="center" vertical="center"/>
    </xf>
    <xf numFmtId="0" fontId="7" fillId="0" borderId="0" xfId="1" applyFont="1" applyAlignment="1">
      <alignment horizontal="center" vertical="center"/>
    </xf>
    <xf numFmtId="1" fontId="7" fillId="0" borderId="1"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10" fillId="0" borderId="7" xfId="1" applyNumberFormat="1" applyFont="1" applyBorder="1" applyAlignment="1" applyProtection="1">
      <alignment horizontal="center" vertical="center" wrapText="1"/>
      <protection locked="0"/>
    </xf>
    <xf numFmtId="1" fontId="10" fillId="0" borderId="18"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2" fillId="0" borderId="7"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3" fillId="0" borderId="7" xfId="1" applyNumberFormat="1" applyFont="1" applyFill="1" applyBorder="1" applyAlignment="1" applyProtection="1">
      <alignment horizontal="center" vertical="center" wrapText="1"/>
      <protection locked="0"/>
    </xf>
    <xf numFmtId="1" fontId="13" fillId="0" borderId="18" xfId="1" applyNumberFormat="1" applyFont="1" applyFill="1" applyBorder="1" applyAlignment="1" applyProtection="1">
      <alignment horizontal="center" vertical="center" wrapText="1"/>
      <protection locked="0"/>
    </xf>
    <xf numFmtId="1" fontId="13" fillId="0" borderId="8" xfId="1" applyNumberFormat="1" applyFont="1" applyFill="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7" fillId="0" borderId="20"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7" fillId="0" borderId="7" xfId="1" applyFont="1" applyBorder="1" applyAlignment="1" applyProtection="1">
      <alignment horizontal="center" vertical="center" wrapText="1"/>
      <protection locked="0"/>
    </xf>
    <xf numFmtId="0" fontId="7" fillId="0" borderId="18" xfId="1" applyFont="1" applyBorder="1" applyAlignment="1" applyProtection="1">
      <alignment horizontal="center" vertical="center" wrapText="1"/>
      <protection locked="0"/>
    </xf>
    <xf numFmtId="0" fontId="7" fillId="0" borderId="8" xfId="1" applyFont="1" applyBorder="1" applyAlignment="1" applyProtection="1">
      <alignment horizontal="center" vertical="center" wrapText="1"/>
      <protection locked="0"/>
    </xf>
    <xf numFmtId="164" fontId="12" fillId="0" borderId="1" xfId="1" applyNumberFormat="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8"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0" fontId="6" fillId="0" borderId="1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12" fillId="0" borderId="7" xfId="1" applyFont="1" applyBorder="1" applyAlignment="1" applyProtection="1">
      <alignment horizontal="center" vertical="top"/>
      <protection locked="0"/>
    </xf>
    <xf numFmtId="0" fontId="12" fillId="0" borderId="18"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Fill="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8" fillId="0" borderId="13" xfId="1" applyFont="1" applyBorder="1" applyAlignment="1" applyProtection="1">
      <alignment horizontal="center" vertical="top"/>
      <protection locked="0"/>
    </xf>
    <xf numFmtId="1" fontId="8" fillId="0" borderId="14"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8" fillId="0" borderId="1" xfId="1"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3" fillId="0" borderId="7"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2" fillId="0" borderId="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2" fillId="0" borderId="1" xfId="1" applyFont="1" applyFill="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7" xfId="1" applyFont="1" applyBorder="1" applyAlignment="1" applyProtection="1">
      <alignment horizontal="center" vertical="top"/>
      <protection locked="0"/>
    </xf>
    <xf numFmtId="0" fontId="13" fillId="0" borderId="18"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protection locked="0"/>
    </xf>
    <xf numFmtId="0" fontId="12" fillId="0" borderId="7"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2" fontId="12" fillId="0" borderId="1" xfId="1" applyNumberFormat="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18"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9" fontId="7" fillId="0" borderId="14" xfId="8" applyFont="1" applyFill="1" applyBorder="1" applyAlignment="1" applyProtection="1">
      <alignment horizontal="center" vertical="center" wrapText="1"/>
      <protection locked="0"/>
    </xf>
    <xf numFmtId="9" fontId="7" fillId="0" borderId="15"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164" fontId="7" fillId="0" borderId="1" xfId="1" applyNumberFormat="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8" fillId="0" borderId="7" xfId="1" applyFont="1" applyBorder="1" applyAlignment="1" applyProtection="1">
      <alignment horizontal="center" vertical="top"/>
      <protection locked="0"/>
    </xf>
    <xf numFmtId="0" fontId="8" fillId="0" borderId="18" xfId="1" applyFont="1" applyBorder="1" applyAlignment="1" applyProtection="1">
      <alignment horizontal="center" vertical="top"/>
      <protection locked="0"/>
    </xf>
    <xf numFmtId="0" fontId="8" fillId="0" borderId="8" xfId="1" applyFont="1" applyBorder="1" applyAlignment="1" applyProtection="1">
      <alignment horizontal="center" vertical="top"/>
      <protection locked="0"/>
    </xf>
    <xf numFmtId="0" fontId="13" fillId="0" borderId="1" xfId="1" applyFont="1" applyBorder="1" applyAlignment="1" applyProtection="1">
      <alignment horizontal="left" vertical="top" wrapText="1"/>
      <protection locked="0"/>
    </xf>
    <xf numFmtId="0" fontId="6" fillId="0" borderId="14" xfId="1" applyFont="1" applyFill="1" applyBorder="1" applyAlignment="1" applyProtection="1">
      <alignment horizontal="left" vertical="top" wrapText="1"/>
      <protection locked="0"/>
    </xf>
    <xf numFmtId="0" fontId="6" fillId="0" borderId="15" xfId="1" applyFont="1" applyFill="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1" fontId="12" fillId="0" borderId="18" xfId="1"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wrapText="1"/>
      <protection locked="0"/>
    </xf>
    <xf numFmtId="0" fontId="8" fillId="0" borderId="1" xfId="1" applyFont="1" applyFill="1" applyBorder="1" applyAlignment="1" applyProtection="1">
      <alignment horizontal="left" vertical="top" wrapText="1"/>
      <protection locked="0"/>
    </xf>
    <xf numFmtId="0" fontId="8" fillId="0" borderId="13"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29" fillId="2" borderId="0" xfId="1" applyFont="1" applyFill="1" applyAlignment="1">
      <alignment horizontal="center" wrapText="1"/>
    </xf>
    <xf numFmtId="14" fontId="15" fillId="0" borderId="0" xfId="1" applyNumberFormat="1" applyFont="1"/>
    <xf numFmtId="0" fontId="15" fillId="2" borderId="0" xfId="1" applyFont="1" applyFill="1" applyAlignment="1">
      <alignment horizontal="center"/>
    </xf>
    <xf numFmtId="1" fontId="6" fillId="3" borderId="1" xfId="0" applyNumberFormat="1" applyFont="1" applyFill="1" applyBorder="1" applyAlignment="1" applyProtection="1">
      <alignment horizontal="center" vertical="center" wrapText="1"/>
      <protection locked="0"/>
    </xf>
    <xf numFmtId="1" fontId="8" fillId="3" borderId="7" xfId="0" applyNumberFormat="1" applyFont="1" applyFill="1" applyBorder="1" applyAlignment="1" applyProtection="1">
      <alignment vertical="top" wrapText="1"/>
      <protection locked="0"/>
    </xf>
    <xf numFmtId="1" fontId="8" fillId="3" borderId="18" xfId="0" applyNumberFormat="1" applyFont="1" applyFill="1" applyBorder="1" applyAlignment="1" applyProtection="1">
      <alignment vertical="top" wrapText="1"/>
      <protection locked="0"/>
    </xf>
    <xf numFmtId="1" fontId="8" fillId="3" borderId="8" xfId="0" applyNumberFormat="1" applyFont="1" applyFill="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10</xdr:col>
      <xdr:colOff>242126</xdr:colOff>
      <xdr:row>261</xdr:row>
      <xdr:rowOff>100422</xdr:rowOff>
    </xdr:from>
    <xdr:to>
      <xdr:col>17</xdr:col>
      <xdr:colOff>68501</xdr:colOff>
      <xdr:row>290</xdr:row>
      <xdr:rowOff>123442</xdr:rowOff>
    </xdr:to>
    <xdr:pic>
      <xdr:nvPicPr>
        <xdr:cNvPr id="9" name="Picture 8"/>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769802" y="59682098"/>
          <a:ext cx="5003493" cy="5872492"/>
        </a:xfrm>
        <a:prstGeom prst="rect">
          <a:avLst/>
        </a:prstGeom>
        <a:ln>
          <a:solidFill>
            <a:schemeClr val="tx1"/>
          </a:solidFill>
        </a:ln>
      </xdr:spPr>
    </xdr:pic>
    <xdr:clientData/>
  </xdr:twoCellAnchor>
  <xdr:twoCellAnchor>
    <xdr:from>
      <xdr:col>16</xdr:col>
      <xdr:colOff>36545</xdr:colOff>
      <xdr:row>271</xdr:row>
      <xdr:rowOff>47004</xdr:rowOff>
    </xdr:from>
    <xdr:to>
      <xdr:col>18</xdr:col>
      <xdr:colOff>69414</xdr:colOff>
      <xdr:row>275</xdr:row>
      <xdr:rowOff>172142</xdr:rowOff>
    </xdr:to>
    <xdr:sp macro="" textlink="">
      <xdr:nvSpPr>
        <xdr:cNvPr id="11" name="Rectangle 10"/>
        <xdr:cNvSpPr/>
      </xdr:nvSpPr>
      <xdr:spPr>
        <a:xfrm>
          <a:off x="13136221" y="61645739"/>
          <a:ext cx="1243105" cy="93196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13</xdr:col>
      <xdr:colOff>820196</xdr:colOff>
      <xdr:row>268</xdr:row>
      <xdr:rowOff>19510</xdr:rowOff>
    </xdr:from>
    <xdr:to>
      <xdr:col>15</xdr:col>
      <xdr:colOff>310286</xdr:colOff>
      <xdr:row>271</xdr:row>
      <xdr:rowOff>81979</xdr:rowOff>
    </xdr:to>
    <xdr:sp macro="" textlink="">
      <xdr:nvSpPr>
        <xdr:cNvPr id="12" name="TextBox 4"/>
        <xdr:cNvSpPr txBox="1"/>
      </xdr:nvSpPr>
      <xdr:spPr>
        <a:xfrm>
          <a:off x="11633872" y="61013128"/>
          <a:ext cx="991679" cy="6675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b="1">
              <a:solidFill>
                <a:srgbClr val="FF0000"/>
              </a:solidFill>
            </a:rPr>
            <a:t>Building </a:t>
          </a:r>
        </a:p>
        <a:p>
          <a:pPr algn="ctr"/>
          <a:r>
            <a:rPr lang="en-US" b="1">
              <a:solidFill>
                <a:srgbClr val="FF0000"/>
              </a:solidFill>
            </a:rPr>
            <a:t>T10</a:t>
          </a:r>
          <a:endParaRPr lang="en-IN" b="1">
            <a:solidFill>
              <a:srgbClr val="FF0000"/>
            </a:solidFill>
          </a:endParaRPr>
        </a:p>
      </xdr:txBody>
    </xdr:sp>
    <xdr:clientData/>
  </xdr:twoCellAnchor>
  <xdr:twoCellAnchor editAs="oneCell">
    <xdr:from>
      <xdr:col>8</xdr:col>
      <xdr:colOff>513206</xdr:colOff>
      <xdr:row>320</xdr:row>
      <xdr:rowOff>158339</xdr:rowOff>
    </xdr:from>
    <xdr:to>
      <xdr:col>13</xdr:col>
      <xdr:colOff>787023</xdr:colOff>
      <xdr:row>340</xdr:row>
      <xdr:rowOff>59236</xdr:rowOff>
    </xdr:to>
    <xdr:pic>
      <xdr:nvPicPr>
        <xdr:cNvPr id="14" name="Picture 13"/>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7097880" y="70866969"/>
          <a:ext cx="4464817" cy="3876549"/>
        </a:xfrm>
        <a:prstGeom prst="rect">
          <a:avLst/>
        </a:prstGeom>
        <a:ln>
          <a:solidFill>
            <a:schemeClr val="tx1"/>
          </a:solidFill>
        </a:ln>
      </xdr:spPr>
    </xdr:pic>
    <xdr:clientData/>
  </xdr:twoCellAnchor>
  <xdr:twoCellAnchor editAs="oneCell">
    <xdr:from>
      <xdr:col>1</xdr:col>
      <xdr:colOff>438661</xdr:colOff>
      <xdr:row>299</xdr:row>
      <xdr:rowOff>57022</xdr:rowOff>
    </xdr:from>
    <xdr:to>
      <xdr:col>6</xdr:col>
      <xdr:colOff>743629</xdr:colOff>
      <xdr:row>316</xdr:row>
      <xdr:rowOff>91108</xdr:rowOff>
    </xdr:to>
    <xdr:pic>
      <xdr:nvPicPr>
        <xdr:cNvPr id="15" name="Picture 14"/>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200661" y="66591218"/>
          <a:ext cx="4454555" cy="3413391"/>
        </a:xfrm>
        <a:prstGeom prst="rect">
          <a:avLst/>
        </a:prstGeom>
        <a:ln>
          <a:solidFill>
            <a:schemeClr val="tx1"/>
          </a:solidFill>
        </a:ln>
      </xdr:spPr>
    </xdr:pic>
    <xdr:clientData/>
  </xdr:twoCellAnchor>
  <xdr:twoCellAnchor>
    <xdr:from>
      <xdr:col>9</xdr:col>
      <xdr:colOff>11206</xdr:colOff>
      <xdr:row>332</xdr:row>
      <xdr:rowOff>190500</xdr:rowOff>
    </xdr:from>
    <xdr:to>
      <xdr:col>10</xdr:col>
      <xdr:colOff>107577</xdr:colOff>
      <xdr:row>337</xdr:row>
      <xdr:rowOff>96371</xdr:rowOff>
    </xdr:to>
    <xdr:sp macro="" textlink="">
      <xdr:nvSpPr>
        <xdr:cNvPr id="2" name="Rectangle 1"/>
        <xdr:cNvSpPr/>
      </xdr:nvSpPr>
      <xdr:spPr>
        <a:xfrm>
          <a:off x="8113059" y="59559265"/>
          <a:ext cx="914400" cy="914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solidFill>
              <a:srgbClr val="C00000"/>
            </a:solidFill>
          </a:endParaRPr>
        </a:p>
      </xdr:txBody>
    </xdr:sp>
    <xdr:clientData/>
  </xdr:twoCellAnchor>
  <xdr:twoCellAnchor>
    <xdr:from>
      <xdr:col>9</xdr:col>
      <xdr:colOff>517055</xdr:colOff>
      <xdr:row>333</xdr:row>
      <xdr:rowOff>34388</xdr:rowOff>
    </xdr:from>
    <xdr:to>
      <xdr:col>10</xdr:col>
      <xdr:colOff>199679</xdr:colOff>
      <xdr:row>338</xdr:row>
      <xdr:rowOff>186166</xdr:rowOff>
    </xdr:to>
    <xdr:sp macro="" textlink="">
      <xdr:nvSpPr>
        <xdr:cNvPr id="17" name="Rectangle 16"/>
        <xdr:cNvSpPr/>
      </xdr:nvSpPr>
      <xdr:spPr>
        <a:xfrm rot="1327363">
          <a:off x="8261294" y="73327192"/>
          <a:ext cx="444624" cy="1145691"/>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9</xdr:col>
      <xdr:colOff>0</xdr:colOff>
      <xdr:row>270</xdr:row>
      <xdr:rowOff>0</xdr:rowOff>
    </xdr:from>
    <xdr:to>
      <xdr:col>9</xdr:col>
      <xdr:colOff>571500</xdr:colOff>
      <xdr:row>272</xdr:row>
      <xdr:rowOff>57150</xdr:rowOff>
    </xdr:to>
    <xdr:sp macro="" textlink="">
      <xdr:nvSpPr>
        <xdr:cNvPr id="1048" name="Text Box 24"/>
        <xdr:cNvSpPr txBox="1">
          <a:spLocks noChangeArrowheads="1"/>
        </xdr:cNvSpPr>
      </xdr:nvSpPr>
      <xdr:spPr bwMode="auto">
        <a:xfrm>
          <a:off x="8096250" y="45519975"/>
          <a:ext cx="571500" cy="4572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IN" sz="1100" b="0" i="0" u="none" strike="noStrike" baseline="0">
              <a:solidFill>
                <a:srgbClr val="000000"/>
              </a:solidFill>
              <a:latin typeface="Calibri"/>
              <a:cs typeface="Calibri"/>
            </a:rPr>
            <a:t>Bellissimo Matunga</a:t>
          </a:r>
        </a:p>
      </xdr:txBody>
    </xdr:sp>
    <xdr:clientData/>
  </xdr:twoCellAnchor>
  <xdr:twoCellAnchor>
    <xdr:from>
      <xdr:col>10</xdr:col>
      <xdr:colOff>508163</xdr:colOff>
      <xdr:row>330</xdr:row>
      <xdr:rowOff>180268</xdr:rowOff>
    </xdr:from>
    <xdr:to>
      <xdr:col>12</xdr:col>
      <xdr:colOff>2071</xdr:colOff>
      <xdr:row>334</xdr:row>
      <xdr:rowOff>93545</xdr:rowOff>
    </xdr:to>
    <xdr:sp macro="" textlink="">
      <xdr:nvSpPr>
        <xdr:cNvPr id="1049" name="Text Box 25"/>
        <xdr:cNvSpPr txBox="1">
          <a:spLocks noChangeArrowheads="1"/>
        </xdr:cNvSpPr>
      </xdr:nvSpPr>
      <xdr:spPr bwMode="auto">
        <a:xfrm>
          <a:off x="9014402" y="72876725"/>
          <a:ext cx="976495" cy="708407"/>
        </a:xfrm>
        <a:prstGeom prst="rect">
          <a:avLst/>
        </a:prstGeom>
        <a:noFill/>
        <a:ln w="9525">
          <a:noFill/>
          <a:miter lim="800000"/>
          <a:headEnd/>
          <a:tailEnd/>
        </a:ln>
      </xdr:spPr>
      <xdr:txBody>
        <a:bodyPr vertOverflow="clip" wrap="square" lIns="27432" tIns="22860" rIns="0" bIns="0" anchor="t" upright="1"/>
        <a:lstStyle/>
        <a:p>
          <a:pPr algn="l" rtl="0">
            <a:defRPr sz="1000"/>
          </a:pPr>
          <a:r>
            <a:rPr lang="en-IN" sz="1600" b="1" i="0" u="none" strike="noStrike" baseline="0">
              <a:solidFill>
                <a:srgbClr val="FFFF00"/>
              </a:solidFill>
              <a:latin typeface="Calibri"/>
              <a:cs typeface="Calibri"/>
            </a:rPr>
            <a:t>Lodha Bellissimo </a:t>
          </a:r>
        </a:p>
      </xdr:txBody>
    </xdr:sp>
    <xdr:clientData/>
  </xdr:twoCellAnchor>
  <xdr:twoCellAnchor>
    <xdr:from>
      <xdr:col>8</xdr:col>
      <xdr:colOff>1114741</xdr:colOff>
      <xdr:row>332</xdr:row>
      <xdr:rowOff>120828</xdr:rowOff>
    </xdr:from>
    <xdr:to>
      <xdr:col>9</xdr:col>
      <xdr:colOff>535214</xdr:colOff>
      <xdr:row>335</xdr:row>
      <xdr:rowOff>114268</xdr:rowOff>
    </xdr:to>
    <xdr:cxnSp macro="">
      <xdr:nvCxnSpPr>
        <xdr:cNvPr id="10" name="Straight Arrow Connector 9"/>
        <xdr:cNvCxnSpPr>
          <a:endCxn id="17" idx="1"/>
        </xdr:cNvCxnSpPr>
      </xdr:nvCxnSpPr>
      <xdr:spPr>
        <a:xfrm>
          <a:off x="7699415" y="73214850"/>
          <a:ext cx="580038" cy="589788"/>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727310</xdr:colOff>
      <xdr:row>321</xdr:row>
      <xdr:rowOff>162631</xdr:rowOff>
    </xdr:from>
    <xdr:to>
      <xdr:col>11</xdr:col>
      <xdr:colOff>692328</xdr:colOff>
      <xdr:row>325</xdr:row>
      <xdr:rowOff>72984</xdr:rowOff>
    </xdr:to>
    <xdr:sp macro="" textlink="">
      <xdr:nvSpPr>
        <xdr:cNvPr id="19" name="Text Box 25"/>
        <xdr:cNvSpPr txBox="1">
          <a:spLocks noChangeArrowheads="1"/>
        </xdr:cNvSpPr>
      </xdr:nvSpPr>
      <xdr:spPr bwMode="auto">
        <a:xfrm>
          <a:off x="8471549" y="71070044"/>
          <a:ext cx="1505583" cy="705483"/>
        </a:xfrm>
        <a:prstGeom prst="rect">
          <a:avLst/>
        </a:prstGeom>
        <a:noFill/>
        <a:ln w="9525">
          <a:noFill/>
          <a:miter lim="800000"/>
          <a:headEnd/>
          <a:tailEnd/>
        </a:ln>
      </xdr:spPr>
      <xdr:txBody>
        <a:bodyPr vertOverflow="clip" wrap="square" lIns="27432" tIns="22860" rIns="0" bIns="0" anchor="t" upright="1"/>
        <a:lstStyle/>
        <a:p>
          <a:pPr algn="l" rtl="0">
            <a:defRPr sz="1000"/>
          </a:pPr>
          <a:r>
            <a:rPr lang="en-IN" sz="1600" b="1" i="0" u="none" strike="noStrike" baseline="0">
              <a:solidFill>
                <a:srgbClr val="FFFF00"/>
              </a:solidFill>
              <a:latin typeface="Calibri"/>
              <a:cs typeface="Calibri"/>
            </a:rPr>
            <a:t>Lodha Matunga</a:t>
          </a:r>
        </a:p>
        <a:p>
          <a:pPr algn="l" rtl="0">
            <a:defRPr sz="1000"/>
          </a:pPr>
          <a:endParaRPr lang="en-IN" sz="1600" b="1" i="0" u="none" strike="noStrike" baseline="0">
            <a:solidFill>
              <a:srgbClr val="FFFF00"/>
            </a:solidFill>
            <a:latin typeface="Calibri"/>
            <a:cs typeface="Calibri"/>
          </a:endParaRPr>
        </a:p>
      </xdr:txBody>
    </xdr:sp>
    <xdr:clientData/>
  </xdr:twoCellAnchor>
  <xdr:twoCellAnchor>
    <xdr:from>
      <xdr:col>9</xdr:col>
      <xdr:colOff>504924</xdr:colOff>
      <xdr:row>324</xdr:row>
      <xdr:rowOff>90620</xdr:rowOff>
    </xdr:from>
    <xdr:to>
      <xdr:col>10</xdr:col>
      <xdr:colOff>449210</xdr:colOff>
      <xdr:row>327</xdr:row>
      <xdr:rowOff>166139</xdr:rowOff>
    </xdr:to>
    <xdr:cxnSp macro="">
      <xdr:nvCxnSpPr>
        <xdr:cNvPr id="20" name="Straight Arrow Connector 19"/>
        <xdr:cNvCxnSpPr/>
      </xdr:nvCxnSpPr>
      <xdr:spPr>
        <a:xfrm flipH="1">
          <a:off x="8249163" y="71594381"/>
          <a:ext cx="706286" cy="67186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56029</xdr:colOff>
      <xdr:row>217</xdr:row>
      <xdr:rowOff>145674</xdr:rowOff>
    </xdr:from>
    <xdr:to>
      <xdr:col>7</xdr:col>
      <xdr:colOff>837079</xdr:colOff>
      <xdr:row>249</xdr:row>
      <xdr:rowOff>12104</xdr:rowOff>
    </xdr:to>
    <xdr:grpSp>
      <xdr:nvGrpSpPr>
        <xdr:cNvPr id="5" name="Group 4"/>
        <xdr:cNvGrpSpPr/>
      </xdr:nvGrpSpPr>
      <xdr:grpSpPr>
        <a:xfrm>
          <a:off x="56029" y="52780824"/>
          <a:ext cx="6457950" cy="6257705"/>
          <a:chOff x="122704" y="50885910"/>
          <a:chExt cx="6462432" cy="6309812"/>
        </a:xfrm>
      </xdr:grpSpPr>
      <xdr:grpSp>
        <xdr:nvGrpSpPr>
          <xdr:cNvPr id="26" name="Group 25"/>
          <xdr:cNvGrpSpPr/>
        </xdr:nvGrpSpPr>
        <xdr:grpSpPr>
          <a:xfrm>
            <a:off x="122704" y="50898799"/>
            <a:ext cx="6462432" cy="6296923"/>
            <a:chOff x="256015" y="673886"/>
            <a:chExt cx="6457950" cy="6244539"/>
          </a:xfrm>
        </xdr:grpSpPr>
        <xdr:grpSp>
          <xdr:nvGrpSpPr>
            <xdr:cNvPr id="27" name="Group 26"/>
            <xdr:cNvGrpSpPr/>
          </xdr:nvGrpSpPr>
          <xdr:grpSpPr>
            <a:xfrm>
              <a:off x="256015" y="4750488"/>
              <a:ext cx="6457950" cy="2167937"/>
              <a:chOff x="256015" y="6567785"/>
              <a:chExt cx="6457950" cy="2167937"/>
            </a:xfrm>
          </xdr:grpSpPr>
          <xdr:pic>
            <xdr:nvPicPr>
              <xdr:cNvPr id="31" name="Picture 30" descr="https://vsjcllp.vsjadon.com/upload/insp-242107-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246866" y="6575722"/>
                <a:ext cx="34670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2107-846.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953941" y="6575722"/>
                <a:ext cx="1215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2107-847.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56015" y="656778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grpSp>
          <xdr:nvGrpSpPr>
            <xdr:cNvPr id="28" name="Group 27"/>
            <xdr:cNvGrpSpPr/>
          </xdr:nvGrpSpPr>
          <xdr:grpSpPr>
            <a:xfrm>
              <a:off x="412407" y="673886"/>
              <a:ext cx="3008334" cy="4011111"/>
              <a:chOff x="412407" y="427697"/>
              <a:chExt cx="3008334" cy="4011111"/>
            </a:xfrm>
          </xdr:grpSpPr>
          <xdr:pic>
            <xdr:nvPicPr>
              <xdr:cNvPr id="29" name="Picture 28" descr="https://vsjcllp.vsjadon.com/upload/insp-242107-86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12407" y="427697"/>
                <a:ext cx="3008334" cy="40111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0" name="TextBox 53">
                <a:extLst>
                  <a:ext uri="{FF2B5EF4-FFF2-40B4-BE49-F238E27FC236}">
                    <a16:creationId xmlns:a16="http://schemas.microsoft.com/office/drawing/2014/main" xmlns="" id="{873FBA82-8026-4156-B8D6-C0B14C086E94}"/>
                  </a:ext>
                </a:extLst>
              </xdr:cNvPr>
              <xdr:cNvSpPr txBox="1"/>
            </xdr:nvSpPr>
            <xdr:spPr>
              <a:xfrm>
                <a:off x="971550" y="564223"/>
                <a:ext cx="628469" cy="52306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T9</a:t>
                </a:r>
                <a:endParaRPr lang="en-IN" sz="2000" b="1">
                  <a:solidFill>
                    <a:srgbClr val="FF0000"/>
                  </a:solidFill>
                </a:endParaRPr>
              </a:p>
            </xdr:txBody>
          </xdr:sp>
        </xdr:grpSp>
      </xdr:grpSp>
      <xdr:pic>
        <xdr:nvPicPr>
          <xdr:cNvPr id="34" name="Picture 33" descr="https://vsjcllp.vsjadon.com/upload/insp-242107-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384175" y="50885910"/>
            <a:ext cx="3033993" cy="4045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515470</xdr:colOff>
      <xdr:row>217</xdr:row>
      <xdr:rowOff>201703</xdr:rowOff>
    </xdr:from>
    <xdr:to>
      <xdr:col>6</xdr:col>
      <xdr:colOff>359964</xdr:colOff>
      <xdr:row>220</xdr:row>
      <xdr:rowOff>135242</xdr:rowOff>
    </xdr:to>
    <xdr:sp macro="" textlink="">
      <xdr:nvSpPr>
        <xdr:cNvPr id="35" name="TextBox 53">
          <a:extLst>
            <a:ext uri="{FF2B5EF4-FFF2-40B4-BE49-F238E27FC236}">
              <a16:creationId xmlns:a16="http://schemas.microsoft.com/office/drawing/2014/main" xmlns="" id="{873FBA82-8026-4156-B8D6-C0B14C086E94}"/>
            </a:ext>
          </a:extLst>
        </xdr:cNvPr>
        <xdr:cNvSpPr txBox="1"/>
      </xdr:nvSpPr>
      <xdr:spPr>
        <a:xfrm>
          <a:off x="4650441" y="50919527"/>
          <a:ext cx="628905" cy="5274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T10</a:t>
          </a:r>
          <a:endParaRPr lang="en-IN" sz="2000" b="1">
            <a:solidFill>
              <a:srgbClr val="FF0000"/>
            </a:solidFill>
          </a:endParaRPr>
        </a:p>
      </xdr:txBody>
    </xdr:sp>
    <xdr:clientData/>
  </xdr:twoCellAnchor>
  <xdr:twoCellAnchor>
    <xdr:from>
      <xdr:col>1</xdr:col>
      <xdr:colOff>512024</xdr:colOff>
      <xdr:row>260</xdr:row>
      <xdr:rowOff>96976</xdr:rowOff>
    </xdr:from>
    <xdr:to>
      <xdr:col>6</xdr:col>
      <xdr:colOff>455994</xdr:colOff>
      <xdr:row>276</xdr:row>
      <xdr:rowOff>1</xdr:rowOff>
    </xdr:to>
    <xdr:grpSp>
      <xdr:nvGrpSpPr>
        <xdr:cNvPr id="36" name="Group 35">
          <a:extLst>
            <a:ext uri="{FF2B5EF4-FFF2-40B4-BE49-F238E27FC236}">
              <a16:creationId xmlns="" xmlns:a16="http://schemas.microsoft.com/office/drawing/2014/main" id="{00000000-0008-0000-0000-000018000000}"/>
            </a:ext>
          </a:extLst>
        </xdr:cNvPr>
        <xdr:cNvGrpSpPr/>
      </xdr:nvGrpSpPr>
      <xdr:grpSpPr>
        <a:xfrm>
          <a:off x="1274024" y="61323676"/>
          <a:ext cx="4096870" cy="3103425"/>
          <a:chOff x="1228725" y="86467949"/>
          <a:chExt cx="4514850" cy="3629025"/>
        </a:xfrm>
      </xdr:grpSpPr>
      <xdr:pic>
        <xdr:nvPicPr>
          <xdr:cNvPr id="37" name="Picture 36">
            <a:extLst>
              <a:ext uri="{FF2B5EF4-FFF2-40B4-BE49-F238E27FC236}">
                <a16:creationId xmlns="" xmlns:a16="http://schemas.microsoft.com/office/drawing/2014/main" id="{00000000-0008-0000-0000-000029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1228725" y="86467949"/>
            <a:ext cx="4514850" cy="3629025"/>
          </a:xfrm>
          <a:prstGeom prst="rect">
            <a:avLst/>
          </a:prstGeom>
          <a:ln>
            <a:solidFill>
              <a:schemeClr val="tx1"/>
            </a:solidFill>
          </a:ln>
        </xdr:spPr>
      </xdr:pic>
      <xdr:sp macro="" textlink="">
        <xdr:nvSpPr>
          <xdr:cNvPr id="38" name="Rectangle 37">
            <a:extLst>
              <a:ext uri="{FF2B5EF4-FFF2-40B4-BE49-F238E27FC236}">
                <a16:creationId xmlns="" xmlns:a16="http://schemas.microsoft.com/office/drawing/2014/main" id="{00000000-0008-0000-0000-000037000000}"/>
              </a:ext>
            </a:extLst>
          </xdr:cNvPr>
          <xdr:cNvSpPr/>
        </xdr:nvSpPr>
        <xdr:spPr>
          <a:xfrm rot="1350752">
            <a:off x="3208121" y="87285357"/>
            <a:ext cx="779728" cy="67809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1</xdr:col>
      <xdr:colOff>303991</xdr:colOff>
      <xdr:row>276</xdr:row>
      <xdr:rowOff>88528</xdr:rowOff>
    </xdr:from>
    <xdr:to>
      <xdr:col>7</xdr:col>
      <xdr:colOff>131885</xdr:colOff>
      <xdr:row>296</xdr:row>
      <xdr:rowOff>145677</xdr:rowOff>
    </xdr:to>
    <xdr:grpSp>
      <xdr:nvGrpSpPr>
        <xdr:cNvPr id="39" name="Group 38"/>
        <xdr:cNvGrpSpPr/>
      </xdr:nvGrpSpPr>
      <xdr:grpSpPr>
        <a:xfrm>
          <a:off x="1065991" y="64515628"/>
          <a:ext cx="4742794" cy="4057649"/>
          <a:chOff x="1495425" y="117767100"/>
          <a:chExt cx="3743325" cy="4685354"/>
        </a:xfrm>
      </xdr:grpSpPr>
      <xdr:grpSp>
        <xdr:nvGrpSpPr>
          <xdr:cNvPr id="40" name="Group 39"/>
          <xdr:cNvGrpSpPr/>
        </xdr:nvGrpSpPr>
        <xdr:grpSpPr>
          <a:xfrm>
            <a:off x="1495425" y="117767100"/>
            <a:ext cx="3743325" cy="4685354"/>
            <a:chOff x="1524000" y="117996114"/>
            <a:chExt cx="3740011" cy="4655537"/>
          </a:xfrm>
        </xdr:grpSpPr>
        <xdr:grpSp>
          <xdr:nvGrpSpPr>
            <xdr:cNvPr id="43" name="Group 42">
              <a:extLst>
                <a:ext uri="{FF2B5EF4-FFF2-40B4-BE49-F238E27FC236}">
                  <a16:creationId xmlns="" xmlns:a16="http://schemas.microsoft.com/office/drawing/2014/main" id="{00000000-0008-0000-0000-000017000000}"/>
                </a:ext>
              </a:extLst>
            </xdr:cNvPr>
            <xdr:cNvGrpSpPr/>
          </xdr:nvGrpSpPr>
          <xdr:grpSpPr>
            <a:xfrm>
              <a:off x="1524000" y="117996114"/>
              <a:ext cx="3740011" cy="4655537"/>
              <a:chOff x="1524000" y="90201750"/>
              <a:chExt cx="3743325" cy="4685354"/>
            </a:xfrm>
          </xdr:grpSpPr>
          <xdr:pic>
            <xdr:nvPicPr>
              <xdr:cNvPr id="45" name="Picture 44">
                <a:extLst>
                  <a:ext uri="{FF2B5EF4-FFF2-40B4-BE49-F238E27FC236}">
                    <a16:creationId xmlns="" xmlns:a16="http://schemas.microsoft.com/office/drawing/2014/main" id="{00000000-0008-0000-0000-000028000000}"/>
                  </a:ext>
                </a:extLst>
              </xdr:cNvPr>
              <xdr:cNvPicPr>
                <a:picLocks noChangeAspect="1"/>
              </xdr:cNvPicPr>
            </xdr:nvPicPr>
            <xdr:blipFill>
              <a:blip xmlns:r="http://schemas.openxmlformats.org/officeDocument/2006/relationships" r:embed="rId10"/>
              <a:stretch>
                <a:fillRect/>
              </a:stretch>
            </xdr:blipFill>
            <xdr:spPr>
              <a:xfrm>
                <a:off x="1524000" y="90201750"/>
                <a:ext cx="3743325" cy="4685354"/>
              </a:xfrm>
              <a:prstGeom prst="rect">
                <a:avLst/>
              </a:prstGeom>
              <a:ln>
                <a:solidFill>
                  <a:schemeClr val="tx1"/>
                </a:solidFill>
              </a:ln>
            </xdr:spPr>
          </xdr:pic>
          <xdr:sp macro="" textlink="">
            <xdr:nvSpPr>
              <xdr:cNvPr id="46" name="Rectangle 45">
                <a:extLst>
                  <a:ext uri="{FF2B5EF4-FFF2-40B4-BE49-F238E27FC236}">
                    <a16:creationId xmlns="" xmlns:a16="http://schemas.microsoft.com/office/drawing/2014/main" id="{00000000-0008-0000-0000-000010000000}"/>
                  </a:ext>
                </a:extLst>
              </xdr:cNvPr>
              <xdr:cNvSpPr/>
            </xdr:nvSpPr>
            <xdr:spPr>
              <a:xfrm>
                <a:off x="3019425" y="91182825"/>
                <a:ext cx="1019175" cy="60960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solidFill>
                    <a:sysClr val="windowText" lastClr="000000"/>
                  </a:solidFill>
                </a:endParaRPr>
              </a:p>
            </xdr:txBody>
          </xdr:sp>
          <xdr:sp macro="" textlink="">
            <xdr:nvSpPr>
              <xdr:cNvPr id="47" name="TextBox 46">
                <a:extLst>
                  <a:ext uri="{FF2B5EF4-FFF2-40B4-BE49-F238E27FC236}">
                    <a16:creationId xmlns="" xmlns:a16="http://schemas.microsoft.com/office/drawing/2014/main" id="{00000000-0008-0000-0000-000011000000}"/>
                  </a:ext>
                </a:extLst>
              </xdr:cNvPr>
              <xdr:cNvSpPr txBox="1"/>
            </xdr:nvSpPr>
            <xdr:spPr>
              <a:xfrm>
                <a:off x="3609975" y="91744800"/>
                <a:ext cx="47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ysClr val="windowText" lastClr="000000"/>
                    </a:solidFill>
                  </a:rPr>
                  <a:t>T</a:t>
                </a:r>
                <a:r>
                  <a:rPr lang="en-IN" sz="1200" b="1" baseline="0">
                    <a:solidFill>
                      <a:sysClr val="windowText" lastClr="000000"/>
                    </a:solidFill>
                  </a:rPr>
                  <a:t>4</a:t>
                </a:r>
                <a:endParaRPr lang="en-IN" sz="1200" b="1">
                  <a:solidFill>
                    <a:sysClr val="windowText" lastClr="000000"/>
                  </a:solidFill>
                </a:endParaRPr>
              </a:p>
            </xdr:txBody>
          </xdr:sp>
          <xdr:sp macro="" textlink="">
            <xdr:nvSpPr>
              <xdr:cNvPr id="48" name="TextBox 47">
                <a:extLst>
                  <a:ext uri="{FF2B5EF4-FFF2-40B4-BE49-F238E27FC236}">
                    <a16:creationId xmlns="" xmlns:a16="http://schemas.microsoft.com/office/drawing/2014/main" id="{00000000-0008-0000-0000-00002B000000}"/>
                  </a:ext>
                </a:extLst>
              </xdr:cNvPr>
              <xdr:cNvSpPr txBox="1"/>
            </xdr:nvSpPr>
            <xdr:spPr>
              <a:xfrm>
                <a:off x="3038475" y="91754325"/>
                <a:ext cx="47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ysClr val="windowText" lastClr="000000"/>
                    </a:solidFill>
                  </a:rPr>
                  <a:t>T</a:t>
                </a:r>
                <a:r>
                  <a:rPr lang="en-IN" sz="1200" b="1" baseline="0">
                    <a:solidFill>
                      <a:sysClr val="windowText" lastClr="000000"/>
                    </a:solidFill>
                  </a:rPr>
                  <a:t>5</a:t>
                </a:r>
                <a:endParaRPr lang="en-IN" sz="1200" b="1">
                  <a:solidFill>
                    <a:sysClr val="windowText" lastClr="000000"/>
                  </a:solidFill>
                </a:endParaRPr>
              </a:p>
            </xdr:txBody>
          </xdr:sp>
          <xdr:sp macro="" textlink="">
            <xdr:nvSpPr>
              <xdr:cNvPr id="50" name="TextBox 49">
                <a:extLst>
                  <a:ext uri="{FF2B5EF4-FFF2-40B4-BE49-F238E27FC236}">
                    <a16:creationId xmlns="" xmlns:a16="http://schemas.microsoft.com/office/drawing/2014/main" id="{00000000-0008-0000-0000-000034000000}"/>
                  </a:ext>
                </a:extLst>
              </xdr:cNvPr>
              <xdr:cNvSpPr txBox="1"/>
            </xdr:nvSpPr>
            <xdr:spPr>
              <a:xfrm>
                <a:off x="4103792" y="91238815"/>
                <a:ext cx="59017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ysClr val="windowText" lastClr="000000"/>
                    </a:solidFill>
                  </a:rPr>
                  <a:t>T</a:t>
                </a:r>
                <a:r>
                  <a:rPr lang="en-IN" sz="1100" b="1" baseline="0">
                    <a:solidFill>
                      <a:sysClr val="windowText" lastClr="000000"/>
                    </a:solidFill>
                  </a:rPr>
                  <a:t>2 &amp; T3</a:t>
                </a:r>
                <a:endParaRPr lang="en-IN" sz="1100" b="1">
                  <a:solidFill>
                    <a:sysClr val="windowText" lastClr="000000"/>
                  </a:solidFill>
                </a:endParaRPr>
              </a:p>
            </xdr:txBody>
          </xdr:sp>
          <xdr:sp macro="" textlink="">
            <xdr:nvSpPr>
              <xdr:cNvPr id="51" name="Rectangle 50">
                <a:extLst>
                  <a:ext uri="{FF2B5EF4-FFF2-40B4-BE49-F238E27FC236}">
                    <a16:creationId xmlns="" xmlns:a16="http://schemas.microsoft.com/office/drawing/2014/main" id="{00000000-0008-0000-0000-000035000000}"/>
                  </a:ext>
                </a:extLst>
              </xdr:cNvPr>
              <xdr:cNvSpPr/>
            </xdr:nvSpPr>
            <xdr:spPr>
              <a:xfrm>
                <a:off x="4057650" y="91906725"/>
                <a:ext cx="523875" cy="4381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2" name="TextBox 51">
                <a:extLst>
                  <a:ext uri="{FF2B5EF4-FFF2-40B4-BE49-F238E27FC236}">
                    <a16:creationId xmlns="" xmlns:a16="http://schemas.microsoft.com/office/drawing/2014/main" id="{00000000-0008-0000-0000-000036000000}"/>
                  </a:ext>
                </a:extLst>
              </xdr:cNvPr>
              <xdr:cNvSpPr txBox="1"/>
            </xdr:nvSpPr>
            <xdr:spPr>
              <a:xfrm>
                <a:off x="4172192" y="92306388"/>
                <a:ext cx="30267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ysClr val="windowText" lastClr="000000"/>
                    </a:solidFill>
                  </a:rPr>
                  <a:t>T</a:t>
                </a:r>
                <a:r>
                  <a:rPr lang="en-IN" sz="1100" b="1" baseline="0">
                    <a:solidFill>
                      <a:sysClr val="windowText" lastClr="000000"/>
                    </a:solidFill>
                  </a:rPr>
                  <a:t>1</a:t>
                </a:r>
                <a:endParaRPr lang="en-IN" sz="1100" b="1">
                  <a:solidFill>
                    <a:sysClr val="windowText" lastClr="000000"/>
                  </a:solidFill>
                </a:endParaRPr>
              </a:p>
            </xdr:txBody>
          </xdr:sp>
          <xdr:pic>
            <xdr:nvPicPr>
              <xdr:cNvPr id="53" name="Picture 52">
                <a:extLst>
                  <a:ext uri="{FF2B5EF4-FFF2-40B4-BE49-F238E27FC236}">
                    <a16:creationId xmlns="" xmlns:a16="http://schemas.microsoft.com/office/drawing/2014/main" id="{00000000-0008-0000-0000-000016000000}"/>
                  </a:ext>
                </a:extLst>
              </xdr:cNvPr>
              <xdr:cNvPicPr>
                <a:picLocks noChangeAspect="1"/>
              </xdr:cNvPicPr>
            </xdr:nvPicPr>
            <xdr:blipFill>
              <a:blip xmlns:r="http://schemas.openxmlformats.org/officeDocument/2006/relationships" r:embed="rId11"/>
              <a:stretch>
                <a:fillRect/>
              </a:stretch>
            </xdr:blipFill>
            <xdr:spPr>
              <a:xfrm>
                <a:off x="2533650" y="94297500"/>
                <a:ext cx="552381" cy="514286"/>
              </a:xfrm>
              <a:prstGeom prst="rect">
                <a:avLst/>
              </a:prstGeom>
            </xdr:spPr>
          </xdr:pic>
          <xdr:sp macro="" textlink="">
            <xdr:nvSpPr>
              <xdr:cNvPr id="54" name="Rectangle 53">
                <a:extLst>
                  <a:ext uri="{FF2B5EF4-FFF2-40B4-BE49-F238E27FC236}">
                    <a16:creationId xmlns="" xmlns:a16="http://schemas.microsoft.com/office/drawing/2014/main" id="{00000000-0008-0000-0000-000015000000}"/>
                  </a:ext>
                </a:extLst>
              </xdr:cNvPr>
              <xdr:cNvSpPr/>
            </xdr:nvSpPr>
            <xdr:spPr>
              <a:xfrm>
                <a:off x="3486151" y="90620435"/>
                <a:ext cx="988720" cy="4816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44" name="TextBox 43"/>
            <xdr:cNvSpPr txBox="1"/>
          </xdr:nvSpPr>
          <xdr:spPr>
            <a:xfrm>
              <a:off x="3628595" y="118068775"/>
              <a:ext cx="337177" cy="3613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rPr>
                <a:t>T9 </a:t>
              </a:r>
            </a:p>
          </xdr:txBody>
        </xdr:sp>
      </xdr:grpSp>
      <xdr:sp macro="" textlink="">
        <xdr:nvSpPr>
          <xdr:cNvPr id="41" name="TextBox 40"/>
          <xdr:cNvSpPr txBox="1"/>
        </xdr:nvSpPr>
        <xdr:spPr>
          <a:xfrm>
            <a:off x="4086225" y="117843300"/>
            <a:ext cx="428625" cy="2662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solidFill>
                  <a:srgbClr val="FF0000"/>
                </a:solidFill>
              </a:rPr>
              <a:t>T10</a:t>
            </a:r>
          </a:p>
        </xdr:txBody>
      </xdr:sp>
    </xdr:grpSp>
    <xdr:clientData/>
  </xdr:twoCellAnchor>
  <xdr:twoCellAnchor>
    <xdr:from>
      <xdr:col>5</xdr:col>
      <xdr:colOff>163012</xdr:colOff>
      <xdr:row>280</xdr:row>
      <xdr:rowOff>146132</xdr:rowOff>
    </xdr:from>
    <xdr:to>
      <xdr:col>6</xdr:col>
      <xdr:colOff>20972</xdr:colOff>
      <xdr:row>283</xdr:row>
      <xdr:rowOff>57604</xdr:rowOff>
    </xdr:to>
    <xdr:sp macro="" textlink="">
      <xdr:nvSpPr>
        <xdr:cNvPr id="55" name="Rectangle 54">
          <a:extLst>
            <a:ext uri="{FF2B5EF4-FFF2-40B4-BE49-F238E27FC236}">
              <a16:creationId xmlns="" xmlns:a16="http://schemas.microsoft.com/office/drawing/2014/main" id="{00000000-0008-0000-0000-000035000000}"/>
            </a:ext>
          </a:extLst>
        </xdr:cNvPr>
        <xdr:cNvSpPr/>
      </xdr:nvSpPr>
      <xdr:spPr>
        <a:xfrm>
          <a:off x="4302724" y="62725382"/>
          <a:ext cx="641940" cy="504953"/>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720587</xdr:colOff>
      <xdr:row>316</xdr:row>
      <xdr:rowOff>165652</xdr:rowOff>
    </xdr:from>
    <xdr:to>
      <xdr:col>7</xdr:col>
      <xdr:colOff>381000</xdr:colOff>
      <xdr:row>336</xdr:row>
      <xdr:rowOff>41412</xdr:rowOff>
    </xdr:to>
    <xdr:grpSp>
      <xdr:nvGrpSpPr>
        <xdr:cNvPr id="1030" name="Group 1029"/>
        <xdr:cNvGrpSpPr/>
      </xdr:nvGrpSpPr>
      <xdr:grpSpPr>
        <a:xfrm>
          <a:off x="720587" y="72593752"/>
          <a:ext cx="5337313" cy="3876260"/>
          <a:chOff x="720587" y="70079152"/>
          <a:chExt cx="5334000" cy="3851412"/>
        </a:xfrm>
      </xdr:grpSpPr>
      <xdr:grpSp>
        <xdr:nvGrpSpPr>
          <xdr:cNvPr id="1027" name="Group 1026"/>
          <xdr:cNvGrpSpPr/>
        </xdr:nvGrpSpPr>
        <xdr:grpSpPr>
          <a:xfrm>
            <a:off x="720587" y="70079152"/>
            <a:ext cx="5334000" cy="3851412"/>
            <a:chOff x="604631" y="70634088"/>
            <a:chExt cx="5334000" cy="3851412"/>
          </a:xfrm>
        </xdr:grpSpPr>
        <xdr:pic>
          <xdr:nvPicPr>
            <xdr:cNvPr id="56" name="Picture 5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604631" y="70634088"/>
              <a:ext cx="5334000" cy="3851412"/>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16" name="Rectangle 15"/>
            <xdr:cNvSpPr/>
          </xdr:nvSpPr>
          <xdr:spPr>
            <a:xfrm rot="1327363">
              <a:off x="3750977" y="71699208"/>
              <a:ext cx="855371" cy="433800"/>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xnSp macro="">
          <xdr:nvCxnSpPr>
            <xdr:cNvPr id="57" name="Straight Arrow Connector 56"/>
            <xdr:cNvCxnSpPr/>
          </xdr:nvCxnSpPr>
          <xdr:spPr>
            <a:xfrm flipH="1">
              <a:off x="4157870" y="71313263"/>
              <a:ext cx="214423" cy="332280"/>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8" name="Text Box 25"/>
            <xdr:cNvSpPr txBox="1">
              <a:spLocks noChangeArrowheads="1"/>
            </xdr:cNvSpPr>
          </xdr:nvSpPr>
          <xdr:spPr bwMode="auto">
            <a:xfrm>
              <a:off x="3602936" y="71015090"/>
              <a:ext cx="1505583" cy="339586"/>
            </a:xfrm>
            <a:prstGeom prst="rect">
              <a:avLst/>
            </a:prstGeom>
            <a:noFill/>
            <a:ln w="9525">
              <a:noFill/>
              <a:miter lim="800000"/>
              <a:headEnd/>
              <a:tailEnd/>
            </a:ln>
          </xdr:spPr>
          <xdr:txBody>
            <a:bodyPr vertOverflow="clip" wrap="square" lIns="27432" tIns="22860" rIns="0" bIns="0" anchor="t" upright="1"/>
            <a:lstStyle/>
            <a:p>
              <a:pPr algn="l" rtl="0">
                <a:defRPr sz="1000"/>
              </a:pPr>
              <a:r>
                <a:rPr lang="en-IN" sz="1600" b="1" i="0" u="none" strike="noStrike" baseline="0">
                  <a:solidFill>
                    <a:srgbClr val="FFFF00"/>
                  </a:solidFill>
                  <a:latin typeface="Calibri"/>
                  <a:cs typeface="Calibri"/>
                </a:rPr>
                <a:t>Lodha Matunga</a:t>
              </a:r>
            </a:p>
            <a:p>
              <a:pPr algn="l" rtl="0">
                <a:defRPr sz="1000"/>
              </a:pPr>
              <a:endParaRPr lang="en-IN" sz="1600" b="1" i="0" u="none" strike="noStrike" baseline="0">
                <a:solidFill>
                  <a:srgbClr val="FFFF00"/>
                </a:solidFill>
                <a:latin typeface="Calibri"/>
                <a:cs typeface="Calibri"/>
              </a:endParaRPr>
            </a:p>
          </xdr:txBody>
        </xdr:sp>
        <xdr:sp macro="" textlink="">
          <xdr:nvSpPr>
            <xdr:cNvPr id="7" name="Freeform 6"/>
            <xdr:cNvSpPr/>
          </xdr:nvSpPr>
          <xdr:spPr>
            <a:xfrm>
              <a:off x="3578087" y="72083543"/>
              <a:ext cx="911087" cy="952500"/>
            </a:xfrm>
            <a:custGeom>
              <a:avLst/>
              <a:gdLst>
                <a:gd name="connsiteX0" fmla="*/ 91109 w 985631"/>
                <a:gd name="connsiteY0" fmla="*/ 0 h 952500"/>
                <a:gd name="connsiteX1" fmla="*/ 0 w 985631"/>
                <a:gd name="connsiteY1" fmla="*/ 265044 h 952500"/>
                <a:gd name="connsiteX2" fmla="*/ 405848 w 985631"/>
                <a:gd name="connsiteY2" fmla="*/ 389283 h 952500"/>
                <a:gd name="connsiteX3" fmla="*/ 273327 w 985631"/>
                <a:gd name="connsiteY3" fmla="*/ 811696 h 952500"/>
                <a:gd name="connsiteX4" fmla="*/ 612914 w 985631"/>
                <a:gd name="connsiteY4" fmla="*/ 952500 h 952500"/>
                <a:gd name="connsiteX5" fmla="*/ 985631 w 985631"/>
                <a:gd name="connsiteY5" fmla="*/ 273327 h 952500"/>
                <a:gd name="connsiteX6" fmla="*/ 91109 w 985631"/>
                <a:gd name="connsiteY6" fmla="*/ 0 h 952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85631" h="952500">
                  <a:moveTo>
                    <a:pt x="91109" y="0"/>
                  </a:moveTo>
                  <a:lnTo>
                    <a:pt x="0" y="265044"/>
                  </a:lnTo>
                  <a:lnTo>
                    <a:pt x="405848" y="389283"/>
                  </a:lnTo>
                  <a:lnTo>
                    <a:pt x="273327" y="811696"/>
                  </a:lnTo>
                  <a:lnTo>
                    <a:pt x="612914" y="952500"/>
                  </a:lnTo>
                  <a:lnTo>
                    <a:pt x="985631" y="273327"/>
                  </a:lnTo>
                  <a:lnTo>
                    <a:pt x="91109"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2" name="Text Box 25"/>
            <xdr:cNvSpPr txBox="1">
              <a:spLocks noChangeArrowheads="1"/>
            </xdr:cNvSpPr>
          </xdr:nvSpPr>
          <xdr:spPr bwMode="auto">
            <a:xfrm>
              <a:off x="4737653" y="72199500"/>
              <a:ext cx="976495" cy="708407"/>
            </a:xfrm>
            <a:prstGeom prst="rect">
              <a:avLst/>
            </a:prstGeom>
            <a:noFill/>
            <a:ln w="9525">
              <a:noFill/>
              <a:miter lim="800000"/>
              <a:headEnd/>
              <a:tailEnd/>
            </a:ln>
          </xdr:spPr>
          <xdr:txBody>
            <a:bodyPr vertOverflow="clip" wrap="square" lIns="27432" tIns="22860" rIns="0" bIns="0" anchor="t" upright="1"/>
            <a:lstStyle/>
            <a:p>
              <a:pPr algn="l" rtl="0">
                <a:defRPr sz="1000"/>
              </a:pPr>
              <a:r>
                <a:rPr lang="en-IN" sz="1600" b="1" i="0" u="none" strike="noStrike" baseline="0">
                  <a:solidFill>
                    <a:srgbClr val="FFFF00"/>
                  </a:solidFill>
                  <a:latin typeface="Calibri"/>
                  <a:cs typeface="Calibri"/>
                </a:rPr>
                <a:t>Lodha Bellissimo </a:t>
              </a:r>
            </a:p>
          </xdr:txBody>
        </xdr:sp>
      </xdr:grpSp>
      <xdr:cxnSp macro="">
        <xdr:nvCxnSpPr>
          <xdr:cNvPr id="75" name="Straight Arrow Connector 74"/>
          <xdr:cNvCxnSpPr/>
        </xdr:nvCxnSpPr>
        <xdr:spPr>
          <a:xfrm flipH="1">
            <a:off x="4422914" y="71967587"/>
            <a:ext cx="389281" cy="248478"/>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392207</xdr:colOff>
      <xdr:row>13</xdr:row>
      <xdr:rowOff>89647</xdr:rowOff>
    </xdr:from>
    <xdr:to>
      <xdr:col>5</xdr:col>
      <xdr:colOff>744156</xdr:colOff>
      <xdr:row>32</xdr:row>
      <xdr:rowOff>70147</xdr:rowOff>
    </xdr:to>
    <xdr:pic>
      <xdr:nvPicPr>
        <xdr:cNvPr id="2" name="Picture 1"/>
        <xdr:cNvPicPr>
          <a:picLocks noChangeAspect="1"/>
        </xdr:cNvPicPr>
      </xdr:nvPicPr>
      <xdr:blipFill>
        <a:blip xmlns:r="http://schemas.openxmlformats.org/officeDocument/2006/relationships" r:embed="rId1"/>
        <a:stretch>
          <a:fillRect/>
        </a:stretch>
      </xdr:blipFill>
      <xdr:spPr>
        <a:xfrm>
          <a:off x="392207" y="2577353"/>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lodhagroup.in/projects/campaigns/lodha-matunga-bhaudaji-road/?gclid=Cj0KCQjwmICoBhDxARIsABXkXlIZRCZXnXys-pYU2hyfmyvxmt0_L8XfYgc9GX_swVZLcNoURbsnjrIaAqajEALw_wcB" TargetMode="External"/><Relationship Id="rId1" Type="http://schemas.openxmlformats.org/officeDocument/2006/relationships/hyperlink" Target="https://goo.gl/maps/3fuVKzYDqHgwskZQ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34"/>
  <sheetViews>
    <sheetView tabSelected="1" view="pageBreakPreview" topLeftCell="A97" zoomScaleNormal="100" zoomScaleSheetLayoutView="100" zoomScalePageLayoutView="85" workbookViewId="0">
      <selection activeCell="A91" sqref="A91:XFD91"/>
    </sheetView>
  </sheetViews>
  <sheetFormatPr defaultColWidth="9.140625" defaultRowHeight="15.75" x14ac:dyDescent="0.25"/>
  <cols>
    <col min="1" max="1" width="11.42578125" style="38" customWidth="1"/>
    <col min="2" max="2" width="12" style="38" customWidth="1"/>
    <col min="3" max="3" width="12.7109375" style="38" customWidth="1"/>
    <col min="4" max="4" width="14.140625" style="38" customWidth="1"/>
    <col min="5" max="6" width="11.7109375" style="38" customWidth="1"/>
    <col min="7" max="7" width="11.42578125" style="38" customWidth="1"/>
    <col min="8" max="8" width="13.7109375" style="38" customWidth="1"/>
    <col min="9" max="9" width="17.42578125" style="19" customWidth="1"/>
    <col min="10" max="10" width="11.42578125" style="19" customWidth="1"/>
    <col min="11" max="11" width="11.7109375" style="19" bestFit="1" customWidth="1"/>
    <col min="12" max="12" width="10.5703125" style="19" customWidth="1"/>
    <col min="13" max="13" width="11.85546875" style="19" customWidth="1"/>
    <col min="14" max="14" width="12.5703125" style="19" customWidth="1"/>
    <col min="15" max="15" width="9.85546875" style="19" customWidth="1"/>
    <col min="16" max="16" width="11.7109375" style="19" customWidth="1"/>
    <col min="17"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26" ht="46.5" customHeight="1" x14ac:dyDescent="0.25">
      <c r="A1" s="178" t="s">
        <v>159</v>
      </c>
      <c r="B1" s="178"/>
      <c r="C1" s="178"/>
      <c r="D1" s="178"/>
      <c r="E1" s="178"/>
      <c r="F1" s="178"/>
      <c r="G1" s="178"/>
      <c r="H1" s="178"/>
    </row>
    <row r="2" spans="1:26" ht="16.5" customHeight="1" x14ac:dyDescent="0.25">
      <c r="A2" s="163" t="s">
        <v>0</v>
      </c>
      <c r="B2" s="163"/>
      <c r="C2" s="163"/>
      <c r="D2" s="163"/>
      <c r="E2" s="163"/>
      <c r="F2" s="163"/>
      <c r="G2" s="163"/>
      <c r="H2" s="163"/>
    </row>
    <row r="3" spans="1:26" x14ac:dyDescent="0.25">
      <c r="A3" s="179" t="s">
        <v>1</v>
      </c>
      <c r="B3" s="179"/>
      <c r="C3" s="179"/>
      <c r="D3" s="179"/>
      <c r="E3" s="179" t="str">
        <f ca="1">TEXT(TODAY(),"DD/MM/YYYY")</f>
        <v>08/08/2025</v>
      </c>
      <c r="F3" s="179"/>
      <c r="G3" s="179"/>
      <c r="H3" s="179"/>
    </row>
    <row r="4" spans="1:26" ht="15" customHeight="1" x14ac:dyDescent="0.25">
      <c r="A4" s="179" t="s">
        <v>2</v>
      </c>
      <c r="B4" s="179"/>
      <c r="C4" s="179"/>
      <c r="D4" s="179"/>
      <c r="E4" s="179" t="s">
        <v>225</v>
      </c>
      <c r="F4" s="179"/>
      <c r="G4" s="179"/>
      <c r="H4" s="179"/>
    </row>
    <row r="5" spans="1:26" x14ac:dyDescent="0.25">
      <c r="A5" s="181" t="s">
        <v>3</v>
      </c>
      <c r="B5" s="181"/>
      <c r="C5" s="181"/>
      <c r="D5" s="181"/>
      <c r="E5" s="182">
        <v>45867</v>
      </c>
      <c r="F5" s="179"/>
      <c r="G5" s="179"/>
      <c r="H5" s="179"/>
    </row>
    <row r="6" spans="1:26" ht="16.5" customHeight="1" x14ac:dyDescent="0.25">
      <c r="A6" s="179" t="s">
        <v>4</v>
      </c>
      <c r="B6" s="179"/>
      <c r="C6" s="179"/>
      <c r="D6" s="179"/>
      <c r="E6" s="179" t="s">
        <v>227</v>
      </c>
      <c r="F6" s="179"/>
      <c r="G6" s="179"/>
      <c r="H6" s="179"/>
    </row>
    <row r="7" spans="1:26" ht="15" customHeight="1" x14ac:dyDescent="0.25">
      <c r="A7" s="179" t="s">
        <v>5</v>
      </c>
      <c r="B7" s="179"/>
      <c r="C7" s="179"/>
      <c r="D7" s="179"/>
      <c r="E7" s="179" t="str">
        <f>E6</f>
        <v>Macrotech Developers Limited</v>
      </c>
      <c r="F7" s="179"/>
      <c r="G7" s="179"/>
      <c r="H7" s="179"/>
    </row>
    <row r="8" spans="1:26" x14ac:dyDescent="0.25">
      <c r="A8" s="179" t="s">
        <v>6</v>
      </c>
      <c r="B8" s="179"/>
      <c r="C8" s="179"/>
      <c r="D8" s="179"/>
      <c r="E8" s="180" t="s">
        <v>330</v>
      </c>
      <c r="F8" s="180"/>
      <c r="G8" s="180"/>
      <c r="H8" s="180"/>
    </row>
    <row r="9" spans="1:26" x14ac:dyDescent="0.25">
      <c r="A9" s="179" t="s">
        <v>321</v>
      </c>
      <c r="B9" s="179"/>
      <c r="C9" s="179"/>
      <c r="D9" s="179"/>
      <c r="E9" s="183" t="s">
        <v>284</v>
      </c>
      <c r="F9" s="184"/>
      <c r="G9" s="184"/>
      <c r="H9" s="185"/>
    </row>
    <row r="10" spans="1:26" x14ac:dyDescent="0.25">
      <c r="A10" s="179" t="s">
        <v>161</v>
      </c>
      <c r="B10" s="179"/>
      <c r="C10" s="179"/>
      <c r="D10" s="179"/>
      <c r="E10" s="179" t="s">
        <v>228</v>
      </c>
      <c r="F10" s="179"/>
      <c r="G10" s="179"/>
      <c r="H10" s="179"/>
    </row>
    <row r="11" spans="1:26" x14ac:dyDescent="0.25">
      <c r="A11" s="181" t="s">
        <v>162</v>
      </c>
      <c r="B11" s="181"/>
      <c r="C11" s="181"/>
      <c r="D11" s="181"/>
      <c r="E11" s="179" t="s">
        <v>228</v>
      </c>
      <c r="F11" s="179"/>
      <c r="G11" s="179"/>
      <c r="H11" s="179"/>
    </row>
    <row r="12" spans="1:26" ht="31.5" customHeight="1" x14ac:dyDescent="0.25">
      <c r="A12" s="179" t="s">
        <v>7</v>
      </c>
      <c r="B12" s="179"/>
      <c r="C12" s="179"/>
      <c r="D12" s="179"/>
      <c r="E12" s="191" t="s">
        <v>331</v>
      </c>
      <c r="F12" s="192"/>
      <c r="G12" s="192"/>
      <c r="H12" s="192"/>
      <c r="I12" s="20" t="s">
        <v>255</v>
      </c>
      <c r="J12" s="20" t="s">
        <v>258</v>
      </c>
    </row>
    <row r="13" spans="1:26" ht="63.75" customHeight="1" x14ac:dyDescent="0.25">
      <c r="A13" s="179" t="s">
        <v>164</v>
      </c>
      <c r="B13" s="179"/>
      <c r="C13" s="179"/>
      <c r="D13" s="179"/>
      <c r="E13" s="186" t="s">
        <v>341</v>
      </c>
      <c r="F13" s="187"/>
      <c r="G13" s="187"/>
      <c r="H13" s="188"/>
      <c r="S13" s="51" t="s">
        <v>169</v>
      </c>
      <c r="T13" s="51" t="s">
        <v>179</v>
      </c>
      <c r="U13" s="51" t="s">
        <v>165</v>
      </c>
      <c r="V13" s="51" t="s">
        <v>184</v>
      </c>
      <c r="W13" s="51" t="s">
        <v>202</v>
      </c>
      <c r="X13"/>
      <c r="Y13" t="s">
        <v>184</v>
      </c>
      <c r="Z13" t="e">
        <f ca="1">OFFSET($S$13,1,MATCH($G20,$S$13:$W$13,0)-1,15,1)</f>
        <v>#VALUE!</v>
      </c>
    </row>
    <row r="14" spans="1:26" x14ac:dyDescent="0.25">
      <c r="A14" s="129" t="s">
        <v>8</v>
      </c>
      <c r="B14" s="129"/>
      <c r="C14" s="129"/>
      <c r="D14" s="129"/>
      <c r="E14" s="150" t="s">
        <v>346</v>
      </c>
      <c r="F14" s="150"/>
      <c r="G14" s="150"/>
      <c r="H14" s="150"/>
      <c r="S14" s="51" t="s">
        <v>170</v>
      </c>
      <c r="T14" s="51" t="s">
        <v>177</v>
      </c>
      <c r="U14" s="51" t="s">
        <v>199</v>
      </c>
      <c r="V14" s="51" t="s">
        <v>185</v>
      </c>
      <c r="W14" s="51" t="s">
        <v>203</v>
      </c>
      <c r="X14"/>
      <c r="Y14"/>
      <c r="Z14"/>
    </row>
    <row r="15" spans="1:26" ht="35.25" customHeight="1" x14ac:dyDescent="0.25">
      <c r="A15" s="129" t="s">
        <v>9</v>
      </c>
      <c r="B15" s="129"/>
      <c r="C15" s="129"/>
      <c r="D15" s="129"/>
      <c r="E15" s="150" t="s">
        <v>319</v>
      </c>
      <c r="F15" s="179"/>
      <c r="G15" s="179"/>
      <c r="H15" s="179"/>
      <c r="I15" s="130" t="e">
        <f ca="1">OFFSET($D$4,1,MATCH($J13,$D$4:$H$4,0)-1,15,1)</f>
        <v>#N/A</v>
      </c>
      <c r="J15" s="131"/>
      <c r="K15" s="131"/>
      <c r="L15" s="131"/>
      <c r="M15" s="131"/>
      <c r="N15" s="131"/>
      <c r="O15" s="131"/>
      <c r="P15" s="131"/>
      <c r="S15" s="51" t="s">
        <v>171</v>
      </c>
      <c r="T15" s="51" t="s">
        <v>178</v>
      </c>
      <c r="U15" s="51" t="s">
        <v>200</v>
      </c>
      <c r="V15" s="51" t="s">
        <v>186</v>
      </c>
      <c r="W15" s="51" t="s">
        <v>216</v>
      </c>
      <c r="X15"/>
      <c r="Y15"/>
      <c r="Z15"/>
    </row>
    <row r="16" spans="1:26" ht="63.75" customHeight="1" x14ac:dyDescent="0.25">
      <c r="A16" s="149" t="s">
        <v>10</v>
      </c>
      <c r="B16" s="149"/>
      <c r="C16" s="149" t="str">
        <f>CONCATENATE((IF(OR(E8="",E8="NA"),"",E8)),", ",(IF(OR(A17="",A17="NA"),"",A17)),".",(IF(OR(C17="",C17="NA"),"",C17)),", near ",(IF(OR(C22="",C22="NA"),"",C22)),", ",(IF(OR(C19="",C19="NA"),"",C19)),", ",(IF(OR(C18="",C18="NA"),"",C18)),", ",(IF(OR(G19="",G19="NA"),"",G19)),", ",(IF(OR(C20="",C20="NA"),"",C20)),", ",(IF(OR(C21="",C21="NA"),"",C21)),", ",(IF(OR(G20="",G20="NA"),"",G20))," - ",(IF(OR(G21="",G21="NA"),"",G21)),".")</f>
        <v>Lodha Matunga, CTS No.6 (pt), 7 &amp; 41 Redevlopement of "Barracks No. T/57, T/58, T/59" Known As Rahat Plaza CHS, "Barracks No.T/70, T/71, T/72 &amp; T/6" Known As Matunga Sindhi Colony Panchayat CHS, near Midas CHS, Bhaudaji Road, Sion Hospital colony, Vishramwadi, Sion East, Mumbai Fnorth Ward, Mumbai - 400022.</v>
      </c>
      <c r="D16" s="149"/>
      <c r="E16" s="149"/>
      <c r="F16" s="149"/>
      <c r="G16" s="149"/>
      <c r="H16" s="149"/>
      <c r="S16" s="51" t="s">
        <v>172</v>
      </c>
      <c r="T16" s="51" t="s">
        <v>180</v>
      </c>
      <c r="U16" s="51" t="s">
        <v>201</v>
      </c>
      <c r="V16" s="51" t="s">
        <v>187</v>
      </c>
      <c r="W16" s="51" t="s">
        <v>204</v>
      </c>
      <c r="X16"/>
      <c r="Y16"/>
      <c r="Z16"/>
    </row>
    <row r="17" spans="1:26" ht="48.75" customHeight="1" x14ac:dyDescent="0.25">
      <c r="A17" s="151" t="s">
        <v>229</v>
      </c>
      <c r="B17" s="151"/>
      <c r="C17" s="151" t="s">
        <v>322</v>
      </c>
      <c r="D17" s="151"/>
      <c r="E17" s="151"/>
      <c r="F17" s="151"/>
      <c r="G17" s="151"/>
      <c r="H17" s="151"/>
      <c r="I17" s="19" t="s">
        <v>247</v>
      </c>
      <c r="S17" s="51" t="s">
        <v>173</v>
      </c>
      <c r="T17" s="51" t="s">
        <v>181</v>
      </c>
      <c r="U17" s="51"/>
      <c r="V17" s="51" t="s">
        <v>188</v>
      </c>
      <c r="W17" s="51" t="s">
        <v>205</v>
      </c>
      <c r="X17"/>
      <c r="Y17"/>
      <c r="Z17"/>
    </row>
    <row r="18" spans="1:26" ht="15.75" customHeight="1" x14ac:dyDescent="0.25">
      <c r="A18" s="151" t="s">
        <v>157</v>
      </c>
      <c r="B18" s="151"/>
      <c r="C18" s="151" t="s">
        <v>233</v>
      </c>
      <c r="D18" s="151"/>
      <c r="E18" s="151"/>
      <c r="F18" s="151"/>
      <c r="G18" s="151"/>
      <c r="H18" s="151"/>
      <c r="S18" s="51" t="s">
        <v>174</v>
      </c>
      <c r="T18" s="51" t="s">
        <v>179</v>
      </c>
      <c r="U18" s="51"/>
      <c r="V18" s="51" t="s">
        <v>189</v>
      </c>
      <c r="W18" s="51" t="s">
        <v>206</v>
      </c>
      <c r="X18"/>
      <c r="Y18"/>
      <c r="Z18"/>
    </row>
    <row r="19" spans="1:26" x14ac:dyDescent="0.25">
      <c r="A19" s="190" t="s">
        <v>11</v>
      </c>
      <c r="B19" s="190"/>
      <c r="C19" s="181" t="s">
        <v>230</v>
      </c>
      <c r="D19" s="181"/>
      <c r="E19" s="151" t="s">
        <v>226</v>
      </c>
      <c r="F19" s="151"/>
      <c r="G19" s="151" t="s">
        <v>238</v>
      </c>
      <c r="H19" s="151"/>
      <c r="S19" s="51" t="s">
        <v>175</v>
      </c>
      <c r="T19" s="51" t="s">
        <v>182</v>
      </c>
      <c r="U19" s="51"/>
      <c r="V19" s="51" t="s">
        <v>190</v>
      </c>
      <c r="W19" s="51" t="s">
        <v>207</v>
      </c>
      <c r="X19"/>
      <c r="Y19"/>
      <c r="Z19"/>
    </row>
    <row r="20" spans="1:26" x14ac:dyDescent="0.25">
      <c r="A20" s="189" t="s">
        <v>13</v>
      </c>
      <c r="B20" s="189"/>
      <c r="C20" s="151" t="s">
        <v>234</v>
      </c>
      <c r="D20" s="151"/>
      <c r="E20" s="151" t="s">
        <v>12</v>
      </c>
      <c r="F20" s="151"/>
      <c r="G20" s="193" t="s">
        <v>165</v>
      </c>
      <c r="H20" s="193"/>
      <c r="S20" s="51" t="s">
        <v>176</v>
      </c>
      <c r="T20" s="51" t="s">
        <v>183</v>
      </c>
      <c r="U20" s="51"/>
      <c r="V20" s="51" t="s">
        <v>191</v>
      </c>
      <c r="W20" s="51" t="s">
        <v>208</v>
      </c>
      <c r="X20"/>
      <c r="Y20"/>
      <c r="Z20"/>
    </row>
    <row r="21" spans="1:26" x14ac:dyDescent="0.25">
      <c r="A21" s="189" t="s">
        <v>72</v>
      </c>
      <c r="B21" s="189"/>
      <c r="C21" s="151" t="s">
        <v>236</v>
      </c>
      <c r="D21" s="151"/>
      <c r="E21" s="151" t="s">
        <v>14</v>
      </c>
      <c r="F21" s="151"/>
      <c r="G21" s="151">
        <v>400022</v>
      </c>
      <c r="H21" s="151"/>
      <c r="S21" s="51"/>
      <c r="T21" s="51"/>
      <c r="U21" s="51"/>
      <c r="V21" s="51" t="s">
        <v>192</v>
      </c>
      <c r="W21" s="51" t="s">
        <v>209</v>
      </c>
      <c r="X21"/>
      <c r="Y21"/>
      <c r="Z21"/>
    </row>
    <row r="22" spans="1:26" ht="32.25" customHeight="1" x14ac:dyDescent="0.25">
      <c r="A22" s="189" t="s">
        <v>118</v>
      </c>
      <c r="B22" s="189"/>
      <c r="C22" s="151" t="s">
        <v>235</v>
      </c>
      <c r="D22" s="151"/>
      <c r="E22" s="190" t="s">
        <v>15</v>
      </c>
      <c r="F22" s="190"/>
      <c r="G22" s="151" t="s">
        <v>237</v>
      </c>
      <c r="H22" s="151"/>
      <c r="S22" s="51"/>
      <c r="T22" s="51"/>
      <c r="U22" s="51"/>
      <c r="V22" s="51" t="s">
        <v>193</v>
      </c>
      <c r="W22" s="51" t="s">
        <v>210</v>
      </c>
      <c r="X22"/>
      <c r="Y22"/>
      <c r="Z22"/>
    </row>
    <row r="23" spans="1:26" ht="15" customHeight="1" x14ac:dyDescent="0.25">
      <c r="A23" s="149" t="s">
        <v>73</v>
      </c>
      <c r="B23" s="149"/>
      <c r="C23" s="149"/>
      <c r="D23" s="149"/>
      <c r="E23" s="179" t="s">
        <v>16</v>
      </c>
      <c r="F23" s="179"/>
      <c r="G23" s="179"/>
      <c r="H23" s="179"/>
      <c r="S23" s="51"/>
      <c r="T23" s="51"/>
      <c r="U23" s="51"/>
      <c r="V23" s="51" t="s">
        <v>194</v>
      </c>
      <c r="W23" s="51" t="s">
        <v>211</v>
      </c>
      <c r="X23"/>
      <c r="Y23"/>
      <c r="Z23"/>
    </row>
    <row r="24" spans="1:26" ht="18.75" customHeight="1" x14ac:dyDescent="0.25">
      <c r="A24" s="149"/>
      <c r="B24" s="149"/>
      <c r="C24" s="149"/>
      <c r="D24" s="149"/>
      <c r="E24" s="179"/>
      <c r="F24" s="179"/>
      <c r="G24" s="179"/>
      <c r="H24" s="179"/>
      <c r="S24" s="51"/>
      <c r="T24" s="51"/>
      <c r="U24" s="51"/>
      <c r="V24" s="51" t="s">
        <v>195</v>
      </c>
      <c r="W24" s="51" t="s">
        <v>212</v>
      </c>
      <c r="X24"/>
      <c r="Y24"/>
      <c r="Z24"/>
    </row>
    <row r="25" spans="1:26" ht="15" customHeight="1" x14ac:dyDescent="0.25">
      <c r="A25" s="149" t="s">
        <v>17</v>
      </c>
      <c r="B25" s="149"/>
      <c r="C25" s="149"/>
      <c r="D25" s="149"/>
      <c r="E25" s="150" t="s">
        <v>18</v>
      </c>
      <c r="F25" s="150"/>
      <c r="G25" s="150"/>
      <c r="H25" s="150"/>
      <c r="S25" s="51"/>
      <c r="T25" s="51"/>
      <c r="U25" s="51"/>
      <c r="V25" s="51" t="s">
        <v>196</v>
      </c>
      <c r="W25" s="51" t="s">
        <v>213</v>
      </c>
      <c r="X25"/>
      <c r="Y25"/>
      <c r="Z25"/>
    </row>
    <row r="26" spans="1:26" ht="15" customHeight="1" x14ac:dyDescent="0.25">
      <c r="A26" s="129" t="s">
        <v>19</v>
      </c>
      <c r="B26" s="129"/>
      <c r="C26" s="129"/>
      <c r="D26" s="129"/>
      <c r="E26" s="150" t="str">
        <f>IF(AND(G20="Mumbai"),"Upper Class","Middle Class")</f>
        <v>Upper Class</v>
      </c>
      <c r="F26" s="150"/>
      <c r="G26" s="150"/>
      <c r="H26" s="150"/>
      <c r="S26" s="51"/>
      <c r="T26" s="51"/>
      <c r="U26" s="51"/>
      <c r="V26" s="51" t="s">
        <v>197</v>
      </c>
      <c r="W26" s="51" t="s">
        <v>214</v>
      </c>
      <c r="X26"/>
      <c r="Y26"/>
      <c r="Z26"/>
    </row>
    <row r="27" spans="1:26" x14ac:dyDescent="0.25">
      <c r="A27" s="129" t="s">
        <v>20</v>
      </c>
      <c r="B27" s="129"/>
      <c r="C27" s="129"/>
      <c r="D27" s="129"/>
      <c r="E27" s="150" t="s">
        <v>21</v>
      </c>
      <c r="F27" s="150"/>
      <c r="G27" s="150"/>
      <c r="H27" s="150"/>
      <c r="S27" s="51"/>
      <c r="T27" s="51"/>
      <c r="U27" s="51"/>
      <c r="V27" s="51" t="s">
        <v>198</v>
      </c>
      <c r="W27" s="51" t="s">
        <v>215</v>
      </c>
      <c r="X27"/>
      <c r="Y27"/>
      <c r="Z27"/>
    </row>
    <row r="28" spans="1:26" ht="15.75" customHeight="1" x14ac:dyDescent="0.25">
      <c r="A28" s="129" t="s">
        <v>22</v>
      </c>
      <c r="B28" s="129"/>
      <c r="C28" s="129"/>
      <c r="D28" s="129"/>
      <c r="E28" s="150" t="str">
        <f>IF(AND(G20="Mumbai"),"Developed","Developing")</f>
        <v>Developed</v>
      </c>
      <c r="F28" s="150"/>
      <c r="G28" s="150"/>
      <c r="H28" s="150"/>
    </row>
    <row r="29" spans="1:26" x14ac:dyDescent="0.25">
      <c r="A29" s="129" t="s">
        <v>23</v>
      </c>
      <c r="B29" s="129"/>
      <c r="C29" s="129"/>
      <c r="D29" s="129"/>
      <c r="E29" s="150" t="s">
        <v>24</v>
      </c>
      <c r="F29" s="150"/>
      <c r="G29" s="150"/>
      <c r="H29" s="150"/>
    </row>
    <row r="30" spans="1:26" ht="15.75" customHeight="1" x14ac:dyDescent="0.25">
      <c r="A30" s="129" t="s">
        <v>78</v>
      </c>
      <c r="B30" s="129"/>
      <c r="C30" s="129"/>
      <c r="D30" s="129"/>
      <c r="E30" s="150" t="s">
        <v>79</v>
      </c>
      <c r="F30" s="150"/>
      <c r="G30" s="150"/>
      <c r="H30" s="150"/>
      <c r="K30" t="s">
        <v>261</v>
      </c>
    </row>
    <row r="31" spans="1:26" ht="15" customHeight="1" x14ac:dyDescent="0.25">
      <c r="A31" s="129" t="s">
        <v>32</v>
      </c>
      <c r="B31" s="129"/>
      <c r="C31" s="129"/>
      <c r="D31" s="129"/>
      <c r="E31" s="150"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v>
      </c>
      <c r="F31" s="150"/>
      <c r="G31" s="150"/>
      <c r="H31" s="150"/>
    </row>
    <row r="32" spans="1:26" ht="15.75" customHeight="1" x14ac:dyDescent="0.25">
      <c r="A32" s="129" t="s">
        <v>90</v>
      </c>
      <c r="B32" s="129"/>
      <c r="C32" s="129"/>
      <c r="D32" s="129"/>
      <c r="E32" s="150" t="s">
        <v>33</v>
      </c>
      <c r="F32" s="150"/>
      <c r="G32" s="150"/>
      <c r="H32" s="150"/>
    </row>
    <row r="33" spans="1:13" s="20" customFormat="1" x14ac:dyDescent="0.25">
      <c r="A33" s="198" t="s">
        <v>91</v>
      </c>
      <c r="B33" s="198"/>
      <c r="C33" s="195" t="s">
        <v>166</v>
      </c>
      <c r="D33" s="196"/>
      <c r="E33" s="197"/>
      <c r="F33" s="195" t="s">
        <v>30</v>
      </c>
      <c r="G33" s="196"/>
      <c r="H33" s="197"/>
    </row>
    <row r="34" spans="1:13" s="20" customFormat="1" x14ac:dyDescent="0.25">
      <c r="A34" s="194" t="s">
        <v>25</v>
      </c>
      <c r="B34" s="194" t="s">
        <v>29</v>
      </c>
      <c r="C34" s="146" t="s">
        <v>240</v>
      </c>
      <c r="D34" s="147"/>
      <c r="E34" s="148"/>
      <c r="F34" s="146" t="s">
        <v>242</v>
      </c>
      <c r="G34" s="147"/>
      <c r="H34" s="148"/>
    </row>
    <row r="35" spans="1:13" ht="36" customHeight="1" x14ac:dyDescent="0.25">
      <c r="A35" s="199" t="s">
        <v>26</v>
      </c>
      <c r="B35" s="199" t="s">
        <v>29</v>
      </c>
      <c r="C35" s="200" t="s">
        <v>240</v>
      </c>
      <c r="D35" s="201"/>
      <c r="E35" s="202"/>
      <c r="F35" s="133" t="s">
        <v>262</v>
      </c>
      <c r="G35" s="134"/>
      <c r="H35" s="135"/>
    </row>
    <row r="36" spans="1:13" s="20" customFormat="1" x14ac:dyDescent="0.25">
      <c r="A36" s="194" t="s">
        <v>28</v>
      </c>
      <c r="B36" s="194" t="s">
        <v>29</v>
      </c>
      <c r="C36" s="146" t="s">
        <v>240</v>
      </c>
      <c r="D36" s="147"/>
      <c r="E36" s="148"/>
      <c r="F36" s="146" t="s">
        <v>241</v>
      </c>
      <c r="G36" s="147"/>
      <c r="H36" s="148"/>
    </row>
    <row r="37" spans="1:13" x14ac:dyDescent="0.25">
      <c r="A37" s="194" t="s">
        <v>27</v>
      </c>
      <c r="B37" s="194" t="s">
        <v>29</v>
      </c>
      <c r="C37" s="146" t="s">
        <v>239</v>
      </c>
      <c r="D37" s="147"/>
      <c r="E37" s="148"/>
      <c r="F37" s="146" t="s">
        <v>263</v>
      </c>
      <c r="G37" s="147"/>
      <c r="H37" s="148"/>
    </row>
    <row r="38" spans="1:13" x14ac:dyDescent="0.25">
      <c r="A38" s="129" t="s">
        <v>31</v>
      </c>
      <c r="B38" s="129"/>
      <c r="C38" s="129"/>
      <c r="D38" s="129"/>
      <c r="E38" s="129"/>
      <c r="F38" s="129"/>
      <c r="G38" s="129"/>
      <c r="H38" s="129"/>
    </row>
    <row r="39" spans="1:13" ht="15.75" customHeight="1" x14ac:dyDescent="0.25">
      <c r="A39" s="174" t="s">
        <v>160</v>
      </c>
      <c r="B39" s="174"/>
      <c r="C39" s="149" t="s">
        <v>231</v>
      </c>
      <c r="D39" s="129"/>
      <c r="E39" s="129"/>
      <c r="F39" s="129"/>
      <c r="G39" s="129"/>
      <c r="H39" s="129"/>
    </row>
    <row r="40" spans="1:13" x14ac:dyDescent="0.25">
      <c r="A40" s="174" t="s">
        <v>156</v>
      </c>
      <c r="B40" s="174"/>
      <c r="C40" s="215" t="s">
        <v>232</v>
      </c>
      <c r="D40" s="150"/>
      <c r="E40" s="150"/>
      <c r="F40" s="150"/>
      <c r="G40" s="150"/>
      <c r="H40" s="150"/>
    </row>
    <row r="41" spans="1:13" x14ac:dyDescent="0.25">
      <c r="A41" s="174" t="s">
        <v>34</v>
      </c>
      <c r="B41" s="174"/>
      <c r="C41" s="174"/>
      <c r="D41" s="174"/>
      <c r="E41" s="174"/>
      <c r="F41" s="174"/>
      <c r="G41" s="174"/>
      <c r="H41" s="174"/>
    </row>
    <row r="42" spans="1:13" x14ac:dyDescent="0.25">
      <c r="A42" s="129" t="s">
        <v>35</v>
      </c>
      <c r="B42" s="129"/>
      <c r="C42" s="129"/>
      <c r="D42" s="129"/>
      <c r="E42" s="205">
        <v>45445.91</v>
      </c>
      <c r="F42" s="205"/>
      <c r="G42" s="205"/>
      <c r="H42" s="205"/>
      <c r="I42" s="205">
        <v>8843.18</v>
      </c>
      <c r="J42" s="205"/>
      <c r="K42" s="205"/>
      <c r="L42" s="205"/>
    </row>
    <row r="43" spans="1:13" x14ac:dyDescent="0.25">
      <c r="A43" s="129" t="s">
        <v>36</v>
      </c>
      <c r="B43" s="129"/>
      <c r="C43" s="129"/>
      <c r="D43" s="129"/>
      <c r="E43" s="136">
        <v>3</v>
      </c>
      <c r="F43" s="136"/>
      <c r="G43" s="136"/>
      <c r="H43" s="136"/>
      <c r="I43" s="233">
        <v>3</v>
      </c>
      <c r="J43" s="233"/>
      <c r="K43" s="233"/>
      <c r="L43" s="233"/>
      <c r="M43" s="61"/>
    </row>
    <row r="44" spans="1:13" x14ac:dyDescent="0.25">
      <c r="A44" s="129" t="s">
        <v>37</v>
      </c>
      <c r="B44" s="129"/>
      <c r="C44" s="129"/>
      <c r="D44" s="129"/>
      <c r="E44" s="136">
        <f>E46/E42-E43</f>
        <v>0.57168224819351154</v>
      </c>
      <c r="F44" s="136"/>
      <c r="G44" s="136"/>
      <c r="H44" s="136"/>
      <c r="I44" s="233">
        <f>I46/I42-I43</f>
        <v>6.7892658523291392</v>
      </c>
      <c r="J44" s="233"/>
      <c r="K44" s="233"/>
      <c r="L44" s="233"/>
    </row>
    <row r="45" spans="1:13" x14ac:dyDescent="0.25">
      <c r="A45" s="129" t="s">
        <v>38</v>
      </c>
      <c r="B45" s="129"/>
      <c r="C45" s="129"/>
      <c r="D45" s="129"/>
      <c r="E45" s="136">
        <f>E43+E44</f>
        <v>3.5716822481935115</v>
      </c>
      <c r="F45" s="136"/>
      <c r="G45" s="136"/>
      <c r="H45" s="136"/>
      <c r="I45" s="233">
        <f>I43+I44</f>
        <v>9.7892658523291392</v>
      </c>
      <c r="J45" s="233"/>
      <c r="K45" s="233"/>
      <c r="L45" s="233"/>
      <c r="M45" s="62">
        <f>I46/I42</f>
        <v>9.7892658523291392</v>
      </c>
    </row>
    <row r="46" spans="1:13" x14ac:dyDescent="0.25">
      <c r="A46" s="129" t="s">
        <v>89</v>
      </c>
      <c r="B46" s="129"/>
      <c r="C46" s="129"/>
      <c r="D46" s="129"/>
      <c r="E46" s="228">
        <v>162318.35</v>
      </c>
      <c r="F46" s="228"/>
      <c r="G46" s="228"/>
      <c r="H46" s="228"/>
      <c r="I46" s="228">
        <v>86568.24</v>
      </c>
      <c r="J46" s="228"/>
      <c r="K46" s="228"/>
      <c r="L46" s="228"/>
      <c r="M46" s="19">
        <f>86568.24+14243.42</f>
        <v>100811.66</v>
      </c>
    </row>
    <row r="47" spans="1:13" x14ac:dyDescent="0.25">
      <c r="A47" s="179" t="s">
        <v>39</v>
      </c>
      <c r="B47" s="179"/>
      <c r="C47" s="179"/>
      <c r="D47" s="179"/>
      <c r="E47" s="192" t="s">
        <v>323</v>
      </c>
      <c r="F47" s="192"/>
      <c r="G47" s="192"/>
      <c r="H47" s="192"/>
      <c r="I47" s="192" t="s">
        <v>116</v>
      </c>
      <c r="J47" s="192"/>
      <c r="K47" s="192"/>
      <c r="L47" s="192"/>
    </row>
    <row r="48" spans="1:13" x14ac:dyDescent="0.25">
      <c r="A48" s="207" t="s">
        <v>40</v>
      </c>
      <c r="B48" s="208"/>
      <c r="C48" s="208"/>
      <c r="D48" s="208"/>
      <c r="E48" s="208"/>
      <c r="F48" s="208"/>
      <c r="G48" s="208"/>
      <c r="H48" s="209"/>
    </row>
    <row r="49" spans="1:8" x14ac:dyDescent="0.25">
      <c r="A49" s="235" t="s">
        <v>333</v>
      </c>
      <c r="B49" s="236"/>
      <c r="C49" s="236"/>
      <c r="D49" s="236"/>
      <c r="E49" s="236"/>
      <c r="F49" s="236"/>
      <c r="G49" s="236"/>
      <c r="H49" s="237"/>
    </row>
    <row r="50" spans="1:8" ht="33.75" customHeight="1" x14ac:dyDescent="0.25">
      <c r="A50" s="137" t="s">
        <v>146</v>
      </c>
      <c r="B50" s="138"/>
      <c r="C50" s="183" t="s">
        <v>294</v>
      </c>
      <c r="D50" s="184"/>
      <c r="E50" s="184"/>
      <c r="F50" s="184"/>
      <c r="G50" s="184"/>
      <c r="H50" s="185"/>
    </row>
    <row r="51" spans="1:8" ht="32.25" customHeight="1" x14ac:dyDescent="0.25">
      <c r="A51" s="137" t="s">
        <v>41</v>
      </c>
      <c r="B51" s="138"/>
      <c r="C51" s="137" t="s">
        <v>324</v>
      </c>
      <c r="D51" s="139"/>
      <c r="E51" s="140"/>
      <c r="F51" s="16" t="s">
        <v>42</v>
      </c>
      <c r="G51" s="142">
        <v>45758</v>
      </c>
      <c r="H51" s="143"/>
    </row>
    <row r="52" spans="1:8" ht="32.25" customHeight="1" x14ac:dyDescent="0.25">
      <c r="A52" s="137" t="s">
        <v>43</v>
      </c>
      <c r="B52" s="138"/>
      <c r="C52" s="137" t="s">
        <v>314</v>
      </c>
      <c r="D52" s="139"/>
      <c r="E52" s="140"/>
      <c r="F52" s="16" t="s">
        <v>42</v>
      </c>
      <c r="G52" s="142">
        <v>45758</v>
      </c>
      <c r="H52" s="143"/>
    </row>
    <row r="53" spans="1:8" s="21" customFormat="1" ht="36" customHeight="1" x14ac:dyDescent="0.25">
      <c r="A53" s="137" t="s">
        <v>222</v>
      </c>
      <c r="B53" s="138"/>
      <c r="C53" s="137" t="s">
        <v>295</v>
      </c>
      <c r="D53" s="139"/>
      <c r="E53" s="140"/>
      <c r="F53" s="16" t="s">
        <v>42</v>
      </c>
      <c r="G53" s="142">
        <v>45758</v>
      </c>
      <c r="H53" s="143"/>
    </row>
    <row r="54" spans="1:8" s="21" customFormat="1" ht="66" customHeight="1" x14ac:dyDescent="0.25">
      <c r="A54" s="231" t="s">
        <v>223</v>
      </c>
      <c r="B54" s="232"/>
      <c r="C54" s="137" t="s">
        <v>315</v>
      </c>
      <c r="D54" s="141"/>
      <c r="E54" s="141"/>
      <c r="F54" s="141"/>
      <c r="G54" s="141"/>
      <c r="H54" s="138"/>
    </row>
    <row r="55" spans="1:8" x14ac:dyDescent="0.25">
      <c r="A55" s="235" t="s">
        <v>332</v>
      </c>
      <c r="B55" s="236"/>
      <c r="C55" s="236"/>
      <c r="D55" s="236"/>
      <c r="E55" s="236"/>
      <c r="F55" s="236"/>
      <c r="G55" s="236"/>
      <c r="H55" s="237"/>
    </row>
    <row r="56" spans="1:8" ht="33.75" customHeight="1" x14ac:dyDescent="0.25">
      <c r="A56" s="137" t="s">
        <v>146</v>
      </c>
      <c r="B56" s="138"/>
      <c r="C56" s="183" t="s">
        <v>243</v>
      </c>
      <c r="D56" s="184"/>
      <c r="E56" s="184"/>
      <c r="F56" s="184"/>
      <c r="G56" s="184"/>
      <c r="H56" s="185"/>
    </row>
    <row r="57" spans="1:8" ht="32.25" hidden="1" customHeight="1" x14ac:dyDescent="0.25">
      <c r="A57" s="137" t="s">
        <v>41</v>
      </c>
      <c r="B57" s="138"/>
      <c r="C57" s="137" t="s">
        <v>256</v>
      </c>
      <c r="D57" s="139"/>
      <c r="E57" s="140"/>
      <c r="F57" s="16" t="s">
        <v>42</v>
      </c>
      <c r="G57" s="142">
        <v>45113</v>
      </c>
      <c r="H57" s="143"/>
    </row>
    <row r="58" spans="1:8" ht="32.25" customHeight="1" x14ac:dyDescent="0.25">
      <c r="A58" s="144" t="s">
        <v>43</v>
      </c>
      <c r="B58" s="145"/>
      <c r="C58" s="137" t="str">
        <f>C57</f>
        <v>P-16597/2023/6(PT)/F/North/
SION/337/1/New</v>
      </c>
      <c r="D58" s="141"/>
      <c r="E58" s="138"/>
      <c r="F58" s="16" t="s">
        <v>42</v>
      </c>
      <c r="G58" s="142">
        <f>G57</f>
        <v>45113</v>
      </c>
      <c r="H58" s="143"/>
    </row>
    <row r="59" spans="1:8" s="21" customFormat="1" ht="36" customHeight="1" x14ac:dyDescent="0.25">
      <c r="A59" s="144" t="s">
        <v>222</v>
      </c>
      <c r="B59" s="145"/>
      <c r="C59" s="141" t="s">
        <v>257</v>
      </c>
      <c r="D59" s="139"/>
      <c r="E59" s="140"/>
      <c r="F59" s="16" t="s">
        <v>42</v>
      </c>
      <c r="G59" s="142">
        <v>45140</v>
      </c>
      <c r="H59" s="143"/>
    </row>
    <row r="60" spans="1:8" s="21" customFormat="1" ht="48.75" customHeight="1" x14ac:dyDescent="0.25">
      <c r="A60" s="231" t="s">
        <v>223</v>
      </c>
      <c r="B60" s="232"/>
      <c r="C60" s="141" t="s">
        <v>244</v>
      </c>
      <c r="D60" s="141"/>
      <c r="E60" s="138"/>
      <c r="F60" s="16" t="s">
        <v>117</v>
      </c>
      <c r="G60" s="142">
        <v>45505</v>
      </c>
      <c r="H60" s="138"/>
    </row>
    <row r="61" spans="1:8" s="21" customFormat="1" ht="36" customHeight="1" x14ac:dyDescent="0.25">
      <c r="A61" s="239" t="s">
        <v>343</v>
      </c>
      <c r="B61" s="240"/>
      <c r="C61" s="141" t="s">
        <v>344</v>
      </c>
      <c r="D61" s="139"/>
      <c r="E61" s="140"/>
      <c r="F61" s="16" t="s">
        <v>42</v>
      </c>
      <c r="G61" s="142">
        <v>45480</v>
      </c>
      <c r="H61" s="143"/>
    </row>
    <row r="62" spans="1:8" s="21" customFormat="1" ht="31.5" customHeight="1" x14ac:dyDescent="0.25">
      <c r="A62" s="231" t="s">
        <v>223</v>
      </c>
      <c r="B62" s="232"/>
      <c r="C62" s="137" t="s">
        <v>345</v>
      </c>
      <c r="D62" s="141"/>
      <c r="E62" s="141"/>
      <c r="F62" s="141"/>
      <c r="G62" s="141"/>
      <c r="H62" s="138"/>
    </row>
    <row r="63" spans="1:8" x14ac:dyDescent="0.25">
      <c r="A63" s="152" t="s">
        <v>44</v>
      </c>
      <c r="B63" s="153"/>
      <c r="C63" s="154" t="s">
        <v>101</v>
      </c>
      <c r="D63" s="155"/>
      <c r="E63" s="156"/>
      <c r="F63" s="43" t="s">
        <v>42</v>
      </c>
      <c r="G63" s="207" t="s">
        <v>29</v>
      </c>
      <c r="H63" s="209"/>
    </row>
    <row r="64" spans="1:8" x14ac:dyDescent="0.25">
      <c r="A64" s="176" t="s">
        <v>46</v>
      </c>
      <c r="B64" s="176"/>
      <c r="C64" s="176"/>
      <c r="D64" s="176"/>
      <c r="E64" s="176"/>
      <c r="F64" s="176"/>
      <c r="G64" s="176"/>
      <c r="H64" s="176"/>
    </row>
    <row r="65" spans="1:14" x14ac:dyDescent="0.25">
      <c r="A65" s="149" t="s">
        <v>88</v>
      </c>
      <c r="B65" s="149"/>
      <c r="C65" s="149"/>
      <c r="D65" s="129">
        <f>14068.42+ 17419.87</f>
        <v>31488.29</v>
      </c>
      <c r="E65" s="129"/>
      <c r="F65" s="129"/>
      <c r="G65" s="129"/>
      <c r="H65" s="129"/>
      <c r="I65" s="19">
        <f>14068.42</f>
        <v>14068.42</v>
      </c>
    </row>
    <row r="66" spans="1:14" x14ac:dyDescent="0.25">
      <c r="A66" s="150" t="s">
        <v>47</v>
      </c>
      <c r="B66" s="179"/>
      <c r="C66" s="179"/>
      <c r="D66" s="179" t="s">
        <v>317</v>
      </c>
      <c r="E66" s="179"/>
      <c r="F66" s="179"/>
      <c r="G66" s="179"/>
      <c r="H66" s="179"/>
      <c r="I66" s="22"/>
    </row>
    <row r="67" spans="1:14" ht="31.5" customHeight="1" x14ac:dyDescent="0.25">
      <c r="A67" s="212" t="s">
        <v>48</v>
      </c>
      <c r="B67" s="213"/>
      <c r="C67" s="214"/>
      <c r="D67" s="210" t="s">
        <v>329</v>
      </c>
      <c r="E67" s="211"/>
      <c r="F67" s="211"/>
      <c r="G67" s="211"/>
      <c r="H67" s="211"/>
      <c r="I67" s="19" t="s">
        <v>261</v>
      </c>
    </row>
    <row r="68" spans="1:14" ht="15.75" customHeight="1" x14ac:dyDescent="0.25">
      <c r="A68" s="212" t="s">
        <v>86</v>
      </c>
      <c r="B68" s="213"/>
      <c r="C68" s="214"/>
      <c r="D68" s="192" t="s">
        <v>328</v>
      </c>
      <c r="E68" s="192"/>
      <c r="F68" s="192"/>
      <c r="G68" s="192"/>
      <c r="H68" s="192"/>
    </row>
    <row r="69" spans="1:14" ht="15.75" customHeight="1" x14ac:dyDescent="0.25">
      <c r="A69" s="241"/>
      <c r="B69" s="242"/>
      <c r="C69" s="243"/>
      <c r="D69" s="192" t="s">
        <v>327</v>
      </c>
      <c r="E69" s="192"/>
      <c r="F69" s="192"/>
      <c r="G69" s="192"/>
      <c r="H69" s="192"/>
    </row>
    <row r="70" spans="1:14" ht="31.5" customHeight="1" x14ac:dyDescent="0.25">
      <c r="A70" s="129" t="s">
        <v>45</v>
      </c>
      <c r="B70" s="129"/>
      <c r="C70" s="129"/>
      <c r="D70" s="206" t="s">
        <v>334</v>
      </c>
      <c r="E70" s="206"/>
      <c r="F70" s="206"/>
      <c r="G70" s="206"/>
      <c r="H70" s="206"/>
      <c r="J70" s="23"/>
      <c r="K70" s="22"/>
      <c r="N70" s="22"/>
    </row>
    <row r="71" spans="1:14" ht="15.75" customHeight="1" x14ac:dyDescent="0.25">
      <c r="A71" s="129" t="s">
        <v>84</v>
      </c>
      <c r="B71" s="129"/>
      <c r="C71" s="129"/>
      <c r="D71" s="227" t="str">
        <f>(IF(G63="NA","60 Years After Completion",IF(G63&lt;&gt;"NA",""&amp;60-ROUNDDOWN((E3-G63)/360,0)&amp;" Years"," ")))</f>
        <v>60 Years After Completion</v>
      </c>
      <c r="E71" s="227"/>
      <c r="F71" s="227"/>
      <c r="G71" s="227"/>
      <c r="H71" s="227"/>
      <c r="N71" s="22"/>
    </row>
    <row r="72" spans="1:14" ht="15.75" customHeight="1" x14ac:dyDescent="0.25">
      <c r="A72" s="129" t="s">
        <v>85</v>
      </c>
      <c r="B72" s="129"/>
      <c r="C72" s="129"/>
      <c r="D72" s="149" t="s">
        <v>24</v>
      </c>
      <c r="E72" s="149"/>
      <c r="F72" s="149"/>
      <c r="G72" s="149"/>
      <c r="H72" s="149"/>
      <c r="J72" s="24"/>
      <c r="K72" s="24"/>
    </row>
    <row r="73" spans="1:14" ht="33" customHeight="1" x14ac:dyDescent="0.25">
      <c r="A73" s="179" t="s">
        <v>224</v>
      </c>
      <c r="B73" s="179"/>
      <c r="C73" s="179"/>
      <c r="D73" s="191" t="s">
        <v>259</v>
      </c>
      <c r="E73" s="191"/>
      <c r="F73" s="191"/>
      <c r="G73" s="191"/>
      <c r="H73" s="191"/>
      <c r="J73" s="63" t="s">
        <v>245</v>
      </c>
    </row>
    <row r="74" spans="1:14" x14ac:dyDescent="0.25">
      <c r="A74" s="149" t="s">
        <v>144</v>
      </c>
      <c r="B74" s="149"/>
      <c r="C74" s="149"/>
      <c r="D74" s="149" t="s">
        <v>29</v>
      </c>
      <c r="E74" s="149"/>
      <c r="F74" s="149"/>
      <c r="G74" s="149"/>
      <c r="H74" s="149"/>
      <c r="I74" s="25"/>
      <c r="J74" s="25"/>
      <c r="K74" s="25"/>
      <c r="L74" s="25"/>
      <c r="M74" s="25"/>
      <c r="N74" s="25"/>
    </row>
    <row r="75" spans="1:14" ht="15.75" customHeight="1" x14ac:dyDescent="0.25">
      <c r="A75" s="234" t="s">
        <v>83</v>
      </c>
      <c r="B75" s="234"/>
      <c r="C75" s="234"/>
      <c r="D75" s="229" t="str">
        <f ca="1">(IF(G81&gt;95%,"Nothing",IF(G81&gt;0%,"Cement, Aggregate, Steel, etc",IF(G81=0%,"Work not yet Started"))))</f>
        <v>Cement, Aggregate, Steel, etc</v>
      </c>
      <c r="E75" s="229"/>
      <c r="F75" s="229"/>
      <c r="G75" s="229"/>
      <c r="H75" s="229"/>
      <c r="J75" s="24"/>
    </row>
    <row r="76" spans="1:14" ht="33.75" customHeight="1" thickBot="1" x14ac:dyDescent="0.3">
      <c r="A76" s="149" t="s">
        <v>114</v>
      </c>
      <c r="B76" s="149"/>
      <c r="C76" s="149"/>
      <c r="D76" s="150" t="str">
        <f ca="1">(IF(D75="Nothing","Yes",IF(D75="Cement, Aggregate, Steel, etc","Under Construction",IF(D75="Work not yet Started","Work not yet Started"))))</f>
        <v>Under Construction</v>
      </c>
      <c r="E76" s="150"/>
      <c r="F76" s="150" t="str">
        <f ca="1">(IF(D75="Nothing","Yes",IF(D75="Cement, Aggregate, Steel, etc","Under Construction",IF(D75="Work not yet Started","Work not yet Started"))))</f>
        <v>Under Construction</v>
      </c>
      <c r="G76" s="150"/>
      <c r="H76" s="150"/>
    </row>
    <row r="77" spans="1:14" ht="15.75" customHeight="1" x14ac:dyDescent="0.25">
      <c r="A77" s="246" t="s">
        <v>136</v>
      </c>
      <c r="B77" s="246"/>
      <c r="C77" s="245" t="str">
        <f>D68</f>
        <v>Building T10 = 3B + Gr + 1st to 35th Floor</v>
      </c>
      <c r="D77" s="245"/>
      <c r="E77" s="245"/>
      <c r="F77" s="245"/>
      <c r="G77" s="245"/>
      <c r="H77" s="245"/>
      <c r="I77" s="75" t="str">
        <f ca="1">IF(D90=100%,"All work Completed. Possession granted to the Building.",IF(D89=100%,"All work Completed, Waiting for OC",I78&amp;""&amp;I79&amp;""&amp;J78&amp;""&amp;J77&amp;" "&amp;J79))</f>
        <v>Excavation, Plinth Completed, RCC upto 17 Slab, Brickwork upto 16 Floor, Internal Plaster upto 12 Floor, External Plaster upto 10.4 Floor Completed</v>
      </c>
      <c r="J77" s="46"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RCC upto 17 Slab, Brickwork upto 16 Floor, Internal Plaster upto 12 Floor, External Plaster upto 10.4 Floor</v>
      </c>
    </row>
    <row r="78" spans="1:14" x14ac:dyDescent="0.25">
      <c r="A78" s="48" t="s">
        <v>138</v>
      </c>
      <c r="B78" s="48">
        <f>IF(AND(ISNUMBER(SEARCH("1B",C77))),1,IF(AND(ISNUMBER(SEARCH("2B",C77))),2,IF(AND(ISNUMBER(SEARCH("3B",C77))),3,IF(AND(ISNUMBER(SEARCH("4B",C77))),4,IF(ISNUMBER(SEARCH("5B",C77)),5,0)))))</f>
        <v>3</v>
      </c>
      <c r="C78" s="48" t="s">
        <v>71</v>
      </c>
      <c r="D78" s="48">
        <v>1</v>
      </c>
      <c r="E78" s="48" t="s">
        <v>70</v>
      </c>
      <c r="F78" s="48">
        <v>0</v>
      </c>
      <c r="G78" s="45" t="s">
        <v>77</v>
      </c>
      <c r="H78" s="48">
        <f ca="1">--TRIM(RIGHT(SUBSTITUTE(LEFT(C77,_xlfn.AGGREGATE(16,6,FIND({0,1,2,3,4,5,6,7,8,9},C77,ROW(INDIRECT("1:"&amp;LEN(C77)))),1))," ",REPT(" ",LEN(C77))),LEN(C77)))</f>
        <v>35</v>
      </c>
      <c r="I78" s="76" t="str">
        <f ca="1">IF(D81=100%,"Excavation","")&amp;IF(D82=100%,", Plinth","")&amp;IF(D83=100%,", RCC Slab","")&amp;IF(D84=100%,", Brickwork","")&amp;IF(D85=100%,", Internal Plaster","")&amp;IF(D86=100%,", External Plaster","")&amp;IF(D87=100%,", Flooring","")&amp;IF(D88=100%,", Painting","")&amp;IF(D89=100%,", Building common Amenities","")</f>
        <v>Excavation, Plinth</v>
      </c>
      <c r="J78" s="47"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row>
    <row r="79" spans="1:14" ht="33" customHeight="1" x14ac:dyDescent="0.25">
      <c r="A79" s="180" t="s">
        <v>87</v>
      </c>
      <c r="B79" s="180"/>
      <c r="C79" s="238" t="str">
        <f ca="1">I77</f>
        <v>Excavation, Plinth Completed, RCC upto 17 Slab, Brickwork upto 16 Floor, Internal Plaster upto 12 Floor, External Plaster upto 10.4 Floor Completed</v>
      </c>
      <c r="D79" s="238"/>
      <c r="E79" s="238"/>
      <c r="F79" s="238"/>
      <c r="G79" s="238"/>
      <c r="H79" s="238"/>
      <c r="I79" s="76" t="str">
        <f ca="1">IF(I78&lt;&gt;""," Completed","")</f>
        <v xml:space="preserve"> Completed</v>
      </c>
      <c r="J79" s="47" t="str">
        <f ca="1">IF(J77&lt;&gt;"","Completed","")</f>
        <v>Completed</v>
      </c>
    </row>
    <row r="80" spans="1:14" ht="15.75" customHeight="1" x14ac:dyDescent="0.25">
      <c r="A80" s="203" t="s">
        <v>49</v>
      </c>
      <c r="B80" s="204"/>
      <c r="C80" s="41" t="s">
        <v>135</v>
      </c>
      <c r="D80" s="41" t="s">
        <v>80</v>
      </c>
      <c r="E80" s="204" t="s">
        <v>82</v>
      </c>
      <c r="F80" s="204"/>
      <c r="G80" s="204" t="s">
        <v>81</v>
      </c>
      <c r="H80" s="230"/>
      <c r="I80" s="14" t="s">
        <v>137</v>
      </c>
      <c r="J80" s="26">
        <f ca="1">H78*25%</f>
        <v>8.75</v>
      </c>
    </row>
    <row r="81" spans="1:10" x14ac:dyDescent="0.25">
      <c r="A81" s="203" t="s">
        <v>124</v>
      </c>
      <c r="B81" s="204"/>
      <c r="C81" s="41">
        <f ca="1">J82</f>
        <v>35</v>
      </c>
      <c r="D81" s="17">
        <f ca="1">((100/H78)*C81)/100</f>
        <v>1</v>
      </c>
      <c r="E81" s="216">
        <f ca="1">(((C82/H78*10)+(40/(D78+F78+H78)*C83)+(7.5/(H78)*C84)+(7.5/(H78)*C85)+(10/H78*C86)+(10/H78*C87)+(5/H78*C88)+(5/H78*C89)+(5/H78*C90))/100)</f>
        <v>0.37860317460317461</v>
      </c>
      <c r="F81" s="217"/>
      <c r="G81" s="216">
        <f ca="1">((((C81/H78)*20)+((C82/H78)*25)+(30/(H78+F78+D78)*C83)+(5/H78*C84)+(5/H78*C85)+(5/H78*C86)+(5/H78*C87)+(0/H78*C88)+(0/H78*C89)+(5/H78*C90))/100)</f>
        <v>0.6465238095238095</v>
      </c>
      <c r="H81" s="222"/>
      <c r="I81" s="14" t="s">
        <v>96</v>
      </c>
      <c r="J81" s="27">
        <f ca="1">H78*50%</f>
        <v>17.5</v>
      </c>
    </row>
    <row r="82" spans="1:10" x14ac:dyDescent="0.25">
      <c r="A82" s="203" t="s">
        <v>50</v>
      </c>
      <c r="B82" s="204"/>
      <c r="C82" s="73">
        <f ca="1">J90</f>
        <v>35</v>
      </c>
      <c r="D82" s="17">
        <f ca="1">((100/H78)*C82)/100</f>
        <v>1</v>
      </c>
      <c r="E82" s="218"/>
      <c r="F82" s="219"/>
      <c r="G82" s="218"/>
      <c r="H82" s="223"/>
      <c r="I82" s="14" t="s">
        <v>97</v>
      </c>
      <c r="J82" s="27">
        <f ca="1">H78</f>
        <v>35</v>
      </c>
    </row>
    <row r="83" spans="1:10" ht="15.75" customHeight="1" x14ac:dyDescent="0.25">
      <c r="A83" s="203" t="s">
        <v>125</v>
      </c>
      <c r="B83" s="204"/>
      <c r="C83" s="41">
        <v>17</v>
      </c>
      <c r="D83" s="17">
        <f ca="1">((100/(D78+F78+H78))*C83)/100</f>
        <v>0.47222222222222221</v>
      </c>
      <c r="E83" s="218"/>
      <c r="F83" s="219"/>
      <c r="G83" s="218"/>
      <c r="H83" s="223"/>
      <c r="I83" s="14" t="s">
        <v>98</v>
      </c>
      <c r="J83" s="28">
        <f ca="1">(IF(B78&gt;1,(H78/(B78+2)),H78/4))</f>
        <v>7</v>
      </c>
    </row>
    <row r="84" spans="1:10" ht="15.75" customHeight="1" x14ac:dyDescent="0.25">
      <c r="A84" s="203" t="s">
        <v>132</v>
      </c>
      <c r="B84" s="204" t="s">
        <v>126</v>
      </c>
      <c r="C84" s="41">
        <f>C83-D78</f>
        <v>16</v>
      </c>
      <c r="D84" s="17">
        <f ca="1">((100/H78)*C84)/100</f>
        <v>0.45714285714285713</v>
      </c>
      <c r="E84" s="218"/>
      <c r="F84" s="219"/>
      <c r="G84" s="218"/>
      <c r="H84" s="223"/>
      <c r="I84" s="14" t="s">
        <v>99</v>
      </c>
      <c r="J84" s="28">
        <f ca="1">(IF(B78&gt;1,(H78/(B78+2)+J83),H78/4+J83))</f>
        <v>14</v>
      </c>
    </row>
    <row r="85" spans="1:10" ht="15.75" customHeight="1" x14ac:dyDescent="0.25">
      <c r="A85" s="203" t="s">
        <v>133</v>
      </c>
      <c r="B85" s="204" t="s">
        <v>126</v>
      </c>
      <c r="C85" s="73">
        <f>C84*0.75</f>
        <v>12</v>
      </c>
      <c r="D85" s="17">
        <f ca="1">((100/H78)*C85)/100</f>
        <v>0.34285714285714286</v>
      </c>
      <c r="E85" s="218"/>
      <c r="F85" s="219"/>
      <c r="G85" s="218"/>
      <c r="H85" s="223"/>
      <c r="I85" s="14" t="s">
        <v>142</v>
      </c>
      <c r="J85" s="28">
        <f ca="1">(IF(B78&gt;1,(H78/(B78+2)+J84),0))</f>
        <v>21</v>
      </c>
    </row>
    <row r="86" spans="1:10" ht="15" customHeight="1" x14ac:dyDescent="0.25">
      <c r="A86" s="203" t="s">
        <v>131</v>
      </c>
      <c r="B86" s="204" t="s">
        <v>128</v>
      </c>
      <c r="C86" s="73">
        <f>C84*0.65</f>
        <v>10.4</v>
      </c>
      <c r="D86" s="17">
        <f ca="1">((100/(H78))*C86)/100</f>
        <v>0.29714285714285715</v>
      </c>
      <c r="E86" s="218"/>
      <c r="F86" s="219"/>
      <c r="G86" s="218"/>
      <c r="H86" s="223"/>
      <c r="I86" s="14" t="s">
        <v>139</v>
      </c>
      <c r="J86" s="28">
        <f ca="1">(IF(B78&gt;2,(H78/(B78+2)+J85),0))</f>
        <v>28</v>
      </c>
    </row>
    <row r="87" spans="1:10" ht="15.75" customHeight="1" x14ac:dyDescent="0.25">
      <c r="A87" s="203" t="s">
        <v>127</v>
      </c>
      <c r="B87" s="204" t="s">
        <v>127</v>
      </c>
      <c r="C87" s="41">
        <v>0</v>
      </c>
      <c r="D87" s="17">
        <f ca="1">((100/H78)*C87)/100</f>
        <v>0</v>
      </c>
      <c r="E87" s="218"/>
      <c r="F87" s="219"/>
      <c r="G87" s="218"/>
      <c r="H87" s="223"/>
      <c r="I87" s="14" t="s">
        <v>140</v>
      </c>
      <c r="J87" s="29">
        <f>(IF(B78&gt;3,(H78/(B78+2)+J86),0))</f>
        <v>0</v>
      </c>
    </row>
    <row r="88" spans="1:10" ht="15.75" customHeight="1" x14ac:dyDescent="0.25">
      <c r="A88" s="203" t="s">
        <v>134</v>
      </c>
      <c r="B88" s="204"/>
      <c r="C88" s="41">
        <v>0</v>
      </c>
      <c r="D88" s="17">
        <f ca="1">((100/H78)*C88)/100</f>
        <v>0</v>
      </c>
      <c r="E88" s="218"/>
      <c r="F88" s="219"/>
      <c r="G88" s="218"/>
      <c r="H88" s="223"/>
      <c r="I88" s="14" t="s">
        <v>141</v>
      </c>
      <c r="J88" s="28">
        <f>(IF(B78&gt;4,(H78/(B78+2)+J87),0))</f>
        <v>0</v>
      </c>
    </row>
    <row r="89" spans="1:10" ht="15.75" customHeight="1" x14ac:dyDescent="0.25">
      <c r="A89" s="203" t="s">
        <v>129</v>
      </c>
      <c r="B89" s="204" t="s">
        <v>129</v>
      </c>
      <c r="C89" s="41">
        <v>0</v>
      </c>
      <c r="D89" s="17">
        <f ca="1">((100/(H78))*C89)/100</f>
        <v>0</v>
      </c>
      <c r="E89" s="218"/>
      <c r="F89" s="219"/>
      <c r="G89" s="218"/>
      <c r="H89" s="223"/>
      <c r="I89" s="14" t="s">
        <v>143</v>
      </c>
      <c r="J89" s="28">
        <f>(IF(B78=1,(H78/(B78+3)+J84),IF(B78=0,(H78/4+J84),IF(B78&gt;1,0))))</f>
        <v>0</v>
      </c>
    </row>
    <row r="90" spans="1:10" ht="16.5" thickBot="1" x14ac:dyDescent="0.3">
      <c r="A90" s="225" t="s">
        <v>130</v>
      </c>
      <c r="B90" s="226"/>
      <c r="C90" s="42">
        <v>0</v>
      </c>
      <c r="D90" s="18">
        <f ca="1">((100/(H78))*C90)/100</f>
        <v>0</v>
      </c>
      <c r="E90" s="220"/>
      <c r="F90" s="221"/>
      <c r="G90" s="220"/>
      <c r="H90" s="224"/>
      <c r="I90" s="15" t="s">
        <v>100</v>
      </c>
      <c r="J90" s="30">
        <f ca="1">(IF(B78&gt;1.5,(H78/(B78+2)+J84+MAX(0,J85-J84)+MAX(0,J86-J85)+MAX(0,J87-J86)+MAX(0,J88-J87)+MAX(0,J89-J88)),IF(B78=1,(H78/(B78+3)+J89),IF(B78=0,H78/4+J89))))</f>
        <v>35</v>
      </c>
    </row>
    <row r="91" spans="1:10" ht="15.75" customHeight="1" x14ac:dyDescent="0.25">
      <c r="A91" s="245" t="s">
        <v>136</v>
      </c>
      <c r="B91" s="245"/>
      <c r="C91" s="245" t="str">
        <f>D69</f>
        <v>Building T9 = 3B + Gr + 1st to 35th Floor</v>
      </c>
      <c r="D91" s="245"/>
      <c r="E91" s="245"/>
      <c r="F91" s="245"/>
      <c r="G91" s="245"/>
      <c r="H91" s="245"/>
      <c r="I91" s="75" t="str">
        <f ca="1">IF(D104=100%,"All work Completed. Possession granted to the Building.",IF(D103=100%,"All work Completed, Waiting for OC",I92&amp;""&amp;I93&amp;""&amp;J92&amp;""&amp;J91&amp;" "&amp;J93))</f>
        <v>Excavation, Plinth Completed, RCC upto 7 Slab, Brickwork upto 6 Floor, Internal Plaster upto 5 Floor, External Plaster upto 4 Floor Completed</v>
      </c>
      <c r="J91" s="46"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RCC upto 7 Slab, Brickwork upto 6 Floor, Internal Plaster upto 5 Floor, External Plaster upto 4 Floor</v>
      </c>
    </row>
    <row r="92" spans="1:10" x14ac:dyDescent="0.25">
      <c r="A92" s="48" t="s">
        <v>138</v>
      </c>
      <c r="B92" s="48">
        <f>IF(AND(ISNUMBER(SEARCH("1B",C91))),1,IF(AND(ISNUMBER(SEARCH("2B",C91))),2,IF(AND(ISNUMBER(SEARCH("3B",C91))),3,IF(AND(ISNUMBER(SEARCH("4B",C91))),4,IF(ISNUMBER(SEARCH("5B",C91)),5,0)))))</f>
        <v>3</v>
      </c>
      <c r="C92" s="48" t="s">
        <v>71</v>
      </c>
      <c r="D92" s="48">
        <v>1</v>
      </c>
      <c r="E92" s="48" t="s">
        <v>70</v>
      </c>
      <c r="F92" s="48">
        <v>0</v>
      </c>
      <c r="G92" s="45" t="s">
        <v>77</v>
      </c>
      <c r="H92" s="48">
        <f ca="1">--TRIM(RIGHT(SUBSTITUTE(LEFT(C91,_xlfn.AGGREGATE(16,6,FIND({0,1,2,3,4,5,6,7,8,9},C91,ROW(INDIRECT("1:"&amp;LEN(C91)))),1))," ",REPT(" ",LEN(C91))),LEN(C91)))</f>
        <v>35</v>
      </c>
      <c r="I92" s="76" t="str">
        <f ca="1">IF(D95=100%,"Excavation","")&amp;IF(D96=100%,", Plinth","")&amp;IF(D97=100%,", RCC Slab","")&amp;IF(D98=100%,", Brickwork","")&amp;IF(D99=100%,", Internal Plaster","")&amp;IF(D100=100%,", External Plaster","")&amp;IF(D101=100%,", Flooring","")&amp;IF(D102=100%,", Painting","")&amp;IF(D103=100%,", Building common Amenities","")</f>
        <v>Excavation, Plinth</v>
      </c>
      <c r="J92" s="47"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row>
    <row r="93" spans="1:10" ht="33" customHeight="1" x14ac:dyDescent="0.25">
      <c r="A93" s="180" t="s">
        <v>87</v>
      </c>
      <c r="B93" s="180"/>
      <c r="C93" s="238" t="str">
        <f ca="1">I91</f>
        <v>Excavation, Plinth Completed, RCC upto 7 Slab, Brickwork upto 6 Floor, Internal Plaster upto 5 Floor, External Plaster upto 4 Floor Completed</v>
      </c>
      <c r="D93" s="238"/>
      <c r="E93" s="238"/>
      <c r="F93" s="238"/>
      <c r="G93" s="238"/>
      <c r="H93" s="238"/>
      <c r="I93" s="76" t="str">
        <f ca="1">IF(I92&lt;&gt;""," Completed","")</f>
        <v xml:space="preserve"> Completed</v>
      </c>
      <c r="J93" s="47" t="str">
        <f ca="1">IF(J91&lt;&gt;"","Completed","")</f>
        <v>Completed</v>
      </c>
    </row>
    <row r="94" spans="1:10" ht="15.75" customHeight="1" x14ac:dyDescent="0.25">
      <c r="A94" s="203" t="s">
        <v>49</v>
      </c>
      <c r="B94" s="204"/>
      <c r="C94" s="77" t="s">
        <v>135</v>
      </c>
      <c r="D94" s="77" t="s">
        <v>80</v>
      </c>
      <c r="E94" s="204" t="s">
        <v>82</v>
      </c>
      <c r="F94" s="204"/>
      <c r="G94" s="204" t="s">
        <v>81</v>
      </c>
      <c r="H94" s="230"/>
      <c r="I94" s="14" t="s">
        <v>137</v>
      </c>
      <c r="J94" s="26">
        <f ca="1">H92*25%</f>
        <v>8.75</v>
      </c>
    </row>
    <row r="95" spans="1:10" x14ac:dyDescent="0.25">
      <c r="A95" s="203" t="s">
        <v>124</v>
      </c>
      <c r="B95" s="204"/>
      <c r="C95" s="88">
        <f ca="1">J96</f>
        <v>35</v>
      </c>
      <c r="D95" s="17">
        <f ca="1">((100/H92)*C95)/100</f>
        <v>1</v>
      </c>
      <c r="E95" s="216">
        <f ca="1">(((C96/H92*10)+(40/(D92+F92+H92)*C97)+(7.5/(H92)*C98)+(7.5/(H92)*C99)+(10/H92*C100)+(10/H92*C101)+(5/H92*C102)+(5/H92*C103)+(5/H92*C104))/100)</f>
        <v>0.21277777777777779</v>
      </c>
      <c r="F95" s="217"/>
      <c r="G95" s="216">
        <f ca="1">((((C95/H92)*20)+((C96/H92)*25)+(30/(H92+F92+D92)*C97)+(5/H92*C98)+(5/H92*C99)+(5/H92*C100)+(5/H92*C101)+(0/H92*C102)+(0/H92*C103)+(5/H92*C104))/100)</f>
        <v>0.52976190476190477</v>
      </c>
      <c r="H95" s="222"/>
      <c r="I95" s="14" t="s">
        <v>96</v>
      </c>
      <c r="J95" s="27">
        <f ca="1">H92*50%</f>
        <v>17.5</v>
      </c>
    </row>
    <row r="96" spans="1:10" x14ac:dyDescent="0.25">
      <c r="A96" s="203" t="s">
        <v>50</v>
      </c>
      <c r="B96" s="204"/>
      <c r="C96" s="89">
        <f ca="1">J104</f>
        <v>35</v>
      </c>
      <c r="D96" s="17">
        <f ca="1">((100/H92)*C96)/100</f>
        <v>1</v>
      </c>
      <c r="E96" s="218"/>
      <c r="F96" s="219"/>
      <c r="G96" s="218"/>
      <c r="H96" s="223"/>
      <c r="I96" s="14" t="s">
        <v>97</v>
      </c>
      <c r="J96" s="27">
        <f ca="1">H92</f>
        <v>35</v>
      </c>
    </row>
    <row r="97" spans="1:14" ht="15.75" customHeight="1" x14ac:dyDescent="0.25">
      <c r="A97" s="203" t="s">
        <v>125</v>
      </c>
      <c r="B97" s="204"/>
      <c r="C97" s="88">
        <v>7</v>
      </c>
      <c r="D97" s="17">
        <f ca="1">((100/(D92+F92+H92))*C97)/100</f>
        <v>0.19444444444444442</v>
      </c>
      <c r="E97" s="218"/>
      <c r="F97" s="219"/>
      <c r="G97" s="218"/>
      <c r="H97" s="223"/>
      <c r="I97" s="14" t="s">
        <v>98</v>
      </c>
      <c r="J97" s="28">
        <f ca="1">(IF(B92&gt;1,(H92/(B92+2)),H92/4))</f>
        <v>7</v>
      </c>
    </row>
    <row r="98" spans="1:14" ht="15.75" customHeight="1" x14ac:dyDescent="0.25">
      <c r="A98" s="203" t="s">
        <v>132</v>
      </c>
      <c r="B98" s="204" t="s">
        <v>126</v>
      </c>
      <c r="C98" s="88">
        <v>6</v>
      </c>
      <c r="D98" s="17">
        <f ca="1">((100/H92)*C98)/100</f>
        <v>0.17142857142857143</v>
      </c>
      <c r="E98" s="218"/>
      <c r="F98" s="219"/>
      <c r="G98" s="218"/>
      <c r="H98" s="223"/>
      <c r="I98" s="14" t="s">
        <v>99</v>
      </c>
      <c r="J98" s="28">
        <f ca="1">(IF(B92&gt;1,(H92/(B92+2)+J97),H92/4+J97))</f>
        <v>14</v>
      </c>
    </row>
    <row r="99" spans="1:14" ht="15.75" customHeight="1" x14ac:dyDescent="0.25">
      <c r="A99" s="203" t="s">
        <v>133</v>
      </c>
      <c r="B99" s="204" t="s">
        <v>126</v>
      </c>
      <c r="C99" s="89">
        <v>5</v>
      </c>
      <c r="D99" s="17">
        <f ca="1">((100/H92)*C99)/100</f>
        <v>0.14285714285714288</v>
      </c>
      <c r="E99" s="218"/>
      <c r="F99" s="219"/>
      <c r="G99" s="218"/>
      <c r="H99" s="223"/>
      <c r="I99" s="14" t="s">
        <v>142</v>
      </c>
      <c r="J99" s="28">
        <f ca="1">(IF(B92&gt;1,(H92/(B92+2)+J98),0))</f>
        <v>21</v>
      </c>
    </row>
    <row r="100" spans="1:14" ht="15" customHeight="1" x14ac:dyDescent="0.25">
      <c r="A100" s="203" t="s">
        <v>131</v>
      </c>
      <c r="B100" s="204" t="s">
        <v>128</v>
      </c>
      <c r="C100" s="89">
        <v>4</v>
      </c>
      <c r="D100" s="17">
        <f ca="1">((100/(H92))*C100)/100</f>
        <v>0.11428571428571428</v>
      </c>
      <c r="E100" s="218"/>
      <c r="F100" s="219"/>
      <c r="G100" s="218"/>
      <c r="H100" s="223"/>
      <c r="I100" s="14" t="s">
        <v>139</v>
      </c>
      <c r="J100" s="28">
        <f ca="1">(IF(B92&gt;2,(H92/(B92+2)+J99),0))</f>
        <v>28</v>
      </c>
    </row>
    <row r="101" spans="1:14" ht="15.75" customHeight="1" x14ac:dyDescent="0.25">
      <c r="A101" s="203" t="s">
        <v>127</v>
      </c>
      <c r="B101" s="204" t="s">
        <v>127</v>
      </c>
      <c r="C101" s="88">
        <v>0</v>
      </c>
      <c r="D101" s="17">
        <f ca="1">((100/H92)*C101)/100</f>
        <v>0</v>
      </c>
      <c r="E101" s="218"/>
      <c r="F101" s="219"/>
      <c r="G101" s="218"/>
      <c r="H101" s="223"/>
      <c r="I101" s="14" t="s">
        <v>140</v>
      </c>
      <c r="J101" s="29">
        <f>(IF(B92&gt;3,(H92/(B92+2)+J100),0))</f>
        <v>0</v>
      </c>
    </row>
    <row r="102" spans="1:14" ht="15.75" customHeight="1" x14ac:dyDescent="0.25">
      <c r="A102" s="203" t="s">
        <v>134</v>
      </c>
      <c r="B102" s="204"/>
      <c r="C102" s="88">
        <v>0</v>
      </c>
      <c r="D102" s="17">
        <f ca="1">((100/H92)*C102)/100</f>
        <v>0</v>
      </c>
      <c r="E102" s="218"/>
      <c r="F102" s="219"/>
      <c r="G102" s="218"/>
      <c r="H102" s="223"/>
      <c r="I102" s="14" t="s">
        <v>141</v>
      </c>
      <c r="J102" s="28">
        <f>(IF(B92&gt;4,(H92/(B92+2)+J101),0))</f>
        <v>0</v>
      </c>
    </row>
    <row r="103" spans="1:14" ht="15.75" customHeight="1" x14ac:dyDescent="0.25">
      <c r="A103" s="203" t="s">
        <v>129</v>
      </c>
      <c r="B103" s="204" t="s">
        <v>129</v>
      </c>
      <c r="C103" s="88">
        <v>0</v>
      </c>
      <c r="D103" s="17">
        <f ca="1">((100/(H92))*C103)/100</f>
        <v>0</v>
      </c>
      <c r="E103" s="218"/>
      <c r="F103" s="219"/>
      <c r="G103" s="218"/>
      <c r="H103" s="223"/>
      <c r="I103" s="14" t="s">
        <v>143</v>
      </c>
      <c r="J103" s="28">
        <f>(IF(B92=1,(H92/(B92+3)+J98),IF(B92=0,(H92/4+J98),IF(B92&gt;1,0))))</f>
        <v>0</v>
      </c>
    </row>
    <row r="104" spans="1:14" ht="16.5" thickBot="1" x14ac:dyDescent="0.3">
      <c r="A104" s="225" t="s">
        <v>130</v>
      </c>
      <c r="B104" s="226"/>
      <c r="C104" s="90">
        <v>0</v>
      </c>
      <c r="D104" s="18">
        <f ca="1">((100/(H92))*C104)/100</f>
        <v>0</v>
      </c>
      <c r="E104" s="220"/>
      <c r="F104" s="221"/>
      <c r="G104" s="220"/>
      <c r="H104" s="224"/>
      <c r="I104" s="15" t="s">
        <v>100</v>
      </c>
      <c r="J104" s="30">
        <f ca="1">(IF(B92&gt;1.5,(H92/(B92+2)+J98+MAX(0,J99-J98)+MAX(0,J100-J99)+MAX(0,J101-J100)+MAX(0,J102-J101)+MAX(0,J103-J102)),IF(B92=1,(H92/(B92+3)+J103),IF(B92=0,H92/4+J103))))</f>
        <v>35</v>
      </c>
    </row>
    <row r="105" spans="1:14" x14ac:dyDescent="0.25">
      <c r="A105" s="247" t="s">
        <v>150</v>
      </c>
      <c r="B105" s="247"/>
      <c r="C105" s="247"/>
      <c r="D105" s="247"/>
      <c r="E105" s="247"/>
      <c r="F105" s="158" t="s">
        <v>154</v>
      </c>
      <c r="G105" s="158"/>
      <c r="H105" s="158"/>
      <c r="K105" s="69" t="s">
        <v>289</v>
      </c>
      <c r="L105" s="65"/>
    </row>
    <row r="106" spans="1:14" x14ac:dyDescent="0.25">
      <c r="A106" s="129" t="s">
        <v>152</v>
      </c>
      <c r="B106" s="129"/>
      <c r="C106" s="129"/>
      <c r="D106" s="129"/>
      <c r="E106" s="129"/>
      <c r="F106" s="132">
        <v>35600</v>
      </c>
      <c r="G106" s="132"/>
      <c r="H106" s="132"/>
      <c r="I106" s="65" t="s">
        <v>274</v>
      </c>
      <c r="K106" s="69" t="s">
        <v>287</v>
      </c>
      <c r="L106" s="69" t="s">
        <v>288</v>
      </c>
      <c r="M106" s="20" t="s">
        <v>291</v>
      </c>
    </row>
    <row r="107" spans="1:14" hidden="1" x14ac:dyDescent="0.25">
      <c r="A107" s="129" t="s">
        <v>151</v>
      </c>
      <c r="B107" s="129"/>
      <c r="C107" s="129"/>
      <c r="D107" s="129"/>
      <c r="E107" s="129"/>
      <c r="F107" s="132"/>
      <c r="G107" s="132"/>
      <c r="H107" s="132"/>
      <c r="K107" s="69">
        <v>1602</v>
      </c>
      <c r="L107" s="71">
        <v>0.64</v>
      </c>
      <c r="M107" s="20" t="s">
        <v>292</v>
      </c>
    </row>
    <row r="108" spans="1:14" hidden="1" x14ac:dyDescent="0.25">
      <c r="A108" s="129" t="s">
        <v>153</v>
      </c>
      <c r="B108" s="129"/>
      <c r="C108" s="129"/>
      <c r="D108" s="129"/>
      <c r="E108" s="129"/>
      <c r="F108" s="132"/>
      <c r="G108" s="132"/>
      <c r="H108" s="132"/>
      <c r="K108" s="69"/>
      <c r="L108" s="69"/>
      <c r="M108" s="20"/>
    </row>
    <row r="109" spans="1:14" s="31" customFormat="1" hidden="1" x14ac:dyDescent="0.25">
      <c r="A109" s="129" t="s">
        <v>167</v>
      </c>
      <c r="B109" s="129"/>
      <c r="C109" s="129"/>
      <c r="D109" s="129"/>
      <c r="E109" s="129"/>
      <c r="F109" s="132"/>
      <c r="G109" s="132"/>
      <c r="H109" s="132"/>
      <c r="K109" s="70"/>
      <c r="L109" s="70"/>
      <c r="M109" s="72"/>
    </row>
    <row r="110" spans="1:14" s="31" customFormat="1" x14ac:dyDescent="0.25">
      <c r="A110" s="129" t="s">
        <v>352</v>
      </c>
      <c r="B110" s="129"/>
      <c r="C110" s="129"/>
      <c r="D110" s="129"/>
      <c r="E110" s="129"/>
      <c r="F110" s="132">
        <v>500000</v>
      </c>
      <c r="G110" s="132"/>
      <c r="H110" s="132"/>
      <c r="K110" s="70"/>
      <c r="L110" s="70"/>
      <c r="M110" s="72"/>
    </row>
    <row r="111" spans="1:14" s="31" customFormat="1" ht="30" customHeight="1" x14ac:dyDescent="0.25">
      <c r="A111" s="149" t="s">
        <v>353</v>
      </c>
      <c r="B111" s="149"/>
      <c r="C111" s="149"/>
      <c r="D111" s="149"/>
      <c r="E111" s="149"/>
      <c r="F111" s="132">
        <v>200000</v>
      </c>
      <c r="G111" s="132"/>
      <c r="H111" s="132"/>
      <c r="K111" s="255" t="s">
        <v>287</v>
      </c>
      <c r="M111" s="20" t="s">
        <v>291</v>
      </c>
    </row>
    <row r="112" spans="1:14" s="31" customFormat="1" x14ac:dyDescent="0.25">
      <c r="A112" s="129" t="s">
        <v>351</v>
      </c>
      <c r="B112" s="129"/>
      <c r="C112" s="129"/>
      <c r="D112" s="129"/>
      <c r="E112" s="129"/>
      <c r="F112" s="132">
        <v>500000</v>
      </c>
      <c r="G112" s="132"/>
      <c r="H112" s="132"/>
      <c r="K112" s="253" t="s">
        <v>355</v>
      </c>
      <c r="L112" s="253"/>
      <c r="M112" s="20" t="s">
        <v>354</v>
      </c>
      <c r="N112" s="254">
        <v>45877</v>
      </c>
    </row>
    <row r="113" spans="1:13" s="31" customFormat="1" hidden="1" x14ac:dyDescent="0.25">
      <c r="A113" s="129" t="s">
        <v>155</v>
      </c>
      <c r="B113" s="129"/>
      <c r="C113" s="129"/>
      <c r="D113" s="129"/>
      <c r="E113" s="129"/>
      <c r="F113" s="132"/>
      <c r="G113" s="132"/>
      <c r="H113" s="132"/>
      <c r="K113" s="70"/>
      <c r="L113" s="70"/>
      <c r="M113" s="72"/>
    </row>
    <row r="114" spans="1:13" s="31" customFormat="1" hidden="1" x14ac:dyDescent="0.25">
      <c r="A114" s="129" t="s">
        <v>92</v>
      </c>
      <c r="B114" s="129"/>
      <c r="C114" s="129"/>
      <c r="D114" s="129"/>
      <c r="E114" s="129"/>
      <c r="F114" s="132"/>
      <c r="G114" s="132"/>
      <c r="H114" s="132"/>
      <c r="K114" s="70"/>
      <c r="L114" s="70"/>
      <c r="M114" s="72"/>
    </row>
    <row r="115" spans="1:13" s="31" customFormat="1" hidden="1" x14ac:dyDescent="0.25">
      <c r="A115" s="129" t="s">
        <v>93</v>
      </c>
      <c r="B115" s="129"/>
      <c r="C115" s="129"/>
      <c r="D115" s="129"/>
      <c r="E115" s="129"/>
      <c r="F115" s="132"/>
      <c r="G115" s="132"/>
      <c r="H115" s="132"/>
      <c r="K115" s="70"/>
      <c r="L115" s="70"/>
      <c r="M115" s="72"/>
    </row>
    <row r="116" spans="1:13" s="31" customFormat="1" hidden="1" x14ac:dyDescent="0.25">
      <c r="A116" s="129" t="s">
        <v>94</v>
      </c>
      <c r="B116" s="129"/>
      <c r="C116" s="129"/>
      <c r="D116" s="129"/>
      <c r="E116" s="129"/>
      <c r="F116" s="132"/>
      <c r="G116" s="132"/>
      <c r="H116" s="132"/>
      <c r="K116" s="70"/>
      <c r="L116" s="70"/>
      <c r="M116" s="72"/>
    </row>
    <row r="117" spans="1:13" s="31" customFormat="1" hidden="1" x14ac:dyDescent="0.25">
      <c r="A117" s="129" t="s">
        <v>95</v>
      </c>
      <c r="B117" s="129"/>
      <c r="C117" s="129"/>
      <c r="D117" s="129"/>
      <c r="E117" s="129"/>
      <c r="F117" s="132"/>
      <c r="G117" s="132"/>
      <c r="H117" s="132"/>
      <c r="K117" s="70"/>
      <c r="L117" s="70"/>
      <c r="M117" s="72"/>
    </row>
    <row r="118" spans="1:13" x14ac:dyDescent="0.25">
      <c r="A118" s="129" t="s">
        <v>51</v>
      </c>
      <c r="B118" s="129"/>
      <c r="C118" s="129"/>
      <c r="D118" s="129"/>
      <c r="E118" s="129"/>
      <c r="F118" s="173">
        <v>1500000</v>
      </c>
      <c r="G118" s="173"/>
      <c r="H118" s="173"/>
      <c r="I118" s="65" t="s">
        <v>275</v>
      </c>
      <c r="M118" s="19" t="s">
        <v>356</v>
      </c>
    </row>
    <row r="119" spans="1:13" s="32" customFormat="1" x14ac:dyDescent="0.25">
      <c r="A119" s="174" t="s">
        <v>52</v>
      </c>
      <c r="B119" s="174"/>
      <c r="C119" s="174"/>
      <c r="D119" s="174"/>
      <c r="E119" s="174"/>
      <c r="F119" s="132">
        <f>F106*0.8</f>
        <v>28480</v>
      </c>
      <c r="G119" s="132"/>
      <c r="H119" s="132"/>
      <c r="I119" s="32" t="s">
        <v>349</v>
      </c>
    </row>
    <row r="120" spans="1:13" s="33" customFormat="1" x14ac:dyDescent="0.25">
      <c r="A120" s="168" t="s">
        <v>335</v>
      </c>
      <c r="B120" s="168"/>
      <c r="C120" s="168"/>
      <c r="D120" s="168"/>
      <c r="E120" s="168"/>
      <c r="F120" s="168"/>
      <c r="G120" s="168"/>
      <c r="H120" s="168"/>
    </row>
    <row r="121" spans="1:13" s="33" customFormat="1" ht="15.75" customHeight="1" x14ac:dyDescent="0.25">
      <c r="A121" s="167" t="s">
        <v>53</v>
      </c>
      <c r="B121" s="167"/>
      <c r="C121" s="164" t="s">
        <v>75</v>
      </c>
      <c r="D121" s="164"/>
      <c r="E121" s="157" t="s">
        <v>54</v>
      </c>
      <c r="F121" s="157"/>
      <c r="G121" s="167" t="s">
        <v>55</v>
      </c>
      <c r="H121" s="167"/>
    </row>
    <row r="122" spans="1:13" s="33" customFormat="1" x14ac:dyDescent="0.25">
      <c r="A122" s="175" t="s">
        <v>325</v>
      </c>
      <c r="B122" s="175"/>
      <c r="C122" s="162">
        <f>COUNT(D135:D136)*9+COUNT(D138:D139)+COUNT(D144:D145)*6+COUNT(D147:D148)*6+COUNT(D150:D151)*7+COUNT(D153)+COUNT(D156)*2+COUNT(D159)</f>
        <v>62</v>
      </c>
      <c r="D122" s="162"/>
      <c r="E122" s="109">
        <f>SUM(D135:D136)*9+SUM(D138:D139)+SUM(D144:D145)*6+SUM(D147:D148)*6+SUM(D150:D151)*7+SUM(D153)+SUM(D156)*2+SUM(D159)</f>
        <v>117351.92663999999</v>
      </c>
      <c r="F122" s="109"/>
      <c r="G122" s="109">
        <f>SUM(F135:F136)*9+SUM(F138:F139)+SUM(F144:F145)*6+SUM(F147:F148)*6+SUM(F150:F151)*7+SUM(F153)+SUM(F156)*2+SUM(F159)</f>
        <v>176027.88995999994</v>
      </c>
      <c r="H122" s="109"/>
      <c r="I122" s="33">
        <v>62</v>
      </c>
    </row>
    <row r="123" spans="1:13" s="33" customFormat="1" x14ac:dyDescent="0.25">
      <c r="A123" s="170" t="s">
        <v>326</v>
      </c>
      <c r="B123" s="170"/>
      <c r="C123" s="128">
        <f>COUNT(D167)+COUNT(D169:D170)*24+COUNT(D172)*3+COUNT(D178)+COUNT(D175:D176)*2+COUNT(D181)+COUNT(D183)</f>
        <v>59</v>
      </c>
      <c r="D123" s="128"/>
      <c r="E123" s="128">
        <f>SUM(F167)+SUM(F169:F170)*24+SUM(F172)*3+SUM(F178)+SUM(F175:F176)*2+SUM(F181)+SUM(F183)</f>
        <v>111277.86198749999</v>
      </c>
      <c r="F123" s="128"/>
      <c r="G123" s="128">
        <f>SUM(H167)+SUM(H169:H170)*24+SUM(H172)*3+SUM(H178)+SUM(H175:H176)*2+SUM(H181)+SUM(H183)</f>
        <v>167365.17917437502</v>
      </c>
      <c r="H123" s="128"/>
      <c r="I123" s="82" t="s">
        <v>312</v>
      </c>
    </row>
    <row r="124" spans="1:13" s="33" customFormat="1" x14ac:dyDescent="0.25">
      <c r="A124" s="168" t="s">
        <v>316</v>
      </c>
      <c r="B124" s="168"/>
      <c r="C124" s="169">
        <f>C122+C123</f>
        <v>121</v>
      </c>
      <c r="D124" s="164"/>
      <c r="E124" s="169">
        <f t="shared" ref="E124" si="0">E122+E123</f>
        <v>228629.78862749998</v>
      </c>
      <c r="F124" s="164"/>
      <c r="G124" s="169">
        <f t="shared" ref="G124" si="1">G122+G123</f>
        <v>343393.06913437496</v>
      </c>
      <c r="H124" s="164"/>
    </row>
    <row r="125" spans="1:13" s="32" customFormat="1" x14ac:dyDescent="0.25">
      <c r="A125" s="158" t="s">
        <v>56</v>
      </c>
      <c r="B125" s="158"/>
      <c r="C125" s="158"/>
      <c r="D125" s="158"/>
      <c r="E125" s="158"/>
      <c r="F125" s="158"/>
      <c r="G125" s="158"/>
      <c r="H125" s="158"/>
    </row>
    <row r="126" spans="1:13" x14ac:dyDescent="0.25">
      <c r="A126" s="163" t="s">
        <v>254</v>
      </c>
      <c r="B126" s="163"/>
      <c r="C126" s="163"/>
      <c r="D126" s="163"/>
      <c r="E126" s="163"/>
      <c r="F126" s="163"/>
      <c r="G126" s="163"/>
      <c r="H126" s="163"/>
    </row>
    <row r="127" spans="1:13" ht="47.25" customHeight="1" x14ac:dyDescent="0.25">
      <c r="A127" s="159" t="s">
        <v>115</v>
      </c>
      <c r="B127" s="165" t="s">
        <v>168</v>
      </c>
      <c r="C127" s="165" t="s">
        <v>57</v>
      </c>
      <c r="D127" s="165" t="s">
        <v>58</v>
      </c>
      <c r="E127" s="248" t="s">
        <v>59</v>
      </c>
      <c r="F127" s="49" t="s">
        <v>145</v>
      </c>
      <c r="G127" s="159" t="s">
        <v>60</v>
      </c>
      <c r="H127" s="250"/>
      <c r="I127" s="80">
        <f>10.764</f>
        <v>10.763999999999999</v>
      </c>
    </row>
    <row r="128" spans="1:13" s="35" customFormat="1" x14ac:dyDescent="0.25">
      <c r="A128" s="160"/>
      <c r="B128" s="166"/>
      <c r="C128" s="166"/>
      <c r="D128" s="166"/>
      <c r="E128" s="249"/>
      <c r="F128" s="13">
        <v>0.5</v>
      </c>
      <c r="G128" s="160"/>
      <c r="H128" s="251"/>
      <c r="I128" s="34"/>
    </row>
    <row r="129" spans="1:14" s="85" customFormat="1" x14ac:dyDescent="0.25">
      <c r="A129" s="117" t="s">
        <v>325</v>
      </c>
      <c r="B129" s="118"/>
      <c r="C129" s="118"/>
      <c r="D129" s="118"/>
      <c r="E129" s="118"/>
      <c r="F129" s="118"/>
      <c r="G129" s="118"/>
      <c r="H129" s="119"/>
      <c r="J129" s="86"/>
    </row>
    <row r="130" spans="1:14" s="53" customFormat="1" x14ac:dyDescent="0.25">
      <c r="A130" s="117" t="s">
        <v>246</v>
      </c>
      <c r="B130" s="118"/>
      <c r="C130" s="118"/>
      <c r="D130" s="118"/>
      <c r="E130" s="118"/>
      <c r="F130" s="118"/>
      <c r="G130" s="118"/>
      <c r="H130" s="119"/>
      <c r="J130" s="34"/>
    </row>
    <row r="131" spans="1:14" s="53" customFormat="1" ht="33" customHeight="1" x14ac:dyDescent="0.25">
      <c r="A131" s="113" t="s">
        <v>271</v>
      </c>
      <c r="B131" s="114"/>
      <c r="C131" s="114"/>
      <c r="D131" s="114"/>
      <c r="E131" s="114"/>
      <c r="F131" s="114"/>
      <c r="G131" s="114"/>
      <c r="H131" s="115"/>
      <c r="J131" s="34"/>
    </row>
    <row r="132" spans="1:14" s="53" customFormat="1" x14ac:dyDescent="0.25">
      <c r="A132" s="113" t="s">
        <v>248</v>
      </c>
      <c r="B132" s="114"/>
      <c r="C132" s="114"/>
      <c r="D132" s="114"/>
      <c r="E132" s="114"/>
      <c r="F132" s="114"/>
      <c r="G132" s="114"/>
      <c r="H132" s="115"/>
      <c r="J132" s="34"/>
    </row>
    <row r="133" spans="1:14" s="53" customFormat="1" x14ac:dyDescent="0.25">
      <c r="A133" s="113" t="s">
        <v>249</v>
      </c>
      <c r="B133" s="114"/>
      <c r="C133" s="114"/>
      <c r="D133" s="114"/>
      <c r="E133" s="114"/>
      <c r="F133" s="114"/>
      <c r="G133" s="114"/>
      <c r="H133" s="115"/>
      <c r="J133" s="34"/>
    </row>
    <row r="134" spans="1:14" s="35" customFormat="1" x14ac:dyDescent="0.25">
      <c r="A134" s="113" t="s">
        <v>264</v>
      </c>
      <c r="B134" s="114"/>
      <c r="C134" s="114"/>
      <c r="D134" s="114"/>
      <c r="E134" s="114"/>
      <c r="F134" s="114"/>
      <c r="G134" s="114"/>
      <c r="H134" s="115"/>
      <c r="I134" t="s">
        <v>272</v>
      </c>
      <c r="J134" s="34"/>
    </row>
    <row r="135" spans="1:14" s="35" customFormat="1" ht="22.5" customHeight="1" x14ac:dyDescent="0.25">
      <c r="A135" s="101">
        <v>1</v>
      </c>
      <c r="B135" s="102"/>
      <c r="C135" s="40" t="s">
        <v>250</v>
      </c>
      <c r="D135" s="56">
        <f>(176.6+15.06)*10.764</f>
        <v>2063.0282399999996</v>
      </c>
      <c r="E135" s="40">
        <v>0</v>
      </c>
      <c r="F135" s="40">
        <f>D135*(($F$128)+1)+(IF(E135&lt;101,E135,IF(E135&lt;201,E135/2,IF(E135&lt;=301,E135/3,E135/4))))</f>
        <v>3094.5423599999995</v>
      </c>
      <c r="G135" s="103" t="str">
        <f>A134</f>
        <v>3rd to 6th, 8th to 12th Floor For Residential</v>
      </c>
      <c r="H135" s="104"/>
      <c r="I135" s="34">
        <f>(176.6+15.06)</f>
        <v>191.66</v>
      </c>
      <c r="J135" s="34">
        <f>(6.17*7.3+2.45*3.65+2.28*2.5+3.35*3.9+3.9*4.88+3.2*4.88+3.35*6.1+1.52*2.45+1.82*3.35+2.12*1.28+2.1*1.53+0.88*1.2+1.53*3.35+2*1.23+3.65*1.08+0.65*1+1.08*1.1+3.43*1.08+2.11*1.08)</f>
        <v>163.9838</v>
      </c>
      <c r="K135" s="34">
        <f>6.17*2.45</f>
        <v>15.1165</v>
      </c>
      <c r="L135" s="107">
        <f>J135+K135</f>
        <v>179.1003</v>
      </c>
      <c r="M135" s="108"/>
      <c r="N135" s="34"/>
    </row>
    <row r="136" spans="1:14" s="35" customFormat="1" ht="22.5" customHeight="1" x14ac:dyDescent="0.25">
      <c r="A136" s="101">
        <f t="shared" ref="A136" si="2">A135+1</f>
        <v>2</v>
      </c>
      <c r="B136" s="102"/>
      <c r="C136" s="52" t="s">
        <v>251</v>
      </c>
      <c r="D136" s="56">
        <f>(137.74+13.94)*10.764</f>
        <v>1632.68352</v>
      </c>
      <c r="E136" s="40">
        <v>0</v>
      </c>
      <c r="F136" s="40">
        <f>D136*(($F$128)+1)+(IF(E136&lt;101,E136,IF(E136&lt;201,E136/2,IF(E136&lt;=301,E136/3,E136/4))))</f>
        <v>2449.0252799999998</v>
      </c>
      <c r="G136" s="105"/>
      <c r="H136" s="106"/>
      <c r="I136" s="34">
        <f>(137.74+13.94)</f>
        <v>151.68</v>
      </c>
      <c r="J136" s="34">
        <f>(6.75*5.9+2.45*3.65+1.82*2.5+4.88*3.5+3.65*3.2+4.88*3.35+2.45*1.53+1.83*1.23+1.83*3.35+1.83*2.13+3.35*2.03+2.15*1.23+1.22*0.3+1.3*0.9+1.07*3.77+1.07*1.3)</f>
        <v>130.85919999999999</v>
      </c>
      <c r="K136" s="34">
        <f>(2.45*5.75)</f>
        <v>14.0875</v>
      </c>
      <c r="L136" s="107"/>
      <c r="M136" s="108"/>
      <c r="N136" s="34"/>
    </row>
    <row r="137" spans="1:14" s="58" customFormat="1" x14ac:dyDescent="0.25">
      <c r="A137" s="113" t="s">
        <v>265</v>
      </c>
      <c r="B137" s="114"/>
      <c r="C137" s="114"/>
      <c r="D137" s="114"/>
      <c r="E137" s="114"/>
      <c r="F137" s="114"/>
      <c r="G137" s="114"/>
      <c r="H137" s="115"/>
      <c r="J137" s="57"/>
    </row>
    <row r="138" spans="1:14" s="58" customFormat="1" ht="22.5" customHeight="1" x14ac:dyDescent="0.25">
      <c r="A138" s="101">
        <v>1</v>
      </c>
      <c r="B138" s="102"/>
      <c r="C138" s="59" t="s">
        <v>250</v>
      </c>
      <c r="D138" s="56">
        <f>(176.6+15.06)*10.764</f>
        <v>2063.0282399999996</v>
      </c>
      <c r="E138" s="59">
        <v>0</v>
      </c>
      <c r="F138" s="59">
        <f>D138*(($F$128)+1)+(IF(E138&lt;101,E138,IF(E138&lt;201,E138/2,IF(E138&lt;=301,E138/3,E138/4))))</f>
        <v>3094.5423599999995</v>
      </c>
      <c r="G138" s="103" t="str">
        <f>A137</f>
        <v>13th Floor (14th Floor as per Builder)</v>
      </c>
      <c r="H138" s="104"/>
      <c r="I138" s="57"/>
      <c r="J138" s="57"/>
      <c r="K138" s="57"/>
      <c r="L138" s="107"/>
      <c r="M138" s="108"/>
      <c r="N138" s="57"/>
    </row>
    <row r="139" spans="1:14" s="58" customFormat="1" ht="22.5" customHeight="1" x14ac:dyDescent="0.25">
      <c r="A139" s="101">
        <f t="shared" ref="A139" si="3">A138+1</f>
        <v>2</v>
      </c>
      <c r="B139" s="102"/>
      <c r="C139" s="59" t="s">
        <v>251</v>
      </c>
      <c r="D139" s="56">
        <f>(137.74+13.94)*10.764</f>
        <v>1632.68352</v>
      </c>
      <c r="E139" s="59">
        <v>0</v>
      </c>
      <c r="F139" s="59">
        <f>D139*(($F$128)+1)+(IF(E139&lt;101,E139,IF(E139&lt;201,E139/2,IF(E139&lt;=301,E139/3,E139/4))))</f>
        <v>2449.0252799999998</v>
      </c>
      <c r="G139" s="105"/>
      <c r="H139" s="106"/>
      <c r="I139" s="57"/>
      <c r="J139" s="57"/>
      <c r="K139" s="57"/>
      <c r="L139" s="107"/>
      <c r="M139" s="108"/>
      <c r="N139" s="57"/>
    </row>
    <row r="140" spans="1:14" s="67" customFormat="1" x14ac:dyDescent="0.25">
      <c r="A140" s="113" t="s">
        <v>290</v>
      </c>
      <c r="B140" s="114"/>
      <c r="C140" s="114"/>
      <c r="D140" s="114"/>
      <c r="E140" s="114"/>
      <c r="F140" s="114"/>
      <c r="G140" s="114"/>
      <c r="H140" s="115"/>
      <c r="J140" s="66" t="s">
        <v>273</v>
      </c>
    </row>
    <row r="141" spans="1:14" s="67" customFormat="1" ht="22.5" customHeight="1" x14ac:dyDescent="0.25">
      <c r="A141" s="101">
        <v>1</v>
      </c>
      <c r="B141" s="102"/>
      <c r="C141" s="68" t="s">
        <v>250</v>
      </c>
      <c r="D141" s="56">
        <f>(176.6+15.06)*10.764</f>
        <v>2063.0282399999996</v>
      </c>
      <c r="E141" s="68">
        <v>0</v>
      </c>
      <c r="F141" s="68">
        <f>D141*(($F$128)+1)+(IF(E141&lt;101,E141,IF(E141&lt;201,E141/2,IF(E141&lt;=301,E141/3,E141/4))))</f>
        <v>3094.5423599999995</v>
      </c>
      <c r="G141" s="103" t="str">
        <f>A140</f>
        <v>15th Floor (16th Floor as per Builder)</v>
      </c>
      <c r="H141" s="104"/>
      <c r="I141" s="66"/>
      <c r="J141" s="64">
        <f>93000000/F141</f>
        <v>30052.909018831469</v>
      </c>
      <c r="K141" s="66">
        <f>50/1.5</f>
        <v>33.333333333333336</v>
      </c>
      <c r="L141" s="107"/>
      <c r="M141" s="108"/>
      <c r="N141" s="66"/>
    </row>
    <row r="142" spans="1:14" s="67" customFormat="1" ht="22.5" customHeight="1" x14ac:dyDescent="0.25">
      <c r="A142" s="101">
        <f t="shared" ref="A142" si="4">A141+1</f>
        <v>2</v>
      </c>
      <c r="B142" s="102"/>
      <c r="C142" s="68" t="s">
        <v>251</v>
      </c>
      <c r="D142" s="56">
        <f>(137.74+13.94)*10.764</f>
        <v>1632.68352</v>
      </c>
      <c r="E142" s="68">
        <v>0</v>
      </c>
      <c r="F142" s="68">
        <f>D142*1.64</f>
        <v>2677.6009727999999</v>
      </c>
      <c r="G142" s="105"/>
      <c r="H142" s="106"/>
      <c r="I142" s="66"/>
      <c r="J142" s="64">
        <f>77000000/F142</f>
        <v>28757.085459033191</v>
      </c>
      <c r="K142" s="66">
        <f>32500*F142+1500000</f>
        <v>88522031.615999997</v>
      </c>
      <c r="L142" s="107"/>
      <c r="M142" s="108"/>
      <c r="N142" s="66"/>
    </row>
    <row r="143" spans="1:14" s="58" customFormat="1" x14ac:dyDescent="0.25">
      <c r="A143" s="113" t="s">
        <v>286</v>
      </c>
      <c r="B143" s="114"/>
      <c r="C143" s="114"/>
      <c r="D143" s="114"/>
      <c r="E143" s="114"/>
      <c r="F143" s="114"/>
      <c r="G143" s="114"/>
      <c r="H143" s="115"/>
      <c r="J143" s="57" t="s">
        <v>273</v>
      </c>
    </row>
    <row r="144" spans="1:14" s="58" customFormat="1" ht="22.5" customHeight="1" x14ac:dyDescent="0.25">
      <c r="A144" s="101">
        <v>1</v>
      </c>
      <c r="B144" s="102"/>
      <c r="C144" s="59" t="s">
        <v>250</v>
      </c>
      <c r="D144" s="56">
        <f>(176.6+15.06)*10.764</f>
        <v>2063.0282399999996</v>
      </c>
      <c r="E144" s="59">
        <v>0</v>
      </c>
      <c r="F144" s="59">
        <f>D144*(($F$128)+1)+(IF(E144&lt;101,E144,IF(E144&lt;201,E144/2,IF(E144&lt;=301,E144/3,E144/4))))</f>
        <v>3094.5423599999995</v>
      </c>
      <c r="G144" s="103" t="str">
        <f>A143</f>
        <v>16th to 20th Floor (17th to 21st Floor as per Builder)</v>
      </c>
      <c r="H144" s="104"/>
      <c r="I144" s="57"/>
      <c r="J144" s="64">
        <f>93000000/F144</f>
        <v>30052.909018831469</v>
      </c>
      <c r="K144" s="57">
        <f>50/1.5</f>
        <v>33.333333333333336</v>
      </c>
      <c r="L144" s="107"/>
      <c r="M144" s="108"/>
      <c r="N144" s="57"/>
    </row>
    <row r="145" spans="1:14" s="58" customFormat="1" ht="22.5" customHeight="1" x14ac:dyDescent="0.25">
      <c r="A145" s="101">
        <f t="shared" ref="A145" si="5">A144+1</f>
        <v>2</v>
      </c>
      <c r="B145" s="102"/>
      <c r="C145" s="59" t="s">
        <v>251</v>
      </c>
      <c r="D145" s="56">
        <f>(137.74+13.94)*10.764</f>
        <v>1632.68352</v>
      </c>
      <c r="E145" s="59">
        <v>0</v>
      </c>
      <c r="F145" s="59">
        <f>D145*(($F$128)+1)+(IF(E145&lt;101,E145,IF(E145&lt;201,E145/2,IF(E145&lt;=301,E145/3,E145/4))))</f>
        <v>2449.0252799999998</v>
      </c>
      <c r="G145" s="105"/>
      <c r="H145" s="106"/>
      <c r="I145" s="57"/>
      <c r="J145" s="64">
        <f>77000000/F145</f>
        <v>31441.080101876287</v>
      </c>
      <c r="K145" s="57"/>
      <c r="L145" s="107"/>
      <c r="M145" s="108"/>
      <c r="N145" s="57"/>
    </row>
    <row r="146" spans="1:14" s="58" customFormat="1" x14ac:dyDescent="0.25">
      <c r="A146" s="113" t="s">
        <v>266</v>
      </c>
      <c r="B146" s="114"/>
      <c r="C146" s="114"/>
      <c r="D146" s="114"/>
      <c r="E146" s="114"/>
      <c r="F146" s="114"/>
      <c r="G146" s="114"/>
      <c r="H146" s="115"/>
      <c r="J146" s="57"/>
    </row>
    <row r="147" spans="1:14" s="58" customFormat="1" ht="22.5" customHeight="1" x14ac:dyDescent="0.25">
      <c r="A147" s="101">
        <v>1</v>
      </c>
      <c r="B147" s="102"/>
      <c r="C147" s="59" t="s">
        <v>250</v>
      </c>
      <c r="D147" s="56">
        <f>(176.6+15.06)*10.764</f>
        <v>2063.0282399999996</v>
      </c>
      <c r="E147" s="59">
        <v>0</v>
      </c>
      <c r="F147" s="59">
        <f>D147*(($F$128)+1)+(IF(E147&lt;101,E147,IF(E147&lt;201,E147/2,IF(E147&lt;=301,E147/3,E147/4))))</f>
        <v>3094.5423599999995</v>
      </c>
      <c r="G147" s="103" t="str">
        <f>A146</f>
        <v>22nd to 27th Floor (23rd to 28th Floor as per Builder)</v>
      </c>
      <c r="H147" s="104"/>
      <c r="I147" s="57"/>
      <c r="J147" s="57">
        <f>100000000/F147</f>
        <v>32314.955934227386</v>
      </c>
      <c r="K147" s="57"/>
      <c r="L147" s="107"/>
      <c r="M147" s="108"/>
      <c r="N147" s="57"/>
    </row>
    <row r="148" spans="1:14" s="58" customFormat="1" ht="22.5" customHeight="1" x14ac:dyDescent="0.25">
      <c r="A148" s="101">
        <f t="shared" ref="A148" si="6">A147+1</f>
        <v>2</v>
      </c>
      <c r="B148" s="102"/>
      <c r="C148" s="59" t="s">
        <v>251</v>
      </c>
      <c r="D148" s="56">
        <f>(137.74+13.94)*10.764</f>
        <v>1632.68352</v>
      </c>
      <c r="E148" s="59">
        <v>0</v>
      </c>
      <c r="F148" s="59">
        <f>D148*(($F$128)+1)+(IF(E148&lt;101,E148,IF(E148&lt;201,E148/2,IF(E148&lt;=301,E148/3,E148/4))))</f>
        <v>2449.0252799999998</v>
      </c>
      <c r="G148" s="105"/>
      <c r="H148" s="106"/>
      <c r="I148" s="57"/>
      <c r="J148" s="57">
        <f>83000000/F148</f>
        <v>33891.034395528986</v>
      </c>
      <c r="K148" s="57"/>
      <c r="L148" s="107"/>
      <c r="M148" s="108"/>
      <c r="N148" s="57"/>
    </row>
    <row r="149" spans="1:14" s="58" customFormat="1" x14ac:dyDescent="0.25">
      <c r="A149" s="113" t="s">
        <v>267</v>
      </c>
      <c r="B149" s="114"/>
      <c r="C149" s="114"/>
      <c r="D149" s="114"/>
      <c r="E149" s="114"/>
      <c r="F149" s="114"/>
      <c r="G149" s="114"/>
      <c r="H149" s="115"/>
      <c r="J149" s="57"/>
    </row>
    <row r="150" spans="1:14" s="58" customFormat="1" ht="22.5" customHeight="1" x14ac:dyDescent="0.25">
      <c r="A150" s="101">
        <v>1</v>
      </c>
      <c r="B150" s="102"/>
      <c r="C150" s="59" t="s">
        <v>250</v>
      </c>
      <c r="D150" s="56">
        <f>(176.6+15.06)*10.764</f>
        <v>2063.0282399999996</v>
      </c>
      <c r="E150" s="59">
        <v>0</v>
      </c>
      <c r="F150" s="59">
        <f>D150*(($F$128)+1)+(IF(E150&lt;101,E150,IF(E150&lt;201,E150/2,IF(E150&lt;=301,E150/3,E150/4))))</f>
        <v>3094.5423599999995</v>
      </c>
      <c r="G150" s="103" t="str">
        <f>A149</f>
        <v xml:space="preserve"> 29th to 35th Floor (30th to 36th Floor as per Builder)</v>
      </c>
      <c r="H150" s="104"/>
      <c r="I150" s="57"/>
      <c r="J150" s="57"/>
      <c r="K150" s="57"/>
      <c r="L150" s="107"/>
      <c r="M150" s="108"/>
      <c r="N150" s="57"/>
    </row>
    <row r="151" spans="1:14" s="58" customFormat="1" ht="22.5" customHeight="1" x14ac:dyDescent="0.25">
      <c r="A151" s="101">
        <f t="shared" ref="A151" si="7">A150+1</f>
        <v>2</v>
      </c>
      <c r="B151" s="102"/>
      <c r="C151" s="59" t="s">
        <v>251</v>
      </c>
      <c r="D151" s="56">
        <f>(137.74+13.94)*10.764</f>
        <v>1632.68352</v>
      </c>
      <c r="E151" s="59">
        <v>0</v>
      </c>
      <c r="F151" s="59">
        <f>D151*(($F$128)+1)+(IF(E151&lt;101,E151,IF(E151&lt;201,E151/2,IF(E151&lt;=301,E151/3,E151/4))))</f>
        <v>2449.0252799999998</v>
      </c>
      <c r="G151" s="105"/>
      <c r="H151" s="106"/>
      <c r="I151" s="57"/>
      <c r="J151" s="57"/>
      <c r="K151" s="57"/>
      <c r="L151" s="107"/>
      <c r="M151" s="108"/>
      <c r="N151" s="57"/>
    </row>
    <row r="152" spans="1:14" s="35" customFormat="1" x14ac:dyDescent="0.25">
      <c r="A152" s="110" t="s">
        <v>268</v>
      </c>
      <c r="B152" s="110"/>
      <c r="C152" s="110"/>
      <c r="D152" s="110"/>
      <c r="E152" s="110"/>
      <c r="F152" s="110"/>
      <c r="G152" s="110"/>
      <c r="H152" s="110"/>
      <c r="I152" s="34"/>
      <c r="J152" s="34"/>
      <c r="K152" s="34"/>
      <c r="L152" s="107"/>
      <c r="M152" s="108"/>
    </row>
    <row r="153" spans="1:14" s="35" customFormat="1" ht="15.75" customHeight="1" x14ac:dyDescent="0.25">
      <c r="A153" s="111">
        <v>1</v>
      </c>
      <c r="B153" s="111"/>
      <c r="C153" s="40" t="s">
        <v>253</v>
      </c>
      <c r="D153" s="40">
        <f>(221.29+15.06)*10.764</f>
        <v>2544.0713999999998</v>
      </c>
      <c r="E153" s="40">
        <v>0</v>
      </c>
      <c r="F153" s="40">
        <f>D153*(($F$128)+1)+(IF(E153&lt;101,E153,IF(E153&lt;201,E153/2,IF(E153&lt;=301,E153/3,E153/4))))</f>
        <v>3816.1070999999997</v>
      </c>
      <c r="G153" s="103" t="str">
        <f>A152</f>
        <v>7th Floor (Part Refuge Area)</v>
      </c>
      <c r="H153" s="104"/>
      <c r="I153" s="34"/>
      <c r="J153" s="34"/>
      <c r="K153" s="34"/>
      <c r="L153" s="107"/>
      <c r="M153" s="108"/>
      <c r="N153" s="34"/>
    </row>
    <row r="154" spans="1:14" s="35" customFormat="1" ht="15.75" customHeight="1" x14ac:dyDescent="0.25">
      <c r="A154" s="111">
        <v>2</v>
      </c>
      <c r="B154" s="111"/>
      <c r="C154" s="101" t="s">
        <v>252</v>
      </c>
      <c r="D154" s="116"/>
      <c r="E154" s="116"/>
      <c r="F154" s="102"/>
      <c r="G154" s="105"/>
      <c r="H154" s="106"/>
      <c r="I154" s="34"/>
      <c r="J154" s="34"/>
      <c r="N154" s="34"/>
    </row>
    <row r="155" spans="1:14" s="58" customFormat="1" x14ac:dyDescent="0.25">
      <c r="A155" s="110" t="s">
        <v>269</v>
      </c>
      <c r="B155" s="110"/>
      <c r="C155" s="110"/>
      <c r="D155" s="110"/>
      <c r="E155" s="110"/>
      <c r="F155" s="110"/>
      <c r="G155" s="110"/>
      <c r="H155" s="110"/>
      <c r="I155" s="57"/>
      <c r="J155" s="57"/>
      <c r="K155" s="57"/>
      <c r="L155" s="107"/>
      <c r="M155" s="108"/>
    </row>
    <row r="156" spans="1:14" s="58" customFormat="1" ht="34.5" customHeight="1" x14ac:dyDescent="0.25">
      <c r="A156" s="111">
        <v>1</v>
      </c>
      <c r="B156" s="111"/>
      <c r="C156" s="59" t="s">
        <v>253</v>
      </c>
      <c r="D156" s="59">
        <f>(221.29+15.06)*10.764</f>
        <v>2544.0713999999998</v>
      </c>
      <c r="E156" s="59">
        <v>0</v>
      </c>
      <c r="F156" s="59">
        <f>D156*(($F$128)+1)+(IF(E156&lt;101,E156,IF(E156&lt;201,E156/2,IF(E156&lt;=301,E156/3,E156/4))))</f>
        <v>3816.1070999999997</v>
      </c>
      <c r="G156" s="103" t="str">
        <f>A155</f>
        <v>14th &amp; 21st Floor (15th &amp; 22nd Floor as per Builder) (Part Refuge Area)</v>
      </c>
      <c r="H156" s="104"/>
      <c r="I156" s="57"/>
      <c r="J156" s="57"/>
      <c r="K156" s="57"/>
      <c r="L156" s="107"/>
      <c r="M156" s="108"/>
      <c r="N156" s="57"/>
    </row>
    <row r="157" spans="1:14" s="58" customFormat="1" ht="34.5" customHeight="1" x14ac:dyDescent="0.25">
      <c r="A157" s="111">
        <v>2</v>
      </c>
      <c r="B157" s="111"/>
      <c r="C157" s="101" t="s">
        <v>252</v>
      </c>
      <c r="D157" s="116"/>
      <c r="E157" s="116"/>
      <c r="F157" s="102"/>
      <c r="G157" s="105"/>
      <c r="H157" s="106"/>
      <c r="I157" s="57"/>
      <c r="J157" s="57"/>
      <c r="N157" s="57"/>
    </row>
    <row r="158" spans="1:14" s="35" customFormat="1" ht="15.75" customHeight="1" x14ac:dyDescent="0.25">
      <c r="A158" s="113" t="s">
        <v>270</v>
      </c>
      <c r="B158" s="114"/>
      <c r="C158" s="114"/>
      <c r="D158" s="114"/>
      <c r="E158" s="114"/>
      <c r="F158" s="114"/>
      <c r="G158" s="114"/>
      <c r="H158" s="115"/>
      <c r="I158" s="34"/>
      <c r="J158" s="34"/>
    </row>
    <row r="159" spans="1:14" s="53" customFormat="1" ht="26.25" customHeight="1" x14ac:dyDescent="0.25">
      <c r="A159" s="101">
        <v>1</v>
      </c>
      <c r="B159" s="102"/>
      <c r="C159" s="52" t="s">
        <v>253</v>
      </c>
      <c r="D159" s="52">
        <f>(221.29+15.06)*10.764</f>
        <v>2544.0713999999998</v>
      </c>
      <c r="E159" s="52">
        <v>0</v>
      </c>
      <c r="F159" s="52">
        <f t="shared" ref="F159" si="8">D159*(($F$128)+1)+(IF(E159&lt;101,E159,IF(E159&lt;201,E159/2,IF(E159&lt;=301,E159/3,E159/4))))</f>
        <v>3816.1070999999997</v>
      </c>
      <c r="G159" s="103" t="str">
        <f>A158</f>
        <v>28th Floor (29th Floor as per Builder) (Part Refuge Area)</v>
      </c>
      <c r="H159" s="104"/>
      <c r="I159" s="34"/>
      <c r="J159" s="55"/>
      <c r="K159" s="34"/>
      <c r="L159" s="107"/>
      <c r="M159" s="108"/>
      <c r="N159" s="34"/>
    </row>
    <row r="160" spans="1:14" s="53" customFormat="1" ht="26.25" customHeight="1" x14ac:dyDescent="0.25">
      <c r="A160" s="111">
        <v>2</v>
      </c>
      <c r="B160" s="111"/>
      <c r="C160" s="101" t="s">
        <v>252</v>
      </c>
      <c r="D160" s="116"/>
      <c r="E160" s="116"/>
      <c r="F160" s="102"/>
      <c r="G160" s="105"/>
      <c r="H160" s="106"/>
      <c r="I160" s="34"/>
      <c r="N160" s="34"/>
    </row>
    <row r="161" spans="1:14" s="79" customFormat="1" x14ac:dyDescent="0.25">
      <c r="A161" s="98" t="s">
        <v>336</v>
      </c>
      <c r="B161" s="99"/>
      <c r="C161" s="99"/>
      <c r="D161" s="99"/>
      <c r="E161" s="99"/>
      <c r="F161" s="99"/>
      <c r="G161" s="99"/>
      <c r="H161" s="100"/>
      <c r="I161" s="81">
        <f>10.764</f>
        <v>10.763999999999999</v>
      </c>
      <c r="J161" s="78"/>
    </row>
    <row r="162" spans="1:14" s="79" customFormat="1" x14ac:dyDescent="0.25">
      <c r="A162" s="98" t="s">
        <v>246</v>
      </c>
      <c r="B162" s="99"/>
      <c r="C162" s="99"/>
      <c r="D162" s="99"/>
      <c r="E162" s="99"/>
      <c r="F162" s="99"/>
      <c r="G162" s="99"/>
      <c r="H162" s="100"/>
      <c r="J162" s="78"/>
    </row>
    <row r="163" spans="1:14" s="79" customFormat="1" x14ac:dyDescent="0.25">
      <c r="A163" s="98" t="s">
        <v>296</v>
      </c>
      <c r="B163" s="99"/>
      <c r="C163" s="99"/>
      <c r="D163" s="99"/>
      <c r="E163" s="99"/>
      <c r="F163" s="99"/>
      <c r="G163" s="99"/>
      <c r="H163" s="100"/>
      <c r="J163" s="78"/>
    </row>
    <row r="164" spans="1:14" s="79" customFormat="1" x14ac:dyDescent="0.25">
      <c r="A164" s="98" t="s">
        <v>297</v>
      </c>
      <c r="B164" s="99"/>
      <c r="C164" s="99"/>
      <c r="D164" s="99"/>
      <c r="E164" s="99"/>
      <c r="F164" s="99"/>
      <c r="G164" s="99"/>
      <c r="H164" s="100"/>
      <c r="J164" s="78"/>
    </row>
    <row r="165" spans="1:14" s="79" customFormat="1" x14ac:dyDescent="0.25">
      <c r="A165" s="98" t="s">
        <v>298</v>
      </c>
      <c r="B165" s="99"/>
      <c r="C165" s="99"/>
      <c r="D165" s="99"/>
      <c r="E165" s="99"/>
      <c r="F165" s="99"/>
      <c r="G165" s="99"/>
      <c r="H165" s="100"/>
      <c r="J165" s="78"/>
    </row>
    <row r="166" spans="1:14" s="79" customFormat="1" x14ac:dyDescent="0.25">
      <c r="A166" s="98" t="s">
        <v>299</v>
      </c>
      <c r="B166" s="99"/>
      <c r="C166" s="99"/>
      <c r="D166" s="99"/>
      <c r="E166" s="99"/>
      <c r="F166" s="99"/>
      <c r="G166" s="99"/>
      <c r="H166" s="100"/>
      <c r="I166" s="79">
        <f>1</f>
        <v>1</v>
      </c>
      <c r="J166" s="78"/>
    </row>
    <row r="167" spans="1:14" s="79" customFormat="1" ht="15.75" customHeight="1" x14ac:dyDescent="0.25">
      <c r="A167" s="123">
        <v>1</v>
      </c>
      <c r="B167" s="124"/>
      <c r="C167" s="56" t="s">
        <v>250</v>
      </c>
      <c r="D167" s="87">
        <f>(169.42)*(10.764)</f>
        <v>1823.6368799999998</v>
      </c>
      <c r="E167" s="56">
        <f>(14.88)*(10.764)</f>
        <v>160.16831999999999</v>
      </c>
      <c r="F167" s="56">
        <f>D167+E167</f>
        <v>1983.8051999999998</v>
      </c>
      <c r="G167" s="56">
        <v>0</v>
      </c>
      <c r="H167" s="56">
        <f>F167*(($F$128)+1)+(IF(G167&lt;101,G167,IF(G167&lt;201,G167/2,IF(G167&lt;=301,G167/3,G167/4))))</f>
        <v>2975.7077999999997</v>
      </c>
      <c r="I167" s="78"/>
      <c r="L167" s="108"/>
      <c r="M167" s="108"/>
      <c r="N167" s="78"/>
    </row>
    <row r="168" spans="1:14" s="79" customFormat="1" x14ac:dyDescent="0.25">
      <c r="A168" s="98" t="s">
        <v>311</v>
      </c>
      <c r="B168" s="99"/>
      <c r="C168" s="99"/>
      <c r="D168" s="99"/>
      <c r="E168" s="99"/>
      <c r="F168" s="99"/>
      <c r="G168" s="99"/>
      <c r="H168" s="100"/>
      <c r="I168" s="78">
        <f>4+6+6+5+3</f>
        <v>24</v>
      </c>
      <c r="J168" s="78"/>
    </row>
    <row r="169" spans="1:14" s="79" customFormat="1" ht="15.75" customHeight="1" x14ac:dyDescent="0.25">
      <c r="A169" s="123">
        <v>1</v>
      </c>
      <c r="B169" s="124"/>
      <c r="C169" s="56" t="s">
        <v>300</v>
      </c>
      <c r="D169" s="87">
        <f>(127.92)*(10.764)</f>
        <v>1376.9308799999999</v>
      </c>
      <c r="E169" s="87">
        <f>(17.25)*(10.764)</f>
        <v>185.679</v>
      </c>
      <c r="F169" s="56">
        <f>D169+E169</f>
        <v>1562.60988</v>
      </c>
      <c r="G169" s="56">
        <v>0</v>
      </c>
      <c r="H169" s="56">
        <f t="shared" ref="H169:H170" si="9">F169*(($F$128)+1)+(IF(G169&lt;101,G169,IF(G169&lt;201,G169/2,IF(G169&lt;=301,G169/3,G169/4))))</f>
        <v>2343.91482</v>
      </c>
      <c r="I169" s="78"/>
      <c r="L169" s="108"/>
      <c r="M169" s="108"/>
      <c r="N169" s="78"/>
    </row>
    <row r="170" spans="1:14" s="79" customFormat="1" ht="15.75" customHeight="1" x14ac:dyDescent="0.25">
      <c r="A170" s="123">
        <f>A169+1</f>
        <v>2</v>
      </c>
      <c r="B170" s="124"/>
      <c r="C170" s="56" t="s">
        <v>301</v>
      </c>
      <c r="D170" s="87">
        <f>(169.69)*(10.764)</f>
        <v>1826.5431599999999</v>
      </c>
      <c r="E170" s="87">
        <f>(17.12)*(10.764)</f>
        <v>184.27968000000001</v>
      </c>
      <c r="F170" s="56">
        <f>D170+E170</f>
        <v>2010.82284</v>
      </c>
      <c r="G170" s="56">
        <v>0</v>
      </c>
      <c r="H170" s="56">
        <f t="shared" si="9"/>
        <v>3016.2342600000002</v>
      </c>
      <c r="I170" s="78"/>
      <c r="L170" s="108"/>
      <c r="M170" s="108"/>
      <c r="N170" s="78"/>
    </row>
    <row r="171" spans="1:14" s="79" customFormat="1" x14ac:dyDescent="0.25">
      <c r="A171" s="98" t="s">
        <v>302</v>
      </c>
      <c r="B171" s="99"/>
      <c r="C171" s="99"/>
      <c r="D171" s="99"/>
      <c r="E171" s="99"/>
      <c r="F171" s="99"/>
      <c r="G171" s="99"/>
      <c r="H171" s="100"/>
      <c r="I171" s="79">
        <f>3</f>
        <v>3</v>
      </c>
      <c r="J171" s="78"/>
    </row>
    <row r="172" spans="1:14" s="79" customFormat="1" ht="15.75" customHeight="1" x14ac:dyDescent="0.25">
      <c r="A172" s="123">
        <v>1</v>
      </c>
      <c r="B172" s="124"/>
      <c r="C172" s="56" t="s">
        <v>303</v>
      </c>
      <c r="D172" s="87">
        <f>(207.07)*(10.764)</f>
        <v>2228.90148</v>
      </c>
      <c r="E172" s="87">
        <f>(31.09)*(10.764)</f>
        <v>334.65276</v>
      </c>
      <c r="F172" s="56">
        <f>D172+E172</f>
        <v>2563.5542399999999</v>
      </c>
      <c r="G172" s="56">
        <v>0</v>
      </c>
      <c r="H172" s="56">
        <f>F172*(($F$128)+1)+(IF(G172&lt;101,G172,IF(G172&lt;201,G172/2,IF(G172&lt;=301,G172/3,G172/4))))</f>
        <v>3845.3313600000001</v>
      </c>
      <c r="I172" s="78"/>
      <c r="L172" s="108"/>
      <c r="M172" s="108"/>
      <c r="N172" s="78"/>
    </row>
    <row r="173" spans="1:14" s="79" customFormat="1" ht="15.75" customHeight="1" x14ac:dyDescent="0.25">
      <c r="A173" s="123">
        <f>A172+1</f>
        <v>2</v>
      </c>
      <c r="B173" s="124"/>
      <c r="C173" s="56" t="s">
        <v>304</v>
      </c>
      <c r="D173" s="123" t="s">
        <v>305</v>
      </c>
      <c r="E173" s="244"/>
      <c r="F173" s="244"/>
      <c r="G173" s="244"/>
      <c r="H173" s="124"/>
      <c r="I173" s="78"/>
      <c r="L173" s="108"/>
      <c r="M173" s="108"/>
      <c r="N173" s="78"/>
    </row>
    <row r="174" spans="1:14" s="79" customFormat="1" x14ac:dyDescent="0.25">
      <c r="A174" s="98" t="s">
        <v>308</v>
      </c>
      <c r="B174" s="99"/>
      <c r="C174" s="99"/>
      <c r="D174" s="99"/>
      <c r="E174" s="99"/>
      <c r="F174" s="99"/>
      <c r="G174" s="99"/>
      <c r="H174" s="100"/>
      <c r="I174" s="79">
        <f>2</f>
        <v>2</v>
      </c>
      <c r="J174" s="78"/>
    </row>
    <row r="175" spans="1:14" s="79" customFormat="1" ht="15.75" customHeight="1" x14ac:dyDescent="0.25">
      <c r="A175" s="123">
        <v>1</v>
      </c>
      <c r="B175" s="124"/>
      <c r="C175" s="56" t="s">
        <v>300</v>
      </c>
      <c r="D175" s="87">
        <f>(127.92)*(10.764)</f>
        <v>1376.9308799999999</v>
      </c>
      <c r="E175" s="87">
        <f>(17.25)*(10.764)</f>
        <v>185.679</v>
      </c>
      <c r="F175" s="56">
        <f>D175+E175</f>
        <v>1562.60988</v>
      </c>
      <c r="G175" s="56">
        <v>0</v>
      </c>
      <c r="H175" s="56">
        <f t="shared" ref="H175:H176" si="10">F175*(($F$128)+1)+(IF(G175&lt;101,G175,IF(G175&lt;201,G175/2,IF(G175&lt;=301,G175/3,G175/4))))</f>
        <v>2343.91482</v>
      </c>
      <c r="I175" s="78"/>
      <c r="L175" s="108"/>
      <c r="M175" s="108"/>
      <c r="N175" s="78"/>
    </row>
    <row r="176" spans="1:14" s="79" customFormat="1" ht="15.75" customHeight="1" x14ac:dyDescent="0.25">
      <c r="A176" s="123">
        <f>A175+1</f>
        <v>2</v>
      </c>
      <c r="B176" s="124"/>
      <c r="C176" s="56" t="s">
        <v>301</v>
      </c>
      <c r="D176" s="87">
        <f>(169.69)*(10.764)</f>
        <v>1826.5431599999999</v>
      </c>
      <c r="E176" s="87">
        <f>(17.12)*(10.764)</f>
        <v>184.27968000000001</v>
      </c>
      <c r="F176" s="56">
        <f>D176+E176</f>
        <v>2010.82284</v>
      </c>
      <c r="G176" s="56">
        <v>0</v>
      </c>
      <c r="H176" s="56">
        <f t="shared" si="10"/>
        <v>3016.2342600000002</v>
      </c>
      <c r="I176" s="78"/>
      <c r="L176" s="108"/>
      <c r="M176" s="108"/>
      <c r="N176" s="78"/>
    </row>
    <row r="177" spans="1:14" s="79" customFormat="1" x14ac:dyDescent="0.25">
      <c r="A177" s="98" t="s">
        <v>306</v>
      </c>
      <c r="B177" s="99"/>
      <c r="C177" s="99"/>
      <c r="D177" s="99"/>
      <c r="E177" s="99"/>
      <c r="F177" s="99"/>
      <c r="G177" s="99"/>
      <c r="H177" s="100"/>
      <c r="I177" s="79">
        <f>1</f>
        <v>1</v>
      </c>
      <c r="J177" s="78"/>
    </row>
    <row r="178" spans="1:14" s="79" customFormat="1" ht="15.75" customHeight="1" x14ac:dyDescent="0.25">
      <c r="A178" s="123">
        <v>1</v>
      </c>
      <c r="B178" s="124"/>
      <c r="C178" s="56" t="s">
        <v>307</v>
      </c>
      <c r="D178" s="87">
        <f>(217.25)*(10.764)</f>
        <v>2338.4789999999998</v>
      </c>
      <c r="E178" s="87">
        <f>(31.09)*(10.764)</f>
        <v>334.65276</v>
      </c>
      <c r="F178" s="56">
        <f>D178+E178</f>
        <v>2673.1317599999998</v>
      </c>
      <c r="G178" s="56">
        <v>0</v>
      </c>
      <c r="H178" s="56">
        <f>F178*(($F$128)+1)+(IF(G178&lt;101,G178,IF(G178&lt;201,G178/2,IF(G178&lt;=301,G178/3,G178/4))))</f>
        <v>4009.6976399999994</v>
      </c>
      <c r="I178" s="78"/>
      <c r="L178" s="108"/>
      <c r="M178" s="108"/>
      <c r="N178" s="78"/>
    </row>
    <row r="179" spans="1:14" s="79" customFormat="1" ht="15.75" customHeight="1" x14ac:dyDescent="0.25">
      <c r="A179" s="123">
        <f>A178+1</f>
        <v>2</v>
      </c>
      <c r="B179" s="124"/>
      <c r="C179" s="56" t="s">
        <v>304</v>
      </c>
      <c r="D179" s="123" t="s">
        <v>305</v>
      </c>
      <c r="E179" s="244"/>
      <c r="F179" s="244"/>
      <c r="G179" s="244"/>
      <c r="H179" s="124"/>
      <c r="I179" s="78"/>
      <c r="L179" s="108"/>
      <c r="M179" s="108"/>
      <c r="N179" s="78"/>
    </row>
    <row r="180" spans="1:14" s="79" customFormat="1" x14ac:dyDescent="0.25">
      <c r="A180" s="98" t="s">
        <v>309</v>
      </c>
      <c r="B180" s="99"/>
      <c r="C180" s="99"/>
      <c r="D180" s="99"/>
      <c r="E180" s="99"/>
      <c r="F180" s="99"/>
      <c r="G180" s="99"/>
      <c r="H180" s="100"/>
      <c r="I180" s="79">
        <f>1</f>
        <v>1</v>
      </c>
      <c r="J180" s="78"/>
    </row>
    <row r="181" spans="1:14" s="79" customFormat="1" ht="15.75" customHeight="1" x14ac:dyDescent="0.25">
      <c r="A181" s="123">
        <v>1</v>
      </c>
      <c r="B181" s="124"/>
      <c r="C181" s="56" t="s">
        <v>301</v>
      </c>
      <c r="D181" s="87">
        <f>(250.29)*(10.764)</f>
        <v>2694.1215599999996</v>
      </c>
      <c r="E181" s="87">
        <f>(100.46-(4.875*5.926+3.625*0.675+2.365*1.402+3.615*9.348+2.7*2.275+2.35*1.82+3.47+0.17))*(10.764)</f>
        <v>193.27434749999981</v>
      </c>
      <c r="F181" s="56">
        <f>D181+E181</f>
        <v>2887.3959074999993</v>
      </c>
      <c r="G181" s="56">
        <f>(4.875*5.926+3.625*0.675+2.365*1.402+3.615*9.348+2.7*2.275+2.35*1.82+3.47+0.17)*10.764</f>
        <v>888.07709250000005</v>
      </c>
      <c r="H181" s="56">
        <f>F181*(($F$128)+1)+(IF(G181&lt;101,G181,IF(G181&lt;201,G181/2,IF(G181&lt;=301,G181/3,G181/4))))</f>
        <v>4553.1131343749994</v>
      </c>
      <c r="I181" s="78"/>
      <c r="L181" s="108"/>
      <c r="M181" s="108"/>
      <c r="N181" s="78"/>
    </row>
    <row r="182" spans="1:14" s="79" customFormat="1" x14ac:dyDescent="0.25">
      <c r="A182" s="98" t="s">
        <v>310</v>
      </c>
      <c r="B182" s="99"/>
      <c r="C182" s="99"/>
      <c r="D182" s="99"/>
      <c r="E182" s="99"/>
      <c r="F182" s="99"/>
      <c r="G182" s="99"/>
      <c r="H182" s="100"/>
      <c r="J182" s="78"/>
    </row>
    <row r="183" spans="1:14" s="84" customFormat="1" ht="48.75" customHeight="1" x14ac:dyDescent="0.25">
      <c r="A183" s="123">
        <v>1</v>
      </c>
      <c r="B183" s="124"/>
      <c r="C183" s="56" t="s">
        <v>320</v>
      </c>
      <c r="D183" s="87">
        <f>(230.52+31.67)*(10.764)</f>
        <v>2822.2131599999998</v>
      </c>
      <c r="E183" s="87">
        <f>(28.93)*(10.764)</f>
        <v>311.40251999999998</v>
      </c>
      <c r="F183" s="56">
        <f>D183+E183</f>
        <v>3133.6156799999999</v>
      </c>
      <c r="G183" s="56">
        <f>(84.12)*(10.764)</f>
        <v>905.46767999999997</v>
      </c>
      <c r="H183" s="56">
        <f>F183*(($F$128)+1)+(IF(G183&lt;101,G183,IF(G183&lt;201,G183/2,IF(G183&lt;=301,G183/3,G183/4))))</f>
        <v>4926.7904400000007</v>
      </c>
      <c r="I183" s="83"/>
      <c r="L183" s="108"/>
      <c r="M183" s="108"/>
      <c r="N183" s="83"/>
    </row>
    <row r="184" spans="1:14" s="84" customFormat="1" x14ac:dyDescent="0.25">
      <c r="A184" s="125" t="s">
        <v>337</v>
      </c>
      <c r="B184" s="126"/>
      <c r="C184" s="126"/>
      <c r="D184" s="126"/>
      <c r="E184" s="126"/>
      <c r="F184" s="126"/>
      <c r="G184" s="126"/>
      <c r="H184" s="127"/>
      <c r="J184" s="83"/>
    </row>
    <row r="185" spans="1:14" s="33" customFormat="1" x14ac:dyDescent="0.25">
      <c r="A185" s="161" t="s">
        <v>68</v>
      </c>
      <c r="B185" s="161"/>
      <c r="C185" s="161"/>
      <c r="D185" s="161"/>
      <c r="E185" s="161"/>
      <c r="F185" s="161"/>
      <c r="G185" s="161"/>
      <c r="H185" s="161"/>
    </row>
    <row r="186" spans="1:14" s="33" customFormat="1" ht="33.950000000000003" customHeight="1" x14ac:dyDescent="0.25">
      <c r="A186" s="44" t="s">
        <v>148</v>
      </c>
      <c r="B186" s="120" t="s">
        <v>293</v>
      </c>
      <c r="C186" s="121"/>
      <c r="D186" s="121"/>
      <c r="E186" s="121"/>
      <c r="F186" s="121"/>
      <c r="G186" s="121"/>
      <c r="H186" s="122"/>
    </row>
    <row r="187" spans="1:14" s="33" customFormat="1" x14ac:dyDescent="0.25">
      <c r="A187" s="44" t="s">
        <v>148</v>
      </c>
      <c r="B187" s="120" t="str">
        <f>(IF(F127="Saleable area Loading :","We have considered Saleable area of Flats as per our Calculation.","We considered Saleable area of Flat as per Builder area Sheet."))</f>
        <v>We have considered Saleable area of Flats as per our Calculation.</v>
      </c>
      <c r="C187" s="121"/>
      <c r="D187" s="121"/>
      <c r="E187" s="121"/>
      <c r="F187" s="121"/>
      <c r="G187" s="121"/>
      <c r="H187" s="122"/>
    </row>
    <row r="188" spans="1:14" s="33" customFormat="1" x14ac:dyDescent="0.25">
      <c r="A188" s="44" t="s">
        <v>148</v>
      </c>
      <c r="B188" s="95" t="s">
        <v>119</v>
      </c>
      <c r="C188" s="96"/>
      <c r="D188" s="96"/>
      <c r="E188" s="96"/>
      <c r="F188" s="96"/>
      <c r="G188" s="96"/>
      <c r="H188" s="97"/>
    </row>
    <row r="189" spans="1:14" s="33" customFormat="1" x14ac:dyDescent="0.25">
      <c r="A189" s="44" t="s">
        <v>148</v>
      </c>
      <c r="B189" s="95" t="s">
        <v>338</v>
      </c>
      <c r="C189" s="96"/>
      <c r="D189" s="96"/>
      <c r="E189" s="96"/>
      <c r="F189" s="96"/>
      <c r="G189" s="96"/>
      <c r="H189" s="97"/>
    </row>
    <row r="190" spans="1:14" s="33" customFormat="1" x14ac:dyDescent="0.25">
      <c r="A190" s="44" t="s">
        <v>148</v>
      </c>
      <c r="B190" s="95" t="s">
        <v>147</v>
      </c>
      <c r="C190" s="96"/>
      <c r="D190" s="96"/>
      <c r="E190" s="96"/>
      <c r="F190" s="96"/>
      <c r="G190" s="96"/>
      <c r="H190" s="97"/>
    </row>
    <row r="191" spans="1:14" s="33" customFormat="1" x14ac:dyDescent="0.25">
      <c r="A191" s="44" t="s">
        <v>148</v>
      </c>
      <c r="B191" s="95" t="s">
        <v>120</v>
      </c>
      <c r="C191" s="96"/>
      <c r="D191" s="96"/>
      <c r="E191" s="96"/>
      <c r="F191" s="96"/>
      <c r="G191" s="96"/>
      <c r="H191" s="97"/>
    </row>
    <row r="192" spans="1:14" s="33" customFormat="1" ht="34.5" customHeight="1" x14ac:dyDescent="0.25">
      <c r="A192" s="74" t="s">
        <v>148</v>
      </c>
      <c r="B192" s="95" t="s">
        <v>149</v>
      </c>
      <c r="C192" s="96"/>
      <c r="D192" s="96"/>
      <c r="E192" s="96"/>
      <c r="F192" s="96"/>
      <c r="G192" s="96"/>
      <c r="H192" s="97"/>
    </row>
    <row r="193" spans="1:9" s="33" customFormat="1" x14ac:dyDescent="0.25">
      <c r="A193" s="44" t="s">
        <v>148</v>
      </c>
      <c r="B193" s="95" t="s">
        <v>339</v>
      </c>
      <c r="C193" s="96"/>
      <c r="D193" s="96"/>
      <c r="E193" s="96"/>
      <c r="F193" s="96"/>
      <c r="G193" s="96"/>
      <c r="H193" s="97"/>
    </row>
    <row r="194" spans="1:9" s="33" customFormat="1" x14ac:dyDescent="0.25">
      <c r="A194" s="44" t="s">
        <v>148</v>
      </c>
      <c r="B194" s="95" t="s">
        <v>121</v>
      </c>
      <c r="C194" s="96"/>
      <c r="D194" s="96"/>
      <c r="E194" s="96"/>
      <c r="F194" s="96"/>
      <c r="G194" s="96"/>
      <c r="H194" s="97"/>
    </row>
    <row r="195" spans="1:9" s="33" customFormat="1" x14ac:dyDescent="0.25">
      <c r="A195" s="54" t="s">
        <v>148</v>
      </c>
      <c r="B195" s="112" t="s">
        <v>277</v>
      </c>
      <c r="C195" s="112"/>
      <c r="D195" s="112"/>
      <c r="E195" s="112" t="s">
        <v>276</v>
      </c>
      <c r="F195" s="112"/>
      <c r="G195" s="112"/>
      <c r="H195" s="112"/>
      <c r="I195" s="33" t="s">
        <v>260</v>
      </c>
    </row>
    <row r="196" spans="1:9" s="33" customFormat="1" x14ac:dyDescent="0.25">
      <c r="A196" s="60">
        <v>1</v>
      </c>
      <c r="B196" s="109" t="s">
        <v>278</v>
      </c>
      <c r="C196" s="109"/>
      <c r="D196" s="109"/>
      <c r="E196" s="109" t="s">
        <v>281</v>
      </c>
      <c r="F196" s="109"/>
      <c r="G196" s="109"/>
      <c r="H196" s="109"/>
    </row>
    <row r="197" spans="1:9" s="33" customFormat="1" x14ac:dyDescent="0.25">
      <c r="A197" s="60">
        <f>A196+1</f>
        <v>2</v>
      </c>
      <c r="B197" s="109" t="s">
        <v>279</v>
      </c>
      <c r="C197" s="109"/>
      <c r="D197" s="109"/>
      <c r="E197" s="109" t="s">
        <v>282</v>
      </c>
      <c r="F197" s="109"/>
      <c r="G197" s="109"/>
      <c r="H197" s="109"/>
    </row>
    <row r="198" spans="1:9" s="33" customFormat="1" x14ac:dyDescent="0.25">
      <c r="A198" s="60">
        <f t="shared" ref="A198:A199" si="11">A197+1</f>
        <v>3</v>
      </c>
      <c r="B198" s="109" t="s">
        <v>280</v>
      </c>
      <c r="C198" s="109"/>
      <c r="D198" s="109"/>
      <c r="E198" s="109" t="s">
        <v>283</v>
      </c>
      <c r="F198" s="109"/>
      <c r="G198" s="109"/>
      <c r="H198" s="109"/>
    </row>
    <row r="199" spans="1:9" s="33" customFormat="1" x14ac:dyDescent="0.25">
      <c r="A199" s="60">
        <f t="shared" si="11"/>
        <v>4</v>
      </c>
      <c r="B199" s="109" t="s">
        <v>273</v>
      </c>
      <c r="C199" s="109"/>
      <c r="D199" s="109"/>
      <c r="E199" s="109" t="s">
        <v>284</v>
      </c>
      <c r="F199" s="109"/>
      <c r="G199" s="109"/>
      <c r="H199" s="109"/>
    </row>
    <row r="200" spans="1:9" s="33" customFormat="1" x14ac:dyDescent="0.25">
      <c r="A200" s="92" t="s">
        <v>148</v>
      </c>
      <c r="B200" s="95" t="s">
        <v>340</v>
      </c>
      <c r="C200" s="96"/>
      <c r="D200" s="96"/>
      <c r="E200" s="96"/>
      <c r="F200" s="96"/>
      <c r="G200" s="96"/>
      <c r="H200" s="97"/>
    </row>
    <row r="201" spans="1:9" s="33" customFormat="1" ht="31.5" customHeight="1" x14ac:dyDescent="0.25">
      <c r="A201" s="93" t="s">
        <v>148</v>
      </c>
      <c r="B201" s="95" t="s">
        <v>342</v>
      </c>
      <c r="C201" s="96"/>
      <c r="D201" s="96"/>
      <c r="E201" s="96"/>
      <c r="F201" s="96"/>
      <c r="G201" s="96"/>
      <c r="H201" s="97"/>
    </row>
    <row r="202" spans="1:9" s="33" customFormat="1" x14ac:dyDescent="0.25">
      <c r="A202" s="91" t="s">
        <v>148</v>
      </c>
      <c r="B202" s="95" t="s">
        <v>348</v>
      </c>
      <c r="C202" s="96"/>
      <c r="D202" s="96"/>
      <c r="E202" s="96"/>
      <c r="F202" s="96"/>
      <c r="G202" s="96"/>
      <c r="H202" s="97"/>
    </row>
    <row r="203" spans="1:9" s="33" customFormat="1" x14ac:dyDescent="0.25">
      <c r="A203" s="94" t="s">
        <v>148</v>
      </c>
      <c r="B203" s="95" t="s">
        <v>347</v>
      </c>
      <c r="C203" s="96"/>
      <c r="D203" s="96"/>
      <c r="E203" s="96"/>
      <c r="F203" s="96"/>
      <c r="G203" s="96"/>
      <c r="H203" s="97"/>
    </row>
    <row r="204" spans="1:9" s="33" customFormat="1" x14ac:dyDescent="0.25">
      <c r="A204" s="256" t="s">
        <v>148</v>
      </c>
      <c r="B204" s="257" t="s">
        <v>350</v>
      </c>
      <c r="C204" s="258"/>
      <c r="D204" s="258"/>
      <c r="E204" s="258"/>
      <c r="F204" s="258"/>
      <c r="G204" s="258"/>
      <c r="H204" s="259"/>
    </row>
    <row r="205" spans="1:9" x14ac:dyDescent="0.25">
      <c r="A205" s="176" t="s">
        <v>61</v>
      </c>
      <c r="B205" s="176"/>
      <c r="C205" s="176"/>
      <c r="D205" s="176"/>
      <c r="E205" s="176"/>
      <c r="F205" s="176"/>
      <c r="G205" s="176"/>
      <c r="H205" s="176"/>
    </row>
    <row r="206" spans="1:9" x14ac:dyDescent="0.25">
      <c r="A206" s="129" t="s">
        <v>62</v>
      </c>
      <c r="B206" s="129"/>
      <c r="C206" s="129"/>
      <c r="D206" s="129"/>
      <c r="E206" s="129"/>
      <c r="F206" s="129"/>
      <c r="G206" s="129"/>
      <c r="H206" s="129"/>
    </row>
    <row r="207" spans="1:9" ht="15.75" customHeight="1" x14ac:dyDescent="0.25">
      <c r="A207" s="177" t="s">
        <v>63</v>
      </c>
      <c r="B207" s="177"/>
      <c r="C207" s="177"/>
      <c r="D207" s="177"/>
      <c r="E207" s="177"/>
      <c r="F207" s="177"/>
      <c r="G207" s="177"/>
      <c r="H207" s="177"/>
    </row>
    <row r="208" spans="1:9" x14ac:dyDescent="0.25">
      <c r="A208" s="129" t="s">
        <v>64</v>
      </c>
      <c r="B208" s="129"/>
      <c r="C208" s="129"/>
      <c r="D208" s="129"/>
      <c r="E208" s="129"/>
      <c r="F208" s="129"/>
      <c r="G208" s="129"/>
      <c r="H208" s="129"/>
    </row>
    <row r="209" spans="1:8" x14ac:dyDescent="0.25">
      <c r="A209" s="129" t="s">
        <v>65</v>
      </c>
      <c r="B209" s="129"/>
      <c r="C209" s="129"/>
      <c r="D209" s="129"/>
      <c r="E209" s="129"/>
      <c r="F209" s="129"/>
      <c r="G209" s="129"/>
      <c r="H209" s="129"/>
    </row>
    <row r="210" spans="1:8" x14ac:dyDescent="0.25">
      <c r="A210" s="129" t="s">
        <v>122</v>
      </c>
      <c r="B210" s="129"/>
      <c r="C210" s="129"/>
      <c r="D210" s="129"/>
      <c r="E210" s="129"/>
      <c r="F210" s="129"/>
      <c r="G210" s="129"/>
      <c r="H210" s="129"/>
    </row>
    <row r="211" spans="1:8" ht="33.950000000000003" customHeight="1" x14ac:dyDescent="0.25">
      <c r="A211" s="149" t="s">
        <v>123</v>
      </c>
      <c r="B211" s="149"/>
      <c r="C211" s="149"/>
      <c r="D211" s="149"/>
      <c r="E211" s="149"/>
      <c r="F211" s="149"/>
      <c r="G211" s="149"/>
      <c r="H211" s="149"/>
    </row>
    <row r="212" spans="1:8" x14ac:dyDescent="0.25">
      <c r="A212" s="172" t="s">
        <v>74</v>
      </c>
      <c r="B212" s="172"/>
      <c r="C212" s="172" t="s">
        <v>318</v>
      </c>
      <c r="D212" s="172"/>
      <c r="E212" s="172" t="s">
        <v>102</v>
      </c>
      <c r="F212" s="172"/>
      <c r="G212" s="172" t="s">
        <v>313</v>
      </c>
      <c r="H212" s="172"/>
    </row>
    <row r="213" spans="1:8" ht="12.75" customHeight="1" x14ac:dyDescent="0.25">
      <c r="A213" s="171" t="s">
        <v>76</v>
      </c>
      <c r="B213" s="171"/>
      <c r="C213" s="171"/>
      <c r="D213" s="171"/>
      <c r="E213" s="171"/>
      <c r="F213" s="171"/>
      <c r="G213" s="171"/>
      <c r="H213" s="171"/>
    </row>
    <row r="214" spans="1:8" ht="10.5" customHeight="1" x14ac:dyDescent="0.25">
      <c r="A214" s="171"/>
      <c r="B214" s="171"/>
      <c r="C214" s="171"/>
      <c r="D214" s="171"/>
      <c r="E214" s="171"/>
      <c r="F214" s="171"/>
      <c r="G214" s="171"/>
      <c r="H214" s="171"/>
    </row>
    <row r="215" spans="1:8" ht="13.5" customHeight="1" x14ac:dyDescent="0.25">
      <c r="A215" s="171"/>
      <c r="B215" s="171"/>
      <c r="C215" s="171"/>
      <c r="D215" s="171"/>
      <c r="E215" s="171"/>
      <c r="F215" s="171"/>
      <c r="G215" s="171"/>
      <c r="H215" s="171"/>
    </row>
    <row r="216" spans="1:8" ht="10.5" customHeight="1" x14ac:dyDescent="0.25">
      <c r="A216" s="171"/>
      <c r="B216" s="171"/>
      <c r="C216" s="171"/>
      <c r="D216" s="171"/>
      <c r="E216" s="171"/>
      <c r="F216" s="171"/>
      <c r="G216" s="171"/>
      <c r="H216" s="171"/>
    </row>
    <row r="217" spans="1:8" x14ac:dyDescent="0.25">
      <c r="A217" s="36" t="s">
        <v>66</v>
      </c>
      <c r="B217" s="37"/>
      <c r="C217" s="37"/>
      <c r="D217" s="36" t="str">
        <f>E8</f>
        <v>Lodha Matunga</v>
      </c>
      <c r="F217" s="37"/>
      <c r="G217" s="37"/>
      <c r="H217" s="37"/>
    </row>
    <row r="218" spans="1:8" x14ac:dyDescent="0.25">
      <c r="A218" s="37"/>
      <c r="B218" s="37"/>
      <c r="C218" s="37"/>
      <c r="D218" s="37"/>
      <c r="E218" s="37"/>
      <c r="F218" s="37"/>
      <c r="G218" s="37"/>
      <c r="H218" s="37"/>
    </row>
    <row r="219" spans="1:8" x14ac:dyDescent="0.25">
      <c r="A219" s="37"/>
      <c r="B219" s="37"/>
      <c r="C219" s="37"/>
      <c r="D219" s="37"/>
      <c r="E219" s="37"/>
      <c r="F219" s="37"/>
      <c r="G219" s="37"/>
      <c r="H219" s="37"/>
    </row>
    <row r="220" spans="1:8" ht="15" customHeight="1" x14ac:dyDescent="0.25"/>
    <row r="260" spans="1:10" x14ac:dyDescent="0.25">
      <c r="A260" s="39" t="s">
        <v>158</v>
      </c>
      <c r="B260" s="19"/>
      <c r="C260" s="19"/>
      <c r="D260" s="19"/>
      <c r="E260" s="19"/>
      <c r="F260" s="19"/>
      <c r="G260" s="19"/>
      <c r="H260" s="19"/>
    </row>
    <row r="270" spans="1:10" x14ac:dyDescent="0.25">
      <c r="A270" s="19"/>
      <c r="B270" s="19"/>
      <c r="C270" s="19"/>
      <c r="D270" s="19"/>
      <c r="E270" s="19"/>
      <c r="F270" s="19"/>
      <c r="G270" s="19"/>
      <c r="H270" s="19"/>
      <c r="J270" s="19" t="s">
        <v>285</v>
      </c>
    </row>
    <row r="299" spans="1:8" x14ac:dyDescent="0.25">
      <c r="A299" s="39" t="s">
        <v>67</v>
      </c>
      <c r="B299" s="19"/>
      <c r="C299" s="19"/>
      <c r="D299" s="19"/>
      <c r="E299" s="19"/>
      <c r="F299" s="19"/>
      <c r="G299" s="19"/>
      <c r="H299" s="19"/>
    </row>
    <row r="334" spans="1:9" x14ac:dyDescent="0.25">
      <c r="A334" s="19"/>
      <c r="B334" s="19"/>
      <c r="C334" s="19"/>
      <c r="D334" s="19"/>
      <c r="E334" s="19"/>
      <c r="F334" s="19"/>
      <c r="G334" s="19"/>
      <c r="H334" s="19"/>
      <c r="I334" s="19" t="s">
        <v>285</v>
      </c>
    </row>
  </sheetData>
  <mergeCells count="399">
    <mergeCell ref="A114:E114"/>
    <mergeCell ref="B203:H203"/>
    <mergeCell ref="A110:E110"/>
    <mergeCell ref="F110:H110"/>
    <mergeCell ref="K112:L112"/>
    <mergeCell ref="B200:H200"/>
    <mergeCell ref="A129:H129"/>
    <mergeCell ref="A74:C74"/>
    <mergeCell ref="A88:B88"/>
    <mergeCell ref="A77:B77"/>
    <mergeCell ref="C77:H77"/>
    <mergeCell ref="F113:H113"/>
    <mergeCell ref="A106:E106"/>
    <mergeCell ref="A108:E108"/>
    <mergeCell ref="A105:E105"/>
    <mergeCell ref="F109:H109"/>
    <mergeCell ref="A109:E109"/>
    <mergeCell ref="D74:H74"/>
    <mergeCell ref="A121:B121"/>
    <mergeCell ref="D127:D128"/>
    <mergeCell ref="E127:E128"/>
    <mergeCell ref="G127:H128"/>
    <mergeCell ref="F106:H106"/>
    <mergeCell ref="G122:H122"/>
    <mergeCell ref="F114:H114"/>
    <mergeCell ref="F107:H107"/>
    <mergeCell ref="A107:E107"/>
    <mergeCell ref="F108:H108"/>
    <mergeCell ref="F116:H116"/>
    <mergeCell ref="L169:M169"/>
    <mergeCell ref="L170:M170"/>
    <mergeCell ref="B204:H204"/>
    <mergeCell ref="A91:B91"/>
    <mergeCell ref="C91:H91"/>
    <mergeCell ref="A93:B93"/>
    <mergeCell ref="C93:H93"/>
    <mergeCell ref="A94:B94"/>
    <mergeCell ref="E94:F94"/>
    <mergeCell ref="G94:H94"/>
    <mergeCell ref="A95:B95"/>
    <mergeCell ref="E95:F104"/>
    <mergeCell ref="G95:H104"/>
    <mergeCell ref="A96:B96"/>
    <mergeCell ref="A97:B97"/>
    <mergeCell ref="A98:B98"/>
    <mergeCell ref="A99:B99"/>
    <mergeCell ref="A100:B100"/>
    <mergeCell ref="A101:B101"/>
    <mergeCell ref="A102:B102"/>
    <mergeCell ref="A103:B103"/>
    <mergeCell ref="A104:B104"/>
    <mergeCell ref="A181:B181"/>
    <mergeCell ref="A171:H171"/>
    <mergeCell ref="L176:M176"/>
    <mergeCell ref="A180:H180"/>
    <mergeCell ref="L172:M172"/>
    <mergeCell ref="A173:B173"/>
    <mergeCell ref="L173:M173"/>
    <mergeCell ref="D173:H173"/>
    <mergeCell ref="A177:H177"/>
    <mergeCell ref="A178:B178"/>
    <mergeCell ref="L178:M178"/>
    <mergeCell ref="A172:B172"/>
    <mergeCell ref="F105:H105"/>
    <mergeCell ref="A154:B154"/>
    <mergeCell ref="F112:H112"/>
    <mergeCell ref="I43:L43"/>
    <mergeCell ref="A71:C71"/>
    <mergeCell ref="D69:H69"/>
    <mergeCell ref="A64:H64"/>
    <mergeCell ref="A65:C65"/>
    <mergeCell ref="A66:C66"/>
    <mergeCell ref="A86:B86"/>
    <mergeCell ref="A85:B85"/>
    <mergeCell ref="A72:C72"/>
    <mergeCell ref="D72:H72"/>
    <mergeCell ref="C79:H79"/>
    <mergeCell ref="A82:B82"/>
    <mergeCell ref="A84:B84"/>
    <mergeCell ref="E80:F80"/>
    <mergeCell ref="A73:C73"/>
    <mergeCell ref="D73:H73"/>
    <mergeCell ref="A61:B61"/>
    <mergeCell ref="C61:E61"/>
    <mergeCell ref="G61:H61"/>
    <mergeCell ref="A62:B62"/>
    <mergeCell ref="D66:H66"/>
    <mergeCell ref="C54:H54"/>
    <mergeCell ref="A76:C76"/>
    <mergeCell ref="D76:H76"/>
    <mergeCell ref="I47:L47"/>
    <mergeCell ref="I46:L46"/>
    <mergeCell ref="I45:L45"/>
    <mergeCell ref="I44:L44"/>
    <mergeCell ref="C62:H62"/>
    <mergeCell ref="A46:D46"/>
    <mergeCell ref="C59:E59"/>
    <mergeCell ref="A75:C75"/>
    <mergeCell ref="A55:H55"/>
    <mergeCell ref="A49:H49"/>
    <mergeCell ref="A52:B52"/>
    <mergeCell ref="C52:E52"/>
    <mergeCell ref="G52:H52"/>
    <mergeCell ref="A53:B53"/>
    <mergeCell ref="C53:E53"/>
    <mergeCell ref="G53:H53"/>
    <mergeCell ref="A54:B54"/>
    <mergeCell ref="A68:C69"/>
    <mergeCell ref="I42:L42"/>
    <mergeCell ref="A50:B50"/>
    <mergeCell ref="C50:H50"/>
    <mergeCell ref="A51:B51"/>
    <mergeCell ref="C51:E51"/>
    <mergeCell ref="G51:H51"/>
    <mergeCell ref="C40:H40"/>
    <mergeCell ref="E81:F90"/>
    <mergeCell ref="G81:H90"/>
    <mergeCell ref="A89:B89"/>
    <mergeCell ref="A90:B90"/>
    <mergeCell ref="D71:H71"/>
    <mergeCell ref="A44:D44"/>
    <mergeCell ref="E44:H44"/>
    <mergeCell ref="E45:H45"/>
    <mergeCell ref="E46:H46"/>
    <mergeCell ref="A56:B56"/>
    <mergeCell ref="C56:H56"/>
    <mergeCell ref="E47:H47"/>
    <mergeCell ref="A45:D45"/>
    <mergeCell ref="D75:H75"/>
    <mergeCell ref="A81:B81"/>
    <mergeCell ref="G80:H80"/>
    <mergeCell ref="A60:B60"/>
    <mergeCell ref="C35:E35"/>
    <mergeCell ref="A87:B87"/>
    <mergeCell ref="A80:B80"/>
    <mergeCell ref="A83:B83"/>
    <mergeCell ref="A79:B79"/>
    <mergeCell ref="D68:H68"/>
    <mergeCell ref="A38:H38"/>
    <mergeCell ref="A37:B37"/>
    <mergeCell ref="C37:E37"/>
    <mergeCell ref="A42:D42"/>
    <mergeCell ref="E42:H42"/>
    <mergeCell ref="A41:H41"/>
    <mergeCell ref="A70:C70"/>
    <mergeCell ref="D70:H70"/>
    <mergeCell ref="F37:H37"/>
    <mergeCell ref="A47:D47"/>
    <mergeCell ref="A48:H48"/>
    <mergeCell ref="D67:H67"/>
    <mergeCell ref="A67:C67"/>
    <mergeCell ref="G58:H58"/>
    <mergeCell ref="G63:H63"/>
    <mergeCell ref="C58:E58"/>
    <mergeCell ref="A39:B39"/>
    <mergeCell ref="C39:H39"/>
    <mergeCell ref="E27:H27"/>
    <mergeCell ref="A29:D29"/>
    <mergeCell ref="E29:H29"/>
    <mergeCell ref="A26:D26"/>
    <mergeCell ref="E26:H26"/>
    <mergeCell ref="A40:B40"/>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19:B19"/>
    <mergeCell ref="C19:D19"/>
    <mergeCell ref="E19:F19"/>
    <mergeCell ref="G19:H19"/>
    <mergeCell ref="A20:B20"/>
    <mergeCell ref="C20:D20"/>
    <mergeCell ref="G20:H20"/>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4:D14"/>
    <mergeCell ref="A1:H1"/>
    <mergeCell ref="A2:H2"/>
    <mergeCell ref="A3:D3"/>
    <mergeCell ref="E3:H3"/>
    <mergeCell ref="A4:D4"/>
    <mergeCell ref="A8:D8"/>
    <mergeCell ref="E8:H8"/>
    <mergeCell ref="A10:D10"/>
    <mergeCell ref="E10:H10"/>
    <mergeCell ref="E4:H4"/>
    <mergeCell ref="A5:D5"/>
    <mergeCell ref="E5:H5"/>
    <mergeCell ref="A6:D6"/>
    <mergeCell ref="E6:H6"/>
    <mergeCell ref="A7:D7"/>
    <mergeCell ref="E7:H7"/>
    <mergeCell ref="A9:D9"/>
    <mergeCell ref="E9:H9"/>
    <mergeCell ref="A111:E111"/>
    <mergeCell ref="F111:H111"/>
    <mergeCell ref="A213:H216"/>
    <mergeCell ref="A212:B212"/>
    <mergeCell ref="E212:F212"/>
    <mergeCell ref="C212:D212"/>
    <mergeCell ref="G212:H212"/>
    <mergeCell ref="A118:E118"/>
    <mergeCell ref="F118:H118"/>
    <mergeCell ref="A119:E119"/>
    <mergeCell ref="F119:H119"/>
    <mergeCell ref="A152:H152"/>
    <mergeCell ref="A122:B122"/>
    <mergeCell ref="A208:H208"/>
    <mergeCell ref="A120:H120"/>
    <mergeCell ref="A211:H211"/>
    <mergeCell ref="A209:H209"/>
    <mergeCell ref="A205:H205"/>
    <mergeCell ref="B188:H188"/>
    <mergeCell ref="B189:H189"/>
    <mergeCell ref="A210:H210"/>
    <mergeCell ref="A207:H207"/>
    <mergeCell ref="A153:B153"/>
    <mergeCell ref="A162:H162"/>
    <mergeCell ref="A206:H206"/>
    <mergeCell ref="E121:F121"/>
    <mergeCell ref="B194:H194"/>
    <mergeCell ref="B191:H191"/>
    <mergeCell ref="A125:H125"/>
    <mergeCell ref="B187:H187"/>
    <mergeCell ref="A127:A128"/>
    <mergeCell ref="A140:H140"/>
    <mergeCell ref="A185:H185"/>
    <mergeCell ref="A158:H158"/>
    <mergeCell ref="A159:B159"/>
    <mergeCell ref="C122:D122"/>
    <mergeCell ref="A170:B170"/>
    <mergeCell ref="A126:H126"/>
    <mergeCell ref="C121:D121"/>
    <mergeCell ref="C127:C128"/>
    <mergeCell ref="B127:B128"/>
    <mergeCell ref="G121:H121"/>
    <mergeCell ref="A124:B124"/>
    <mergeCell ref="C124:D124"/>
    <mergeCell ref="E124:F124"/>
    <mergeCell ref="G124:H124"/>
    <mergeCell ref="A123:B123"/>
    <mergeCell ref="A135:B135"/>
    <mergeCell ref="I15:P15"/>
    <mergeCell ref="F117:H117"/>
    <mergeCell ref="F115:H115"/>
    <mergeCell ref="F35:H35"/>
    <mergeCell ref="E43:H43"/>
    <mergeCell ref="A43:D43"/>
    <mergeCell ref="A57:B57"/>
    <mergeCell ref="C57:E57"/>
    <mergeCell ref="C60:E60"/>
    <mergeCell ref="G60:H60"/>
    <mergeCell ref="G57:H57"/>
    <mergeCell ref="G59:H59"/>
    <mergeCell ref="A58:B58"/>
    <mergeCell ref="F34:H34"/>
    <mergeCell ref="A25:D25"/>
    <mergeCell ref="E25:H25"/>
    <mergeCell ref="E20:F20"/>
    <mergeCell ref="A59:B59"/>
    <mergeCell ref="A116:E116"/>
    <mergeCell ref="A63:B63"/>
    <mergeCell ref="C63:E63"/>
    <mergeCell ref="D65:H65"/>
    <mergeCell ref="A113:E113"/>
    <mergeCell ref="A115:E115"/>
    <mergeCell ref="C123:D123"/>
    <mergeCell ref="E123:F123"/>
    <mergeCell ref="G123:H123"/>
    <mergeCell ref="E122:F122"/>
    <mergeCell ref="A117:E117"/>
    <mergeCell ref="A112:E112"/>
    <mergeCell ref="L167:M167"/>
    <mergeCell ref="A132:H132"/>
    <mergeCell ref="A133:H133"/>
    <mergeCell ref="G135:H136"/>
    <mergeCell ref="L135:M135"/>
    <mergeCell ref="A136:B136"/>
    <mergeCell ref="A137:H137"/>
    <mergeCell ref="A138:B138"/>
    <mergeCell ref="G138:H139"/>
    <mergeCell ref="L138:M138"/>
    <mergeCell ref="A139:B139"/>
    <mergeCell ref="L139:M139"/>
    <mergeCell ref="A143:H143"/>
    <mergeCell ref="A144:B144"/>
    <mergeCell ref="G144:H145"/>
    <mergeCell ref="L144:M144"/>
    <mergeCell ref="L136:M136"/>
    <mergeCell ref="A160:B160"/>
    <mergeCell ref="E195:H195"/>
    <mergeCell ref="A149:H149"/>
    <mergeCell ref="A163:H163"/>
    <mergeCell ref="A164:H164"/>
    <mergeCell ref="A130:H130"/>
    <mergeCell ref="A131:H131"/>
    <mergeCell ref="B186:H186"/>
    <mergeCell ref="B192:H192"/>
    <mergeCell ref="A166:H166"/>
    <mergeCell ref="A161:H161"/>
    <mergeCell ref="A167:B167"/>
    <mergeCell ref="A184:H184"/>
    <mergeCell ref="A157:B157"/>
    <mergeCell ref="C157:F157"/>
    <mergeCell ref="A134:H134"/>
    <mergeCell ref="A182:H182"/>
    <mergeCell ref="A183:B183"/>
    <mergeCell ref="A179:B179"/>
    <mergeCell ref="D179:H179"/>
    <mergeCell ref="A174:H174"/>
    <mergeCell ref="A175:B175"/>
    <mergeCell ref="A176:B176"/>
    <mergeCell ref="A168:H168"/>
    <mergeCell ref="A169:B169"/>
    <mergeCell ref="L145:M145"/>
    <mergeCell ref="B193:H193"/>
    <mergeCell ref="B190:H190"/>
    <mergeCell ref="L153:M153"/>
    <mergeCell ref="A146:H146"/>
    <mergeCell ref="A147:B147"/>
    <mergeCell ref="G147:H148"/>
    <mergeCell ref="L147:M147"/>
    <mergeCell ref="A148:B148"/>
    <mergeCell ref="L148:M148"/>
    <mergeCell ref="L152:M152"/>
    <mergeCell ref="G150:H151"/>
    <mergeCell ref="L150:M150"/>
    <mergeCell ref="A151:B151"/>
    <mergeCell ref="L151:M151"/>
    <mergeCell ref="C154:F154"/>
    <mergeCell ref="L159:M159"/>
    <mergeCell ref="C160:F160"/>
    <mergeCell ref="G153:H154"/>
    <mergeCell ref="G159:H160"/>
    <mergeCell ref="L181:M181"/>
    <mergeCell ref="L183:M183"/>
    <mergeCell ref="L179:M179"/>
    <mergeCell ref="L175:M175"/>
    <mergeCell ref="B201:H201"/>
    <mergeCell ref="A165:H165"/>
    <mergeCell ref="A150:B150"/>
    <mergeCell ref="B202:H202"/>
    <mergeCell ref="A141:B141"/>
    <mergeCell ref="G141:H142"/>
    <mergeCell ref="L141:M141"/>
    <mergeCell ref="A142:B142"/>
    <mergeCell ref="L142:M142"/>
    <mergeCell ref="B199:D199"/>
    <mergeCell ref="E199:H199"/>
    <mergeCell ref="B197:D197"/>
    <mergeCell ref="E197:H197"/>
    <mergeCell ref="B196:D196"/>
    <mergeCell ref="E196:H196"/>
    <mergeCell ref="B198:D198"/>
    <mergeCell ref="E198:H198"/>
    <mergeCell ref="A155:H155"/>
    <mergeCell ref="L155:M155"/>
    <mergeCell ref="A156:B156"/>
    <mergeCell ref="G156:H157"/>
    <mergeCell ref="L156:M156"/>
    <mergeCell ref="B195:D195"/>
    <mergeCell ref="A145:B145"/>
  </mergeCells>
  <dataValidations count="9">
    <dataValidation type="list" allowBlank="1" showInputMessage="1" showErrorMessage="1" sqref="E4:H4">
      <formula1>"Axis Goregaon,Axis Thane,Axis Badlapur,Axis Sanpada, PNB Thane"</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F128">
      <formula1>"45%,50%,55%,60%"</formula1>
    </dataValidation>
    <dataValidation type="list" allowBlank="1" showInputMessage="1" showErrorMessage="1" sqref="F105:H105">
      <formula1>"On Saleable Area,On Builtup Area,On Carpet Area,On Plot Area"</formula1>
    </dataValidation>
    <dataValidation type="list" allowBlank="1" showInputMessage="1" showErrorMessage="1" sqref="F118:H118">
      <formula1>"100000,150000,200000,250000,300000,350000,400000,500000,600000,700000,800000,900000,1000000,1200000,1400000,1500000"</formula1>
    </dataValidation>
    <dataValidation type="list" allowBlank="1" showInputMessage="1" showErrorMessage="1" sqref="F127">
      <formula1>"Saleable area Loading :,Builder Saleable area"</formula1>
    </dataValidation>
    <dataValidation type="list" allowBlank="1" showInputMessage="1" showErrorMessage="1" sqref="B127:B128">
      <formula1>"Flat No. (Sale Plan),Sale / Rehab,Sale / Mhada"</formula1>
    </dataValidation>
    <dataValidation type="list" allowBlank="1" showInputMessage="1" showErrorMessage="1" sqref="Y13">
      <formula1>$D$4:$H$4</formula1>
    </dataValidation>
  </dataValidations>
  <hyperlinks>
    <hyperlink ref="C40" r:id="rId1"/>
    <hyperlink ref="J73" r:id="rId2"/>
  </hyperlinks>
  <printOptions horizontalCentered="1"/>
  <pageMargins left="0.39370078740157483" right="0.39370078740157483" top="0.82677165354330717" bottom="0.78740157480314965" header="0.15748031496062992" footer="0.19685039370078741"/>
  <pageSetup paperSize="2" scale="99" fitToHeight="0" orientation="portrait" r:id="rId3"/>
  <headerFooter>
    <oddHeader>&amp;C&amp;G</oddHeader>
    <oddFooter>&amp;L&amp;"Times New Roman,Bold"&amp;12Ref No: &amp;F&amp;C&amp;G&amp;R&amp;"Times New Roman,Bold"&amp;12&amp;P</oddFooter>
  </headerFooter>
  <rowBreaks count="4" manualBreakCount="4">
    <brk id="90" max="16383" man="1"/>
    <brk id="216" max="16383" man="1"/>
    <brk id="259" max="16383" man="1"/>
    <brk id="298"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I21" sqref="I21"/>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2" t="s">
        <v>103</v>
      </c>
      <c r="C3" s="252"/>
      <c r="D3" s="252"/>
      <c r="E3" s="252"/>
      <c r="F3" s="252"/>
      <c r="G3" s="252"/>
      <c r="H3" s="252"/>
    </row>
    <row r="4" spans="1:9" x14ac:dyDescent="0.25">
      <c r="A4" s="2"/>
      <c r="B4" s="3" t="s">
        <v>104</v>
      </c>
      <c r="C4" s="3" t="s">
        <v>105</v>
      </c>
      <c r="D4" s="3" t="s">
        <v>69</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30"/>
  <sheetViews>
    <sheetView topLeftCell="A16" zoomScale="130" zoomScaleNormal="130" workbookViewId="0">
      <selection activeCell="C30" sqref="C30"/>
    </sheetView>
  </sheetViews>
  <sheetFormatPr defaultRowHeight="15" x14ac:dyDescent="0.25"/>
  <cols>
    <col min="4" max="4" width="11" bestFit="1" customWidth="1"/>
    <col min="5" max="5" width="10.42578125" bestFit="1" customWidth="1"/>
    <col min="8" max="8" width="10.5703125" bestFit="1" customWidth="1"/>
  </cols>
  <sheetData>
    <row r="3" spans="2:11" x14ac:dyDescent="0.25">
      <c r="J3">
        <v>1</v>
      </c>
      <c r="K3">
        <v>2</v>
      </c>
    </row>
    <row r="4" spans="2:11" x14ac:dyDescent="0.25">
      <c r="B4" s="50"/>
      <c r="C4" s="50" t="s">
        <v>12</v>
      </c>
      <c r="D4" s="51" t="s">
        <v>169</v>
      </c>
      <c r="E4" s="51" t="s">
        <v>179</v>
      </c>
      <c r="F4" s="51" t="s">
        <v>165</v>
      </c>
      <c r="G4" s="51" t="s">
        <v>184</v>
      </c>
      <c r="H4" s="51" t="s">
        <v>202</v>
      </c>
      <c r="J4" t="s">
        <v>184</v>
      </c>
      <c r="K4" t="s">
        <v>200</v>
      </c>
    </row>
    <row r="5" spans="2:11" x14ac:dyDescent="0.25">
      <c r="B5" s="50"/>
      <c r="C5" s="50"/>
      <c r="D5" s="51" t="s">
        <v>170</v>
      </c>
      <c r="E5" s="51" t="s">
        <v>177</v>
      </c>
      <c r="F5" s="51" t="s">
        <v>199</v>
      </c>
      <c r="G5" s="51" t="s">
        <v>185</v>
      </c>
      <c r="H5" s="51" t="s">
        <v>203</v>
      </c>
    </row>
    <row r="6" spans="2:11" x14ac:dyDescent="0.25">
      <c r="B6" s="50"/>
      <c r="C6" s="50"/>
      <c r="D6" s="51" t="s">
        <v>171</v>
      </c>
      <c r="E6" s="51" t="s">
        <v>178</v>
      </c>
      <c r="F6" s="51" t="s">
        <v>200</v>
      </c>
      <c r="G6" s="51" t="s">
        <v>186</v>
      </c>
      <c r="H6" s="51" t="s">
        <v>216</v>
      </c>
    </row>
    <row r="7" spans="2:11" x14ac:dyDescent="0.25">
      <c r="B7" s="50"/>
      <c r="C7" s="50"/>
      <c r="D7" s="51" t="s">
        <v>172</v>
      </c>
      <c r="E7" s="51" t="s">
        <v>180</v>
      </c>
      <c r="F7" s="51" t="s">
        <v>201</v>
      </c>
      <c r="G7" s="51" t="s">
        <v>187</v>
      </c>
      <c r="H7" s="51" t="s">
        <v>204</v>
      </c>
    </row>
    <row r="8" spans="2:11" x14ac:dyDescent="0.25">
      <c r="B8" s="50"/>
      <c r="C8" s="50"/>
      <c r="D8" s="51" t="s">
        <v>173</v>
      </c>
      <c r="E8" s="51" t="s">
        <v>181</v>
      </c>
      <c r="F8" s="51"/>
      <c r="G8" s="51" t="s">
        <v>188</v>
      </c>
      <c r="H8" s="51" t="s">
        <v>205</v>
      </c>
    </row>
    <row r="9" spans="2:11" x14ac:dyDescent="0.25">
      <c r="B9" s="50"/>
      <c r="C9" s="50"/>
      <c r="D9" s="51" t="s">
        <v>174</v>
      </c>
      <c r="E9" s="51" t="s">
        <v>179</v>
      </c>
      <c r="F9" s="51"/>
      <c r="G9" s="51" t="s">
        <v>189</v>
      </c>
      <c r="H9" s="51" t="s">
        <v>206</v>
      </c>
    </row>
    <row r="10" spans="2:11" x14ac:dyDescent="0.25">
      <c r="B10" s="50"/>
      <c r="C10" s="50"/>
      <c r="D10" s="51" t="s">
        <v>175</v>
      </c>
      <c r="E10" s="51" t="s">
        <v>182</v>
      </c>
      <c r="F10" s="51"/>
      <c r="G10" s="51" t="s">
        <v>190</v>
      </c>
      <c r="H10" s="51" t="s">
        <v>207</v>
      </c>
    </row>
    <row r="11" spans="2:11" x14ac:dyDescent="0.25">
      <c r="B11" s="50"/>
      <c r="C11" s="50"/>
      <c r="D11" s="51" t="s">
        <v>176</v>
      </c>
      <c r="E11" s="51" t="s">
        <v>183</v>
      </c>
      <c r="F11" s="51"/>
      <c r="G11" s="51" t="s">
        <v>191</v>
      </c>
      <c r="H11" s="51" t="s">
        <v>208</v>
      </c>
    </row>
    <row r="12" spans="2:11" x14ac:dyDescent="0.25">
      <c r="B12" s="50"/>
      <c r="C12" s="50"/>
      <c r="D12" s="51"/>
      <c r="E12" s="51"/>
      <c r="F12" s="51"/>
      <c r="G12" s="51" t="s">
        <v>192</v>
      </c>
      <c r="H12" s="51" t="s">
        <v>209</v>
      </c>
    </row>
    <row r="13" spans="2:11" x14ac:dyDescent="0.25">
      <c r="B13" s="50"/>
      <c r="C13" s="50"/>
      <c r="D13" s="51"/>
      <c r="E13" s="51"/>
      <c r="F13" s="51"/>
      <c r="G13" s="51" t="s">
        <v>193</v>
      </c>
      <c r="H13" s="51" t="s">
        <v>210</v>
      </c>
    </row>
    <row r="14" spans="2:11" x14ac:dyDescent="0.25">
      <c r="B14" s="50"/>
      <c r="C14" s="50"/>
      <c r="D14" s="51"/>
      <c r="E14" s="51"/>
      <c r="F14" s="51"/>
      <c r="G14" s="51" t="s">
        <v>194</v>
      </c>
      <c r="H14" s="51" t="s">
        <v>211</v>
      </c>
    </row>
    <row r="15" spans="2:11" x14ac:dyDescent="0.25">
      <c r="B15" s="50"/>
      <c r="C15" s="50"/>
      <c r="D15" s="51"/>
      <c r="E15" s="51"/>
      <c r="F15" s="51"/>
      <c r="G15" s="51" t="s">
        <v>195</v>
      </c>
      <c r="H15" s="51" t="s">
        <v>212</v>
      </c>
    </row>
    <row r="16" spans="2:11" x14ac:dyDescent="0.25">
      <c r="B16" s="50"/>
      <c r="C16" s="50"/>
      <c r="D16" s="51"/>
      <c r="E16" s="51"/>
      <c r="F16" s="51"/>
      <c r="G16" s="51" t="s">
        <v>196</v>
      </c>
      <c r="H16" s="51" t="s">
        <v>213</v>
      </c>
    </row>
    <row r="17" spans="2:8" x14ac:dyDescent="0.25">
      <c r="B17" s="50"/>
      <c r="C17" s="50"/>
      <c r="D17" s="51"/>
      <c r="E17" s="51"/>
      <c r="F17" s="51"/>
      <c r="G17" s="51" t="s">
        <v>197</v>
      </c>
      <c r="H17" s="51" t="s">
        <v>214</v>
      </c>
    </row>
    <row r="18" spans="2:8" x14ac:dyDescent="0.25">
      <c r="B18" s="50"/>
      <c r="C18" s="50"/>
      <c r="D18" s="51"/>
      <c r="E18" s="51"/>
      <c r="F18" s="51"/>
      <c r="G18" s="51" t="s">
        <v>198</v>
      </c>
      <c r="H18" s="51" t="s">
        <v>215</v>
      </c>
    </row>
    <row r="24" spans="2:8" x14ac:dyDescent="0.25">
      <c r="C24" t="s">
        <v>163</v>
      </c>
    </row>
    <row r="25" spans="2:8" x14ac:dyDescent="0.25">
      <c r="C25" t="s">
        <v>217</v>
      </c>
    </row>
    <row r="26" spans="2:8" x14ac:dyDescent="0.25">
      <c r="C26" t="s">
        <v>218</v>
      </c>
    </row>
    <row r="27" spans="2:8" x14ac:dyDescent="0.25">
      <c r="C27" t="s">
        <v>219</v>
      </c>
    </row>
    <row r="28" spans="2:8" x14ac:dyDescent="0.25">
      <c r="C28" t="s">
        <v>220</v>
      </c>
    </row>
    <row r="29" spans="2:8" x14ac:dyDescent="0.25">
      <c r="C29" t="s">
        <v>221</v>
      </c>
    </row>
    <row r="30" spans="2:8" x14ac:dyDescent="0.25">
      <c r="C30" t="s">
        <v>163</v>
      </c>
    </row>
  </sheetData>
  <dataValidations count="2">
    <dataValidation type="list" allowBlank="1" showInputMessage="1" showErrorMessage="1" sqref="J4">
      <formula1>$D$4:$H$4</formula1>
    </dataValidation>
    <dataValidation type="list" allowBlank="1" showInputMessage="1" showErrorMessage="1" sqref="K4">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2025-08-08T11:03:51Z</cp:lastPrinted>
  <dcterms:created xsi:type="dcterms:W3CDTF">2019-07-16T09:29:46Z</dcterms:created>
  <dcterms:modified xsi:type="dcterms:W3CDTF">2025-08-08T11:09:02Z</dcterms:modified>
</cp:coreProperties>
</file>