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9-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7" i="1" l="1"/>
  <c r="E47" i="1"/>
  <c r="E151" i="1" l="1"/>
  <c r="D151" i="1"/>
  <c r="E150" i="1"/>
  <c r="D150" i="1"/>
  <c r="F150" i="1" s="1"/>
  <c r="H150" i="1" s="1"/>
  <c r="E149" i="1"/>
  <c r="D149" i="1"/>
  <c r="E148" i="1"/>
  <c r="D148" i="1"/>
  <c r="A149" i="1"/>
  <c r="A150" i="1" s="1"/>
  <c r="A151" i="1" s="1"/>
  <c r="E144" i="1"/>
  <c r="D144" i="1"/>
  <c r="E143" i="1"/>
  <c r="D143" i="1"/>
  <c r="E142" i="1"/>
  <c r="D142" i="1"/>
  <c r="E141" i="1"/>
  <c r="D141" i="1"/>
  <c r="A142" i="1"/>
  <c r="A143" i="1" s="1"/>
  <c r="A144" i="1" s="1"/>
  <c r="G139" i="1"/>
  <c r="G138" i="1"/>
  <c r="G137" i="1"/>
  <c r="G136" i="1"/>
  <c r="E139" i="1"/>
  <c r="D139" i="1"/>
  <c r="E138" i="1"/>
  <c r="D138" i="1"/>
  <c r="E137" i="1"/>
  <c r="D137" i="1"/>
  <c r="E136" i="1"/>
  <c r="D136" i="1"/>
  <c r="D130" i="1"/>
  <c r="F130" i="1" s="1"/>
  <c r="H130" i="1" s="1"/>
  <c r="D129" i="1"/>
  <c r="F129" i="1" s="1"/>
  <c r="H129" i="1" s="1"/>
  <c r="D128" i="1"/>
  <c r="F128" i="1" s="1"/>
  <c r="H128" i="1" s="1"/>
  <c r="D127" i="1"/>
  <c r="D126" i="1"/>
  <c r="D125" i="1"/>
  <c r="D124" i="1"/>
  <c r="E43" i="1"/>
  <c r="C114" i="1" l="1"/>
  <c r="C115" i="1"/>
  <c r="F149" i="1"/>
  <c r="H149" i="1" s="1"/>
  <c r="F148" i="1"/>
  <c r="H148" i="1" s="1"/>
  <c r="C110" i="1"/>
  <c r="C111" i="1" s="1"/>
  <c r="F151" i="1"/>
  <c r="H151" i="1" s="1"/>
  <c r="C116" i="1" l="1"/>
  <c r="G115" i="1"/>
  <c r="E115" i="1"/>
  <c r="B38" i="6" l="1"/>
  <c r="B39" i="6" s="1"/>
  <c r="B40" i="6" s="1"/>
  <c r="B41" i="6" s="1"/>
  <c r="B42" i="6" s="1"/>
  <c r="B43" i="6" s="1"/>
  <c r="B44" i="6" s="1"/>
  <c r="B45" i="6" s="1"/>
  <c r="B46" i="6" s="1"/>
  <c r="B47" i="6" s="1"/>
  <c r="B48" i="6" s="1"/>
  <c r="B49" i="6" s="1"/>
  <c r="F124" i="1" l="1"/>
  <c r="H124"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75" i="1"/>
  <c r="B155" i="1"/>
  <c r="B154" i="1"/>
  <c r="F144" i="1"/>
  <c r="H144" i="1" s="1"/>
  <c r="F143" i="1"/>
  <c r="H143" i="1" s="1"/>
  <c r="F142" i="1"/>
  <c r="H142" i="1" s="1"/>
  <c r="F141" i="1"/>
  <c r="H141" i="1" s="1"/>
  <c r="F139" i="1"/>
  <c r="H139" i="1" s="1"/>
  <c r="F138" i="1"/>
  <c r="H138" i="1" s="1"/>
  <c r="F137" i="1"/>
  <c r="H137" i="1" s="1"/>
  <c r="A137" i="1"/>
  <c r="A138" i="1" s="1"/>
  <c r="A139" i="1" s="1"/>
  <c r="F136" i="1"/>
  <c r="F127" i="1"/>
  <c r="H127" i="1" s="1"/>
  <c r="F126" i="1"/>
  <c r="H126" i="1" s="1"/>
  <c r="F125" i="1"/>
  <c r="H125" i="1" s="1"/>
  <c r="A125" i="1"/>
  <c r="A126" i="1" s="1"/>
  <c r="A127" i="1" s="1"/>
  <c r="A128" i="1" s="1"/>
  <c r="A129" i="1" s="1"/>
  <c r="A130" i="1" s="1"/>
  <c r="C117" i="1"/>
  <c r="F107" i="1"/>
  <c r="C83" i="1"/>
  <c r="C69" i="1"/>
  <c r="B70" i="1" s="1"/>
  <c r="D63" i="1"/>
  <c r="G52" i="1"/>
  <c r="C52" i="1"/>
  <c r="E44" i="1"/>
  <c r="E45" i="1" s="1"/>
  <c r="S33" i="1"/>
  <c r="E31" i="1"/>
  <c r="E28" i="1"/>
  <c r="E26" i="1"/>
  <c r="C16" i="1"/>
  <c r="I15" i="1"/>
  <c r="Z13" i="1"/>
  <c r="E8" i="1"/>
  <c r="E3" i="1"/>
  <c r="H70" i="1"/>
  <c r="H84" i="1"/>
  <c r="E42" i="7" l="1"/>
  <c r="E110" i="1"/>
  <c r="E111" i="1" s="1"/>
  <c r="H136" i="1"/>
  <c r="G114" i="1" s="1"/>
  <c r="G116" i="1" s="1"/>
  <c r="E114" i="1"/>
  <c r="E116" i="1" s="1"/>
  <c r="G110" i="1"/>
  <c r="G111" i="1" s="1"/>
  <c r="J77" i="1"/>
  <c r="J78" i="1"/>
  <c r="I42" i="7"/>
  <c r="H42" i="7" s="1"/>
  <c r="L42" i="7"/>
  <c r="K42" i="7" s="1"/>
  <c r="J83" i="1"/>
  <c r="J85" i="1" s="1"/>
  <c r="D92" i="1"/>
  <c r="D91" i="1"/>
  <c r="D96" i="1"/>
  <c r="D90" i="1"/>
  <c r="J86" i="1"/>
  <c r="D95" i="1"/>
  <c r="J88" i="1"/>
  <c r="C87" i="1" s="1"/>
  <c r="D89" i="1"/>
  <c r="D94" i="1"/>
  <c r="J87" i="1"/>
  <c r="D93" i="1"/>
  <c r="D78" i="1"/>
  <c r="J72" i="1"/>
  <c r="D77" i="1"/>
  <c r="D82" i="1"/>
  <c r="D76" i="1"/>
  <c r="D81" i="1"/>
  <c r="D75" i="1"/>
  <c r="J74" i="1"/>
  <c r="C73" i="1" s="1"/>
  <c r="D80" i="1"/>
  <c r="D79" i="1"/>
  <c r="J73" i="1"/>
  <c r="J69" i="1"/>
  <c r="J71" i="1" s="1"/>
  <c r="D42" i="7"/>
  <c r="B84" i="1"/>
  <c r="J79" i="1"/>
  <c r="J80" i="1"/>
  <c r="I53" i="1"/>
  <c r="J75" i="1"/>
  <c r="J76" i="1" s="1"/>
  <c r="J81" i="1" s="1"/>
  <c r="J82" i="1" s="1"/>
  <c r="C74" i="1" s="1"/>
  <c r="G117" i="1" l="1"/>
  <c r="E117" i="1"/>
  <c r="D44" i="7"/>
  <c r="E44" i="7"/>
  <c r="E73" i="1"/>
  <c r="D74" i="1"/>
  <c r="G73" i="1"/>
  <c r="D67" i="1" s="1"/>
  <c r="D73" i="1"/>
  <c r="D87" i="1"/>
  <c r="J92" i="1"/>
  <c r="J89" i="1"/>
  <c r="J90" i="1" s="1"/>
  <c r="J95" i="1" s="1"/>
  <c r="J96" i="1" s="1"/>
  <c r="C88" i="1" s="1"/>
  <c r="J94" i="1"/>
  <c r="J91" i="1"/>
  <c r="J93" i="1"/>
  <c r="I70" i="1" l="1"/>
  <c r="I71" i="1" s="1"/>
  <c r="J70" i="1"/>
  <c r="E87" i="1"/>
  <c r="D88" i="1"/>
  <c r="I84" i="1" s="1"/>
  <c r="J84" i="1"/>
  <c r="G87" i="1"/>
  <c r="D68" i="1"/>
  <c r="F68" i="1"/>
  <c r="I69" i="1" l="1"/>
  <c r="C71" i="1" s="1"/>
  <c r="I85" i="1"/>
  <c r="I83" i="1" s="1"/>
  <c r="C8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D57"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<sst xmlns="http://schemas.openxmlformats.org/spreadsheetml/2006/main" count="636" uniqueCount="407">
  <si>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</si>
  <si>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</si>
  <si>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</si>
  <si>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</si>
  <si>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</si>
  <si>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</si>
  <si>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</si>
  <si>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</si>
  <si>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</si>
  <si>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</si>
  <si>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</si>
  <si>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</si>
  <si>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</si>
  <si>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</si>
  <si>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</si>
  <si>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</si>
  <si>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</si>
  <si>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</si>
  <si>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</si>
  <si>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</si>
  <si>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</si>
  <si>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</si>
  <si>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</si>
  <si>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</si>
  <si>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</si>
  <si>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</si>
  <si>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</si>
  <si>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</si>
  <si>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</si>
  <si>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</si>
  <si>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</si>
  <si>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</si>
  <si>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</si>
  <si>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</si>
  <si>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</si>
  <si>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</si>
  <si>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</si>
  <si>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</si>
  <si>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</si>
  <si>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</si>
  <si>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</si>
  <si>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</si>
  <si>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</si>
  <si>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</si>
  <si>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</si>
  <si>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</si>
  <si>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</si>
  <si>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</si>
  <si>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</si>
  <si>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</si>
  <si>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</si>
  <si>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</si>
  <si>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</si>
  <si>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</si>
  <si>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</si>
  <si>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</si>
  <si>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</si>
  <si>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</si>
  <si>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</si>
  <si>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</si>
  <si>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</si>
  <si>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</si>
  <si>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</si>
  <si>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</si>
  <si>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</si>
  <si>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</si>
  <si>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</si>
  <si>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</si>
  <si>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</si>
  <si>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</si>
  <si>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</si>
  <si>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</si>
  <si>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</si>
  <si>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</si>
  <si>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</si>
  <si>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</si>
  <si>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</si>
  <si>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</si>
  <si>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</si>
  <si>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</si>
  <si>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</si>
  <si>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</si>
  <si>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</si>
  <si>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</si>
  <si>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</si>
  <si>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</si>
  <si>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</si>
  <si>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</si>
  <si>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</si>
  <si>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</si>
  <si>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</si>
  <si>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</si>
  <si>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</si>
  <si>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</si>
  <si>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</si>
  <si>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</si>
  <si>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</si>
  <si>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</si>
  <si>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</si>
  <si>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</si>
  <si>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</si>
  <si>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</si>
  <si>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</si>
  <si>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</si>
  <si>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</si>
  <si>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</si>
  <si>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</si>
  <si>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</si>
  <si>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</si>
  <si>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</si>
  <si>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</si>
  <si>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</si>
  <si>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</si>
  <si>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</si>
  <si>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</si>
  <si>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</si>
  <si>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</si>
  <si>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</si>
  <si>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</si>
  <si>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</si>
  <si>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</si>
  <si>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</si>
  <si>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</si>
  <si>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</si>
  <si>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</si>
  <si>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</si>
  <si>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</si>
  <si>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</si>
  <si>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</si>
  <si>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</si>
  <si>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</si>
  <si>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</si>
  <si>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</si>
  <si>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</si>
  <si>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</si>
  <si>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</si>
  <si>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</si>
  <si>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</si>
  <si>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</si>
  <si>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</si>
  <si>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</si>
  <si>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</si>
  <si>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</si>
  <si>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</si>
  <si>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</si>
  <si>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</si>
  <si>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</si>
  <si>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</si>
  <si>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</si>
  <si>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</si>
  <si>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</si>
  <si>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</si>
  <si>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</si>
  <si>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</si>
  <si>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</si>
  <si>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</si>
  <si>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</si>
  <si>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</si>
  <si>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</si>
  <si>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</si>
  <si>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</si>
  <si>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</si>
  <si>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</si>
  <si>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</si>
  <si>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</si>
  <si>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</si>
  <si>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</si>
  <si>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</si>
  <si>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</si>
  <si>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</si>
  <si>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</si>
  <si>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</si>
  <si>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</si>
  <si>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</si>
  <si>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</si>
  <si>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</si>
  <si>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</si>
  <si>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</si>
  <si>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</si>
  <si>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</si>
  <si>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</si>
  <si>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</si>
  <si>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</si>
  <si>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</si>
  <si>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</si>
  <si>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</si>
  <si>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</si>
  <si>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</si>
  <si>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</si>
  <si>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</si>
  <si>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</si>
  <si>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</si>
  <si>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</si>
  <si>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</si>
  <si>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</si>
  <si>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</si>
  <si>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</si>
  <si>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</si>
  <si>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</si>
  <si>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</si>
  <si>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</si>
  <si>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</si>
  <si>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</si>
  <si>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</si>
  <si>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</si>
  <si>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</si>
  <si>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</si>
  <si>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</si>
  <si>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</si>
  <si>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</si>
  <si>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</si>
  <si>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</si>
  <si>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</si>
  <si>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</si>
  <si>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</si>
  <si>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</si>
  <si>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</si>
  <si>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</si>
  <si>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</si>
  <si>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</si>
  <si>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</si>
  <si>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</si>
  <si>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</si>
  <si>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</si>
  <si>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</si>
  <si>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</si>
  <si>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</si>
  <si>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</si>
  <si>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</si>
  <si>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</si>
  <si>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</si>
  <si>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</si>
  <si>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</si>
  <si>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</si>
  <si>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</si>
  <si>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</si>
  <si>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</si>
  <si>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</si>
  <si>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</si>
  <si>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</si>
  <si>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</si>
  <si>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</si>
  <si>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</si>
  <si>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</si>
  <si>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</si>
  <si>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</si>
  <si>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</si>
  <si>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</si>
  <si>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</si>
  <si>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</si>
  <si>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</si>
  <si>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</si>
  <si>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</si>
  <si>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</si>
  <si>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</si>
  <si>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</si>
  <si>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</si>
  <si>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</si>
  <si>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</si>
  <si>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</si>
  <si>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</si>
  <si>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</si>
  <si>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</si>
  <si>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</si>
  <si>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</si>
  <si>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</si>
  <si>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</si>
  <si>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</si>
  <si>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</si>
  <si>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</si>
  <si>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</si>
  <si>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</si>
  <si>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</si>
  <si>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</si>
  <si>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</si>
  <si>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</si>
  <si>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</si>
  <si>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</si>
  <si>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</si>
  <si>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</si>
  <si>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</si>
  <si>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</si>
  <si>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</si>
  <si>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</si>
  <si>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</si>
  <si>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</si>
  <si>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</si>
  <si>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</si>
  <si>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</si>
  <si>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</si>
  <si>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</si>
  <si>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</si>
  <si>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</si>
  <si>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</si>
  <si>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</si>
  <si>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</si>
  <si>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</si>
  <si>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</si>
  <si>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</si>
  <si>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</si>
  <si>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</si>
  <si>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</si>
  <si>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</si>
  <si>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</si>
  <si>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</si>
  <si>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</si>
  <si>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</si>
  <si>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</si>
  <si>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</si>
  <si>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</si>
  <si>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</si>
  <si>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</si>
  <si>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</si>
  <si>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</si>
  <si>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</si>
  <si>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</si>
  <si>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</si>
  <si>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</si>
  <si>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</si>
  <si>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</si>
  <si>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</si>
  <si>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</si>
  <si>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</si>
  <si>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</si>
  <si>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</si>
  <si>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</si>
  <si>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</si>
  <si>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</si>
  <si>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</si>
  <si>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</si>
  <si>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</si>
  <si>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</si>
  <si>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</si>
  <si>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</si>
  <si>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</si>
  <si>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</si>
  <si>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</si>
  <si>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There are guest houses, villas, resorts, etc. in a range of 200 to 300 meters.
There are few residential buildings available in the surrounding areas. (within 500 meters)
There are inadequate transportation options to get to the project and the area is not
developed</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</si>
  <si>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</si>
  <si>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</si>
  <si>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</si>
  <si>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</si>
  <si>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</si>
  <si>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</si>
  <si>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</si>
  <si>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</si>
  <si>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</si>
  <si>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</si>
  <si>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</si>
  <si>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</si>
  <si>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</si>
  <si>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</si>
  <si>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</si>
  <si>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</si>
  <si>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</si>
  <si>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</si>
  <si>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M/s. Rajeshwar Housing</t>
  </si>
  <si>
    <t>Dayaram Residency</t>
  </si>
  <si>
    <t>P99000079726</t>
  </si>
  <si>
    <t>Gut No</t>
  </si>
  <si>
    <t>232/5/3</t>
  </si>
  <si>
    <t>Dhansar</t>
  </si>
  <si>
    <t>Internal Road</t>
  </si>
  <si>
    <t>Fair Township Building No. 1</t>
  </si>
  <si>
    <t>5.2KM from Palghar Railway Station</t>
  </si>
  <si>
    <t>Gut No. 232/5/2</t>
  </si>
  <si>
    <t>Gut No. 237</t>
  </si>
  <si>
    <t>Gut No. 232/5/1</t>
  </si>
  <si>
    <t>9.0 Mtr Wide Road</t>
  </si>
  <si>
    <t>Open Plot</t>
  </si>
  <si>
    <t>19.692944,72.734833</t>
  </si>
  <si>
    <t>https://maps.app.goo.gl/tM7LdeBePT9x4Qby7</t>
  </si>
  <si>
    <t>Total Builtup Area of Building No.1B &amp; 1D (Sq.M)</t>
  </si>
  <si>
    <t>02 Wings</t>
  </si>
  <si>
    <t>Palghar West</t>
  </si>
  <si>
    <t>MHSL/K-1/MJ1/BSP/SR/CR/225/22</t>
  </si>
  <si>
    <t>MHSL/KS-1/T-1/NP/SR-225/2022</t>
  </si>
  <si>
    <t>Building No.1B = Gr + 1st to 7th Floor
Building No.1D = Gr + 1st to 7th Floor</t>
  </si>
  <si>
    <t>Building No.1B = Gr + 1st to 7th Floor</t>
  </si>
  <si>
    <t>Building No.1D = Gr + 1st to 7th Floor</t>
  </si>
  <si>
    <t>M.S Gate, Compound Wall, Parking, Lift, Children Play Area etc.</t>
  </si>
  <si>
    <t>Building No.1B</t>
  </si>
  <si>
    <t>Building No.1D</t>
  </si>
  <si>
    <t>Ground Floor For Commercial, Entrance Lobby &amp; Parking</t>
  </si>
  <si>
    <t>Shop</t>
  </si>
  <si>
    <r>
      <t xml:space="preserve">Shop No.
</t>
    </r>
    <r>
      <rPr>
        <b/>
        <sz val="11"/>
        <rFont val="Times New Roman"/>
        <family val="1"/>
      </rPr>
      <t>(Approved Plan)</t>
    </r>
  </si>
  <si>
    <r>
      <t xml:space="preserve">Flat No.
</t>
    </r>
    <r>
      <rPr>
        <b/>
        <sz val="11"/>
        <rFont val="Times New Roman"/>
        <family val="1"/>
      </rPr>
      <t>(Approved Plan)</t>
    </r>
  </si>
  <si>
    <t>Building No. 1B</t>
  </si>
  <si>
    <t>1st Floor For Residential</t>
  </si>
  <si>
    <t>1BHK</t>
  </si>
  <si>
    <t>2BHK</t>
  </si>
  <si>
    <t>2nd to 7th Floor</t>
  </si>
  <si>
    <t>Balcony Area</t>
  </si>
  <si>
    <t>Building No. 1D</t>
  </si>
  <si>
    <t>Ground Floor For Society Office, Driver Room, Entrance Lobby &amp; Parking</t>
  </si>
  <si>
    <t>1st to 7th Floor For Residential</t>
  </si>
  <si>
    <t>Flats -56, Shops -7</t>
  </si>
  <si>
    <t>As per RERA - 31/05/2028</t>
  </si>
  <si>
    <r>
      <t xml:space="preserve">Proposed Amenities :                                                                                                                                                                                                                         </t>
    </r>
    <r>
      <rPr>
        <b/>
        <sz val="12"/>
        <rFont val="Times New Roman"/>
        <family val="1"/>
      </rPr>
      <t xml:space="preserve">                                               </t>
    </r>
  </si>
  <si>
    <t>We considered Gross carpet area = Net carpet + Balcony Area.</t>
  </si>
  <si>
    <t>Building No.1B = Gr + 1st to 7th Floor (1643.93 Sq. M BUA)
Building No.1D = Gr + 1st to 7th Floor (1253.90 Sq. M BUA)</t>
  </si>
  <si>
    <t>Construction work is in process at the time of Visit (labour found).</t>
  </si>
  <si>
    <t>Mr. Surendra Kumar (Supervisor) 9545815206</t>
  </si>
  <si>
    <t>Wing B &amp; D</t>
  </si>
  <si>
    <t>The Layout Consists of Building No. 1A, 1B, 1C, 1D, 1E &amp; 1F. We were asked to draft  Building No. 1B &amp; 1D Only.</t>
  </si>
  <si>
    <t>Pooja Kawale</t>
  </si>
  <si>
    <t>Yadnyesh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</si>
</sst>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3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2"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3" fillId="2" borderId="26" xfId="0" applyFont="1" applyFill="1" applyBorder="1"/>
    <xf numFmtId="0" fontId="24" fillId="0" borderId="27" xfId="0" applyFont="1" applyBorder="1"/>
    <xf numFmtId="0" fontId="24" fillId="0" borderId="1" xfId="0" applyFont="1" applyBorder="1"/>
    <xf numFmtId="0" fontId="24"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0" fillId="0" borderId="8" xfId="0" applyBorder="1" applyAlignment="1">
      <alignment vertical="top"/>
    </xf>
    <xf numFmtId="0" fontId="0" fillId="0" borderId="21" xfId="0" applyFill="1" applyBorder="1" applyAlignment="1">
      <alignment horizontal="center" vertical="top"/>
    </xf>
    <xf numFmtId="0" fontId="0" fillId="0" borderId="8" xfId="0" applyFill="1" applyBorder="1" applyAlignment="1">
      <alignment horizontal="left" vertical="top"/>
    </xf>
    <xf numFmtId="0" fontId="15" fillId="2" borderId="0" xfId="1" applyFont="1" applyFill="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1" xfId="0" applyBorder="1" applyAlignment="1">
      <alignment vertical="top"/>
    </xf>
    <xf numFmtId="0" fontId="0" fillId="0" borderId="22" xfId="0" applyBorder="1" applyAlignment="1">
      <alignment vertical="top" wrapText="1"/>
    </xf>
    <xf numFmtId="0" fontId="0" fillId="0" borderId="28" xfId="0" applyBorder="1" applyAlignment="1">
      <alignment vertical="top"/>
    </xf>
    <xf numFmtId="0" fontId="0" fillId="0" borderId="29" xfId="0" applyBorder="1" applyAlignment="1">
      <alignment vertical="top" wrapText="1"/>
    </xf>
    <xf numFmtId="0" fontId="0" fillId="0" borderId="30"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29" xfId="0" applyBorder="1" applyAlignment="1">
      <alignment horizontal="left" wrapText="1"/>
    </xf>
    <xf numFmtId="0" fontId="0" fillId="0" borderId="14" xfId="0" applyBorder="1" applyAlignment="1">
      <alignment vertical="top"/>
    </xf>
    <xf numFmtId="0" fontId="0" fillId="0" borderId="14" xfId="0" applyBorder="1" applyAlignment="1">
      <alignment vertical="top" wrapText="1"/>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28" fillId="0" borderId="0" xfId="1" applyFont="1"/>
    <xf numFmtId="1" fontId="12" fillId="0" borderId="1" xfId="0" applyNumberFormat="1" applyFont="1" applyFill="1" applyBorder="1" applyAlignment="1">
      <alignment horizontal="center"/>
    </xf>
    <xf numFmtId="1" fontId="7" fillId="0" borderId="1" xfId="0" applyNumberFormat="1" applyFont="1" applyFill="1" applyBorder="1" applyAlignment="1">
      <alignment horizontal="center"/>
    </xf>
    <xf numFmtId="1" fontId="13" fillId="0" borderId="3" xfId="1" applyNumberFormat="1" applyFont="1" applyBorder="1" applyAlignment="1" applyProtection="1">
      <alignment horizontal="center" vertical="top" wrapText="1"/>
      <protection locked="0"/>
    </xf>
    <xf numFmtId="0" fontId="7" fillId="0" borderId="0" xfId="0" applyFont="1" applyFill="1"/>
    <xf numFmtId="1" fontId="12" fillId="0" borderId="1" xfId="0" applyNumberFormat="1" applyFont="1" applyFill="1" applyBorder="1" applyAlignment="1">
      <alignment horizontal="center" vertical="center" wrapText="1"/>
    </xf>
    <xf numFmtId="0" fontId="7" fillId="0" borderId="0" xfId="0" applyFont="1" applyFill="1" applyBorder="1"/>
    <xf numFmtId="1" fontId="6" fillId="0" borderId="1" xfId="0" applyNumberFormat="1" applyFont="1" applyFill="1" applyBorder="1" applyAlignment="1">
      <alignment horizontal="center" vertical="center" wrapText="1"/>
    </xf>
    <xf numFmtId="9" fontId="13" fillId="0" borderId="14"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8" fillId="0" borderId="14" xfId="1" applyNumberFormat="1" applyFont="1" applyFill="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1" fontId="8" fillId="0" borderId="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6" fillId="0" borderId="15"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13" fillId="0" borderId="3"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9" fontId="12" fillId="0" borderId="15" xfId="8" applyFont="1" applyFill="1" applyBorder="1" applyAlignment="1" applyProtection="1">
      <alignment horizontal="center" vertical="center" wrapText="1"/>
      <protection locked="0"/>
    </xf>
    <xf numFmtId="9" fontId="12" fillId="0" borderId="16"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1" fontId="13" fillId="0" borderId="1" xfId="1" applyNumberFormat="1" applyFont="1" applyFill="1" applyBorder="1" applyAlignment="1" applyProtection="1">
      <alignment horizontal="center" vertical="center" wrapText="1"/>
      <protection locked="0"/>
    </xf>
    <xf numFmtId="1" fontId="13" fillId="0" borderId="14" xfId="1" applyNumberFormat="1"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1" fontId="4" fillId="0" borderId="1" xfId="1" applyNumberFormat="1" applyFont="1" applyFill="1" applyBorder="1" applyAlignment="1" applyProtection="1">
      <alignment horizontal="center" vertical="center" wrapText="1"/>
      <protection locked="0"/>
    </xf>
    <xf numFmtId="1" fontId="4" fillId="0" borderId="14" xfId="1" applyNumberFormat="1" applyFont="1" applyFill="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25"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1" fontId="30" fillId="0" borderId="3" xfId="1" applyNumberFormat="1" applyFont="1" applyBorder="1" applyAlignment="1" applyProtection="1">
      <alignment horizontal="center" vertical="top" wrapText="1"/>
      <protection locked="0"/>
    </xf>
    <xf numFmtId="1" fontId="30" fillId="0" borderId="14"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67" fontId="12" fillId="0" borderId="1" xfId="9" applyNumberFormat="1" applyFont="1" applyFill="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14"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2" fontId="12"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5"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2"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7" fillId="0" borderId="21"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3" fillId="0" borderId="14" xfId="1" applyFont="1" applyBorder="1" applyAlignment="1" applyProtection="1">
      <alignment horizontal="center" vertical="top"/>
      <protection locked="0"/>
    </xf>
    <xf numFmtId="1" fontId="6" fillId="0" borderId="19" xfId="1" applyNumberFormat="1" applyFont="1" applyBorder="1" applyAlignment="1" applyProtection="1">
      <alignment horizontal="center" vertical="center" wrapText="1"/>
      <protection locked="0"/>
    </xf>
    <xf numFmtId="1" fontId="13" fillId="0" borderId="15" xfId="1" applyNumberFormat="1" applyFont="1" applyBorder="1" applyAlignment="1" applyProtection="1">
      <alignment horizontal="center" vertical="top" wrapText="1"/>
      <protection locked="0"/>
    </xf>
    <xf numFmtId="1" fontId="13" fillId="0" borderId="17"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2" fillId="0" borderId="1" xfId="1" applyFont="1" applyBorder="1" applyAlignment="1" applyProtection="1">
      <alignment horizontal="center" vertical="top"/>
      <protection locked="0"/>
    </xf>
    <xf numFmtId="0" fontId="23" fillId="2" borderId="13" xfId="0" applyFont="1" applyFill="1" applyBorder="1"/>
    <xf numFmtId="0" fontId="24" fillId="0" borderId="9" xfId="0" applyFont="1" applyBorder="1"/>
    <xf numFmtId="0" fontId="13" fillId="0" borderId="31"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2" xfId="1" applyFont="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200025</xdr:colOff>
      <xdr:row>261</xdr:row>
      <xdr:rowOff>95250</xdr:rowOff>
    </xdr:from>
    <xdr:to>
      <xdr:col>7</xdr:col>
      <xdr:colOff>571500</xdr:colOff>
      <xdr:row>297</xdr:row>
      <xdr:rowOff>167168</xdr:rowOff>
    </xdr:to>
    <xdr:grpSp>
      <xdr:nvGrpSpPr>
        <xdr:cNvPr id="12" name="Group 11"/>
        <xdr:cNvGrpSpPr/>
      </xdr:nvGrpSpPr>
      <xdr:grpSpPr>
        <a:xfrm>
          <a:off x="200025" y="54102000"/>
          <a:ext cx="6226175" cy="7158518"/>
          <a:chOff x="691151" y="0"/>
          <a:chExt cx="5475699" cy="6396518"/>
        </a:xfrm>
      </xdr:grpSpPr>
      <xdr:pic>
        <xdr:nvPicPr>
          <xdr:cNvPr id="13" name="Picture 12"/>
          <xdr:cNvPicPr>
            <a:picLocks noChangeAspect="1"/>
          </xdr:cNvPicPr>
        </xdr:nvPicPr>
        <xdr:blipFill rotWithShape="1">
          <a:blip xmlns:r="http://schemas.openxmlformats.org/officeDocument/2006/relationships" r:embed="rId1"/>
          <a:srcRect l="14276" t="19793" r="6222" b="10676"/>
          <a:stretch/>
        </xdr:blipFill>
        <xdr:spPr>
          <a:xfrm>
            <a:off x="1083875" y="0"/>
            <a:ext cx="4690250" cy="2301216"/>
          </a:xfrm>
          <a:prstGeom prst="rect">
            <a:avLst/>
          </a:prstGeom>
          <a:ln>
            <a:solidFill>
              <a:schemeClr val="tx1"/>
            </a:solidFill>
          </a:ln>
        </xdr:spPr>
      </xdr:pic>
      <xdr:grpSp>
        <xdr:nvGrpSpPr>
          <xdr:cNvPr id="14" name="Group 13"/>
          <xdr:cNvGrpSpPr/>
        </xdr:nvGrpSpPr>
        <xdr:grpSpPr>
          <a:xfrm>
            <a:off x="691151" y="2447793"/>
            <a:ext cx="5475699" cy="3948725"/>
            <a:chOff x="948906" y="2965377"/>
            <a:chExt cx="5475699" cy="3948725"/>
          </a:xfrm>
        </xdr:grpSpPr>
        <xdr:grpSp>
          <xdr:nvGrpSpPr>
            <xdr:cNvPr id="15" name="Group 14"/>
            <xdr:cNvGrpSpPr/>
          </xdr:nvGrpSpPr>
          <xdr:grpSpPr>
            <a:xfrm>
              <a:off x="948906" y="2970140"/>
              <a:ext cx="5464592" cy="3943962"/>
              <a:chOff x="0" y="2431020"/>
              <a:chExt cx="5457265" cy="3943962"/>
            </a:xfrm>
          </xdr:grpSpPr>
          <xdr:pic>
            <xdr:nvPicPr>
              <xdr:cNvPr id="23" name="Picture 22"/>
              <xdr:cNvPicPr>
                <a:picLocks noChangeAspect="1"/>
              </xdr:cNvPicPr>
            </xdr:nvPicPr>
            <xdr:blipFill>
              <a:blip xmlns:r="http://schemas.openxmlformats.org/officeDocument/2006/relationships" r:embed="rId2"/>
              <a:stretch>
                <a:fillRect/>
              </a:stretch>
            </xdr:blipFill>
            <xdr:spPr>
              <a:xfrm>
                <a:off x="0" y="2431020"/>
                <a:ext cx="5457265" cy="3943962"/>
              </a:xfrm>
              <a:prstGeom prst="rect">
                <a:avLst/>
              </a:prstGeom>
              <a:ln>
                <a:solidFill>
                  <a:sysClr val="windowText" lastClr="000000"/>
                </a:solidFill>
              </a:ln>
            </xdr:spPr>
          </xdr:pic>
          <xdr:grpSp>
            <xdr:nvGrpSpPr>
              <xdr:cNvPr id="24" name="Group 23"/>
              <xdr:cNvGrpSpPr/>
            </xdr:nvGrpSpPr>
            <xdr:grpSpPr>
              <a:xfrm>
                <a:off x="2700195" y="3412933"/>
                <a:ext cx="1059185" cy="600435"/>
                <a:chOff x="2672483" y="3400490"/>
                <a:chExt cx="1828357" cy="816180"/>
              </a:xfrm>
            </xdr:grpSpPr>
            <xdr:sp macro="" textlink="">
              <xdr:nvSpPr>
                <xdr:cNvPr id="25" name="Rectangle 24"/>
                <xdr:cNvSpPr/>
              </xdr:nvSpPr>
              <xdr:spPr>
                <a:xfrm rot="403428">
                  <a:off x="2738351" y="3682118"/>
                  <a:ext cx="366217" cy="240762"/>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Rectangle 25"/>
                <xdr:cNvSpPr/>
              </xdr:nvSpPr>
              <xdr:spPr>
                <a:xfrm rot="5924408">
                  <a:off x="3344143" y="3360544"/>
                  <a:ext cx="253564" cy="42765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Rectangle 26"/>
                <xdr:cNvSpPr/>
              </xdr:nvSpPr>
              <xdr:spPr>
                <a:xfrm rot="5924408">
                  <a:off x="3727839" y="3403219"/>
                  <a:ext cx="253564" cy="427650"/>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8" name="Rectangle 27"/>
                <xdr:cNvSpPr/>
              </xdr:nvSpPr>
              <xdr:spPr>
                <a:xfrm rot="5924408">
                  <a:off x="4160233" y="3452214"/>
                  <a:ext cx="253564" cy="427650"/>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9" name="Rectangle 28"/>
                <xdr:cNvSpPr/>
              </xdr:nvSpPr>
              <xdr:spPr>
                <a:xfrm rot="5924408">
                  <a:off x="2889155" y="3313447"/>
                  <a:ext cx="253564" cy="427650"/>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0" name="Rectangle 29"/>
                <xdr:cNvSpPr/>
              </xdr:nvSpPr>
              <xdr:spPr>
                <a:xfrm rot="5853919">
                  <a:off x="2759526" y="3876063"/>
                  <a:ext cx="253564" cy="427650"/>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sp macro="" textlink="">
          <xdr:nvSpPr>
            <xdr:cNvPr id="16" name="Rectangle 15"/>
            <xdr:cNvSpPr/>
          </xdr:nvSpPr>
          <xdr:spPr>
            <a:xfrm>
              <a:off x="5014049" y="2965377"/>
              <a:ext cx="1410556" cy="26161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latin typeface="Times New Roman" panose="02020603050405020304" pitchFamily="18" charset="0"/>
                  <a:cs typeface="Times New Roman" panose="02020603050405020304" pitchFamily="18" charset="0"/>
                </a:rPr>
                <a:t>Dayaram Residency</a:t>
              </a:r>
            </a:p>
          </xdr:txBody>
        </xdr:sp>
        <xdr:sp macro="" textlink="">
          <xdr:nvSpPr>
            <xdr:cNvPr id="17" name="Rectangle 16"/>
            <xdr:cNvSpPr/>
          </xdr:nvSpPr>
          <xdr:spPr>
            <a:xfrm>
              <a:off x="3797153" y="3687760"/>
              <a:ext cx="968336" cy="2308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900" b="1">
                  <a:solidFill>
                    <a:srgbClr val="FFFF00"/>
                  </a:solidFill>
                  <a:latin typeface="Times New Roman" panose="02020603050405020304" pitchFamily="18" charset="0"/>
                  <a:cs typeface="Times New Roman" panose="02020603050405020304" pitchFamily="18" charset="0"/>
                </a:rPr>
                <a:t>Building No. 1D</a:t>
              </a:r>
            </a:p>
          </xdr:txBody>
        </xdr:sp>
        <xdr:sp macro="" textlink="">
          <xdr:nvSpPr>
            <xdr:cNvPr id="18" name="Rectangle 17"/>
            <xdr:cNvSpPr/>
          </xdr:nvSpPr>
          <xdr:spPr>
            <a:xfrm>
              <a:off x="2765090" y="4117219"/>
              <a:ext cx="968336" cy="2308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900" b="1">
                  <a:solidFill>
                    <a:srgbClr val="FFFF00"/>
                  </a:solidFill>
                  <a:latin typeface="Times New Roman" panose="02020603050405020304" pitchFamily="18" charset="0"/>
                  <a:cs typeface="Times New Roman" panose="02020603050405020304" pitchFamily="18" charset="0"/>
                </a:rPr>
                <a:t>Building No. 1B</a:t>
              </a:r>
            </a:p>
          </xdr:txBody>
        </xdr:sp>
        <xdr:sp macro="" textlink="">
          <xdr:nvSpPr>
            <xdr:cNvPr id="19" name="Rectangle 18"/>
            <xdr:cNvSpPr/>
          </xdr:nvSpPr>
          <xdr:spPr>
            <a:xfrm>
              <a:off x="2659446" y="4349662"/>
              <a:ext cx="968336" cy="2308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900" b="1">
                  <a:solidFill>
                    <a:srgbClr val="00B0F0"/>
                  </a:solidFill>
                  <a:latin typeface="Times New Roman" panose="02020603050405020304" pitchFamily="18" charset="0"/>
                  <a:cs typeface="Times New Roman" panose="02020603050405020304" pitchFamily="18" charset="0"/>
                </a:rPr>
                <a:t>Building No. 1A</a:t>
              </a:r>
            </a:p>
          </xdr:txBody>
        </xdr:sp>
        <xdr:sp macro="" textlink="">
          <xdr:nvSpPr>
            <xdr:cNvPr id="20" name="Rectangle 19"/>
            <xdr:cNvSpPr/>
          </xdr:nvSpPr>
          <xdr:spPr>
            <a:xfrm>
              <a:off x="2694030" y="3880533"/>
              <a:ext cx="968336" cy="2308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900" b="1">
                  <a:solidFill>
                    <a:srgbClr val="00B0F0"/>
                  </a:solidFill>
                  <a:latin typeface="Times New Roman" panose="02020603050405020304" pitchFamily="18" charset="0"/>
                  <a:cs typeface="Times New Roman" panose="02020603050405020304" pitchFamily="18" charset="0"/>
                </a:rPr>
                <a:t>Building No. 1C</a:t>
              </a:r>
            </a:p>
          </xdr:txBody>
        </xdr:sp>
        <xdr:sp macro="" textlink="">
          <xdr:nvSpPr>
            <xdr:cNvPr id="21" name="Rectangle 20"/>
            <xdr:cNvSpPr/>
          </xdr:nvSpPr>
          <xdr:spPr>
            <a:xfrm>
              <a:off x="3965512" y="4265824"/>
              <a:ext cx="968336" cy="2308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900" b="1">
                  <a:solidFill>
                    <a:srgbClr val="00B0F0"/>
                  </a:solidFill>
                  <a:latin typeface="Times New Roman" panose="02020603050405020304" pitchFamily="18" charset="0"/>
                  <a:cs typeface="Times New Roman" panose="02020603050405020304" pitchFamily="18" charset="0"/>
                </a:rPr>
                <a:t>Building No. 1E</a:t>
              </a:r>
            </a:p>
          </xdr:txBody>
        </xdr:sp>
        <xdr:sp macro="" textlink="">
          <xdr:nvSpPr>
            <xdr:cNvPr id="22" name="Rectangle 21"/>
            <xdr:cNvSpPr/>
          </xdr:nvSpPr>
          <xdr:spPr>
            <a:xfrm>
              <a:off x="4781409" y="4011384"/>
              <a:ext cx="968336" cy="2308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900" b="1">
                  <a:solidFill>
                    <a:srgbClr val="00B0F0"/>
                  </a:solidFill>
                  <a:latin typeface="Times New Roman" panose="02020603050405020304" pitchFamily="18" charset="0"/>
                  <a:cs typeface="Times New Roman" panose="02020603050405020304" pitchFamily="18" charset="0"/>
                </a:rPr>
                <a:t>Building No. 1F</a:t>
              </a:r>
            </a:p>
          </xdr:txBody>
        </xdr:sp>
      </xdr:grpSp>
    </xdr:grpSp>
    <xdr:clientData/>
  </xdr:twoCellAnchor>
  <xdr:twoCellAnchor>
    <xdr:from>
      <xdr:col>2</xdr:col>
      <xdr:colOff>441865</xdr:colOff>
      <xdr:row>243</xdr:row>
      <xdr:rowOff>100845</xdr:rowOff>
    </xdr:from>
    <xdr:to>
      <xdr:col>5</xdr:col>
      <xdr:colOff>357152</xdr:colOff>
      <xdr:row>253</xdr:row>
      <xdr:rowOff>138757</xdr:rowOff>
    </xdr:to>
    <xdr:pic>
      <xdr:nvPicPr>
        <xdr:cNvPr id="32" name="Picture 31"/>
        <xdr:cNvPicPr>
          <a:picLocks noChangeAspect="1"/>
        </xdr:cNvPicPr>
      </xdr:nvPicPr>
      <xdr:blipFill>
        <a:blip xmlns:r="http://schemas.openxmlformats.org/officeDocument/2006/relationships" r:embed="rId3"/>
        <a:stretch>
          <a:fillRect/>
        </a:stretch>
      </xdr:blipFill>
      <xdr:spPr>
        <a:xfrm>
          <a:off x="2003965" y="51488220"/>
          <a:ext cx="2458462" cy="2038162"/>
        </a:xfrm>
        <a:prstGeom prst="rect">
          <a:avLst/>
        </a:prstGeom>
        <a:ln>
          <a:solidFill>
            <a:schemeClr val="tx1"/>
          </a:solidFill>
        </a:ln>
      </xdr:spPr>
    </xdr:pic>
    <xdr:clientData/>
  </xdr:twoCellAnchor>
  <xdr:twoCellAnchor>
    <xdr:from>
      <xdr:col>0</xdr:col>
      <xdr:colOff>466725</xdr:colOff>
      <xdr:row>218</xdr:row>
      <xdr:rowOff>95251</xdr:rowOff>
    </xdr:from>
    <xdr:to>
      <xdr:col>7</xdr:col>
      <xdr:colOff>419100</xdr:colOff>
      <xdr:row>242</xdr:row>
      <xdr:rowOff>76201</xdr:rowOff>
    </xdr:to>
    <xdr:grpSp>
      <xdr:nvGrpSpPr>
        <xdr:cNvPr id="33" name="Group 32"/>
        <xdr:cNvGrpSpPr/>
      </xdr:nvGrpSpPr>
      <xdr:grpSpPr>
        <a:xfrm>
          <a:off x="466725" y="45637451"/>
          <a:ext cx="5807075" cy="4705350"/>
          <a:chOff x="320186" y="576262"/>
          <a:chExt cx="6217627" cy="5561261"/>
        </a:xfrm>
      </xdr:grpSpPr>
      <xdr:pic>
        <xdr:nvPicPr>
          <xdr:cNvPr id="34" name="Picture 33"/>
          <xdr:cNvPicPr>
            <a:picLocks noChangeAspect="1"/>
          </xdr:cNvPicPr>
        </xdr:nvPicPr>
        <xdr:blipFill>
          <a:blip xmlns:r="http://schemas.openxmlformats.org/officeDocument/2006/relationships" r:embed="rId4"/>
          <a:stretch>
            <a:fillRect/>
          </a:stretch>
        </xdr:blipFill>
        <xdr:spPr>
          <a:xfrm>
            <a:off x="320186" y="576262"/>
            <a:ext cx="6217627" cy="5561261"/>
          </a:xfrm>
          <a:prstGeom prst="rect">
            <a:avLst/>
          </a:prstGeom>
          <a:ln>
            <a:solidFill>
              <a:schemeClr val="tx1"/>
            </a:solidFill>
          </a:ln>
        </xdr:spPr>
      </xdr:pic>
      <xdr:sp macro="" textlink="">
        <xdr:nvSpPr>
          <xdr:cNvPr id="35" name="Rectangle 34"/>
          <xdr:cNvSpPr/>
        </xdr:nvSpPr>
        <xdr:spPr>
          <a:xfrm>
            <a:off x="1261465" y="2159087"/>
            <a:ext cx="1027636" cy="90928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Rectangle 35"/>
          <xdr:cNvSpPr/>
        </xdr:nvSpPr>
        <xdr:spPr>
          <a:xfrm>
            <a:off x="2553926" y="1053355"/>
            <a:ext cx="817503" cy="9317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TextBox 37"/>
          <xdr:cNvSpPr txBox="1"/>
        </xdr:nvSpPr>
        <xdr:spPr>
          <a:xfrm>
            <a:off x="1216208" y="2490617"/>
            <a:ext cx="1560411" cy="29378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Building No. 1B</a:t>
            </a:r>
            <a:endParaRPr lang="en-IN" sz="1000" b="1">
              <a:solidFill>
                <a:srgbClr val="FF0000"/>
              </a:solidFill>
            </a:endParaRPr>
          </a:p>
        </xdr:txBody>
      </xdr:sp>
      <xdr:sp macro="" textlink="">
        <xdr:nvSpPr>
          <xdr:cNvPr id="38" name="TextBox 38"/>
          <xdr:cNvSpPr txBox="1"/>
        </xdr:nvSpPr>
        <xdr:spPr>
          <a:xfrm>
            <a:off x="2588468" y="1293732"/>
            <a:ext cx="748417" cy="41549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Building No. 1D</a:t>
            </a:r>
            <a:endParaRPr lang="en-IN" sz="1000" b="1">
              <a:solidFill>
                <a:srgbClr val="FF0000"/>
              </a:solidFill>
            </a:endParaRPr>
          </a:p>
        </xdr:txBody>
      </xdr:sp>
      <xdr:pic>
        <xdr:nvPicPr>
          <xdr:cNvPr id="39" name="Picture 3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24856" y="5182893"/>
            <a:ext cx="979154" cy="954627"/>
          </a:xfrm>
          <a:prstGeom prst="rect">
            <a:avLst/>
          </a:prstGeom>
        </xdr:spPr>
      </xdr:pic>
      <xdr:sp macro="" textlink="">
        <xdr:nvSpPr>
          <xdr:cNvPr id="40" name="Rectangle 39"/>
          <xdr:cNvSpPr/>
        </xdr:nvSpPr>
        <xdr:spPr>
          <a:xfrm>
            <a:off x="1261465" y="3115911"/>
            <a:ext cx="1027636" cy="909283"/>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1" name="TextBox 37"/>
          <xdr:cNvSpPr txBox="1"/>
        </xdr:nvSpPr>
        <xdr:spPr>
          <a:xfrm>
            <a:off x="1267853" y="3423671"/>
            <a:ext cx="1021249" cy="47856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ysClr val="windowText" lastClr="000000"/>
                </a:solidFill>
              </a:rPr>
              <a:t>Building No. 1A</a:t>
            </a:r>
            <a:endParaRPr lang="en-IN" sz="1000" b="1">
              <a:solidFill>
                <a:sysClr val="windowText" lastClr="000000"/>
              </a:solidFill>
            </a:endParaRPr>
          </a:p>
        </xdr:txBody>
      </xdr:sp>
      <xdr:sp macro="" textlink="">
        <xdr:nvSpPr>
          <xdr:cNvPr id="42" name="Rectangle 41"/>
          <xdr:cNvSpPr/>
        </xdr:nvSpPr>
        <xdr:spPr>
          <a:xfrm>
            <a:off x="1267851" y="1053355"/>
            <a:ext cx="1241729" cy="1058192"/>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3" name="TextBox 37"/>
          <xdr:cNvSpPr txBox="1"/>
        </xdr:nvSpPr>
        <xdr:spPr>
          <a:xfrm>
            <a:off x="1381284" y="1456804"/>
            <a:ext cx="1181379" cy="29378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ysClr val="windowText" lastClr="000000"/>
                </a:solidFill>
              </a:rPr>
              <a:t>Building No. 1C</a:t>
            </a:r>
            <a:endParaRPr lang="en-IN" sz="1000" b="1">
              <a:solidFill>
                <a:sysClr val="windowText" lastClr="000000"/>
              </a:solidFill>
            </a:endParaRPr>
          </a:p>
        </xdr:txBody>
      </xdr:sp>
      <xdr:sp macro="" textlink="">
        <xdr:nvSpPr>
          <xdr:cNvPr id="44" name="Rectangle 43"/>
          <xdr:cNvSpPr/>
        </xdr:nvSpPr>
        <xdr:spPr>
          <a:xfrm>
            <a:off x="3397331" y="1053355"/>
            <a:ext cx="723566" cy="931734"/>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5" name="TextBox 37"/>
          <xdr:cNvSpPr txBox="1"/>
        </xdr:nvSpPr>
        <xdr:spPr>
          <a:xfrm>
            <a:off x="3419503" y="1316815"/>
            <a:ext cx="679220" cy="44162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ysClr val="windowText" lastClr="000000"/>
                </a:solidFill>
              </a:rPr>
              <a:t>Building No. 1E</a:t>
            </a:r>
            <a:endParaRPr lang="en-IN" sz="900" b="1">
              <a:solidFill>
                <a:sysClr val="windowText" lastClr="000000"/>
              </a:solidFill>
            </a:endParaRPr>
          </a:p>
        </xdr:txBody>
      </xdr:sp>
      <xdr:sp macro="" textlink="">
        <xdr:nvSpPr>
          <xdr:cNvPr id="46" name="Rectangle 45"/>
          <xdr:cNvSpPr/>
        </xdr:nvSpPr>
        <xdr:spPr>
          <a:xfrm>
            <a:off x="4120897" y="1053355"/>
            <a:ext cx="742870" cy="1237408"/>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7" name="TextBox 37"/>
          <xdr:cNvSpPr txBox="1"/>
        </xdr:nvSpPr>
        <xdr:spPr>
          <a:xfrm>
            <a:off x="4078657" y="1299846"/>
            <a:ext cx="808008" cy="44162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ysClr val="windowText" lastClr="000000"/>
                </a:solidFill>
              </a:rPr>
              <a:t>Building No. 1F</a:t>
            </a:r>
            <a:endParaRPr lang="en-IN" sz="900" b="1">
              <a:solidFill>
                <a:sysClr val="windowText" lastClr="000000"/>
              </a:solidFill>
            </a:endParaRPr>
          </a:p>
        </xdr:txBody>
      </xdr:sp>
    </xdr:grpSp>
    <xdr:clientData/>
  </xdr:twoCellAnchor>
  <xdr:twoCellAnchor>
    <xdr:from>
      <xdr:col>0</xdr:col>
      <xdr:colOff>101600</xdr:colOff>
      <xdr:row>175</xdr:row>
      <xdr:rowOff>69850</xdr:rowOff>
    </xdr:from>
    <xdr:to>
      <xdr:col>7</xdr:col>
      <xdr:colOff>662369</xdr:colOff>
      <xdr:row>216</xdr:row>
      <xdr:rowOff>31870</xdr:rowOff>
    </xdr:to>
    <xdr:grpSp>
      <xdr:nvGrpSpPr>
        <xdr:cNvPr id="2" name="Group 1"/>
        <xdr:cNvGrpSpPr/>
      </xdr:nvGrpSpPr>
      <xdr:grpSpPr>
        <a:xfrm>
          <a:off x="101600" y="37153850"/>
          <a:ext cx="6415469" cy="8026520"/>
          <a:chOff x="101600" y="37153850"/>
          <a:chExt cx="6415469" cy="8026520"/>
        </a:xfrm>
      </xdr:grpSpPr>
      <xdr:pic>
        <xdr:nvPicPr>
          <xdr:cNvPr id="59" name="Picture 5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500177" y="43020370"/>
            <a:ext cx="1618313" cy="216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467206" y="40159110"/>
            <a:ext cx="2049863" cy="2736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213095" y="37153850"/>
            <a:ext cx="2157751" cy="288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28165" y="37153850"/>
            <a:ext cx="3836903" cy="288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01600" y="40159110"/>
            <a:ext cx="2049863" cy="2736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284403" y="40159110"/>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M7LdeBePT9x4Qby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1"/>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1.2695312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200" t="s">
        <v>157</v>
      </c>
      <c r="B1" s="200"/>
      <c r="C1" s="200"/>
      <c r="D1" s="200"/>
      <c r="E1" s="200"/>
      <c r="F1" s="200"/>
      <c r="G1" s="200"/>
      <c r="H1" s="200"/>
    </row>
    <row r="2" spans="1:26" ht="16.5" customHeight="1" x14ac:dyDescent="0.35">
      <c r="A2" s="201" t="s">
        <v>0</v>
      </c>
      <c r="B2" s="201"/>
      <c r="C2" s="201"/>
      <c r="D2" s="201"/>
      <c r="E2" s="201"/>
      <c r="F2" s="201"/>
      <c r="G2" s="201"/>
      <c r="H2" s="201"/>
    </row>
    <row r="3" spans="1:26" x14ac:dyDescent="0.35">
      <c r="A3" s="176" t="s">
        <v>1</v>
      </c>
      <c r="B3" s="176"/>
      <c r="C3" s="176"/>
      <c r="D3" s="176"/>
      <c r="E3" s="176" t="str">
        <f ca="1">TEXT(TODAY(),"DD/MM/YYYY")</f>
        <v>29/07/2025</v>
      </c>
      <c r="F3" s="176"/>
      <c r="G3" s="176"/>
      <c r="H3" s="176"/>
      <c r="K3" s="51" t="s">
        <v>227</v>
      </c>
      <c r="L3" s="49" t="s">
        <v>225</v>
      </c>
      <c r="M3" s="49" t="s">
        <v>230</v>
      </c>
      <c r="N3" s="49" t="s">
        <v>228</v>
      </c>
      <c r="O3" s="49" t="s">
        <v>340</v>
      </c>
      <c r="P3" s="49" t="s">
        <v>231</v>
      </c>
    </row>
    <row r="4" spans="1:26" ht="15" customHeight="1" x14ac:dyDescent="0.35">
      <c r="A4" s="176" t="s">
        <v>224</v>
      </c>
      <c r="B4" s="176"/>
      <c r="C4" s="176"/>
      <c r="D4" s="176"/>
      <c r="E4" s="176" t="s">
        <v>225</v>
      </c>
      <c r="F4" s="176"/>
      <c r="G4" s="176"/>
      <c r="H4" s="176"/>
      <c r="K4" s="48" t="s">
        <v>226</v>
      </c>
      <c r="L4" s="49" t="s">
        <v>163</v>
      </c>
      <c r="M4" s="49" t="s">
        <v>235</v>
      </c>
      <c r="N4" s="49" t="s">
        <v>237</v>
      </c>
      <c r="O4" s="49" t="s">
        <v>329</v>
      </c>
      <c r="P4" s="49"/>
    </row>
    <row r="5" spans="1:26" ht="15" customHeight="1" x14ac:dyDescent="0.35">
      <c r="A5" s="176" t="s">
        <v>2</v>
      </c>
      <c r="B5" s="176"/>
      <c r="C5" s="176"/>
      <c r="D5" s="176"/>
      <c r="E5" s="176" t="s">
        <v>163</v>
      </c>
      <c r="F5" s="176"/>
      <c r="G5" s="176"/>
      <c r="H5" s="176"/>
      <c r="K5" s="48"/>
      <c r="L5" s="49" t="s">
        <v>232</v>
      </c>
      <c r="M5" s="49" t="s">
        <v>236</v>
      </c>
      <c r="N5" s="49" t="s">
        <v>238</v>
      </c>
      <c r="O5" s="49" t="s">
        <v>330</v>
      </c>
      <c r="P5" s="49"/>
    </row>
    <row r="6" spans="1:26" x14ac:dyDescent="0.35">
      <c r="A6" s="176" t="s">
        <v>3</v>
      </c>
      <c r="B6" s="176"/>
      <c r="C6" s="176"/>
      <c r="D6" s="176"/>
      <c r="E6" s="202">
        <v>45867</v>
      </c>
      <c r="F6" s="176"/>
      <c r="G6" s="176"/>
      <c r="H6" s="176"/>
      <c r="K6" s="48"/>
      <c r="L6" s="49" t="s">
        <v>233</v>
      </c>
      <c r="M6" s="49" t="s">
        <v>338</v>
      </c>
      <c r="N6" s="49"/>
      <c r="O6" s="49" t="s">
        <v>331</v>
      </c>
      <c r="P6" s="49"/>
    </row>
    <row r="7" spans="1:26" ht="16.5" customHeight="1" x14ac:dyDescent="0.35">
      <c r="A7" s="176" t="s">
        <v>4</v>
      </c>
      <c r="B7" s="176"/>
      <c r="C7" s="176"/>
      <c r="D7" s="176"/>
      <c r="E7" s="176" t="s">
        <v>356</v>
      </c>
      <c r="F7" s="176"/>
      <c r="G7" s="176"/>
      <c r="H7" s="176"/>
      <c r="K7" s="48"/>
      <c r="L7" s="49" t="s">
        <v>234</v>
      </c>
      <c r="M7" s="49"/>
      <c r="N7" s="49"/>
      <c r="O7" s="49" t="s">
        <v>331</v>
      </c>
      <c r="P7" s="49"/>
    </row>
    <row r="8" spans="1:26" ht="15" customHeight="1" x14ac:dyDescent="0.35">
      <c r="A8" s="176" t="s">
        <v>5</v>
      </c>
      <c r="B8" s="176"/>
      <c r="C8" s="176"/>
      <c r="D8" s="176"/>
      <c r="E8" s="176" t="str">
        <f>E7</f>
        <v>M/s. Rajeshwar Housing</v>
      </c>
      <c r="F8" s="176"/>
      <c r="G8" s="176"/>
      <c r="H8" s="176"/>
      <c r="K8" s="48"/>
      <c r="L8" s="49"/>
      <c r="M8" s="49"/>
      <c r="N8" s="49"/>
      <c r="O8" s="49" t="s">
        <v>332</v>
      </c>
      <c r="P8" s="49"/>
    </row>
    <row r="9" spans="1:26" x14ac:dyDescent="0.35">
      <c r="A9" s="176" t="s">
        <v>6</v>
      </c>
      <c r="B9" s="176"/>
      <c r="C9" s="176"/>
      <c r="D9" s="176"/>
      <c r="E9" s="164" t="s">
        <v>357</v>
      </c>
      <c r="F9" s="164"/>
      <c r="G9" s="164"/>
      <c r="H9" s="164"/>
      <c r="K9" s="48"/>
      <c r="L9" s="49"/>
      <c r="M9" s="49"/>
      <c r="N9" s="49"/>
      <c r="O9" s="49" t="s">
        <v>333</v>
      </c>
      <c r="P9" s="49"/>
    </row>
    <row r="10" spans="1:26" x14ac:dyDescent="0.35">
      <c r="A10" s="176" t="s">
        <v>160</v>
      </c>
      <c r="B10" s="176"/>
      <c r="C10" s="176"/>
      <c r="D10" s="176"/>
      <c r="E10" s="176">
        <v>8806888556</v>
      </c>
      <c r="F10" s="176"/>
      <c r="G10" s="176"/>
      <c r="H10" s="176"/>
      <c r="K10" s="48"/>
      <c r="L10" s="49"/>
      <c r="M10" s="49"/>
      <c r="N10" s="49"/>
      <c r="O10" s="49" t="s">
        <v>334</v>
      </c>
      <c r="P10" s="49"/>
    </row>
    <row r="11" spans="1:26" x14ac:dyDescent="0.35">
      <c r="A11" s="176" t="s">
        <v>161</v>
      </c>
      <c r="B11" s="176"/>
      <c r="C11" s="176"/>
      <c r="D11" s="176"/>
      <c r="E11" s="176" t="s">
        <v>402</v>
      </c>
      <c r="F11" s="176"/>
      <c r="G11" s="176"/>
      <c r="H11" s="176"/>
      <c r="O11" s="49" t="s">
        <v>335</v>
      </c>
    </row>
    <row r="12" spans="1:26" x14ac:dyDescent="0.35">
      <c r="A12" s="176" t="s">
        <v>7</v>
      </c>
      <c r="B12" s="176"/>
      <c r="C12" s="176"/>
      <c r="D12" s="176"/>
      <c r="E12" s="176" t="s">
        <v>403</v>
      </c>
      <c r="F12" s="176"/>
      <c r="G12" s="176"/>
      <c r="H12" s="176"/>
    </row>
    <row r="13" spans="1:26" x14ac:dyDescent="0.35">
      <c r="A13" s="176" t="s">
        <v>164</v>
      </c>
      <c r="B13" s="176"/>
      <c r="C13" s="176"/>
      <c r="D13" s="176"/>
      <c r="E13" s="176" t="s">
        <v>28</v>
      </c>
      <c r="F13" s="176"/>
      <c r="G13" s="176"/>
      <c r="H13" s="176"/>
      <c r="S13" s="49" t="s">
        <v>171</v>
      </c>
      <c r="T13" s="49" t="s">
        <v>180</v>
      </c>
      <c r="U13" s="49" t="s">
        <v>165</v>
      </c>
      <c r="V13" s="49" t="s">
        <v>185</v>
      </c>
      <c r="W13" s="49" t="s">
        <v>203</v>
      </c>
      <c r="X13"/>
      <c r="Y13" t="s">
        <v>185</v>
      </c>
      <c r="Z13" t="e">
        <f ca="1">OFFSET($S$13,1,MATCH($G20,$S$13:$W$13,0)-1,15,1)</f>
        <v>#VALUE!</v>
      </c>
    </row>
    <row r="14" spans="1:26" x14ac:dyDescent="0.35">
      <c r="A14" s="113" t="s">
        <v>270</v>
      </c>
      <c r="B14" s="113"/>
      <c r="C14" s="113"/>
      <c r="D14" s="113"/>
      <c r="E14" s="155" t="s">
        <v>218</v>
      </c>
      <c r="F14" s="155"/>
      <c r="G14" s="155"/>
      <c r="H14" s="155"/>
      <c r="S14" s="49" t="s">
        <v>171</v>
      </c>
      <c r="T14" s="49" t="s">
        <v>178</v>
      </c>
      <c r="U14" s="49" t="s">
        <v>200</v>
      </c>
      <c r="V14" s="49" t="s">
        <v>186</v>
      </c>
      <c r="W14" s="49" t="s">
        <v>204</v>
      </c>
      <c r="X14"/>
      <c r="Y14"/>
      <c r="Z14"/>
    </row>
    <row r="15" spans="1:26" x14ac:dyDescent="0.35">
      <c r="A15" s="113" t="s">
        <v>8</v>
      </c>
      <c r="B15" s="113"/>
      <c r="C15" s="113"/>
      <c r="D15" s="113"/>
      <c r="E15" s="155" t="s">
        <v>358</v>
      </c>
      <c r="F15" s="176"/>
      <c r="G15" s="176"/>
      <c r="H15" s="176"/>
      <c r="I15" s="209" t="e">
        <f ca="1">OFFSET($D$5,1,MATCH($J13,$D$5:$H$5,0)-1,15,1)</f>
        <v>#N/A</v>
      </c>
      <c r="J15" s="210"/>
      <c r="K15" s="210"/>
      <c r="L15" s="210"/>
      <c r="M15" s="210"/>
      <c r="N15" s="210"/>
      <c r="O15" s="210"/>
      <c r="P15" s="210"/>
      <c r="S15" s="49" t="s">
        <v>172</v>
      </c>
      <c r="T15" s="49" t="s">
        <v>179</v>
      </c>
      <c r="U15" s="49" t="s">
        <v>201</v>
      </c>
      <c r="V15" s="49" t="s">
        <v>187</v>
      </c>
      <c r="W15" s="49" t="s">
        <v>217</v>
      </c>
      <c r="X15"/>
      <c r="Y15"/>
      <c r="Z15"/>
    </row>
    <row r="16" spans="1:26" ht="33.75" customHeight="1" x14ac:dyDescent="0.35">
      <c r="A16" s="196" t="s">
        <v>9</v>
      </c>
      <c r="B16" s="196"/>
      <c r="C16" s="196" t="str">
        <f>CONCATENATE((IF(OR(E9="",E9="NA"),"",E9)),", ",(IF(OR(A17="",A17="NA"),"",A17)),".",(IF(OR(C17="",C17="NA"),"",C17)),", near ",(IF(OR(C22="",C22="NA"),"",C22)),", ",(IF(OR(C19="",C19="NA"),"",C19)),", ",(IF(OR(C18="",C18="NA"),"",C18)),", ",(IF(OR(G19="",G19="NA"),"",G19)),", ",(IF(OR(C20="",C20="NA"),"",C20)),", ",(IF(OR(C21="",C21="NA"),"",C21)),", ",(IF(OR(G20="",G20="NA"),"",G20))," - ",(IF(OR(G21="",G21="NA"),"",G21)),".")</f>
        <v>Dayaram Residency, Gut No.232/5/3, near Fair Township Building No. 1, Internal Road, Dhansar, Dhansar, Palghar West, Palghar, Palghar - 401404.</v>
      </c>
      <c r="D16" s="196"/>
      <c r="E16" s="196"/>
      <c r="F16" s="196"/>
      <c r="G16" s="196"/>
      <c r="H16" s="196"/>
      <c r="S16" s="49" t="s">
        <v>173</v>
      </c>
      <c r="T16" s="49" t="s">
        <v>181</v>
      </c>
      <c r="U16" s="49" t="s">
        <v>202</v>
      </c>
      <c r="V16" s="49" t="s">
        <v>188</v>
      </c>
      <c r="W16" s="49" t="s">
        <v>205</v>
      </c>
      <c r="X16"/>
      <c r="Y16"/>
      <c r="Z16"/>
    </row>
    <row r="17" spans="1:26" x14ac:dyDescent="0.35">
      <c r="A17" s="155" t="s">
        <v>359</v>
      </c>
      <c r="B17" s="155"/>
      <c r="C17" s="155" t="s">
        <v>360</v>
      </c>
      <c r="D17" s="155"/>
      <c r="E17" s="155"/>
      <c r="F17" s="155"/>
      <c r="G17" s="155"/>
      <c r="H17" s="155"/>
      <c r="S17" s="49" t="s">
        <v>174</v>
      </c>
      <c r="T17" s="49" t="s">
        <v>182</v>
      </c>
      <c r="U17" s="49" t="s">
        <v>165</v>
      </c>
      <c r="V17" s="49" t="s">
        <v>189</v>
      </c>
      <c r="W17" s="49" t="s">
        <v>206</v>
      </c>
      <c r="X17"/>
      <c r="Y17"/>
      <c r="Z17"/>
    </row>
    <row r="18" spans="1:26" ht="15.75" customHeight="1" x14ac:dyDescent="0.35">
      <c r="A18" s="155" t="s">
        <v>155</v>
      </c>
      <c r="B18" s="155"/>
      <c r="C18" s="155" t="s">
        <v>361</v>
      </c>
      <c r="D18" s="155"/>
      <c r="E18" s="155"/>
      <c r="F18" s="155"/>
      <c r="G18" s="155"/>
      <c r="H18" s="155"/>
      <c r="S18" s="49" t="s">
        <v>175</v>
      </c>
      <c r="T18" s="49" t="s">
        <v>180</v>
      </c>
      <c r="U18" s="49"/>
      <c r="V18" s="49" t="s">
        <v>190</v>
      </c>
      <c r="W18" s="49" t="s">
        <v>207</v>
      </c>
      <c r="X18"/>
      <c r="Y18"/>
      <c r="Z18"/>
    </row>
    <row r="19" spans="1:26" ht="15.75" customHeight="1" x14ac:dyDescent="0.35">
      <c r="A19" s="155" t="s">
        <v>10</v>
      </c>
      <c r="B19" s="155"/>
      <c r="C19" s="176" t="s">
        <v>362</v>
      </c>
      <c r="D19" s="176"/>
      <c r="E19" s="155" t="s">
        <v>69</v>
      </c>
      <c r="F19" s="155"/>
      <c r="G19" s="155" t="s">
        <v>361</v>
      </c>
      <c r="H19" s="155"/>
      <c r="S19" s="49" t="s">
        <v>176</v>
      </c>
      <c r="T19" s="49" t="s">
        <v>183</v>
      </c>
      <c r="U19" s="49"/>
      <c r="V19" s="49" t="s">
        <v>191</v>
      </c>
      <c r="W19" s="49" t="s">
        <v>208</v>
      </c>
      <c r="X19"/>
      <c r="Y19"/>
      <c r="Z19"/>
    </row>
    <row r="20" spans="1:26" x14ac:dyDescent="0.35">
      <c r="A20" s="176" t="s">
        <v>12</v>
      </c>
      <c r="B20" s="176"/>
      <c r="C20" s="155" t="s">
        <v>374</v>
      </c>
      <c r="D20" s="155"/>
      <c r="E20" s="155" t="s">
        <v>11</v>
      </c>
      <c r="F20" s="155"/>
      <c r="G20" s="199" t="s">
        <v>180</v>
      </c>
      <c r="H20" s="199"/>
      <c r="S20" s="49" t="s">
        <v>177</v>
      </c>
      <c r="T20" s="49" t="s">
        <v>184</v>
      </c>
      <c r="U20" s="49"/>
      <c r="V20" s="49" t="s">
        <v>192</v>
      </c>
      <c r="W20" s="49" t="s">
        <v>209</v>
      </c>
      <c r="X20"/>
      <c r="Y20"/>
      <c r="Z20"/>
    </row>
    <row r="21" spans="1:26" x14ac:dyDescent="0.35">
      <c r="A21" s="176" t="s">
        <v>70</v>
      </c>
      <c r="B21" s="176"/>
      <c r="C21" s="155" t="s">
        <v>180</v>
      </c>
      <c r="D21" s="155"/>
      <c r="E21" s="155" t="s">
        <v>13</v>
      </c>
      <c r="F21" s="155"/>
      <c r="G21" s="155">
        <v>401404</v>
      </c>
      <c r="H21" s="155"/>
      <c r="S21" s="49"/>
      <c r="T21" s="49"/>
      <c r="U21" s="49"/>
      <c r="V21" s="49" t="s">
        <v>193</v>
      </c>
      <c r="W21" s="49" t="s">
        <v>210</v>
      </c>
      <c r="X21"/>
      <c r="Y21"/>
      <c r="Z21"/>
    </row>
    <row r="22" spans="1:26" ht="32.25" customHeight="1" x14ac:dyDescent="0.35">
      <c r="A22" s="176" t="s">
        <v>115</v>
      </c>
      <c r="B22" s="176"/>
      <c r="C22" s="155" t="s">
        <v>363</v>
      </c>
      <c r="D22" s="155"/>
      <c r="E22" s="155" t="s">
        <v>14</v>
      </c>
      <c r="F22" s="155"/>
      <c r="G22" s="155" t="s">
        <v>364</v>
      </c>
      <c r="H22" s="155"/>
      <c r="S22" s="49"/>
      <c r="T22" s="49"/>
      <c r="U22" s="49"/>
      <c r="V22" s="49" t="s">
        <v>194</v>
      </c>
      <c r="W22" s="49" t="s">
        <v>211</v>
      </c>
      <c r="X22"/>
      <c r="Y22"/>
      <c r="Z22"/>
    </row>
    <row r="23" spans="1:26" ht="15" customHeight="1" x14ac:dyDescent="0.35">
      <c r="A23" s="196" t="s">
        <v>72</v>
      </c>
      <c r="B23" s="196"/>
      <c r="C23" s="196"/>
      <c r="D23" s="196"/>
      <c r="E23" s="176" t="s">
        <v>15</v>
      </c>
      <c r="F23" s="176"/>
      <c r="G23" s="176"/>
      <c r="H23" s="176"/>
      <c r="S23" s="49"/>
      <c r="T23" s="49"/>
      <c r="U23" s="49"/>
      <c r="V23" s="49" t="s">
        <v>195</v>
      </c>
      <c r="W23" s="49" t="s">
        <v>212</v>
      </c>
      <c r="X23"/>
      <c r="Y23"/>
      <c r="Z23"/>
    </row>
    <row r="24" spans="1:26" ht="18.75" customHeight="1" x14ac:dyDescent="0.35">
      <c r="A24" s="196"/>
      <c r="B24" s="196"/>
      <c r="C24" s="196"/>
      <c r="D24" s="196"/>
      <c r="E24" s="176"/>
      <c r="F24" s="176"/>
      <c r="G24" s="176"/>
      <c r="H24" s="176"/>
      <c r="S24" s="49"/>
      <c r="T24" s="49"/>
      <c r="U24" s="49"/>
      <c r="V24" s="49" t="s">
        <v>196</v>
      </c>
      <c r="W24" s="49" t="s">
        <v>213</v>
      </c>
      <c r="X24"/>
      <c r="Y24"/>
      <c r="Z24"/>
    </row>
    <row r="25" spans="1:26" ht="15" customHeight="1" x14ac:dyDescent="0.35">
      <c r="A25" s="196" t="s">
        <v>16</v>
      </c>
      <c r="B25" s="196"/>
      <c r="C25" s="196"/>
      <c r="D25" s="196"/>
      <c r="E25" s="155" t="s">
        <v>17</v>
      </c>
      <c r="F25" s="155"/>
      <c r="G25" s="155"/>
      <c r="H25" s="155"/>
      <c r="S25" s="49"/>
      <c r="T25" s="49"/>
      <c r="U25" s="49"/>
      <c r="V25" s="49" t="s">
        <v>197</v>
      </c>
      <c r="W25" s="49" t="s">
        <v>214</v>
      </c>
      <c r="X25"/>
      <c r="Y25"/>
      <c r="Z25"/>
    </row>
    <row r="26" spans="1:26" ht="15" customHeight="1" x14ac:dyDescent="0.35">
      <c r="A26" s="113" t="s">
        <v>18</v>
      </c>
      <c r="B26" s="113"/>
      <c r="C26" s="113"/>
      <c r="D26" s="113"/>
      <c r="E26" s="155" t="str">
        <f>IF(AND(G20="Mumbai"),"Upper Class","Middle Class")</f>
        <v>Middle Class</v>
      </c>
      <c r="F26" s="155"/>
      <c r="G26" s="155"/>
      <c r="H26" s="155"/>
      <c r="S26" s="49"/>
      <c r="T26" s="49"/>
      <c r="U26" s="49"/>
      <c r="V26" s="49" t="s">
        <v>198</v>
      </c>
      <c r="W26" s="49" t="s">
        <v>215</v>
      </c>
      <c r="X26"/>
      <c r="Y26"/>
      <c r="Z26"/>
    </row>
    <row r="27" spans="1:26" x14ac:dyDescent="0.35">
      <c r="A27" s="113" t="s">
        <v>19</v>
      </c>
      <c r="B27" s="113"/>
      <c r="C27" s="113"/>
      <c r="D27" s="113"/>
      <c r="E27" s="155" t="s">
        <v>20</v>
      </c>
      <c r="F27" s="155"/>
      <c r="G27" s="155"/>
      <c r="H27" s="155"/>
      <c r="S27" s="49"/>
      <c r="T27" s="49"/>
      <c r="U27" s="49"/>
      <c r="V27" s="49" t="s">
        <v>199</v>
      </c>
      <c r="W27" s="49" t="s">
        <v>216</v>
      </c>
      <c r="X27"/>
      <c r="Y27"/>
      <c r="Z27"/>
    </row>
    <row r="28" spans="1:26" ht="15.75" customHeight="1" x14ac:dyDescent="0.35">
      <c r="A28" s="113" t="s">
        <v>21</v>
      </c>
      <c r="B28" s="113"/>
      <c r="C28" s="113"/>
      <c r="D28" s="113"/>
      <c r="E28" s="155" t="str">
        <f>IF(AND(G20="Mumbai"),"Developed","Developing")</f>
        <v>Developing</v>
      </c>
      <c r="F28" s="155"/>
      <c r="G28" s="155"/>
      <c r="H28" s="155"/>
    </row>
    <row r="29" spans="1:26" x14ac:dyDescent="0.35">
      <c r="A29" s="113" t="s">
        <v>22</v>
      </c>
      <c r="B29" s="113"/>
      <c r="C29" s="113"/>
      <c r="D29" s="113"/>
      <c r="E29" s="155" t="s">
        <v>23</v>
      </c>
      <c r="F29" s="155"/>
      <c r="G29" s="155"/>
      <c r="H29" s="155"/>
    </row>
    <row r="30" spans="1:26" ht="15.75" customHeight="1" x14ac:dyDescent="0.35">
      <c r="A30" s="113" t="s">
        <v>77</v>
      </c>
      <c r="B30" s="113"/>
      <c r="C30" s="113"/>
      <c r="D30" s="113"/>
      <c r="E30" s="155" t="s">
        <v>78</v>
      </c>
      <c r="F30" s="155"/>
      <c r="G30" s="155"/>
      <c r="H30" s="155"/>
    </row>
    <row r="31" spans="1:26" ht="15" customHeight="1" x14ac:dyDescent="0.35">
      <c r="A31" s="113" t="s">
        <v>30</v>
      </c>
      <c r="B31" s="113"/>
      <c r="C31" s="113"/>
      <c r="D31" s="113"/>
      <c r="E31" s="155" t="str">
        <f>IF(AND(ISNUMBER(SEARCH("Flat",D58)),ISNUMBER(SEARCH("Shop",D58)),ISNUMBER(SEARCH("Office",D58))),"Residential + Commercial",IF(AND(ISNUMBER(SEARCH("Flat",D58)),ISNUMBER(SEARCH("Shop",D58))),"Residential + Commercial",IF(AND(ISNUMBER(SEARCH("Flat",D58)),ISNUMBER(SEARCH("Office",D58))),"Residential + Commercial",IF(AND(ISNUMBER(SEARCH("Shop",D58)),ISNUMBER(SEARCH("Office",D58))),"Commercial",IF(ISNUMBER(SEARCH("Shop",D58)),"Commercial",IF(ISNUMBER(SEARCH("Office",D58)),"Commercial",IF(ISNUMBER(SEARCH("Flat",D58)),"Residential")))))))</f>
        <v>Residential + Commercial</v>
      </c>
      <c r="F31" s="155"/>
      <c r="G31" s="155"/>
      <c r="H31" s="155"/>
    </row>
    <row r="32" spans="1:26" ht="15.75" customHeight="1" x14ac:dyDescent="0.35">
      <c r="A32" s="113" t="s">
        <v>88</v>
      </c>
      <c r="B32" s="113"/>
      <c r="C32" s="113"/>
      <c r="D32" s="113"/>
      <c r="E32" s="155" t="s">
        <v>31</v>
      </c>
      <c r="F32" s="155"/>
      <c r="G32" s="155"/>
      <c r="H32" s="155"/>
    </row>
    <row r="33" spans="1:19" s="19" customFormat="1" x14ac:dyDescent="0.35">
      <c r="A33" s="198" t="s">
        <v>89</v>
      </c>
      <c r="B33" s="198"/>
      <c r="C33" s="211" t="s">
        <v>166</v>
      </c>
      <c r="D33" s="211"/>
      <c r="E33" s="211"/>
      <c r="F33" s="211" t="s">
        <v>29</v>
      </c>
      <c r="G33" s="211"/>
      <c r="H33" s="211"/>
      <c r="S33" s="19" t="e">
        <f ca="1">OFFSET($S$13,1,MATCH($G20,$S$13:$W$13,0)-1,15,1)</f>
        <v>#VALUE!</v>
      </c>
    </row>
    <row r="34" spans="1:19" s="19" customFormat="1" x14ac:dyDescent="0.35">
      <c r="A34" s="166" t="s">
        <v>24</v>
      </c>
      <c r="B34" s="166" t="s">
        <v>28</v>
      </c>
      <c r="C34" s="226" t="s">
        <v>368</v>
      </c>
      <c r="D34" s="226"/>
      <c r="E34" s="226"/>
      <c r="F34" s="226" t="s">
        <v>362</v>
      </c>
      <c r="G34" s="226"/>
      <c r="H34" s="226"/>
    </row>
    <row r="35" spans="1:19" x14ac:dyDescent="0.35">
      <c r="A35" s="166" t="s">
        <v>25</v>
      </c>
      <c r="B35" s="166" t="s">
        <v>28</v>
      </c>
      <c r="C35" s="226" t="s">
        <v>367</v>
      </c>
      <c r="D35" s="226"/>
      <c r="E35" s="226"/>
      <c r="F35" s="226" t="s">
        <v>369</v>
      </c>
      <c r="G35" s="226"/>
      <c r="H35" s="226"/>
    </row>
    <row r="36" spans="1:19" s="19" customFormat="1" x14ac:dyDescent="0.35">
      <c r="A36" s="166" t="s">
        <v>27</v>
      </c>
      <c r="B36" s="166" t="s">
        <v>28</v>
      </c>
      <c r="C36" s="226" t="s">
        <v>365</v>
      </c>
      <c r="D36" s="226"/>
      <c r="E36" s="226"/>
      <c r="F36" s="226" t="s">
        <v>369</v>
      </c>
      <c r="G36" s="226"/>
      <c r="H36" s="226"/>
    </row>
    <row r="37" spans="1:19" x14ac:dyDescent="0.35">
      <c r="A37" s="166" t="s">
        <v>26</v>
      </c>
      <c r="B37" s="166" t="s">
        <v>28</v>
      </c>
      <c r="C37" s="226" t="s">
        <v>366</v>
      </c>
      <c r="D37" s="226"/>
      <c r="E37" s="226"/>
      <c r="F37" s="226" t="s">
        <v>369</v>
      </c>
      <c r="G37" s="226"/>
      <c r="H37" s="226"/>
    </row>
    <row r="38" spans="1:19" x14ac:dyDescent="0.35">
      <c r="A38" s="113" t="s">
        <v>271</v>
      </c>
      <c r="B38" s="113"/>
      <c r="C38" s="113"/>
      <c r="D38" s="113"/>
      <c r="E38" s="113"/>
      <c r="F38" s="113"/>
      <c r="G38" s="113"/>
      <c r="H38" s="113"/>
    </row>
    <row r="39" spans="1:19" ht="15.75" customHeight="1" x14ac:dyDescent="0.35">
      <c r="A39" s="113" t="s">
        <v>158</v>
      </c>
      <c r="B39" s="113"/>
      <c r="C39" s="168" t="s">
        <v>370</v>
      </c>
      <c r="D39" s="168"/>
      <c r="E39" s="168"/>
      <c r="F39" s="168"/>
      <c r="G39" s="168"/>
      <c r="H39" s="168"/>
    </row>
    <row r="40" spans="1:19" x14ac:dyDescent="0.35">
      <c r="A40" s="113" t="s">
        <v>154</v>
      </c>
      <c r="B40" s="113"/>
      <c r="C40" s="154" t="s">
        <v>371</v>
      </c>
      <c r="D40" s="155"/>
      <c r="E40" s="155"/>
      <c r="F40" s="155"/>
      <c r="G40" s="155"/>
      <c r="H40" s="155"/>
    </row>
    <row r="41" spans="1:19" x14ac:dyDescent="0.35">
      <c r="A41" s="168" t="s">
        <v>32</v>
      </c>
      <c r="B41" s="168"/>
      <c r="C41" s="168"/>
      <c r="D41" s="168"/>
      <c r="E41" s="168"/>
      <c r="F41" s="168"/>
      <c r="G41" s="168"/>
      <c r="H41" s="168"/>
    </row>
    <row r="42" spans="1:19" x14ac:dyDescent="0.35">
      <c r="A42" s="113" t="s">
        <v>33</v>
      </c>
      <c r="B42" s="113"/>
      <c r="C42" s="113"/>
      <c r="D42" s="113"/>
      <c r="E42" s="167">
        <v>5439.12</v>
      </c>
      <c r="F42" s="167"/>
      <c r="G42" s="167"/>
      <c r="H42" s="167"/>
    </row>
    <row r="43" spans="1:19" x14ac:dyDescent="0.35">
      <c r="A43" s="113" t="s">
        <v>34</v>
      </c>
      <c r="B43" s="113"/>
      <c r="C43" s="113"/>
      <c r="D43" s="113"/>
      <c r="E43" s="178">
        <f>5893.03/E42</f>
        <v>1.0834528379590815</v>
      </c>
      <c r="F43" s="178"/>
      <c r="G43" s="178"/>
      <c r="H43" s="178"/>
    </row>
    <row r="44" spans="1:19" x14ac:dyDescent="0.35">
      <c r="A44" s="113" t="s">
        <v>35</v>
      </c>
      <c r="B44" s="113"/>
      <c r="C44" s="113"/>
      <c r="D44" s="113"/>
      <c r="E44" s="178">
        <f>E46/E42-E43</f>
        <v>1.1572000617746991</v>
      </c>
      <c r="F44" s="178"/>
      <c r="G44" s="178"/>
      <c r="H44" s="178"/>
    </row>
    <row r="45" spans="1:19" x14ac:dyDescent="0.35">
      <c r="A45" s="113" t="s">
        <v>36</v>
      </c>
      <c r="B45" s="113"/>
      <c r="C45" s="113"/>
      <c r="D45" s="113"/>
      <c r="E45" s="178">
        <f>E43+E44</f>
        <v>2.2406528997337807</v>
      </c>
      <c r="F45" s="178"/>
      <c r="G45" s="178"/>
      <c r="H45" s="178"/>
    </row>
    <row r="46" spans="1:19" x14ac:dyDescent="0.35">
      <c r="A46" s="113" t="s">
        <v>87</v>
      </c>
      <c r="B46" s="113"/>
      <c r="C46" s="113"/>
      <c r="D46" s="113"/>
      <c r="E46" s="114">
        <v>12187.18</v>
      </c>
      <c r="F46" s="114"/>
      <c r="G46" s="114"/>
      <c r="H46" s="114"/>
    </row>
    <row r="47" spans="1:19" x14ac:dyDescent="0.35">
      <c r="A47" s="113" t="s">
        <v>372</v>
      </c>
      <c r="B47" s="113"/>
      <c r="C47" s="113"/>
      <c r="D47" s="113"/>
      <c r="E47" s="114">
        <f>1643.93+1253.9</f>
        <v>2897.83</v>
      </c>
      <c r="F47" s="114"/>
      <c r="G47" s="114"/>
      <c r="H47" s="114"/>
    </row>
    <row r="48" spans="1:19" x14ac:dyDescent="0.35">
      <c r="A48" s="176" t="s">
        <v>37</v>
      </c>
      <c r="B48" s="176"/>
      <c r="C48" s="176"/>
      <c r="D48" s="176"/>
      <c r="E48" s="176" t="s">
        <v>373</v>
      </c>
      <c r="F48" s="176"/>
      <c r="G48" s="176"/>
      <c r="H48" s="176"/>
    </row>
    <row r="49" spans="1:22" x14ac:dyDescent="0.35">
      <c r="A49" s="168" t="s">
        <v>38</v>
      </c>
      <c r="B49" s="168"/>
      <c r="C49" s="168"/>
      <c r="D49" s="168"/>
      <c r="E49" s="168"/>
      <c r="F49" s="168"/>
      <c r="G49" s="168"/>
      <c r="H49" s="168"/>
    </row>
    <row r="50" spans="1:22" ht="33.75" customHeight="1" x14ac:dyDescent="0.35">
      <c r="A50" s="169" t="s">
        <v>144</v>
      </c>
      <c r="B50" s="171"/>
      <c r="C50" s="184" t="s">
        <v>267</v>
      </c>
      <c r="D50" s="185"/>
      <c r="E50" s="185"/>
      <c r="F50" s="185"/>
      <c r="G50" s="185"/>
      <c r="H50" s="186"/>
      <c r="R50" t="s">
        <v>244</v>
      </c>
      <c r="S50" s="52" t="s">
        <v>165</v>
      </c>
      <c r="T50" s="52" t="s">
        <v>171</v>
      </c>
      <c r="U50" s="52" t="s">
        <v>185</v>
      </c>
      <c r="V50" s="52" t="s">
        <v>180</v>
      </c>
    </row>
    <row r="51" spans="1:22" ht="15.75" customHeight="1" x14ac:dyDescent="0.35">
      <c r="A51" s="169" t="s">
        <v>39</v>
      </c>
      <c r="B51" s="171"/>
      <c r="C51" s="169" t="s">
        <v>375</v>
      </c>
      <c r="D51" s="170"/>
      <c r="E51" s="171"/>
      <c r="F51" s="17" t="s">
        <v>40</v>
      </c>
      <c r="G51" s="172">
        <v>45098</v>
      </c>
      <c r="H51" s="173"/>
      <c r="R51"/>
      <c r="S51" s="52" t="s">
        <v>245</v>
      </c>
      <c r="T51" s="52" t="s">
        <v>250</v>
      </c>
      <c r="U51" s="52" t="s">
        <v>261</v>
      </c>
      <c r="V51" s="52" t="s">
        <v>266</v>
      </c>
    </row>
    <row r="52" spans="1:22" x14ac:dyDescent="0.35">
      <c r="A52" s="169" t="s">
        <v>41</v>
      </c>
      <c r="B52" s="171"/>
      <c r="C52" s="169" t="str">
        <f>C51</f>
        <v>MHSL/K-1/MJ1/BSP/SR/CR/225/22</v>
      </c>
      <c r="D52" s="170"/>
      <c r="E52" s="171"/>
      <c r="F52" s="17" t="s">
        <v>40</v>
      </c>
      <c r="G52" s="172">
        <f>G51</f>
        <v>45098</v>
      </c>
      <c r="H52" s="173"/>
      <c r="R52"/>
      <c r="S52" s="52" t="s">
        <v>246</v>
      </c>
      <c r="T52" s="52" t="s">
        <v>341</v>
      </c>
      <c r="U52" s="52" t="s">
        <v>259</v>
      </c>
      <c r="V52" s="52" t="s">
        <v>267</v>
      </c>
    </row>
    <row r="53" spans="1:22" s="20" customFormat="1" ht="15.75" customHeight="1" x14ac:dyDescent="0.35">
      <c r="A53" s="119" t="s">
        <v>148</v>
      </c>
      <c r="B53" s="121"/>
      <c r="C53" s="119" t="s">
        <v>376</v>
      </c>
      <c r="D53" s="120"/>
      <c r="E53" s="121"/>
      <c r="F53" s="17" t="s">
        <v>40</v>
      </c>
      <c r="G53" s="172">
        <v>45098</v>
      </c>
      <c r="H53" s="173"/>
      <c r="I53" s="19" t="str">
        <f ca="1">IF(G53&gt;EDATE(E3,-48),"NO REMARK","CC REMARK FOR CC")</f>
        <v>NO REMARK</v>
      </c>
      <c r="J53" s="78"/>
      <c r="R53"/>
      <c r="S53" s="52" t="s">
        <v>247</v>
      </c>
      <c r="T53" s="52" t="s">
        <v>252</v>
      </c>
      <c r="U53" s="52" t="s">
        <v>249</v>
      </c>
      <c r="V53" s="52" t="s">
        <v>268</v>
      </c>
    </row>
    <row r="54" spans="1:22" s="20" customFormat="1" ht="33.75" customHeight="1" x14ac:dyDescent="0.35">
      <c r="A54" s="174"/>
      <c r="B54" s="175"/>
      <c r="C54" s="169" t="s">
        <v>400</v>
      </c>
      <c r="D54" s="170"/>
      <c r="E54" s="170"/>
      <c r="F54" s="170"/>
      <c r="G54" s="170"/>
      <c r="H54" s="171"/>
      <c r="R54"/>
      <c r="S54" s="52"/>
      <c r="T54" s="52"/>
      <c r="U54" s="52"/>
      <c r="V54" s="73"/>
    </row>
    <row r="55" spans="1:22" x14ac:dyDescent="0.35">
      <c r="A55" s="212" t="s">
        <v>42</v>
      </c>
      <c r="B55" s="213"/>
      <c r="C55" s="212" t="s">
        <v>101</v>
      </c>
      <c r="D55" s="214"/>
      <c r="E55" s="213"/>
      <c r="F55" s="40" t="s">
        <v>40</v>
      </c>
      <c r="G55" s="215" t="s">
        <v>28</v>
      </c>
      <c r="H55" s="216"/>
      <c r="R55"/>
      <c r="S55" s="74"/>
      <c r="T55" s="52" t="s">
        <v>260</v>
      </c>
      <c r="U55" s="74"/>
      <c r="V55" s="74"/>
    </row>
    <row r="56" spans="1:22" x14ac:dyDescent="0.35">
      <c r="A56" s="195" t="s">
        <v>44</v>
      </c>
      <c r="B56" s="195"/>
      <c r="C56" s="195"/>
      <c r="D56" s="195"/>
      <c r="E56" s="195"/>
      <c r="F56" s="195"/>
      <c r="G56" s="195"/>
      <c r="H56" s="195"/>
      <c r="S56" s="74"/>
      <c r="T56" s="52" t="s">
        <v>269</v>
      </c>
      <c r="U56" s="74"/>
      <c r="V56" s="74"/>
    </row>
    <row r="57" spans="1:22" ht="32.25" customHeight="1" x14ac:dyDescent="0.35">
      <c r="A57" s="196" t="s">
        <v>372</v>
      </c>
      <c r="B57" s="196"/>
      <c r="C57" s="196"/>
      <c r="D57" s="113">
        <f>1643.93+1253.9</f>
        <v>2897.83</v>
      </c>
      <c r="E57" s="113"/>
      <c r="F57" s="113"/>
      <c r="G57" s="113"/>
      <c r="H57" s="113"/>
      <c r="R57"/>
    </row>
    <row r="58" spans="1:22" x14ac:dyDescent="0.35">
      <c r="A58" s="155" t="s">
        <v>45</v>
      </c>
      <c r="B58" s="176"/>
      <c r="C58" s="176"/>
      <c r="D58" s="176" t="s">
        <v>396</v>
      </c>
      <c r="E58" s="176"/>
      <c r="F58" s="176"/>
      <c r="G58" s="176"/>
      <c r="H58" s="176"/>
      <c r="I58" s="21"/>
      <c r="R58"/>
    </row>
    <row r="59" spans="1:22" ht="30.75" customHeight="1" x14ac:dyDescent="0.35">
      <c r="A59" s="181" t="s">
        <v>46</v>
      </c>
      <c r="B59" s="182"/>
      <c r="C59" s="183"/>
      <c r="D59" s="179" t="s">
        <v>377</v>
      </c>
      <c r="E59" s="180"/>
      <c r="F59" s="180"/>
      <c r="G59" s="180"/>
      <c r="H59" s="180"/>
      <c r="R59"/>
    </row>
    <row r="60" spans="1:22" ht="15.75" customHeight="1" x14ac:dyDescent="0.35">
      <c r="A60" s="181" t="s">
        <v>85</v>
      </c>
      <c r="B60" s="182"/>
      <c r="C60" s="182"/>
      <c r="D60" s="189" t="s">
        <v>378</v>
      </c>
      <c r="E60" s="190"/>
      <c r="F60" s="190"/>
      <c r="G60" s="190"/>
      <c r="H60" s="191"/>
      <c r="R60"/>
    </row>
    <row r="61" spans="1:22" ht="15.75" customHeight="1" x14ac:dyDescent="0.35">
      <c r="A61" s="187"/>
      <c r="B61" s="188"/>
      <c r="C61" s="188"/>
      <c r="D61" s="192" t="s">
        <v>379</v>
      </c>
      <c r="E61" s="193"/>
      <c r="F61" s="193"/>
      <c r="G61" s="193"/>
      <c r="H61" s="194"/>
      <c r="R61"/>
    </row>
    <row r="62" spans="1:22" ht="15.75" customHeight="1" x14ac:dyDescent="0.35">
      <c r="A62" s="113" t="s">
        <v>43</v>
      </c>
      <c r="B62" s="113"/>
      <c r="C62" s="113"/>
      <c r="D62" s="155" t="s">
        <v>397</v>
      </c>
      <c r="E62" s="155"/>
      <c r="F62" s="155"/>
      <c r="G62" s="155"/>
      <c r="H62" s="155"/>
      <c r="J62" s="22"/>
      <c r="K62" s="21"/>
      <c r="N62" s="21"/>
      <c r="S62"/>
    </row>
    <row r="63" spans="1:22" ht="15.75" customHeight="1" x14ac:dyDescent="0.35">
      <c r="A63" s="113" t="s">
        <v>83</v>
      </c>
      <c r="B63" s="113"/>
      <c r="C63" s="113"/>
      <c r="D63" s="177" t="str">
        <f>(IF(G55="NA","60 Years After Completion",IF(G55&lt;&gt;"NA",""&amp;60-ROUNDDOWN((E3-G55)/360,0)&amp;" Years"," ")))</f>
        <v>60 Years After Completion</v>
      </c>
      <c r="E63" s="177"/>
      <c r="F63" s="177"/>
      <c r="G63" s="177"/>
      <c r="H63" s="177"/>
      <c r="N63" s="21"/>
      <c r="S63"/>
    </row>
    <row r="64" spans="1:22" ht="15.75" customHeight="1" x14ac:dyDescent="0.35">
      <c r="A64" s="113" t="s">
        <v>84</v>
      </c>
      <c r="B64" s="113"/>
      <c r="C64" s="113"/>
      <c r="D64" s="196" t="s">
        <v>23</v>
      </c>
      <c r="E64" s="196"/>
      <c r="F64" s="196"/>
      <c r="G64" s="196"/>
      <c r="H64" s="196"/>
      <c r="J64" s="23"/>
      <c r="K64" s="23"/>
      <c r="S64"/>
    </row>
    <row r="65" spans="1:19" ht="15.75" customHeight="1" x14ac:dyDescent="0.35">
      <c r="A65" s="176" t="s">
        <v>398</v>
      </c>
      <c r="B65" s="176"/>
      <c r="C65" s="176"/>
      <c r="D65" s="155" t="s">
        <v>380</v>
      </c>
      <c r="E65" s="196"/>
      <c r="F65" s="196"/>
      <c r="G65" s="196"/>
      <c r="H65" s="196"/>
      <c r="S65"/>
    </row>
    <row r="66" spans="1:19" x14ac:dyDescent="0.35">
      <c r="A66" s="196" t="s">
        <v>141</v>
      </c>
      <c r="B66" s="196"/>
      <c r="C66" s="196"/>
      <c r="D66" s="196" t="s">
        <v>28</v>
      </c>
      <c r="E66" s="196"/>
      <c r="F66" s="196"/>
      <c r="G66" s="196"/>
      <c r="H66" s="196"/>
      <c r="I66" s="24"/>
      <c r="J66" s="24"/>
      <c r="K66" s="24"/>
      <c r="L66" s="24"/>
      <c r="M66" s="24"/>
      <c r="N66" s="24"/>
    </row>
    <row r="67" spans="1:19" ht="15.75" customHeight="1" x14ac:dyDescent="0.35">
      <c r="A67" s="197" t="s">
        <v>82</v>
      </c>
      <c r="B67" s="197"/>
      <c r="C67" s="197"/>
      <c r="D67" s="179" t="str">
        <f ca="1">(IF(G73&gt;95%,"Nothing",IF(G73&gt;0%,"Cement, Aggregate, Steel, etc",IF(G73=0%,"Work not yet Started"))))</f>
        <v>Cement, Aggregate, Steel, etc</v>
      </c>
      <c r="E67" s="179"/>
      <c r="F67" s="179"/>
      <c r="G67" s="179"/>
      <c r="H67" s="179"/>
      <c r="J67" s="23"/>
      <c r="S67"/>
    </row>
    <row r="68" spans="1:19" ht="33.75" customHeight="1" thickBot="1" x14ac:dyDescent="0.4">
      <c r="A68" s="196" t="s">
        <v>114</v>
      </c>
      <c r="B68" s="196"/>
      <c r="C68" s="196"/>
      <c r="D68" s="155" t="str">
        <f ca="1">(IF(D67="Nothing","Yes",IF(D67="Cement, Aggregate, Steel, etc","Under Construction",IF(D67="Work not yet Started","Work not yet Started"))))</f>
        <v>Under Construction</v>
      </c>
      <c r="E68" s="155"/>
      <c r="F68" s="155" t="str">
        <f ca="1">(IF(D67="Nothing","Yes",IF(D67="Cement, Aggregate, Steel, etc","Under Construction",IF(D67="Work not yet Started","Work not yet Started"))))</f>
        <v>Under Construction</v>
      </c>
      <c r="G68" s="155"/>
      <c r="H68" s="155"/>
      <c r="S68"/>
    </row>
    <row r="69" spans="1:19" ht="15.75" customHeight="1" x14ac:dyDescent="0.35">
      <c r="A69" s="160" t="s">
        <v>133</v>
      </c>
      <c r="B69" s="160"/>
      <c r="C69" s="160" t="str">
        <f>D60</f>
        <v>Building No.1B = Gr + 1st to 7th Floor</v>
      </c>
      <c r="D69" s="160"/>
      <c r="E69" s="160"/>
      <c r="F69" s="160"/>
      <c r="G69" s="160"/>
      <c r="H69" s="160"/>
      <c r="I69" s="227" t="str">
        <f ca="1">IF(D82=100%,"All work Completed. Possession granted to the Building.",IF(D81=100%,"All work Completed, Waiting for OC",I70&amp;""&amp;I71&amp;""&amp;J70&amp;""&amp;J69&amp;" "&amp;J71))</f>
        <v>Excavation, Plinth Completed, RCC upto 1 Slab Completed</v>
      </c>
      <c r="J69" s="43" t="str">
        <f ca="1">(IF(C75=(D70+F70+H70),"",IF(C75&gt;0,", RCC upto "&amp;C75&amp;" Slab","")))&amp;(IF(C76=H70,"",IF(C76&gt;0,", Brickwork upto "&amp;C76&amp;" Floor","")))&amp;(IF(C77=H70,"",IF(C77&gt;0,", Internal Plaster upto "&amp;C77&amp;" Floor","")))&amp;(IF(C78=H70,"",IF(C78&gt;0,", External Plaster upto "&amp;C78&amp;" Floor","")))&amp;(IF(C79=H70,"",IF(C79&gt;0,", Flooring upto "&amp;C79&amp;" Floor","")))&amp;(IF(C80=H70,"",IF(C80&gt;0,", Painting upto "&amp;C80&amp;" Floor","")))&amp;(IF(C81=H70,"",IF(C81&gt;0,", Finishing upto "&amp;C81&amp;" Floor","")))&amp;(IF(C82=H70,"",IF(C82&gt;0,", Possession upto "&amp;C82&amp;" Floor","")))</f>
        <v>, RCC upto 1 Slab</v>
      </c>
      <c r="S69"/>
    </row>
    <row r="70" spans="1:19" x14ac:dyDescent="0.35">
      <c r="A70" s="46" t="s">
        <v>135</v>
      </c>
      <c r="B70" s="46">
        <f>IF(AND(ISNUMBER(SEARCH("1B",C69))),1,IF(AND(ISNUMBER(SEARCH("2B",C69))),2,IF(AND(ISNUMBER(SEARCH("3B",C69))),3,IF(AND(ISNUMBER(SEARCH("4B",C69))),4,IF(ISNUMBER(SEARCH("5B",C69)),5,0)))))</f>
        <v>1</v>
      </c>
      <c r="C70" s="46" t="s">
        <v>68</v>
      </c>
      <c r="D70" s="46">
        <v>1</v>
      </c>
      <c r="E70" s="46" t="s">
        <v>67</v>
      </c>
      <c r="F70" s="46">
        <v>0</v>
      </c>
      <c r="G70" s="46" t="s">
        <v>76</v>
      </c>
      <c r="H70" s="46">
        <f ca="1">--TRIM(RIGHT(SUBSTITUTE(LEFT(C69,_xlfn.AGGREGATE(16,6,FIND({0,1,2,3,4,5,6,7,8,9},C69,ROW(INDIRECT("1:"&amp;LEN(C69)))),1))," ",REPT(" ",LEN(C69))),LEN(C69)))</f>
        <v>7</v>
      </c>
      <c r="I70" s="228" t="str">
        <f ca="1">IF(D73=100%,"Excavation","")&amp;IF(D74=100%,", Plinth","")&amp;IF(D75=100%,", RCC Slab","")&amp;IF(D76=100%,", Brickwork","")&amp;IF(D77=100%,", Internal Plaster","")&amp;IF(D78=100%,", External Plaster","")&amp;IF(D79=100%,", Flooring","")&amp;IF(D80=100%,", Painting","")&amp;IF(D81=100%,", Building common Amenities","")</f>
        <v>Excavation, Plinth</v>
      </c>
      <c r="J70" s="45" t="str">
        <f ca="1">(IF(C73=0,"Work not yet Started.",IF(D73=25%,"Piling work in process",IF(D73=50%,"Excavation work in process",IF(D73=100%,"","0")))))&amp;(IF(C74=0%,"",IF(C74=J75,", Footing work is process",IF(C74=J76,", Footing work Completed",IF(C74=J77,", 1st Basement Completed",IF(C74=J78,", 1st &amp; 2nd Basement Completed",IF(C74=J79,", 1st to 3rd Basement Completed",IF(C74=J80,", 1st to 4th Basement Completed",IF(C74=J81,", Plinth work is process",IF(C74=J82,"","0"))))))))))</f>
        <v/>
      </c>
      <c r="S70"/>
    </row>
    <row r="71" spans="1:19" x14ac:dyDescent="0.35">
      <c r="A71" s="164" t="s">
        <v>86</v>
      </c>
      <c r="B71" s="164"/>
      <c r="C71" s="160" t="str">
        <f ca="1">I69</f>
        <v>Excavation, Plinth Completed, RCC upto 1 Slab Completed</v>
      </c>
      <c r="D71" s="160"/>
      <c r="E71" s="160"/>
      <c r="F71" s="160"/>
      <c r="G71" s="160"/>
      <c r="H71" s="160"/>
      <c r="I71" s="228" t="str">
        <f ca="1">IF(I70&lt;&gt;""," Completed","")</f>
        <v xml:space="preserve"> Completed</v>
      </c>
      <c r="J71" s="45" t="str">
        <f ca="1">IF(J69&lt;&gt;"","Completed","")</f>
        <v>Completed</v>
      </c>
      <c r="S71"/>
    </row>
    <row r="72" spans="1:19" ht="15.75" customHeight="1" x14ac:dyDescent="0.35">
      <c r="A72" s="125" t="s">
        <v>47</v>
      </c>
      <c r="B72" s="125"/>
      <c r="C72" s="107" t="s">
        <v>132</v>
      </c>
      <c r="D72" s="107" t="s">
        <v>79</v>
      </c>
      <c r="E72" s="125" t="s">
        <v>81</v>
      </c>
      <c r="F72" s="125"/>
      <c r="G72" s="125" t="s">
        <v>80</v>
      </c>
      <c r="H72" s="125"/>
      <c r="I72" s="13" t="s">
        <v>134</v>
      </c>
      <c r="J72" s="25">
        <f ca="1">H70*25%</f>
        <v>1.75</v>
      </c>
      <c r="S72"/>
    </row>
    <row r="73" spans="1:19" x14ac:dyDescent="0.35">
      <c r="A73" s="125" t="s">
        <v>121</v>
      </c>
      <c r="B73" s="125"/>
      <c r="C73" s="107">
        <f ca="1">J74</f>
        <v>7</v>
      </c>
      <c r="D73" s="104">
        <f ca="1">((100/H70)*C73)/100</f>
        <v>1</v>
      </c>
      <c r="E73" s="234">
        <f ca="1">(((C74/H70*10)+(40/(D70+F70+H70)*C75)+(7.5/(H70)*C76)+(7.5/(H70)*C77)+(10/H70*C78)+(10/H70*C79)+(5/H70*C80)+(5/H70*C81)+(5/H70*C82))/100)</f>
        <v>0.15</v>
      </c>
      <c r="F73" s="234"/>
      <c r="G73" s="234">
        <f ca="1">((((C73/H70)*20)+((C74/H70)*25)+(30/(H70+F70+D70)*C75)+(5/H70*C76)+(5/H70*C77)+(5/H70*C78)+(5/H70*C79)+(0/H70*C80)+(0/H70*C81)+(5/H70*C82))/100)</f>
        <v>0.48749999999999999</v>
      </c>
      <c r="H73" s="234"/>
      <c r="I73" s="13" t="s">
        <v>96</v>
      </c>
      <c r="J73" s="26">
        <f ca="1">H70*50%</f>
        <v>3.5</v>
      </c>
    </row>
    <row r="74" spans="1:19" x14ac:dyDescent="0.35">
      <c r="A74" s="125" t="s">
        <v>48</v>
      </c>
      <c r="B74" s="125"/>
      <c r="C74" s="107">
        <f ca="1">J82</f>
        <v>7</v>
      </c>
      <c r="D74" s="104">
        <f ca="1">((100/H70)*C74)/100</f>
        <v>1</v>
      </c>
      <c r="E74" s="234"/>
      <c r="F74" s="234"/>
      <c r="G74" s="234"/>
      <c r="H74" s="234"/>
      <c r="I74" s="13" t="s">
        <v>97</v>
      </c>
      <c r="J74" s="26">
        <f ca="1">H70</f>
        <v>7</v>
      </c>
      <c r="S74"/>
    </row>
    <row r="75" spans="1:19" ht="15.75" customHeight="1" x14ac:dyDescent="0.35">
      <c r="A75" s="125" t="s">
        <v>122</v>
      </c>
      <c r="B75" s="125"/>
      <c r="C75" s="107">
        <v>1</v>
      </c>
      <c r="D75" s="104">
        <f ca="1">((100/(D70+F70+H70))*C75)/100</f>
        <v>0.125</v>
      </c>
      <c r="E75" s="234"/>
      <c r="F75" s="234"/>
      <c r="G75" s="234"/>
      <c r="H75" s="234"/>
      <c r="I75" s="13" t="s">
        <v>98</v>
      </c>
      <c r="J75" s="27">
        <f ca="1">(IF(B70&gt;1,(H70/(B70+2)),H70/4))</f>
        <v>1.75</v>
      </c>
      <c r="S75"/>
    </row>
    <row r="76" spans="1:19" ht="15.75" customHeight="1" x14ac:dyDescent="0.35">
      <c r="A76" s="125" t="s">
        <v>129</v>
      </c>
      <c r="B76" s="125" t="s">
        <v>123</v>
      </c>
      <c r="C76" s="107">
        <v>0</v>
      </c>
      <c r="D76" s="104">
        <f ca="1">((100/H70)*C76)/100</f>
        <v>0</v>
      </c>
      <c r="E76" s="234"/>
      <c r="F76" s="234"/>
      <c r="G76" s="234"/>
      <c r="H76" s="234"/>
      <c r="I76" s="13" t="s">
        <v>99</v>
      </c>
      <c r="J76" s="27">
        <f ca="1">(IF(B70&gt;1,(H70/(B70+2)+J75),H70/4+J75))</f>
        <v>3.5</v>
      </c>
    </row>
    <row r="77" spans="1:19" ht="15.75" customHeight="1" x14ac:dyDescent="0.35">
      <c r="A77" s="125" t="s">
        <v>130</v>
      </c>
      <c r="B77" s="125" t="s">
        <v>123</v>
      </c>
      <c r="C77" s="107">
        <v>0</v>
      </c>
      <c r="D77" s="104">
        <f ca="1">((100/H70)*C77)/100</f>
        <v>0</v>
      </c>
      <c r="E77" s="234"/>
      <c r="F77" s="234"/>
      <c r="G77" s="234"/>
      <c r="H77" s="234"/>
      <c r="I77" s="13" t="s">
        <v>139</v>
      </c>
      <c r="J77" s="27">
        <f>(IF(B70&gt;1,(H70/(B70+2)+J76),0))</f>
        <v>0</v>
      </c>
    </row>
    <row r="78" spans="1:19" ht="15" customHeight="1" x14ac:dyDescent="0.35">
      <c r="A78" s="125" t="s">
        <v>128</v>
      </c>
      <c r="B78" s="125" t="s">
        <v>125</v>
      </c>
      <c r="C78" s="107">
        <v>0</v>
      </c>
      <c r="D78" s="104">
        <f ca="1">((100/(H70))*C78)/100</f>
        <v>0</v>
      </c>
      <c r="E78" s="234"/>
      <c r="F78" s="234"/>
      <c r="G78" s="234"/>
      <c r="H78" s="234"/>
      <c r="I78" s="13" t="s">
        <v>136</v>
      </c>
      <c r="J78" s="27">
        <f>(IF(B70&gt;2,(H70/(B70+2)+J77),0))</f>
        <v>0</v>
      </c>
    </row>
    <row r="79" spans="1:19" ht="15.75" customHeight="1" x14ac:dyDescent="0.35">
      <c r="A79" s="125" t="s">
        <v>124</v>
      </c>
      <c r="B79" s="125" t="s">
        <v>124</v>
      </c>
      <c r="C79" s="107">
        <v>0</v>
      </c>
      <c r="D79" s="104">
        <f ca="1">((100/H70)*C79)/100</f>
        <v>0</v>
      </c>
      <c r="E79" s="234"/>
      <c r="F79" s="234"/>
      <c r="G79" s="234"/>
      <c r="H79" s="234"/>
      <c r="I79" s="13" t="s">
        <v>137</v>
      </c>
      <c r="J79" s="28">
        <f>(IF(B70&gt;3,(H70/(B70+2)+J78),0))</f>
        <v>0</v>
      </c>
    </row>
    <row r="80" spans="1:19" ht="15.75" customHeight="1" x14ac:dyDescent="0.35">
      <c r="A80" s="125" t="s">
        <v>131</v>
      </c>
      <c r="B80" s="125"/>
      <c r="C80" s="107">
        <v>0</v>
      </c>
      <c r="D80" s="104">
        <f ca="1">((100/H70)*C80)/100</f>
        <v>0</v>
      </c>
      <c r="E80" s="234"/>
      <c r="F80" s="234"/>
      <c r="G80" s="234"/>
      <c r="H80" s="234"/>
      <c r="I80" s="13" t="s">
        <v>138</v>
      </c>
      <c r="J80" s="27">
        <f>(IF(B70&gt;4,(H70/(B70+2)+J79),0))</f>
        <v>0</v>
      </c>
    </row>
    <row r="81" spans="1:19" ht="15.75" customHeight="1" x14ac:dyDescent="0.35">
      <c r="A81" s="125" t="s">
        <v>126</v>
      </c>
      <c r="B81" s="125" t="s">
        <v>126</v>
      </c>
      <c r="C81" s="107">
        <v>0</v>
      </c>
      <c r="D81" s="104">
        <f ca="1">((100/(H70))*C81)/100</f>
        <v>0</v>
      </c>
      <c r="E81" s="234"/>
      <c r="F81" s="234"/>
      <c r="G81" s="234"/>
      <c r="H81" s="234"/>
      <c r="I81" s="13" t="s">
        <v>140</v>
      </c>
      <c r="J81" s="27">
        <f ca="1">(IF(B70=1,(H70/(B70+3)+J76),IF(B70=0,(H70/4+J76),IF(B70&gt;1,0))))</f>
        <v>5.25</v>
      </c>
    </row>
    <row r="82" spans="1:19" ht="16" thickBot="1" x14ac:dyDescent="0.4">
      <c r="A82" s="125" t="s">
        <v>127</v>
      </c>
      <c r="B82" s="125"/>
      <c r="C82" s="107">
        <v>0</v>
      </c>
      <c r="D82" s="104">
        <f ca="1">((100/(H70))*C82)/100</f>
        <v>0</v>
      </c>
      <c r="E82" s="234"/>
      <c r="F82" s="234"/>
      <c r="G82" s="234"/>
      <c r="H82" s="234"/>
      <c r="I82" s="14" t="s">
        <v>100</v>
      </c>
      <c r="J82" s="29">
        <f ca="1">(IF(B70&gt;1.5,(H70/(B70+2)+J76+MAX(0,J77-J76)+MAX(0,J78-J77)+MAX(0,J79-J78)+MAX(0,J80-J79)+MAX(0,J81-J80)),IF(B70=1,(H70/(B70+3)+J81),IF(B70=0,H70/4+J81))))</f>
        <v>7</v>
      </c>
    </row>
    <row r="83" spans="1:19" ht="15.75" customHeight="1" x14ac:dyDescent="0.35">
      <c r="A83" s="229" t="s">
        <v>133</v>
      </c>
      <c r="B83" s="230"/>
      <c r="C83" s="231" t="str">
        <f>D61</f>
        <v>Building No.1D = Gr + 1st to 7th Floor</v>
      </c>
      <c r="D83" s="232"/>
      <c r="E83" s="232"/>
      <c r="F83" s="232"/>
      <c r="G83" s="232"/>
      <c r="H83" s="233"/>
      <c r="I83" s="42" t="str">
        <f ca="1">IF(D96=100%,"All work Completed. Possession granted to the Building.",IF(D95=100%,"All work Completed, Waiting for OC",I84&amp;""&amp;I85&amp;""&amp;J84&amp;""&amp;J83&amp;" "&amp;J85))</f>
        <v>Excavation, Plinth, RCC Slab Completed, Brickwork upto 6 Floor Completed</v>
      </c>
      <c r="J83" s="43" t="str">
        <f ca="1">(IF(C89=(D84+F84+H84),"",IF(C89&gt;0,", RCC upto "&amp;C89&amp;" Slab","")))&amp;(IF(C90=H84,"",IF(C90&gt;0,", Brickwork upto "&amp;C90&amp;" Floor","")))&amp;(IF(C91=H84,"",IF(C91&gt;0,", Internal Plaster upto "&amp;C91&amp;" Floor","")))&amp;(IF(C92=H84,"",IF(C92&gt;0,", External Plaster upto "&amp;C92&amp;" Floor","")))&amp;(IF(C93=H84,"",IF(C93&gt;0,", Flooring upto "&amp;C93&amp;" Floor","")))&amp;(IF(C94=H84,"",IF(C94&gt;0,", Painting upto "&amp;C94&amp;" Floor","")))&amp;(IF(C95=H84,"",IF(C95&gt;0,", Finishing upto "&amp;C95&amp;" Floor","")))&amp;(IF(C96=H84,"",IF(C96&gt;0,", Possession upto "&amp;C96&amp;" Floor","")))</f>
        <v>, Brickwork upto 6 Floor</v>
      </c>
      <c r="S83"/>
    </row>
    <row r="84" spans="1:19" x14ac:dyDescent="0.35">
      <c r="A84" s="15" t="s">
        <v>135</v>
      </c>
      <c r="B84" s="46">
        <f>IF(AND(ISNUMBER(SEARCH("1B",C83))),1,IF(AND(ISNUMBER(SEARCH("2B",C83))),2,IF(AND(ISNUMBER(SEARCH("3B",C83))),3,IF(AND(ISNUMBER(SEARCH("4B",C83))),4,IF(ISNUMBER(SEARCH("5B",C83)),5,0)))))</f>
        <v>0</v>
      </c>
      <c r="C84" s="46" t="s">
        <v>68</v>
      </c>
      <c r="D84" s="46">
        <v>1</v>
      </c>
      <c r="E84" s="46" t="s">
        <v>67</v>
      </c>
      <c r="F84" s="46">
        <v>0</v>
      </c>
      <c r="G84" s="46" t="s">
        <v>76</v>
      </c>
      <c r="H84" s="16">
        <f ca="1">--TRIM(RIGHT(SUBSTITUTE(LEFT(C83,_xlfn.AGGREGATE(16,6,FIND({0,1,2,3,4,5,6,7,8,9},C83,ROW(INDIRECT("1:"&amp;LEN(C83)))),1))," ",REPT(" ",LEN(C83))),LEN(C83)))</f>
        <v>7</v>
      </c>
      <c r="I84" s="44" t="str">
        <f ca="1">IF(D87=100%,"Excavation","")&amp;IF(D88=100%,", Plinth","")&amp;IF(D89=100%,", RCC Slab","")&amp;IF(D90=100%,", Brickwork","")&amp;IF(D91=100%,", Internal Plaster","")&amp;IF(D92=100%,", External Plaster","")&amp;IF(D93=100%,", Flooring","")&amp;IF(D94=100%,", Painting","")&amp;IF(D95=100%,", Building common Amenities","")</f>
        <v>Excavation, Plinth, RCC Slab</v>
      </c>
      <c r="J84" s="45" t="str">
        <f ca="1">(IF(C87=0,"Work not yet Started.",IF(D87=25%,"Piling work in process",IF(D87=50%,"Excavation work in process",IF(D87=100%,"","0")))))&amp;(IF(C88=0%,"",IF(C88=J89,", Footing work is process",IF(C88=J90,", Footing work Completed",IF(C88=J91,", 1st Basement Completed",IF(C88=J92,", 1st &amp; 2nd Basement Completed",IF(C88=J93,", 1st to 3rd Basement Completed",IF(C88=J94,", 1st to 4th Basement Completed",IF(C88=J95,", Plinth work is process",IF(C88=J96,"","0"))))))))))</f>
        <v/>
      </c>
      <c r="S84"/>
    </row>
    <row r="85" spans="1:19" x14ac:dyDescent="0.35">
      <c r="A85" s="163" t="s">
        <v>86</v>
      </c>
      <c r="B85" s="164"/>
      <c r="C85" s="160" t="str">
        <f ca="1">I83</f>
        <v>Excavation, Plinth, RCC Slab Completed, Brickwork upto 6 Floor Completed</v>
      </c>
      <c r="D85" s="160"/>
      <c r="E85" s="160"/>
      <c r="F85" s="160"/>
      <c r="G85" s="160"/>
      <c r="H85" s="161"/>
      <c r="I85" s="44" t="str">
        <f ca="1">IF(I84&lt;&gt;""," Completed","")</f>
        <v xml:space="preserve"> Completed</v>
      </c>
      <c r="J85" s="45" t="str">
        <f ca="1">IF(J83&lt;&gt;"","Completed","")</f>
        <v>Completed</v>
      </c>
      <c r="S85"/>
    </row>
    <row r="86" spans="1:19" ht="15.75" customHeight="1" x14ac:dyDescent="0.35">
      <c r="A86" s="124" t="s">
        <v>47</v>
      </c>
      <c r="B86" s="125"/>
      <c r="C86" s="103" t="s">
        <v>132</v>
      </c>
      <c r="D86" s="103" t="s">
        <v>79</v>
      </c>
      <c r="E86" s="125" t="s">
        <v>81</v>
      </c>
      <c r="F86" s="125"/>
      <c r="G86" s="125" t="s">
        <v>80</v>
      </c>
      <c r="H86" s="148"/>
      <c r="I86" s="13" t="s">
        <v>134</v>
      </c>
      <c r="J86" s="25">
        <f ca="1">H84*25%</f>
        <v>1.75</v>
      </c>
      <c r="S86"/>
    </row>
    <row r="87" spans="1:19" x14ac:dyDescent="0.35">
      <c r="A87" s="124" t="s">
        <v>121</v>
      </c>
      <c r="B87" s="125"/>
      <c r="C87" s="103">
        <f ca="1">J88</f>
        <v>7</v>
      </c>
      <c r="D87" s="104">
        <f ca="1">((100/H84)*C87)/100</f>
        <v>1</v>
      </c>
      <c r="E87" s="130">
        <f ca="1">(((C88/H84*10)+(40/(D84+F84+H84)*C89)+(7.5/(H84)*C90)+(7.5/(H84)*C91)+(10/H84*C92)+(10/H84*C93)+(5/H84*C94)+(5/H84*C95)+(5/H84*C96))/100)</f>
        <v>0.56428571428571428</v>
      </c>
      <c r="F87" s="131"/>
      <c r="G87" s="130">
        <f ca="1">((((C87/H84)*20)+((C88/H84)*25)+(30/(H84+F84+D84)*C89)+(5/H84*C90)+(5/H84*C91)+(5/H84*C92)+(5/H84*C93)+(0/H84*C94)+(0/H84*C95)+(5/H84*C96))/100)</f>
        <v>0.79285714285714293</v>
      </c>
      <c r="H87" s="138"/>
      <c r="I87" s="13" t="s">
        <v>96</v>
      </c>
      <c r="J87" s="26">
        <f ca="1">H84*50%</f>
        <v>3.5</v>
      </c>
    </row>
    <row r="88" spans="1:19" x14ac:dyDescent="0.35">
      <c r="A88" s="124" t="s">
        <v>48</v>
      </c>
      <c r="B88" s="125"/>
      <c r="C88" s="103">
        <f ca="1">J96</f>
        <v>7</v>
      </c>
      <c r="D88" s="104">
        <f ca="1">((100/H84)*C88)/100</f>
        <v>1</v>
      </c>
      <c r="E88" s="132"/>
      <c r="F88" s="133"/>
      <c r="G88" s="132"/>
      <c r="H88" s="139"/>
      <c r="I88" s="13" t="s">
        <v>97</v>
      </c>
      <c r="J88" s="26">
        <f ca="1">H84</f>
        <v>7</v>
      </c>
      <c r="S88"/>
    </row>
    <row r="89" spans="1:19" ht="15.75" customHeight="1" x14ac:dyDescent="0.35">
      <c r="A89" s="124" t="s">
        <v>122</v>
      </c>
      <c r="B89" s="125"/>
      <c r="C89" s="103">
        <v>8</v>
      </c>
      <c r="D89" s="104">
        <f ca="1">((100/(D84+F84+H84))*C89)/100</f>
        <v>1</v>
      </c>
      <c r="E89" s="132"/>
      <c r="F89" s="133"/>
      <c r="G89" s="132"/>
      <c r="H89" s="139"/>
      <c r="I89" s="13" t="s">
        <v>98</v>
      </c>
      <c r="J89" s="27">
        <f ca="1">(IF(B84&gt;1,(H84/(B84+2)),H84/4))</f>
        <v>1.75</v>
      </c>
      <c r="S89"/>
    </row>
    <row r="90" spans="1:19" ht="15.75" customHeight="1" x14ac:dyDescent="0.35">
      <c r="A90" s="124" t="s">
        <v>129</v>
      </c>
      <c r="B90" s="125" t="s">
        <v>123</v>
      </c>
      <c r="C90" s="103">
        <v>6</v>
      </c>
      <c r="D90" s="104">
        <f ca="1">((100/H84)*C90)/100</f>
        <v>0.85714285714285721</v>
      </c>
      <c r="E90" s="132"/>
      <c r="F90" s="133"/>
      <c r="G90" s="132"/>
      <c r="H90" s="139"/>
      <c r="I90" s="13" t="s">
        <v>99</v>
      </c>
      <c r="J90" s="27">
        <f ca="1">(IF(B84&gt;1,(H84/(B84+2)+J89),H84/4+J89))</f>
        <v>3.5</v>
      </c>
    </row>
    <row r="91" spans="1:19" ht="15.75" customHeight="1" x14ac:dyDescent="0.35">
      <c r="A91" s="124" t="s">
        <v>130</v>
      </c>
      <c r="B91" s="125" t="s">
        <v>123</v>
      </c>
      <c r="C91" s="103">
        <v>0</v>
      </c>
      <c r="D91" s="104">
        <f ca="1">((100/H84)*C91)/100</f>
        <v>0</v>
      </c>
      <c r="E91" s="132"/>
      <c r="F91" s="133"/>
      <c r="G91" s="132"/>
      <c r="H91" s="139"/>
      <c r="I91" s="13" t="s">
        <v>139</v>
      </c>
      <c r="J91" s="27">
        <f>(IF(B84&gt;1,(H84/(B84+2)+J90),0))</f>
        <v>0</v>
      </c>
    </row>
    <row r="92" spans="1:19" ht="15" customHeight="1" x14ac:dyDescent="0.35">
      <c r="A92" s="124" t="s">
        <v>128</v>
      </c>
      <c r="B92" s="125" t="s">
        <v>125</v>
      </c>
      <c r="C92" s="103">
        <v>0</v>
      </c>
      <c r="D92" s="104">
        <f ca="1">((100/(H84))*C92)/100</f>
        <v>0</v>
      </c>
      <c r="E92" s="132"/>
      <c r="F92" s="133"/>
      <c r="G92" s="132"/>
      <c r="H92" s="139"/>
      <c r="I92" s="13" t="s">
        <v>136</v>
      </c>
      <c r="J92" s="27">
        <f>(IF(B84&gt;2,(H84/(B84+2)+J91),0))</f>
        <v>0</v>
      </c>
    </row>
    <row r="93" spans="1:19" ht="15.75" customHeight="1" x14ac:dyDescent="0.35">
      <c r="A93" s="124" t="s">
        <v>124</v>
      </c>
      <c r="B93" s="125" t="s">
        <v>124</v>
      </c>
      <c r="C93" s="103">
        <v>0</v>
      </c>
      <c r="D93" s="104">
        <f ca="1">((100/H84)*C93)/100</f>
        <v>0</v>
      </c>
      <c r="E93" s="132"/>
      <c r="F93" s="133"/>
      <c r="G93" s="132"/>
      <c r="H93" s="139"/>
      <c r="I93" s="13" t="s">
        <v>137</v>
      </c>
      <c r="J93" s="28">
        <f>(IF(B84&gt;3,(H84/(B84+2)+J92),0))</f>
        <v>0</v>
      </c>
    </row>
    <row r="94" spans="1:19" ht="15.75" customHeight="1" x14ac:dyDescent="0.35">
      <c r="A94" s="124" t="s">
        <v>131</v>
      </c>
      <c r="B94" s="125"/>
      <c r="C94" s="103">
        <v>0</v>
      </c>
      <c r="D94" s="104">
        <f ca="1">((100/H84)*C94)/100</f>
        <v>0</v>
      </c>
      <c r="E94" s="132"/>
      <c r="F94" s="133"/>
      <c r="G94" s="132"/>
      <c r="H94" s="139"/>
      <c r="I94" s="13" t="s">
        <v>138</v>
      </c>
      <c r="J94" s="27">
        <f>(IF(B84&gt;4,(H84/(B84+2)+J93),0))</f>
        <v>0</v>
      </c>
    </row>
    <row r="95" spans="1:19" ht="15.75" customHeight="1" x14ac:dyDescent="0.35">
      <c r="A95" s="124" t="s">
        <v>126</v>
      </c>
      <c r="B95" s="125" t="s">
        <v>126</v>
      </c>
      <c r="C95" s="103">
        <v>0</v>
      </c>
      <c r="D95" s="104">
        <f ca="1">((100/(H84))*C95)/100</f>
        <v>0</v>
      </c>
      <c r="E95" s="132"/>
      <c r="F95" s="133"/>
      <c r="G95" s="132"/>
      <c r="H95" s="139"/>
      <c r="I95" s="13" t="s">
        <v>140</v>
      </c>
      <c r="J95" s="27">
        <f ca="1">(IF(B84=1,(H84/(B84+3)+J90),IF(B84=0,(H84/4+J90),IF(B84&gt;1,0))))</f>
        <v>5.25</v>
      </c>
    </row>
    <row r="96" spans="1:19" ht="16" thickBot="1" x14ac:dyDescent="0.4">
      <c r="A96" s="206" t="s">
        <v>127</v>
      </c>
      <c r="B96" s="207"/>
      <c r="C96" s="105">
        <v>0</v>
      </c>
      <c r="D96" s="106">
        <f ca="1">((100/(H84))*C96)/100</f>
        <v>0</v>
      </c>
      <c r="E96" s="134"/>
      <c r="F96" s="135"/>
      <c r="G96" s="134"/>
      <c r="H96" s="140"/>
      <c r="I96" s="14" t="s">
        <v>100</v>
      </c>
      <c r="J96" s="29">
        <f ca="1">(IF(B84&gt;1.5,(H84/(B84+2)+J90+MAX(0,J91-J90)+MAX(0,J92-J91)+MAX(0,J93-J92)+MAX(0,J94-J93)+MAX(0,J95-J94)),IF(B84=1,(H84/(B84+3)+J95),IF(B84=0,H84/4+J95))))</f>
        <v>7</v>
      </c>
    </row>
    <row r="97" spans="1:22" x14ac:dyDescent="0.35">
      <c r="A97" s="165" t="s">
        <v>150</v>
      </c>
      <c r="B97" s="165"/>
      <c r="C97" s="165"/>
      <c r="D97" s="165"/>
      <c r="E97" s="165"/>
      <c r="F97" s="217" t="s">
        <v>153</v>
      </c>
      <c r="G97" s="217"/>
      <c r="H97" s="217"/>
      <c r="R97" t="s">
        <v>244</v>
      </c>
      <c r="S97" t="s">
        <v>165</v>
      </c>
      <c r="T97" t="s">
        <v>171</v>
      </c>
      <c r="U97" t="s">
        <v>185</v>
      </c>
      <c r="V97" t="s">
        <v>180</v>
      </c>
    </row>
    <row r="98" spans="1:22" x14ac:dyDescent="0.35">
      <c r="A98" s="113" t="s">
        <v>152</v>
      </c>
      <c r="B98" s="113"/>
      <c r="C98" s="113"/>
      <c r="D98" s="113"/>
      <c r="E98" s="113"/>
      <c r="F98" s="162">
        <v>3700</v>
      </c>
      <c r="G98" s="162"/>
      <c r="H98" s="162"/>
      <c r="R98"/>
      <c r="S98">
        <v>800000</v>
      </c>
      <c r="T98">
        <v>150000</v>
      </c>
      <c r="U98">
        <v>100000</v>
      </c>
      <c r="V98">
        <v>100000</v>
      </c>
    </row>
    <row r="99" spans="1:22" x14ac:dyDescent="0.35">
      <c r="A99" s="113" t="s">
        <v>151</v>
      </c>
      <c r="B99" s="113"/>
      <c r="C99" s="113"/>
      <c r="D99" s="113"/>
      <c r="E99" s="113"/>
      <c r="F99" s="162">
        <v>6000</v>
      </c>
      <c r="G99" s="162"/>
      <c r="H99" s="162"/>
      <c r="I99" s="19"/>
      <c r="J99" s="94"/>
      <c r="R99"/>
      <c r="S99">
        <v>900000</v>
      </c>
      <c r="T99">
        <v>200000</v>
      </c>
      <c r="U99">
        <v>150000</v>
      </c>
      <c r="V99">
        <v>150000</v>
      </c>
    </row>
    <row r="100" spans="1:22" s="30" customFormat="1" x14ac:dyDescent="0.35">
      <c r="A100" s="113" t="s">
        <v>90</v>
      </c>
      <c r="B100" s="113"/>
      <c r="C100" s="113"/>
      <c r="D100" s="113"/>
      <c r="E100" s="113"/>
      <c r="F100" s="162">
        <v>150000</v>
      </c>
      <c r="G100" s="162"/>
      <c r="H100" s="162"/>
      <c r="R100"/>
      <c r="S100">
        <v>1200000</v>
      </c>
      <c r="T100">
        <v>350000</v>
      </c>
      <c r="U100">
        <v>300000</v>
      </c>
      <c r="V100">
        <v>300000</v>
      </c>
    </row>
    <row r="101" spans="1:22" s="30" customFormat="1" hidden="1" x14ac:dyDescent="0.35">
      <c r="A101" s="113" t="s">
        <v>91</v>
      </c>
      <c r="B101" s="113"/>
      <c r="C101" s="113"/>
      <c r="D101" s="113"/>
      <c r="E101" s="113"/>
      <c r="F101" s="162"/>
      <c r="G101" s="162"/>
      <c r="H101" s="162"/>
      <c r="R101"/>
      <c r="S101">
        <v>1300000</v>
      </c>
      <c r="T101">
        <v>400000</v>
      </c>
      <c r="U101">
        <v>350000</v>
      </c>
      <c r="V101" s="20">
        <v>400000</v>
      </c>
    </row>
    <row r="102" spans="1:22" s="30" customFormat="1" hidden="1" x14ac:dyDescent="0.35">
      <c r="A102" s="113" t="s">
        <v>92</v>
      </c>
      <c r="B102" s="113"/>
      <c r="C102" s="113"/>
      <c r="D102" s="113"/>
      <c r="E102" s="113"/>
      <c r="F102" s="162"/>
      <c r="G102" s="162"/>
      <c r="H102" s="162"/>
      <c r="R102"/>
      <c r="S102">
        <v>1400000</v>
      </c>
      <c r="T102">
        <v>500000</v>
      </c>
      <c r="U102">
        <v>400000</v>
      </c>
      <c r="V102"/>
    </row>
    <row r="103" spans="1:22" s="30" customFormat="1" hidden="1" x14ac:dyDescent="0.35">
      <c r="A103" s="113" t="s">
        <v>93</v>
      </c>
      <c r="B103" s="113"/>
      <c r="C103" s="113"/>
      <c r="D103" s="113"/>
      <c r="E103" s="113"/>
      <c r="F103" s="162"/>
      <c r="G103" s="162"/>
      <c r="H103" s="162"/>
      <c r="R103"/>
      <c r="S103">
        <v>1500000</v>
      </c>
      <c r="T103">
        <v>600000</v>
      </c>
      <c r="U103">
        <v>500000</v>
      </c>
      <c r="V103" s="20"/>
    </row>
    <row r="104" spans="1:22" s="30" customFormat="1" x14ac:dyDescent="0.35">
      <c r="A104" s="113" t="s">
        <v>94</v>
      </c>
      <c r="B104" s="113"/>
      <c r="C104" s="113"/>
      <c r="D104" s="113"/>
      <c r="E104" s="113"/>
      <c r="F104" s="162">
        <v>75000</v>
      </c>
      <c r="G104" s="162"/>
      <c r="H104" s="162"/>
      <c r="R104"/>
      <c r="S104">
        <v>1600000</v>
      </c>
      <c r="T104">
        <v>700000</v>
      </c>
      <c r="U104">
        <v>600000</v>
      </c>
      <c r="V104"/>
    </row>
    <row r="105" spans="1:22" s="30" customFormat="1" hidden="1" x14ac:dyDescent="0.35">
      <c r="A105" s="113" t="s">
        <v>95</v>
      </c>
      <c r="B105" s="113"/>
      <c r="C105" s="113"/>
      <c r="D105" s="113"/>
      <c r="E105" s="113"/>
      <c r="F105" s="162"/>
      <c r="G105" s="162"/>
      <c r="H105" s="162"/>
      <c r="R105"/>
      <c r="S105">
        <v>1700000</v>
      </c>
      <c r="T105">
        <v>800000</v>
      </c>
      <c r="U105"/>
      <c r="V105" s="20"/>
    </row>
    <row r="106" spans="1:22" x14ac:dyDescent="0.35">
      <c r="A106" s="113" t="s">
        <v>49</v>
      </c>
      <c r="B106" s="113"/>
      <c r="C106" s="113"/>
      <c r="D106" s="113"/>
      <c r="E106" s="113"/>
      <c r="F106" s="162">
        <v>150000</v>
      </c>
      <c r="G106" s="162"/>
      <c r="H106" s="162"/>
      <c r="R106"/>
      <c r="S106">
        <v>1800000</v>
      </c>
      <c r="T106">
        <v>900000</v>
      </c>
      <c r="U106"/>
    </row>
    <row r="107" spans="1:22" s="31" customFormat="1" x14ac:dyDescent="0.35">
      <c r="A107" s="168" t="s">
        <v>50</v>
      </c>
      <c r="B107" s="168"/>
      <c r="C107" s="168"/>
      <c r="D107" s="168"/>
      <c r="E107" s="168"/>
      <c r="F107" s="162">
        <f>F98*0.8</f>
        <v>2960</v>
      </c>
      <c r="G107" s="162"/>
      <c r="H107" s="162"/>
      <c r="R107" s="18"/>
      <c r="S107" s="18"/>
      <c r="T107">
        <v>1000000</v>
      </c>
      <c r="U107"/>
      <c r="V107" s="18"/>
    </row>
    <row r="108" spans="1:22" s="32" customFormat="1" ht="15.75" customHeight="1" x14ac:dyDescent="0.35">
      <c r="A108" s="141" t="s">
        <v>71</v>
      </c>
      <c r="B108" s="141"/>
      <c r="C108" s="141"/>
      <c r="D108" s="141"/>
      <c r="E108" s="141"/>
      <c r="F108" s="141"/>
      <c r="G108" s="141"/>
      <c r="H108" s="141"/>
      <c r="R108"/>
      <c r="S108" s="18"/>
      <c r="T108"/>
      <c r="U108"/>
      <c r="V108" s="18"/>
    </row>
    <row r="109" spans="1:22" s="32" customFormat="1" ht="15.75" customHeight="1" x14ac:dyDescent="0.35">
      <c r="A109" s="146" t="s">
        <v>51</v>
      </c>
      <c r="B109" s="146"/>
      <c r="C109" s="143" t="s">
        <v>74</v>
      </c>
      <c r="D109" s="143"/>
      <c r="E109" s="145" t="s">
        <v>52</v>
      </c>
      <c r="F109" s="145"/>
      <c r="G109" s="146" t="s">
        <v>53</v>
      </c>
      <c r="H109" s="146"/>
      <c r="R109"/>
      <c r="S109" s="18"/>
      <c r="T109"/>
      <c r="U109" s="18"/>
      <c r="V109" s="18"/>
    </row>
    <row r="110" spans="1:22" s="32" customFormat="1" x14ac:dyDescent="0.35">
      <c r="A110" s="147" t="s">
        <v>381</v>
      </c>
      <c r="B110" s="147"/>
      <c r="C110" s="126">
        <f>COUNT(D124:D130)</f>
        <v>7</v>
      </c>
      <c r="D110" s="126"/>
      <c r="E110" s="126">
        <f>SUM(F124:F130)</f>
        <v>969.08292000000006</v>
      </c>
      <c r="F110" s="126"/>
      <c r="G110" s="126">
        <f>SUM(H124:H130)</f>
        <v>1453.6243799999997</v>
      </c>
      <c r="H110" s="126"/>
      <c r="R110"/>
      <c r="S110" s="18"/>
      <c r="T110"/>
      <c r="U110" s="18"/>
      <c r="V110" s="18"/>
    </row>
    <row r="111" spans="1:22" s="32" customFormat="1" x14ac:dyDescent="0.35">
      <c r="A111" s="141" t="s">
        <v>143</v>
      </c>
      <c r="B111" s="141"/>
      <c r="C111" s="142">
        <f>SUM(C110)</f>
        <v>7</v>
      </c>
      <c r="D111" s="143"/>
      <c r="E111" s="144">
        <f>SUM(E110)</f>
        <v>969.08292000000006</v>
      </c>
      <c r="F111" s="145"/>
      <c r="G111" s="146">
        <f>SUM(G110)</f>
        <v>1453.6243799999997</v>
      </c>
      <c r="H111" s="146"/>
      <c r="R111"/>
      <c r="S111" s="18"/>
      <c r="T111"/>
      <c r="U111" s="18"/>
      <c r="V111" s="18"/>
    </row>
    <row r="112" spans="1:22" s="32" customFormat="1" x14ac:dyDescent="0.35">
      <c r="A112" s="141" t="s">
        <v>66</v>
      </c>
      <c r="B112" s="141"/>
      <c r="C112" s="141"/>
      <c r="D112" s="141"/>
      <c r="E112" s="141"/>
      <c r="F112" s="141"/>
      <c r="G112" s="141"/>
      <c r="H112" s="141"/>
      <c r="T112"/>
    </row>
    <row r="113" spans="1:20" s="32" customFormat="1" ht="15.75" customHeight="1" x14ac:dyDescent="0.35">
      <c r="A113" s="146" t="s">
        <v>51</v>
      </c>
      <c r="B113" s="146"/>
      <c r="C113" s="143" t="s">
        <v>74</v>
      </c>
      <c r="D113" s="143"/>
      <c r="E113" s="145" t="s">
        <v>52</v>
      </c>
      <c r="F113" s="145"/>
      <c r="G113" s="146" t="s">
        <v>53</v>
      </c>
      <c r="H113" s="146"/>
      <c r="T113"/>
    </row>
    <row r="114" spans="1:20" s="32" customFormat="1" x14ac:dyDescent="0.35">
      <c r="A114" s="147" t="s">
        <v>381</v>
      </c>
      <c r="B114" s="147"/>
      <c r="C114" s="126">
        <f>COUNT(D136:D139)+COUNT(D141:D144)*6</f>
        <v>28</v>
      </c>
      <c r="D114" s="126"/>
      <c r="E114" s="126">
        <f>SUM(F136:F139)+SUM(F141:F144)*6</f>
        <v>13035.849839999999</v>
      </c>
      <c r="F114" s="126"/>
      <c r="G114" s="126">
        <f>SUM(H136:H139)+SUM(H141:H144)*6</f>
        <v>19056.822407999996</v>
      </c>
      <c r="H114" s="126"/>
      <c r="T114"/>
    </row>
    <row r="115" spans="1:20" s="32" customFormat="1" x14ac:dyDescent="0.35">
      <c r="A115" s="147" t="s">
        <v>382</v>
      </c>
      <c r="B115" s="147"/>
      <c r="C115" s="126">
        <f>COUNT(D148:D151)*7</f>
        <v>28</v>
      </c>
      <c r="D115" s="126"/>
      <c r="E115" s="126">
        <f>SUM(F148:F151)*7</f>
        <v>10128.27816</v>
      </c>
      <c r="F115" s="126"/>
      <c r="G115" s="126">
        <f>SUM(H148:H151)*7</f>
        <v>14686.003331999998</v>
      </c>
      <c r="H115" s="126"/>
      <c r="T115"/>
    </row>
    <row r="116" spans="1:20" s="32" customFormat="1" x14ac:dyDescent="0.35">
      <c r="A116" s="141" t="s">
        <v>143</v>
      </c>
      <c r="B116" s="141"/>
      <c r="C116" s="142">
        <f>SUM(C114:C115)</f>
        <v>56</v>
      </c>
      <c r="D116" s="143"/>
      <c r="E116" s="144">
        <f>SUM(E114:E115)</f>
        <v>23164.127999999997</v>
      </c>
      <c r="F116" s="145"/>
      <c r="G116" s="146">
        <f>SUM(G114:G115)</f>
        <v>33742.825739999993</v>
      </c>
      <c r="H116" s="146"/>
      <c r="T116"/>
    </row>
    <row r="117" spans="1:20" s="32" customFormat="1" x14ac:dyDescent="0.35">
      <c r="A117" s="141" t="s">
        <v>159</v>
      </c>
      <c r="B117" s="141"/>
      <c r="C117" s="143">
        <f>C111+C116</f>
        <v>63</v>
      </c>
      <c r="D117" s="143"/>
      <c r="E117" s="144">
        <f>E111+E116</f>
        <v>24133.210919999998</v>
      </c>
      <c r="F117" s="144"/>
      <c r="G117" s="146">
        <f>G111+G116</f>
        <v>35196.450119999994</v>
      </c>
      <c r="H117" s="146"/>
      <c r="T117"/>
    </row>
    <row r="118" spans="1:20" s="31" customFormat="1" x14ac:dyDescent="0.35">
      <c r="A118" s="201" t="s">
        <v>339</v>
      </c>
      <c r="B118" s="201"/>
      <c r="C118" s="201"/>
      <c r="D118" s="201"/>
      <c r="E118" s="201"/>
      <c r="F118" s="201"/>
      <c r="G118" s="201"/>
      <c r="H118" s="201"/>
      <c r="T118" s="32"/>
    </row>
    <row r="119" spans="1:20" x14ac:dyDescent="0.35">
      <c r="A119" s="211" t="s">
        <v>167</v>
      </c>
      <c r="B119" s="211"/>
      <c r="C119" s="211"/>
      <c r="D119" s="211"/>
      <c r="E119" s="211"/>
      <c r="F119" s="211"/>
      <c r="G119" s="211"/>
      <c r="H119" s="211"/>
      <c r="T119" s="32"/>
    </row>
    <row r="120" spans="1:20" ht="47.25" customHeight="1" x14ac:dyDescent="0.35">
      <c r="A120" s="122" t="s">
        <v>385</v>
      </c>
      <c r="B120" s="122" t="s">
        <v>168</v>
      </c>
      <c r="C120" s="122" t="s">
        <v>54</v>
      </c>
      <c r="D120" s="122" t="s">
        <v>223</v>
      </c>
      <c r="E120" s="158" t="s">
        <v>149</v>
      </c>
      <c r="F120" s="122" t="s">
        <v>55</v>
      </c>
      <c r="G120" s="158" t="s">
        <v>56</v>
      </c>
      <c r="H120" s="97" t="s">
        <v>142</v>
      </c>
      <c r="T120" s="32"/>
    </row>
    <row r="121" spans="1:20" s="34" customFormat="1" x14ac:dyDescent="0.35">
      <c r="A121" s="123"/>
      <c r="B121" s="123"/>
      <c r="C121" s="123"/>
      <c r="D121" s="123"/>
      <c r="E121" s="159"/>
      <c r="F121" s="123"/>
      <c r="G121" s="159"/>
      <c r="H121" s="102">
        <v>0.5</v>
      </c>
      <c r="T121" s="32"/>
    </row>
    <row r="122" spans="1:20" s="92" customFormat="1" x14ac:dyDescent="0.35">
      <c r="A122" s="115" t="s">
        <v>381</v>
      </c>
      <c r="B122" s="116"/>
      <c r="C122" s="116"/>
      <c r="D122" s="116"/>
      <c r="E122" s="116"/>
      <c r="F122" s="116"/>
      <c r="G122" s="116"/>
      <c r="H122" s="117"/>
      <c r="J122" s="33"/>
      <c r="T122" s="32"/>
    </row>
    <row r="123" spans="1:20" s="34" customFormat="1" x14ac:dyDescent="0.35">
      <c r="A123" s="115" t="s">
        <v>383</v>
      </c>
      <c r="B123" s="116"/>
      <c r="C123" s="116"/>
      <c r="D123" s="116"/>
      <c r="E123" s="116"/>
      <c r="F123" s="116"/>
      <c r="G123" s="116"/>
      <c r="H123" s="117"/>
      <c r="J123" s="33"/>
      <c r="T123" s="32"/>
    </row>
    <row r="124" spans="1:20" s="34" customFormat="1" ht="15.75" customHeight="1" x14ac:dyDescent="0.35">
      <c r="A124" s="111">
        <v>1</v>
      </c>
      <c r="B124" s="112"/>
      <c r="C124" s="39" t="s">
        <v>384</v>
      </c>
      <c r="D124" s="95">
        <f>(12.33)*(10.764)</f>
        <v>132.72011999999998</v>
      </c>
      <c r="E124" s="39">
        <v>0</v>
      </c>
      <c r="F124" s="56">
        <f t="shared" ref="F124:F130" si="0">D124+(IF(E124&lt;201,E124,IF(E124&lt;301,E124/2,E124/3)))</f>
        <v>132.72011999999998</v>
      </c>
      <c r="G124" s="57">
        <v>0</v>
      </c>
      <c r="H124" s="56">
        <f t="shared" ref="H124:H130" si="1">(F124+(IF(G124&lt;101,G124,IF(G124&lt;201,G124/2,IF(G124&lt;=301,G124/3,G124/4)))))*(($H$121)+1)</f>
        <v>199.08017999999998</v>
      </c>
      <c r="I124" s="33"/>
      <c r="L124" s="118"/>
      <c r="M124" s="118"/>
      <c r="N124" s="33"/>
      <c r="T124" s="32"/>
    </row>
    <row r="125" spans="1:20" s="34" customFormat="1" ht="15.75" customHeight="1" x14ac:dyDescent="0.35">
      <c r="A125" s="111">
        <f>A124+1</f>
        <v>2</v>
      </c>
      <c r="B125" s="112"/>
      <c r="C125" s="93" t="s">
        <v>384</v>
      </c>
      <c r="D125" s="95">
        <f>(13.1)*(10.764)</f>
        <v>141.00839999999999</v>
      </c>
      <c r="E125" s="39">
        <v>0</v>
      </c>
      <c r="F125" s="56">
        <f t="shared" si="0"/>
        <v>141.00839999999999</v>
      </c>
      <c r="G125" s="50">
        <v>0</v>
      </c>
      <c r="H125" s="56">
        <f t="shared" si="1"/>
        <v>211.51259999999999</v>
      </c>
      <c r="I125" s="33"/>
      <c r="L125" s="118"/>
      <c r="M125" s="118"/>
      <c r="N125" s="33"/>
      <c r="T125" s="31"/>
    </row>
    <row r="126" spans="1:20" s="34" customFormat="1" ht="15.75" customHeight="1" x14ac:dyDescent="0.35">
      <c r="A126" s="111">
        <f>A125+1</f>
        <v>3</v>
      </c>
      <c r="B126" s="112"/>
      <c r="C126" s="93" t="s">
        <v>384</v>
      </c>
      <c r="D126" s="95">
        <f>(12.71)*(10.764)</f>
        <v>136.81044</v>
      </c>
      <c r="E126" s="39">
        <v>0</v>
      </c>
      <c r="F126" s="56">
        <f t="shared" si="0"/>
        <v>136.81044</v>
      </c>
      <c r="G126" s="50">
        <v>0</v>
      </c>
      <c r="H126" s="56">
        <f t="shared" si="1"/>
        <v>205.21566000000001</v>
      </c>
      <c r="I126" s="33"/>
      <c r="L126" s="118"/>
      <c r="M126" s="118"/>
      <c r="N126" s="33"/>
      <c r="T126" s="18"/>
    </row>
    <row r="127" spans="1:20" s="34" customFormat="1" ht="15.75" customHeight="1" x14ac:dyDescent="0.35">
      <c r="A127" s="111">
        <f>A126+1</f>
        <v>4</v>
      </c>
      <c r="B127" s="112"/>
      <c r="C127" s="93" t="s">
        <v>384</v>
      </c>
      <c r="D127" s="95">
        <f>(15.37)*(10.764)</f>
        <v>165.44268</v>
      </c>
      <c r="E127" s="39">
        <v>0</v>
      </c>
      <c r="F127" s="56">
        <f t="shared" si="0"/>
        <v>165.44268</v>
      </c>
      <c r="G127" s="50">
        <v>0</v>
      </c>
      <c r="H127" s="56">
        <f t="shared" si="1"/>
        <v>248.16401999999999</v>
      </c>
      <c r="I127" s="33"/>
      <c r="L127" s="118"/>
      <c r="M127" s="118"/>
      <c r="N127" s="33"/>
      <c r="T127" s="18"/>
    </row>
    <row r="128" spans="1:20" s="92" customFormat="1" ht="15.75" customHeight="1" x14ac:dyDescent="0.35">
      <c r="A128" s="111">
        <f t="shared" ref="A128:A130" si="2">A127+1</f>
        <v>5</v>
      </c>
      <c r="B128" s="112"/>
      <c r="C128" s="93" t="s">
        <v>384</v>
      </c>
      <c r="D128" s="95">
        <f>(14.94)*(10.764)</f>
        <v>160.81415999999999</v>
      </c>
      <c r="E128" s="93">
        <v>0</v>
      </c>
      <c r="F128" s="93">
        <f t="shared" si="0"/>
        <v>160.81415999999999</v>
      </c>
      <c r="G128" s="57">
        <v>0</v>
      </c>
      <c r="H128" s="93">
        <f t="shared" si="1"/>
        <v>241.22123999999997</v>
      </c>
      <c r="I128" s="33"/>
      <c r="L128" s="118"/>
      <c r="M128" s="118"/>
      <c r="N128" s="33"/>
      <c r="T128" s="32"/>
    </row>
    <row r="129" spans="1:20" s="92" customFormat="1" ht="15.75" customHeight="1" x14ac:dyDescent="0.35">
      <c r="A129" s="111">
        <f t="shared" si="2"/>
        <v>6</v>
      </c>
      <c r="B129" s="112"/>
      <c r="C129" s="93" t="s">
        <v>384</v>
      </c>
      <c r="D129" s="96">
        <f>(10.61)*(10.764)</f>
        <v>114.20603999999999</v>
      </c>
      <c r="E129" s="93">
        <v>0</v>
      </c>
      <c r="F129" s="93">
        <f t="shared" si="0"/>
        <v>114.20603999999999</v>
      </c>
      <c r="G129" s="93">
        <v>0</v>
      </c>
      <c r="H129" s="93">
        <f t="shared" si="1"/>
        <v>171.30905999999999</v>
      </c>
      <c r="I129" s="33"/>
      <c r="L129" s="118"/>
      <c r="M129" s="118"/>
      <c r="N129" s="33"/>
      <c r="T129" s="31"/>
    </row>
    <row r="130" spans="1:20" s="92" customFormat="1" ht="15.75" customHeight="1" x14ac:dyDescent="0.35">
      <c r="A130" s="111">
        <f t="shared" si="2"/>
        <v>7</v>
      </c>
      <c r="B130" s="112"/>
      <c r="C130" s="93" t="s">
        <v>384</v>
      </c>
      <c r="D130" s="96">
        <f>(10.97)*(10.764)</f>
        <v>118.08108</v>
      </c>
      <c r="E130" s="93">
        <v>0</v>
      </c>
      <c r="F130" s="93">
        <f t="shared" si="0"/>
        <v>118.08108</v>
      </c>
      <c r="G130" s="93">
        <v>0</v>
      </c>
      <c r="H130" s="93">
        <f t="shared" si="1"/>
        <v>177.12162000000001</v>
      </c>
      <c r="I130" s="33"/>
      <c r="L130" s="118"/>
      <c r="M130" s="118"/>
      <c r="N130" s="33"/>
      <c r="T130" s="18"/>
    </row>
    <row r="131" spans="1:20" s="34" customFormat="1" x14ac:dyDescent="0.35">
      <c r="A131" s="111"/>
      <c r="B131" s="218"/>
      <c r="C131" s="218"/>
      <c r="D131" s="218"/>
      <c r="E131" s="218"/>
      <c r="F131" s="218"/>
      <c r="G131" s="218"/>
      <c r="H131" s="112"/>
      <c r="I131" s="33"/>
      <c r="N131" s="33"/>
    </row>
    <row r="132" spans="1:20" ht="47.25" customHeight="1" x14ac:dyDescent="0.35">
      <c r="A132" s="219" t="s">
        <v>386</v>
      </c>
      <c r="B132" s="122" t="s">
        <v>169</v>
      </c>
      <c r="C132" s="122" t="s">
        <v>54</v>
      </c>
      <c r="D132" s="122" t="s">
        <v>223</v>
      </c>
      <c r="E132" s="122" t="s">
        <v>392</v>
      </c>
      <c r="F132" s="122" t="s">
        <v>55</v>
      </c>
      <c r="G132" s="156" t="s">
        <v>56</v>
      </c>
      <c r="H132" s="62" t="s">
        <v>142</v>
      </c>
      <c r="I132" s="33"/>
      <c r="T132" s="34"/>
    </row>
    <row r="133" spans="1:20" s="34" customFormat="1" x14ac:dyDescent="0.35">
      <c r="A133" s="220"/>
      <c r="B133" s="123"/>
      <c r="C133" s="123"/>
      <c r="D133" s="123"/>
      <c r="E133" s="123"/>
      <c r="F133" s="123"/>
      <c r="G133" s="157"/>
      <c r="H133" s="102">
        <v>0.45</v>
      </c>
      <c r="I133" s="33"/>
    </row>
    <row r="134" spans="1:20" s="34" customFormat="1" ht="15.75" customHeight="1" x14ac:dyDescent="0.35">
      <c r="A134" s="136" t="s">
        <v>387</v>
      </c>
      <c r="B134" s="136"/>
      <c r="C134" s="136"/>
      <c r="D134" s="136"/>
      <c r="E134" s="136"/>
      <c r="F134" s="136"/>
      <c r="G134" s="137"/>
      <c r="H134" s="136"/>
      <c r="J134" s="33"/>
    </row>
    <row r="135" spans="1:20" s="92" customFormat="1" ht="15.75" customHeight="1" x14ac:dyDescent="0.35">
      <c r="A135" s="136" t="s">
        <v>388</v>
      </c>
      <c r="B135" s="136"/>
      <c r="C135" s="136"/>
      <c r="D135" s="136"/>
      <c r="E135" s="136"/>
      <c r="F135" s="136"/>
      <c r="G135" s="137"/>
      <c r="H135" s="137"/>
      <c r="J135" s="33"/>
    </row>
    <row r="136" spans="1:20" s="34" customFormat="1" ht="15.75" customHeight="1" x14ac:dyDescent="0.35">
      <c r="A136" s="111">
        <v>1</v>
      </c>
      <c r="B136" s="112"/>
      <c r="C136" s="99" t="s">
        <v>389</v>
      </c>
      <c r="D136" s="95">
        <f>(29.35+2.21)*(10.764)</f>
        <v>339.71184</v>
      </c>
      <c r="E136" s="95">
        <f>(1.89)*(10.764)</f>
        <v>20.343959999999999</v>
      </c>
      <c r="F136" s="39">
        <f>D136+E136</f>
        <v>360.05579999999998</v>
      </c>
      <c r="G136" s="95">
        <f>0*(10.764)</f>
        <v>0</v>
      </c>
      <c r="H136" s="50">
        <f>F136*(($H$133)+1)+(IF(G136&lt;101,G136,IF(G136&lt;201,G136/2,IF(G136&lt;=301,G136/3,G136/4))))</f>
        <v>522.0809099999999</v>
      </c>
      <c r="I136" s="33"/>
      <c r="L136" s="118"/>
      <c r="M136" s="118"/>
      <c r="N136" s="33"/>
    </row>
    <row r="137" spans="1:20" s="34" customFormat="1" ht="15.75" customHeight="1" x14ac:dyDescent="0.35">
      <c r="A137" s="111">
        <f>A136+1</f>
        <v>2</v>
      </c>
      <c r="B137" s="112"/>
      <c r="C137" s="99" t="s">
        <v>390</v>
      </c>
      <c r="D137" s="95">
        <f>(49.64)*(10.764)</f>
        <v>534.32495999999992</v>
      </c>
      <c r="E137" s="95">
        <f>(1.89)*(10.764)</f>
        <v>20.343959999999999</v>
      </c>
      <c r="F137" s="50">
        <f>D137+E137</f>
        <v>554.66891999999996</v>
      </c>
      <c r="G137" s="95">
        <f>0*(10.764)</f>
        <v>0</v>
      </c>
      <c r="H137" s="50">
        <f>F137*(($H$133)+1)+(IF(G137&lt;101,G137,IF(G137&lt;201,G137/2,IF(G137&lt;=301,G137/3,G137/4))))</f>
        <v>804.26993399999992</v>
      </c>
      <c r="I137" s="33"/>
      <c r="L137" s="118"/>
      <c r="M137" s="118"/>
      <c r="N137" s="33"/>
    </row>
    <row r="138" spans="1:20" s="34" customFormat="1" ht="15.75" customHeight="1" x14ac:dyDescent="0.35">
      <c r="A138" s="111">
        <f>A137+1</f>
        <v>3</v>
      </c>
      <c r="B138" s="112"/>
      <c r="C138" s="99" t="s">
        <v>390</v>
      </c>
      <c r="D138" s="95">
        <f>(50.45)*(10.764)</f>
        <v>543.04380000000003</v>
      </c>
      <c r="E138" s="95">
        <f>0*(10.764)</f>
        <v>0</v>
      </c>
      <c r="F138" s="50">
        <f>D138+E138</f>
        <v>543.04380000000003</v>
      </c>
      <c r="G138" s="95">
        <f>(16.47)*(10.764)</f>
        <v>177.28307999999998</v>
      </c>
      <c r="H138" s="50">
        <f>F138*(($H$133)+1)+(IF(G138&lt;101,G138,IF(G138&lt;201,G138/2,IF(G138&lt;=301,G138/3,G138/4))))</f>
        <v>876.05504999999994</v>
      </c>
      <c r="I138" s="33"/>
      <c r="L138" s="118"/>
      <c r="M138" s="118"/>
      <c r="N138" s="33"/>
    </row>
    <row r="139" spans="1:20" s="34" customFormat="1" ht="15.75" customHeight="1" x14ac:dyDescent="0.35">
      <c r="A139" s="111">
        <f>A138+1</f>
        <v>4</v>
      </c>
      <c r="B139" s="112"/>
      <c r="C139" s="99" t="s">
        <v>389</v>
      </c>
      <c r="D139" s="95">
        <f>(34.09)*(10.764)</f>
        <v>366.94476000000003</v>
      </c>
      <c r="E139" s="95">
        <f>0*(10.764)</f>
        <v>0</v>
      </c>
      <c r="F139" s="50">
        <f>D139+E139</f>
        <v>366.94476000000003</v>
      </c>
      <c r="G139" s="95">
        <f>(12.3)*(10.764)</f>
        <v>132.3972</v>
      </c>
      <c r="H139" s="50">
        <f>F139*(($H$133)+1)+(IF(G139&lt;101,G139,IF(G139&lt;201,G139/2,IF(G139&lt;=301,G139/3,G139/4))))</f>
        <v>598.26850200000013</v>
      </c>
      <c r="I139" s="33"/>
      <c r="L139" s="118"/>
      <c r="M139" s="118"/>
      <c r="N139" s="33"/>
      <c r="T139" s="18"/>
    </row>
    <row r="140" spans="1:20" s="34" customFormat="1" x14ac:dyDescent="0.35">
      <c r="A140" s="149" t="s">
        <v>391</v>
      </c>
      <c r="B140" s="149"/>
      <c r="C140" s="150"/>
      <c r="D140" s="150"/>
      <c r="E140" s="150"/>
      <c r="F140" s="149"/>
      <c r="G140" s="150"/>
      <c r="H140" s="149"/>
      <c r="I140" s="33"/>
      <c r="L140" s="118"/>
      <c r="M140" s="118"/>
    </row>
    <row r="141" spans="1:20" s="34" customFormat="1" x14ac:dyDescent="0.35">
      <c r="A141" s="111">
        <v>1</v>
      </c>
      <c r="B141" s="112"/>
      <c r="C141" s="101" t="s">
        <v>389</v>
      </c>
      <c r="D141" s="96">
        <f>(29.35+2.21)*(10.764)</f>
        <v>339.71184</v>
      </c>
      <c r="E141" s="96">
        <f>(1.89)*(10.764)</f>
        <v>20.343959999999999</v>
      </c>
      <c r="F141" s="50">
        <f>D141+E141</f>
        <v>360.05579999999998</v>
      </c>
      <c r="G141" s="50">
        <v>0</v>
      </c>
      <c r="H141" s="50">
        <f>F141*(($H$133)+1)+(IF(G141&lt;101,G141,IF(G141&lt;201,G141/2,IF(G141&lt;=301,G141/3,G141/4))))</f>
        <v>522.0809099999999</v>
      </c>
      <c r="I141" s="33"/>
      <c r="N141" s="33"/>
    </row>
    <row r="142" spans="1:20" s="34" customFormat="1" x14ac:dyDescent="0.35">
      <c r="A142" s="111">
        <f>A141+1</f>
        <v>2</v>
      </c>
      <c r="B142" s="112"/>
      <c r="C142" s="101" t="s">
        <v>390</v>
      </c>
      <c r="D142" s="96">
        <f>(49.64)*(10.764)</f>
        <v>534.32495999999992</v>
      </c>
      <c r="E142" s="96">
        <f>(1.89)*(10.764)</f>
        <v>20.343959999999999</v>
      </c>
      <c r="F142" s="50">
        <f>D142+E142</f>
        <v>554.66891999999996</v>
      </c>
      <c r="G142" s="50">
        <v>0</v>
      </c>
      <c r="H142" s="50">
        <f>F142*(($H$133)+1)+(IF(G142&lt;101,G142,IF(G142&lt;201,G142/2,IF(G142&lt;=301,G142/3,G142/4))))</f>
        <v>804.26993399999992</v>
      </c>
      <c r="I142" s="33"/>
      <c r="N142" s="33"/>
    </row>
    <row r="143" spans="1:20" s="34" customFormat="1" x14ac:dyDescent="0.35">
      <c r="A143" s="111">
        <f>A142+1</f>
        <v>3</v>
      </c>
      <c r="B143" s="112"/>
      <c r="C143" s="101" t="s">
        <v>390</v>
      </c>
      <c r="D143" s="96">
        <f>(49.91)*(10.764)</f>
        <v>537.23123999999996</v>
      </c>
      <c r="E143" s="96">
        <f>(4.36)*(10.764)</f>
        <v>46.931040000000003</v>
      </c>
      <c r="F143" s="50">
        <f>D143+E143</f>
        <v>584.16228000000001</v>
      </c>
      <c r="G143" s="50">
        <v>0</v>
      </c>
      <c r="H143" s="50">
        <f>F143*(($H$133)+1)+(IF(G143&lt;101,G143,IF(G143&lt;201,G143/2,IF(G143&lt;=301,G143/3,G143/4))))</f>
        <v>847.03530599999999</v>
      </c>
      <c r="I143" s="33"/>
      <c r="N143" s="33"/>
    </row>
    <row r="144" spans="1:20" s="34" customFormat="1" x14ac:dyDescent="0.35">
      <c r="A144" s="111">
        <f>A143+1</f>
        <v>4</v>
      </c>
      <c r="B144" s="112"/>
      <c r="C144" s="101" t="s">
        <v>389</v>
      </c>
      <c r="D144" s="96">
        <f>(27.9+4.55)*(10.764)</f>
        <v>349.29179999999991</v>
      </c>
      <c r="E144" s="96">
        <f>(1.89)*(10.764)</f>
        <v>20.343959999999999</v>
      </c>
      <c r="F144" s="50">
        <f>D144+E144</f>
        <v>369.63575999999989</v>
      </c>
      <c r="G144" s="50">
        <v>0</v>
      </c>
      <c r="H144" s="50">
        <f>F144*(($H$133)+1)+(IF(G144&lt;101,G144,IF(G144&lt;201,G144/2,IF(G144&lt;=301,G144/3,G144/4))))</f>
        <v>535.97185199999979</v>
      </c>
      <c r="I144" s="33"/>
      <c r="N144" s="33"/>
    </row>
    <row r="145" spans="1:20" s="98" customFormat="1" x14ac:dyDescent="0.35">
      <c r="A145" s="109" t="s">
        <v>393</v>
      </c>
      <c r="B145" s="109"/>
      <c r="C145" s="110"/>
      <c r="D145" s="110"/>
      <c r="E145" s="110"/>
      <c r="F145" s="109"/>
      <c r="G145" s="110"/>
      <c r="H145" s="109"/>
    </row>
    <row r="146" spans="1:20" s="98" customFormat="1" x14ac:dyDescent="0.35">
      <c r="A146" s="109" t="s">
        <v>394</v>
      </c>
      <c r="B146" s="109"/>
      <c r="C146" s="109"/>
      <c r="D146" s="109"/>
      <c r="E146" s="109"/>
      <c r="F146" s="109"/>
      <c r="G146" s="109"/>
      <c r="H146" s="109"/>
    </row>
    <row r="147" spans="1:20" s="98" customFormat="1" ht="15" customHeight="1" x14ac:dyDescent="0.35">
      <c r="A147" s="109" t="s">
        <v>395</v>
      </c>
      <c r="B147" s="109"/>
      <c r="C147" s="109"/>
      <c r="D147" s="109"/>
      <c r="E147" s="109"/>
      <c r="F147" s="109"/>
      <c r="G147" s="109"/>
      <c r="H147" s="109"/>
      <c r="I147" s="100"/>
      <c r="J147" s="100"/>
    </row>
    <row r="148" spans="1:20" s="92" customFormat="1" x14ac:dyDescent="0.35">
      <c r="A148" s="235">
        <v>1</v>
      </c>
      <c r="B148" s="235"/>
      <c r="C148" s="101" t="s">
        <v>389</v>
      </c>
      <c r="D148" s="96">
        <f>(29.35+2.21)*(10.764)</f>
        <v>339.71184</v>
      </c>
      <c r="E148" s="96">
        <f>(1.89)*(10.764)</f>
        <v>20.343959999999999</v>
      </c>
      <c r="F148" s="93">
        <f>D148+E148</f>
        <v>360.05579999999998</v>
      </c>
      <c r="G148" s="93">
        <v>0</v>
      </c>
      <c r="H148" s="93">
        <f>F148*(($H$133)+1)+(IF(G148&lt;101,G148,IF(G148&lt;201,G148/2,IF(G148&lt;=301,G148/3,G148/4))))</f>
        <v>522.0809099999999</v>
      </c>
      <c r="I148" s="33"/>
      <c r="N148" s="33"/>
    </row>
    <row r="149" spans="1:20" s="92" customFormat="1" x14ac:dyDescent="0.35">
      <c r="A149" s="235">
        <f>A148+1</f>
        <v>2</v>
      </c>
      <c r="B149" s="235"/>
      <c r="C149" s="101" t="s">
        <v>389</v>
      </c>
      <c r="D149" s="96">
        <f>(29.35+2.21)*(10.764)</f>
        <v>339.71184</v>
      </c>
      <c r="E149" s="96">
        <f>(1.89)*(10.764)</f>
        <v>20.343959999999999</v>
      </c>
      <c r="F149" s="93">
        <f>D149+E149</f>
        <v>360.05579999999998</v>
      </c>
      <c r="G149" s="93">
        <v>0</v>
      </c>
      <c r="H149" s="93">
        <f>F149*(($H$133)+1)+(IF(G149&lt;101,G149,IF(G149&lt;201,G149/2,IF(G149&lt;=301,G149/3,G149/4))))</f>
        <v>522.0809099999999</v>
      </c>
      <c r="I149" s="33"/>
      <c r="N149" s="33"/>
    </row>
    <row r="150" spans="1:20" s="92" customFormat="1" x14ac:dyDescent="0.35">
      <c r="A150" s="235">
        <f>A149+1</f>
        <v>3</v>
      </c>
      <c r="B150" s="235"/>
      <c r="C150" s="101" t="s">
        <v>389</v>
      </c>
      <c r="D150" s="96">
        <f>(27.32+4.55)*(10.764)</f>
        <v>343.04867999999999</v>
      </c>
      <c r="E150" s="96">
        <f>(1.89)*(10.764)</f>
        <v>20.343959999999999</v>
      </c>
      <c r="F150" s="93">
        <f>D150+E150</f>
        <v>363.39263999999997</v>
      </c>
      <c r="G150" s="93">
        <v>0</v>
      </c>
      <c r="H150" s="93">
        <f>F150*(($H$133)+1)+(IF(G150&lt;101,G150,IF(G150&lt;201,G150/2,IF(G150&lt;=301,G150/3,G150/4))))</f>
        <v>526.91932799999995</v>
      </c>
      <c r="I150" s="33"/>
      <c r="N150" s="33"/>
    </row>
    <row r="151" spans="1:20" s="92" customFormat="1" ht="16" customHeight="1" x14ac:dyDescent="0.35">
      <c r="A151" s="235">
        <f>A150+1</f>
        <v>4</v>
      </c>
      <c r="B151" s="235"/>
      <c r="C151" s="101" t="s">
        <v>389</v>
      </c>
      <c r="D151" s="96">
        <f>(27.32+4.55)*(10.764)</f>
        <v>343.04867999999999</v>
      </c>
      <c r="E151" s="96">
        <f>(1.89)*(10.764)</f>
        <v>20.343959999999999</v>
      </c>
      <c r="F151" s="93">
        <f>D151+E151</f>
        <v>363.39263999999997</v>
      </c>
      <c r="G151" s="93">
        <v>0</v>
      </c>
      <c r="H151" s="93">
        <f>F151*(($H$133)+1)+(IF(G151&lt;101,G151,IF(G151&lt;201,G151/2,IF(G151&lt;=301,G151/3,G151/4))))</f>
        <v>526.91932799999995</v>
      </c>
      <c r="I151" s="33"/>
      <c r="N151" s="33"/>
    </row>
    <row r="152" spans="1:20" s="32" customFormat="1" x14ac:dyDescent="0.35">
      <c r="A152" s="208" t="s">
        <v>64</v>
      </c>
      <c r="B152" s="208"/>
      <c r="C152" s="208"/>
      <c r="D152" s="208"/>
      <c r="E152" s="208"/>
      <c r="F152" s="208"/>
      <c r="G152" s="208"/>
      <c r="H152" s="208"/>
      <c r="T152" s="34"/>
    </row>
    <row r="153" spans="1:20" s="32" customFormat="1" x14ac:dyDescent="0.35">
      <c r="A153" s="108" t="s">
        <v>146</v>
      </c>
      <c r="B153" s="236" t="s">
        <v>401</v>
      </c>
      <c r="C153" s="236"/>
      <c r="D153" s="236"/>
      <c r="E153" s="236"/>
      <c r="F153" s="236"/>
      <c r="G153" s="236"/>
      <c r="H153" s="236"/>
      <c r="T153" s="34"/>
    </row>
    <row r="154" spans="1:20" s="32" customFormat="1" x14ac:dyDescent="0.35">
      <c r="A154" s="108" t="s">
        <v>146</v>
      </c>
      <c r="B154" s="236" t="str">
        <f>(IF(H132="Saleable area Loading :","We have considered Saleable area of Flats as per our Calculation.","We considered Saleable area of Flat as per Builder area Sheet."))</f>
        <v>We have considered Saleable area of Flats as per our Calculation.</v>
      </c>
      <c r="C154" s="236"/>
      <c r="D154" s="236"/>
      <c r="E154" s="236"/>
      <c r="F154" s="236"/>
      <c r="G154" s="236"/>
      <c r="H154" s="236"/>
      <c r="T154" s="34"/>
    </row>
    <row r="155" spans="1:20" s="32" customFormat="1" x14ac:dyDescent="0.35">
      <c r="A155" s="108" t="s">
        <v>146</v>
      </c>
      <c r="B155" s="236" t="str">
        <f>(IF(H120="Saleable area Loading :","We have considered Saleable area of Commercial as per our Calculation.","We considered Saleable area of Commercial as per Builder area Sheet."))</f>
        <v>We have considered Saleable area of Commercial as per our Calculation.</v>
      </c>
      <c r="C155" s="236"/>
      <c r="D155" s="236"/>
      <c r="E155" s="236"/>
      <c r="F155" s="236"/>
      <c r="G155" s="236"/>
      <c r="H155" s="236"/>
      <c r="T155" s="34"/>
    </row>
    <row r="156" spans="1:20" s="32" customFormat="1" x14ac:dyDescent="0.35">
      <c r="A156" s="108" t="s">
        <v>146</v>
      </c>
      <c r="B156" s="237" t="s">
        <v>116</v>
      </c>
      <c r="C156" s="237"/>
      <c r="D156" s="237"/>
      <c r="E156" s="237"/>
      <c r="F156" s="237"/>
      <c r="G156" s="237"/>
      <c r="H156" s="237"/>
      <c r="T156" s="34"/>
    </row>
    <row r="157" spans="1:20" s="32" customFormat="1" x14ac:dyDescent="0.35">
      <c r="A157" s="108" t="s">
        <v>146</v>
      </c>
      <c r="B157" s="236" t="s">
        <v>399</v>
      </c>
      <c r="C157" s="236"/>
      <c r="D157" s="236"/>
      <c r="E157" s="236"/>
      <c r="F157" s="236"/>
      <c r="G157" s="236"/>
      <c r="H157" s="236"/>
      <c r="T157" s="34"/>
    </row>
    <row r="158" spans="1:20" s="32" customFormat="1" x14ac:dyDescent="0.35">
      <c r="A158" s="108" t="s">
        <v>146</v>
      </c>
      <c r="B158" s="237" t="s">
        <v>145</v>
      </c>
      <c r="C158" s="237"/>
      <c r="D158" s="237"/>
      <c r="E158" s="237"/>
      <c r="F158" s="237"/>
      <c r="G158" s="237"/>
      <c r="H158" s="237"/>
    </row>
    <row r="159" spans="1:20" s="32" customFormat="1" x14ac:dyDescent="0.35">
      <c r="A159" s="41" t="s">
        <v>146</v>
      </c>
      <c r="B159" s="151" t="s">
        <v>117</v>
      </c>
      <c r="C159" s="152"/>
      <c r="D159" s="152"/>
      <c r="E159" s="152"/>
      <c r="F159" s="152"/>
      <c r="G159" s="152"/>
      <c r="H159" s="153"/>
    </row>
    <row r="160" spans="1:20" s="32" customFormat="1" ht="34.5" customHeight="1" x14ac:dyDescent="0.35">
      <c r="A160" s="41" t="s">
        <v>146</v>
      </c>
      <c r="B160" s="127" t="s">
        <v>147</v>
      </c>
      <c r="C160" s="128"/>
      <c r="D160" s="128"/>
      <c r="E160" s="128"/>
      <c r="F160" s="128"/>
      <c r="G160" s="128"/>
      <c r="H160" s="129"/>
    </row>
    <row r="161" spans="1:20" s="32" customFormat="1" x14ac:dyDescent="0.35">
      <c r="A161" s="41" t="s">
        <v>146</v>
      </c>
      <c r="B161" s="151" t="s">
        <v>118</v>
      </c>
      <c r="C161" s="152"/>
      <c r="D161" s="152"/>
      <c r="E161" s="152"/>
      <c r="F161" s="152"/>
      <c r="G161" s="152"/>
      <c r="H161" s="153"/>
    </row>
    <row r="162" spans="1:20" s="32" customFormat="1" ht="32.25" customHeight="1" x14ac:dyDescent="0.35">
      <c r="A162" s="47" t="s">
        <v>146</v>
      </c>
      <c r="B162" s="127" t="s">
        <v>404</v>
      </c>
      <c r="C162" s="128"/>
      <c r="D162" s="128"/>
      <c r="E162" s="128"/>
      <c r="F162" s="128"/>
      <c r="G162" s="128"/>
      <c r="H162" s="129"/>
    </row>
    <row r="163" spans="1:20" x14ac:dyDescent="0.35">
      <c r="A163" s="195" t="s">
        <v>57</v>
      </c>
      <c r="B163" s="195"/>
      <c r="C163" s="195"/>
      <c r="D163" s="195"/>
      <c r="E163" s="195"/>
      <c r="F163" s="195"/>
      <c r="G163" s="195"/>
      <c r="H163" s="195"/>
      <c r="T163" s="32"/>
    </row>
    <row r="164" spans="1:20" x14ac:dyDescent="0.35">
      <c r="A164" s="113" t="s">
        <v>58</v>
      </c>
      <c r="B164" s="113"/>
      <c r="C164" s="113"/>
      <c r="D164" s="113"/>
      <c r="E164" s="113"/>
      <c r="F164" s="113"/>
      <c r="G164" s="113"/>
      <c r="H164" s="113"/>
      <c r="T164" s="32"/>
    </row>
    <row r="165" spans="1:20" ht="15.75" customHeight="1" x14ac:dyDescent="0.35">
      <c r="A165" s="205" t="s">
        <v>59</v>
      </c>
      <c r="B165" s="205"/>
      <c r="C165" s="205"/>
      <c r="D165" s="205"/>
      <c r="E165" s="205"/>
      <c r="F165" s="205"/>
      <c r="G165" s="205"/>
      <c r="H165" s="205"/>
      <c r="T165" s="32"/>
    </row>
    <row r="166" spans="1:20" x14ac:dyDescent="0.35">
      <c r="A166" s="113" t="s">
        <v>60</v>
      </c>
      <c r="B166" s="113"/>
      <c r="C166" s="113"/>
      <c r="D166" s="113"/>
      <c r="E166" s="113"/>
      <c r="F166" s="113"/>
      <c r="G166" s="113"/>
      <c r="H166" s="113"/>
      <c r="T166" s="32"/>
    </row>
    <row r="167" spans="1:20" x14ac:dyDescent="0.35">
      <c r="A167" s="113" t="s">
        <v>61</v>
      </c>
      <c r="B167" s="113"/>
      <c r="C167" s="113"/>
      <c r="D167" s="113"/>
      <c r="E167" s="113"/>
      <c r="F167" s="113"/>
      <c r="G167" s="113"/>
      <c r="H167" s="113"/>
      <c r="T167" s="32"/>
    </row>
    <row r="168" spans="1:20" x14ac:dyDescent="0.35">
      <c r="A168" s="113" t="s">
        <v>119</v>
      </c>
      <c r="B168" s="113"/>
      <c r="C168" s="113"/>
      <c r="D168" s="113"/>
      <c r="E168" s="113"/>
      <c r="F168" s="113"/>
      <c r="G168" s="113"/>
      <c r="H168" s="113"/>
      <c r="T168" s="32"/>
    </row>
    <row r="169" spans="1:20" ht="34" customHeight="1" x14ac:dyDescent="0.35">
      <c r="A169" s="196" t="s">
        <v>120</v>
      </c>
      <c r="B169" s="196"/>
      <c r="C169" s="196"/>
      <c r="D169" s="196"/>
      <c r="E169" s="196"/>
      <c r="F169" s="196"/>
      <c r="G169" s="196"/>
      <c r="H169" s="196"/>
    </row>
    <row r="170" spans="1:20" x14ac:dyDescent="0.35">
      <c r="A170" s="204" t="s">
        <v>73</v>
      </c>
      <c r="B170" s="204"/>
      <c r="C170" s="204" t="s">
        <v>406</v>
      </c>
      <c r="D170" s="204"/>
      <c r="E170" s="204" t="s">
        <v>102</v>
      </c>
      <c r="F170" s="204"/>
      <c r="G170" s="204" t="s">
        <v>405</v>
      </c>
      <c r="H170" s="204"/>
    </row>
    <row r="171" spans="1:20" x14ac:dyDescent="0.35">
      <c r="A171" s="203" t="s">
        <v>75</v>
      </c>
      <c r="B171" s="203"/>
      <c r="C171" s="203"/>
      <c r="D171" s="203"/>
      <c r="E171" s="203"/>
      <c r="F171" s="203"/>
      <c r="G171" s="203"/>
      <c r="H171" s="203"/>
    </row>
    <row r="172" spans="1:20" x14ac:dyDescent="0.35">
      <c r="A172" s="203"/>
      <c r="B172" s="203"/>
      <c r="C172" s="203"/>
      <c r="D172" s="203"/>
      <c r="E172" s="203"/>
      <c r="F172" s="203"/>
      <c r="G172" s="203"/>
      <c r="H172" s="203"/>
    </row>
    <row r="173" spans="1:20" x14ac:dyDescent="0.35">
      <c r="A173" s="203"/>
      <c r="B173" s="203"/>
      <c r="C173" s="203"/>
      <c r="D173" s="203"/>
      <c r="E173" s="203"/>
      <c r="F173" s="203"/>
      <c r="G173" s="203"/>
      <c r="H173" s="203"/>
    </row>
    <row r="174" spans="1:20" x14ac:dyDescent="0.35">
      <c r="A174" s="203"/>
      <c r="B174" s="203"/>
      <c r="C174" s="203"/>
      <c r="D174" s="203"/>
      <c r="E174" s="203"/>
      <c r="F174" s="203"/>
      <c r="G174" s="203"/>
      <c r="H174" s="203"/>
    </row>
    <row r="175" spans="1:20" x14ac:dyDescent="0.35">
      <c r="A175" s="35" t="s">
        <v>62</v>
      </c>
      <c r="B175" s="36"/>
      <c r="C175" s="36"/>
      <c r="D175" s="35" t="str">
        <f>E9</f>
        <v>Dayaram Residency</v>
      </c>
      <c r="F175" s="36"/>
      <c r="G175" s="36"/>
      <c r="H175" s="36"/>
    </row>
    <row r="176" spans="1:20" x14ac:dyDescent="0.35">
      <c r="A176" s="36"/>
      <c r="B176" s="36"/>
      <c r="C176" s="36"/>
      <c r="D176" s="36"/>
      <c r="E176" s="36"/>
      <c r="F176" s="36"/>
      <c r="G176" s="36"/>
      <c r="H176" s="36"/>
    </row>
    <row r="177" spans="1:8" x14ac:dyDescent="0.35">
      <c r="A177" s="36"/>
      <c r="B177" s="36"/>
      <c r="C177" s="36"/>
      <c r="D177" s="36"/>
      <c r="E177" s="36"/>
      <c r="F177" s="36"/>
      <c r="G177" s="36"/>
      <c r="H177" s="36"/>
    </row>
    <row r="178" spans="1:8" ht="15" customHeight="1" x14ac:dyDescent="0.35"/>
    <row r="218" spans="1:1" x14ac:dyDescent="0.35">
      <c r="A218" s="38" t="s">
        <v>156</v>
      </c>
    </row>
    <row r="261" spans="1:1" x14ac:dyDescent="0.35">
      <c r="A261" s="38" t="s">
        <v>63</v>
      </c>
    </row>
  </sheetData>
  <mergeCells count="317">
    <mergeCell ref="A73:B73"/>
    <mergeCell ref="G72:H72"/>
    <mergeCell ref="A81:B81"/>
    <mergeCell ref="A82:B82"/>
    <mergeCell ref="A77:B77"/>
    <mergeCell ref="A76:B76"/>
    <mergeCell ref="E72:F72"/>
    <mergeCell ref="A74:B74"/>
    <mergeCell ref="A164:H164"/>
    <mergeCell ref="A101:E101"/>
    <mergeCell ref="A79:B79"/>
    <mergeCell ref="B154:H154"/>
    <mergeCell ref="B156:H156"/>
    <mergeCell ref="A136:B136"/>
    <mergeCell ref="A127:B127"/>
    <mergeCell ref="A126:B126"/>
    <mergeCell ref="A102:E102"/>
    <mergeCell ref="A131:H131"/>
    <mergeCell ref="E113:F113"/>
    <mergeCell ref="A118:H118"/>
    <mergeCell ref="A132:A133"/>
    <mergeCell ref="F132:F133"/>
    <mergeCell ref="D120:D121"/>
    <mergeCell ref="I15:P15"/>
    <mergeCell ref="F105:H105"/>
    <mergeCell ref="F103:H103"/>
    <mergeCell ref="A119:H119"/>
    <mergeCell ref="G109:H109"/>
    <mergeCell ref="A104:E104"/>
    <mergeCell ref="A125:B125"/>
    <mergeCell ref="A55:B55"/>
    <mergeCell ref="C55:E55"/>
    <mergeCell ref="D57:H57"/>
    <mergeCell ref="F104:H104"/>
    <mergeCell ref="E109:F109"/>
    <mergeCell ref="A109:B109"/>
    <mergeCell ref="C113:D113"/>
    <mergeCell ref="D66:H66"/>
    <mergeCell ref="D58:H58"/>
    <mergeCell ref="G55:H55"/>
    <mergeCell ref="E43:H43"/>
    <mergeCell ref="A43:D43"/>
    <mergeCell ref="A78:B78"/>
    <mergeCell ref="F97:H97"/>
    <mergeCell ref="F100:H100"/>
    <mergeCell ref="F101:H101"/>
    <mergeCell ref="A103:E103"/>
    <mergeCell ref="A165:H165"/>
    <mergeCell ref="A141:B141"/>
    <mergeCell ref="A113:B113"/>
    <mergeCell ref="D132:D133"/>
    <mergeCell ref="E132:E133"/>
    <mergeCell ref="A91:B91"/>
    <mergeCell ref="A93:B93"/>
    <mergeCell ref="F98:H98"/>
    <mergeCell ref="G110:H110"/>
    <mergeCell ref="A96:B96"/>
    <mergeCell ref="F102:H102"/>
    <mergeCell ref="C109:D109"/>
    <mergeCell ref="C116:D116"/>
    <mergeCell ref="A149:B149"/>
    <mergeCell ref="B157:H157"/>
    <mergeCell ref="A152:H152"/>
    <mergeCell ref="A145:H145"/>
    <mergeCell ref="A150:B150"/>
    <mergeCell ref="A139:B139"/>
    <mergeCell ref="B160:H160"/>
    <mergeCell ref="G120:G121"/>
    <mergeCell ref="B153:H153"/>
    <mergeCell ref="B162:H162"/>
    <mergeCell ref="A171:H174"/>
    <mergeCell ref="A170:B170"/>
    <mergeCell ref="E170:F170"/>
    <mergeCell ref="C170:D170"/>
    <mergeCell ref="G170:H170"/>
    <mergeCell ref="A108:H108"/>
    <mergeCell ref="A106:E106"/>
    <mergeCell ref="F106:H106"/>
    <mergeCell ref="A107:E107"/>
    <mergeCell ref="F107:H107"/>
    <mergeCell ref="A114:B114"/>
    <mergeCell ref="A148:B148"/>
    <mergeCell ref="A110:B110"/>
    <mergeCell ref="A166:H166"/>
    <mergeCell ref="A112:H112"/>
    <mergeCell ref="A169:H169"/>
    <mergeCell ref="A167:H167"/>
    <mergeCell ref="A163:H163"/>
    <mergeCell ref="G113:H113"/>
    <mergeCell ref="B158:H158"/>
    <mergeCell ref="A144:B144"/>
    <mergeCell ref="C117:D117"/>
    <mergeCell ref="A124:B124"/>
    <mergeCell ref="A168:H16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9:B19"/>
    <mergeCell ref="C19:D19"/>
    <mergeCell ref="E19:F19"/>
    <mergeCell ref="G19:H19"/>
    <mergeCell ref="A20:B20"/>
    <mergeCell ref="C20:D20"/>
    <mergeCell ref="E20:F20"/>
    <mergeCell ref="G20:H20"/>
    <mergeCell ref="E14:H14"/>
    <mergeCell ref="A15:D15"/>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C69:H69"/>
    <mergeCell ref="A64:C64"/>
    <mergeCell ref="D64:H64"/>
    <mergeCell ref="C71:H71"/>
    <mergeCell ref="A65:C65"/>
    <mergeCell ref="D65:H65"/>
    <mergeCell ref="A68:C68"/>
    <mergeCell ref="D68:H68"/>
    <mergeCell ref="A67:C67"/>
    <mergeCell ref="A66:C66"/>
    <mergeCell ref="D67:H67"/>
    <mergeCell ref="A72:B72"/>
    <mergeCell ref="A46:D46"/>
    <mergeCell ref="A48:D48"/>
    <mergeCell ref="D63:H63"/>
    <mergeCell ref="A44:D44"/>
    <mergeCell ref="E44:H44"/>
    <mergeCell ref="E45:H45"/>
    <mergeCell ref="E46:H46"/>
    <mergeCell ref="E48:H48"/>
    <mergeCell ref="A49:H49"/>
    <mergeCell ref="D59:H59"/>
    <mergeCell ref="A59:C59"/>
    <mergeCell ref="A45:D45"/>
    <mergeCell ref="A50:B50"/>
    <mergeCell ref="C50:H50"/>
    <mergeCell ref="A60:C61"/>
    <mergeCell ref="D60:H60"/>
    <mergeCell ref="D61:H61"/>
    <mergeCell ref="G53:H53"/>
    <mergeCell ref="A56:H56"/>
    <mergeCell ref="C54:H54"/>
    <mergeCell ref="A57:C57"/>
    <mergeCell ref="A71:B71"/>
    <mergeCell ref="A69:B69"/>
    <mergeCell ref="A38:H38"/>
    <mergeCell ref="A37:B37"/>
    <mergeCell ref="C37:E37"/>
    <mergeCell ref="A42:D42"/>
    <mergeCell ref="E42:H42"/>
    <mergeCell ref="A41:H41"/>
    <mergeCell ref="A62:C62"/>
    <mergeCell ref="A63:C63"/>
    <mergeCell ref="D62:H62"/>
    <mergeCell ref="F37:H37"/>
    <mergeCell ref="C52:E52"/>
    <mergeCell ref="C51:E51"/>
    <mergeCell ref="G51:H51"/>
    <mergeCell ref="A52:B52"/>
    <mergeCell ref="G52:H52"/>
    <mergeCell ref="A39:B39"/>
    <mergeCell ref="C39:H39"/>
    <mergeCell ref="A53:B54"/>
    <mergeCell ref="A58:C58"/>
    <mergeCell ref="A51:B51"/>
    <mergeCell ref="E120:E121"/>
    <mergeCell ref="A87:B87"/>
    <mergeCell ref="C85:H85"/>
    <mergeCell ref="A88:B88"/>
    <mergeCell ref="A89:B89"/>
    <mergeCell ref="G87:H96"/>
    <mergeCell ref="A90:B90"/>
    <mergeCell ref="F99:H99"/>
    <mergeCell ref="A99:E99"/>
    <mergeCell ref="E117:F117"/>
    <mergeCell ref="A85:B85"/>
    <mergeCell ref="A117:B117"/>
    <mergeCell ref="A94:B94"/>
    <mergeCell ref="A95:B95"/>
    <mergeCell ref="A97:E97"/>
    <mergeCell ref="G115:H115"/>
    <mergeCell ref="B161:H161"/>
    <mergeCell ref="B159:H159"/>
    <mergeCell ref="L140:M140"/>
    <mergeCell ref="A142:B142"/>
    <mergeCell ref="A143:B143"/>
    <mergeCell ref="A40:B40"/>
    <mergeCell ref="C40:H40"/>
    <mergeCell ref="F120:F121"/>
    <mergeCell ref="C110:D110"/>
    <mergeCell ref="E110:F110"/>
    <mergeCell ref="B120:B121"/>
    <mergeCell ref="A120:A121"/>
    <mergeCell ref="C132:C133"/>
    <mergeCell ref="G132:G133"/>
    <mergeCell ref="L139:M139"/>
    <mergeCell ref="L136:M136"/>
    <mergeCell ref="A137:B137"/>
    <mergeCell ref="G117:H117"/>
    <mergeCell ref="L137:M137"/>
    <mergeCell ref="A138:B138"/>
    <mergeCell ref="L138:M138"/>
    <mergeCell ref="L127:M127"/>
    <mergeCell ref="L126:M126"/>
    <mergeCell ref="L125:M125"/>
    <mergeCell ref="B155:H155"/>
    <mergeCell ref="A86:B86"/>
    <mergeCell ref="E86:F86"/>
    <mergeCell ref="E87:F96"/>
    <mergeCell ref="A134:H134"/>
    <mergeCell ref="A135:H135"/>
    <mergeCell ref="A75:B75"/>
    <mergeCell ref="E73:F82"/>
    <mergeCell ref="G73:H82"/>
    <mergeCell ref="A100:E100"/>
    <mergeCell ref="A116:B116"/>
    <mergeCell ref="E116:F116"/>
    <mergeCell ref="A105:E105"/>
    <mergeCell ref="G116:H116"/>
    <mergeCell ref="A111:B111"/>
    <mergeCell ref="C111:D111"/>
    <mergeCell ref="E111:F111"/>
    <mergeCell ref="G111:H111"/>
    <mergeCell ref="A115:B115"/>
    <mergeCell ref="C115:D115"/>
    <mergeCell ref="E115:F115"/>
    <mergeCell ref="A92:B92"/>
    <mergeCell ref="G86:H86"/>
    <mergeCell ref="A140:H140"/>
    <mergeCell ref="A146:H146"/>
    <mergeCell ref="A147:H147"/>
    <mergeCell ref="A151:B151"/>
    <mergeCell ref="A47:D47"/>
    <mergeCell ref="E47:H47"/>
    <mergeCell ref="A122:H122"/>
    <mergeCell ref="A128:B128"/>
    <mergeCell ref="L128:M128"/>
    <mergeCell ref="A129:B129"/>
    <mergeCell ref="L129:M129"/>
    <mergeCell ref="A130:B130"/>
    <mergeCell ref="L130:M130"/>
    <mergeCell ref="C53:E53"/>
    <mergeCell ref="C120:C121"/>
    <mergeCell ref="B132:B133"/>
    <mergeCell ref="L124:M124"/>
    <mergeCell ref="A80:B80"/>
    <mergeCell ref="C114:D114"/>
    <mergeCell ref="E114:F114"/>
    <mergeCell ref="G114:H114"/>
    <mergeCell ref="A98:E98"/>
    <mergeCell ref="A83:B83"/>
    <mergeCell ref="C83:H83"/>
    <mergeCell ref="A123:H123"/>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0:E121">
      <formula1>"Attached Loft area,Attached Otla area,Attached Mezzanine area"</formula1>
    </dataValidation>
    <dataValidation type="list" allowBlank="1" showInputMessage="1" showErrorMessage="1" sqref="G170:H170">
      <formula1>"Kunal Kadam,Pranita Mhatre,Shruti Fule,Pooja Kawale,Gaurav Panchal,Shruti Tathare, Dipti Gothawade,Saurav Panse, Sachin Sawant"</formula1>
    </dataValidation>
    <dataValidation type="list" allowBlank="1" showInputMessage="1" showErrorMessage="1" sqref="F97:H97">
      <formula1>"On Saleable Area,On Builtup Area,On Carpet Area,On Plot Area"</formula1>
    </dataValidation>
    <dataValidation type="list" allowBlank="1" showInputMessage="1" showErrorMessage="1" sqref="F106:H106">
      <formula1>OFFSET($S$97,1,MATCH($G20,$S$97:$W$97,0)-1,15,1)</formula1>
    </dataValidation>
    <dataValidation type="list" allowBlank="1" showInputMessage="1" showErrorMessage="1" sqref="B120:B121">
      <formula1>"Shop No. (Sale Plan),Sale / Rehab,Sale / Mhada"</formula1>
    </dataValidation>
    <dataValidation type="list" allowBlank="1" showInputMessage="1" showErrorMessage="1" sqref="B132:B13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2:E133">
      <formula1>"Fungible area,Balcony Area,Chajja Area,Cornice Area,AP Area,WS Area"</formula1>
    </dataValidation>
    <dataValidation type="list" allowBlank="1" showInputMessage="1" showErrorMessage="1" sqref="H133 H121">
      <formula1>".45,.50,.55,.60"</formula1>
    </dataValidation>
    <dataValidation type="list" allowBlank="1" showInputMessage="1" showErrorMessage="1" sqref="E4:H4">
      <formula1>$L$3:$P$3</formula1>
    </dataValidation>
    <dataValidation type="list" allowBlank="1" showInputMessage="1" showErrorMessage="1" sqref="C50:H50">
      <formula1>OFFSET($S$50,1,MATCH($G20,$S$50:$W$50,0)-1,15,1)</formula1>
    </dataValidation>
    <dataValidation type="list" allowBlank="1" showInputMessage="1" showErrorMessage="1" sqref="H120 H132">
      <formula1>"Saleable area Loading :,Builder Saleable Area"</formula1>
    </dataValidation>
    <dataValidation type="list" allowBlank="1" showInputMessage="1" showErrorMessage="1" sqref="D132:D133 D120:D12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38" max="16383" man="1"/>
    <brk id="68" max="16383" man="1"/>
    <brk id="151" max="16383" man="1"/>
    <brk id="174" max="16383" man="1"/>
    <brk id="217" max="16383" man="1"/>
    <brk id="26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1" t="s">
        <v>103</v>
      </c>
      <c r="C3" s="221"/>
      <c r="D3" s="221"/>
      <c r="E3" s="221"/>
      <c r="F3" s="221"/>
      <c r="G3" s="221"/>
      <c r="H3" s="221"/>
    </row>
    <row r="4" spans="1:9" x14ac:dyDescent="0.35">
      <c r="A4" s="2"/>
      <c r="B4" s="3" t="s">
        <v>104</v>
      </c>
      <c r="C4" s="3" t="s">
        <v>105</v>
      </c>
      <c r="D4" s="3" t="s">
        <v>65</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11</v>
      </c>
      <c r="D4" s="49" t="s">
        <v>170</v>
      </c>
      <c r="E4" s="49" t="s">
        <v>180</v>
      </c>
      <c r="F4" s="49" t="s">
        <v>165</v>
      </c>
      <c r="G4" s="49" t="s">
        <v>185</v>
      </c>
      <c r="H4" s="49" t="s">
        <v>203</v>
      </c>
      <c r="J4" t="s">
        <v>185</v>
      </c>
      <c r="K4" t="s">
        <v>201</v>
      </c>
    </row>
    <row r="5" spans="2:11" x14ac:dyDescent="0.35">
      <c r="B5" s="48"/>
      <c r="C5" s="48"/>
      <c r="D5" s="49" t="s">
        <v>171</v>
      </c>
      <c r="E5" s="49" t="s">
        <v>178</v>
      </c>
      <c r="F5" s="49" t="s">
        <v>200</v>
      </c>
      <c r="G5" s="49" t="s">
        <v>186</v>
      </c>
      <c r="H5" s="49" t="s">
        <v>204</v>
      </c>
    </row>
    <row r="6" spans="2:11" x14ac:dyDescent="0.35">
      <c r="B6" s="48"/>
      <c r="C6" s="48"/>
      <c r="D6" s="49" t="s">
        <v>172</v>
      </c>
      <c r="E6" s="49" t="s">
        <v>179</v>
      </c>
      <c r="F6" s="49" t="s">
        <v>201</v>
      </c>
      <c r="G6" s="49" t="s">
        <v>187</v>
      </c>
      <c r="H6" s="49" t="s">
        <v>217</v>
      </c>
    </row>
    <row r="7" spans="2:11" x14ac:dyDescent="0.35">
      <c r="B7" s="48"/>
      <c r="C7" s="48"/>
      <c r="D7" s="49" t="s">
        <v>173</v>
      </c>
      <c r="E7" s="49" t="s">
        <v>181</v>
      </c>
      <c r="F7" s="49" t="s">
        <v>202</v>
      </c>
      <c r="G7" s="49" t="s">
        <v>188</v>
      </c>
      <c r="H7" s="49" t="s">
        <v>205</v>
      </c>
    </row>
    <row r="8" spans="2:11" x14ac:dyDescent="0.35">
      <c r="B8" s="48"/>
      <c r="C8" s="48"/>
      <c r="D8" s="49" t="s">
        <v>174</v>
      </c>
      <c r="E8" s="49" t="s">
        <v>182</v>
      </c>
      <c r="F8" s="49"/>
      <c r="G8" s="49" t="s">
        <v>189</v>
      </c>
      <c r="H8" s="49" t="s">
        <v>206</v>
      </c>
    </row>
    <row r="9" spans="2:11" x14ac:dyDescent="0.35">
      <c r="B9" s="48"/>
      <c r="C9" s="48"/>
      <c r="D9" s="49" t="s">
        <v>175</v>
      </c>
      <c r="E9" s="49" t="s">
        <v>180</v>
      </c>
      <c r="F9" s="49"/>
      <c r="G9" s="49" t="s">
        <v>190</v>
      </c>
      <c r="H9" s="49" t="s">
        <v>207</v>
      </c>
    </row>
    <row r="10" spans="2:11" x14ac:dyDescent="0.35">
      <c r="B10" s="48"/>
      <c r="C10" s="48"/>
      <c r="D10" s="49" t="s">
        <v>176</v>
      </c>
      <c r="E10" s="49" t="s">
        <v>183</v>
      </c>
      <c r="F10" s="49"/>
      <c r="G10" s="49" t="s">
        <v>191</v>
      </c>
      <c r="H10" s="49" t="s">
        <v>208</v>
      </c>
    </row>
    <row r="11" spans="2:11" x14ac:dyDescent="0.35">
      <c r="B11" s="48"/>
      <c r="C11" s="48"/>
      <c r="D11" s="49" t="s">
        <v>177</v>
      </c>
      <c r="E11" s="49" t="s">
        <v>184</v>
      </c>
      <c r="F11" s="49"/>
      <c r="G11" s="49" t="s">
        <v>192</v>
      </c>
      <c r="H11" s="49" t="s">
        <v>209</v>
      </c>
    </row>
    <row r="12" spans="2:11" x14ac:dyDescent="0.35">
      <c r="B12" s="48"/>
      <c r="C12" s="48"/>
      <c r="D12" s="49"/>
      <c r="E12" s="49"/>
      <c r="F12" s="49"/>
      <c r="G12" s="49" t="s">
        <v>193</v>
      </c>
      <c r="H12" s="49" t="s">
        <v>210</v>
      </c>
    </row>
    <row r="13" spans="2:11" x14ac:dyDescent="0.35">
      <c r="B13" s="48"/>
      <c r="C13" s="48"/>
      <c r="D13" s="49"/>
      <c r="E13" s="49"/>
      <c r="F13" s="49"/>
      <c r="G13" s="49" t="s">
        <v>194</v>
      </c>
      <c r="H13" s="49" t="s">
        <v>211</v>
      </c>
    </row>
    <row r="14" spans="2:11" x14ac:dyDescent="0.35">
      <c r="B14" s="48"/>
      <c r="C14" s="48"/>
      <c r="D14" s="49"/>
      <c r="E14" s="49"/>
      <c r="F14" s="49"/>
      <c r="G14" s="49" t="s">
        <v>195</v>
      </c>
      <c r="H14" s="49" t="s">
        <v>212</v>
      </c>
    </row>
    <row r="15" spans="2:11" x14ac:dyDescent="0.35">
      <c r="B15" s="48"/>
      <c r="C15" s="48"/>
      <c r="D15" s="49"/>
      <c r="E15" s="49"/>
      <c r="F15" s="49"/>
      <c r="G15" s="49" t="s">
        <v>196</v>
      </c>
      <c r="H15" s="49" t="s">
        <v>213</v>
      </c>
    </row>
    <row r="16" spans="2:11" x14ac:dyDescent="0.35">
      <c r="B16" s="48"/>
      <c r="C16" s="48"/>
      <c r="D16" s="49"/>
      <c r="E16" s="49"/>
      <c r="F16" s="49"/>
      <c r="G16" s="49" t="s">
        <v>197</v>
      </c>
      <c r="H16" s="49" t="s">
        <v>214</v>
      </c>
    </row>
    <row r="17" spans="2:8" x14ac:dyDescent="0.35">
      <c r="B17" s="48"/>
      <c r="C17" s="48"/>
      <c r="D17" s="49"/>
      <c r="E17" s="49"/>
      <c r="F17" s="49"/>
      <c r="G17" s="49" t="s">
        <v>198</v>
      </c>
      <c r="H17" s="49" t="s">
        <v>215</v>
      </c>
    </row>
    <row r="18" spans="2:8" x14ac:dyDescent="0.35">
      <c r="B18" s="48"/>
      <c r="C18" s="48"/>
      <c r="D18" s="49"/>
      <c r="E18" s="49"/>
      <c r="F18" s="49"/>
      <c r="G18" s="49" t="s">
        <v>199</v>
      </c>
      <c r="H18" s="49" t="s">
        <v>216</v>
      </c>
    </row>
    <row r="24" spans="2:8" x14ac:dyDescent="0.35">
      <c r="C24" t="s">
        <v>162</v>
      </c>
    </row>
    <row r="25" spans="2:8" x14ac:dyDescent="0.35">
      <c r="C25" t="s">
        <v>218</v>
      </c>
    </row>
    <row r="26" spans="2:8" x14ac:dyDescent="0.35">
      <c r="C26" t="s">
        <v>219</v>
      </c>
    </row>
    <row r="27" spans="2:8" x14ac:dyDescent="0.35">
      <c r="C27" t="s">
        <v>220</v>
      </c>
    </row>
    <row r="28" spans="2:8" x14ac:dyDescent="0.35">
      <c r="C28" t="s">
        <v>221</v>
      </c>
    </row>
    <row r="29" spans="2:8" x14ac:dyDescent="0.35">
      <c r="C29" t="s">
        <v>222</v>
      </c>
    </row>
    <row r="30" spans="2:8" x14ac:dyDescent="0.35">
      <c r="C30" t="s">
        <v>162</v>
      </c>
    </row>
    <row r="33" spans="3:11" x14ac:dyDescent="0.35">
      <c r="J33">
        <v>1</v>
      </c>
      <c r="K33">
        <v>2</v>
      </c>
    </row>
    <row r="34" spans="3:11" x14ac:dyDescent="0.35">
      <c r="C34" s="51" t="s">
        <v>227</v>
      </c>
      <c r="D34" s="49" t="s">
        <v>225</v>
      </c>
      <c r="E34" s="49" t="s">
        <v>230</v>
      </c>
      <c r="F34" s="49" t="s">
        <v>228</v>
      </c>
      <c r="G34" s="49" t="s">
        <v>229</v>
      </c>
      <c r="H34" s="49" t="s">
        <v>231</v>
      </c>
      <c r="J34" t="s">
        <v>185</v>
      </c>
      <c r="K34" t="s">
        <v>201</v>
      </c>
    </row>
    <row r="35" spans="3:11" x14ac:dyDescent="0.35">
      <c r="C35" s="48" t="s">
        <v>226</v>
      </c>
      <c r="D35" s="49" t="s">
        <v>163</v>
      </c>
      <c r="E35" s="49" t="s">
        <v>235</v>
      </c>
      <c r="F35" s="49" t="s">
        <v>237</v>
      </c>
      <c r="G35" s="49" t="s">
        <v>239</v>
      </c>
      <c r="H35" s="49"/>
    </row>
    <row r="36" spans="3:11" x14ac:dyDescent="0.35">
      <c r="C36" s="48"/>
      <c r="D36" s="49" t="s">
        <v>232</v>
      </c>
      <c r="E36" s="49" t="s">
        <v>236</v>
      </c>
      <c r="F36" s="49" t="s">
        <v>238</v>
      </c>
      <c r="G36" s="49" t="s">
        <v>240</v>
      </c>
      <c r="H36" s="49"/>
    </row>
    <row r="37" spans="3:11" x14ac:dyDescent="0.35">
      <c r="C37" s="48"/>
      <c r="D37" s="49" t="s">
        <v>233</v>
      </c>
      <c r="E37" s="49"/>
      <c r="F37" s="49"/>
      <c r="G37" s="49" t="s">
        <v>241</v>
      </c>
      <c r="H37" s="49"/>
    </row>
    <row r="38" spans="3:11" x14ac:dyDescent="0.35">
      <c r="C38" s="48"/>
      <c r="D38" s="49" t="s">
        <v>234</v>
      </c>
      <c r="E38" s="49"/>
      <c r="F38" s="49"/>
      <c r="G38" s="49" t="s">
        <v>241</v>
      </c>
      <c r="H38" s="49"/>
    </row>
    <row r="39" spans="3:11" x14ac:dyDescent="0.35">
      <c r="C39" s="48"/>
      <c r="D39" s="49"/>
      <c r="E39" s="49"/>
      <c r="F39" s="49"/>
      <c r="G39" s="49" t="s">
        <v>242</v>
      </c>
      <c r="H39" s="49"/>
    </row>
    <row r="40" spans="3:11" x14ac:dyDescent="0.35">
      <c r="C40" s="48"/>
      <c r="D40" s="49"/>
      <c r="E40" s="49"/>
      <c r="F40" s="49"/>
      <c r="G40" s="49" t="s">
        <v>243</v>
      </c>
      <c r="H40" s="49"/>
    </row>
    <row r="41" spans="3:11" x14ac:dyDescent="0.35">
      <c r="C41" s="48"/>
      <c r="D41" s="49"/>
      <c r="E41" s="49"/>
      <c r="F41" s="49"/>
      <c r="G41" s="49"/>
      <c r="H41" s="49"/>
    </row>
    <row r="43" spans="3:11" x14ac:dyDescent="0.35">
      <c r="C43" t="s">
        <v>244</v>
      </c>
    </row>
    <row r="44" spans="3:11" x14ac:dyDescent="0.35">
      <c r="C44" t="s">
        <v>165</v>
      </c>
      <c r="D44" t="s">
        <v>245</v>
      </c>
    </row>
    <row r="45" spans="3:11" x14ac:dyDescent="0.35">
      <c r="D45" t="s">
        <v>246</v>
      </c>
    </row>
    <row r="46" spans="3:11" x14ac:dyDescent="0.35">
      <c r="D46" t="s">
        <v>247</v>
      </c>
    </row>
    <row r="47" spans="3:11" x14ac:dyDescent="0.35">
      <c r="D47" t="s">
        <v>248</v>
      </c>
    </row>
    <row r="48" spans="3:11" x14ac:dyDescent="0.35">
      <c r="D48" t="s">
        <v>249</v>
      </c>
    </row>
    <row r="49" spans="3:4" x14ac:dyDescent="0.35">
      <c r="C49" t="s">
        <v>170</v>
      </c>
      <c r="D49" t="s">
        <v>250</v>
      </c>
    </row>
    <row r="50" spans="3:4" x14ac:dyDescent="0.35">
      <c r="D50" t="s">
        <v>251</v>
      </c>
    </row>
    <row r="51" spans="3:4" x14ac:dyDescent="0.35">
      <c r="D51" t="s">
        <v>252</v>
      </c>
    </row>
    <row r="52" spans="3:4" x14ac:dyDescent="0.35">
      <c r="D52" t="s">
        <v>255</v>
      </c>
    </row>
    <row r="53" spans="3:4" x14ac:dyDescent="0.35">
      <c r="D53" t="s">
        <v>253</v>
      </c>
    </row>
    <row r="54" spans="3:4" x14ac:dyDescent="0.35">
      <c r="D54" t="s">
        <v>254</v>
      </c>
    </row>
    <row r="55" spans="3:4" x14ac:dyDescent="0.35">
      <c r="D55" t="s">
        <v>256</v>
      </c>
    </row>
    <row r="56" spans="3:4" x14ac:dyDescent="0.35">
      <c r="D56" t="s">
        <v>257</v>
      </c>
    </row>
    <row r="57" spans="3:4" x14ac:dyDescent="0.35">
      <c r="D57" t="s">
        <v>258</v>
      </c>
    </row>
    <row r="58" spans="3:4" x14ac:dyDescent="0.35">
      <c r="D58" t="s">
        <v>260</v>
      </c>
    </row>
    <row r="59" spans="3:4" x14ac:dyDescent="0.35">
      <c r="D59" t="s">
        <v>269</v>
      </c>
    </row>
    <row r="60" spans="3:4" x14ac:dyDescent="0.35">
      <c r="C60" t="s">
        <v>185</v>
      </c>
      <c r="D60" t="s">
        <v>261</v>
      </c>
    </row>
    <row r="61" spans="3:4" x14ac:dyDescent="0.35">
      <c r="D61" t="s">
        <v>259</v>
      </c>
    </row>
    <row r="62" spans="3:4" x14ac:dyDescent="0.35">
      <c r="D62" t="s">
        <v>249</v>
      </c>
    </row>
    <row r="63" spans="3:4" x14ac:dyDescent="0.35">
      <c r="D63" t="s">
        <v>262</v>
      </c>
    </row>
    <row r="64" spans="3:4" x14ac:dyDescent="0.35">
      <c r="D64" t="s">
        <v>263</v>
      </c>
    </row>
    <row r="65" spans="3:4" x14ac:dyDescent="0.35">
      <c r="D65" t="s">
        <v>264</v>
      </c>
    </row>
    <row r="66" spans="3:4" x14ac:dyDescent="0.35">
      <c r="D66" t="s">
        <v>265</v>
      </c>
    </row>
    <row r="67" spans="3:4" x14ac:dyDescent="0.35">
      <c r="C67" t="s">
        <v>180</v>
      </c>
      <c r="D67" t="s">
        <v>266</v>
      </c>
    </row>
    <row r="68" spans="3:4" x14ac:dyDescent="0.35">
      <c r="D68" t="s">
        <v>267</v>
      </c>
    </row>
    <row r="69" spans="3:4" x14ac:dyDescent="0.35">
      <c r="D69" t="s">
        <v>268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9"/>
  <sheetViews>
    <sheetView topLeftCell="A38" zoomScaleNormal="100" workbookViewId="0">
      <selection activeCell="C50" sqref="C50"/>
    </sheetView>
  </sheetViews>
  <sheetFormatPr defaultRowHeight="14.5" x14ac:dyDescent="0.35"/>
  <cols>
    <col min="2" max="2" width="3" bestFit="1" customWidth="1"/>
    <col min="3" max="3" width="155.26953125" customWidth="1"/>
  </cols>
  <sheetData>
    <row r="2" spans="2:3" ht="15" customHeight="1" x14ac:dyDescent="0.35">
      <c r="B2" s="52">
        <v>1</v>
      </c>
      <c r="C2" s="55" t="s">
        <v>272</v>
      </c>
    </row>
    <row r="3" spans="2:3" x14ac:dyDescent="0.35">
      <c r="B3" s="52">
        <v>2</v>
      </c>
      <c r="C3" s="53" t="s">
        <v>273</v>
      </c>
    </row>
    <row r="4" spans="2:3" x14ac:dyDescent="0.35">
      <c r="B4" s="52">
        <v>3</v>
      </c>
      <c r="C4" s="54" t="s">
        <v>274</v>
      </c>
    </row>
    <row r="5" spans="2:3" x14ac:dyDescent="0.35">
      <c r="B5" s="52">
        <v>4</v>
      </c>
      <c r="C5" s="53" t="s">
        <v>275</v>
      </c>
    </row>
    <row r="6" spans="2:3" x14ac:dyDescent="0.35">
      <c r="B6" s="52">
        <v>5</v>
      </c>
      <c r="C6" s="54" t="s">
        <v>276</v>
      </c>
    </row>
    <row r="7" spans="2:3" ht="29" x14ac:dyDescent="0.35">
      <c r="B7" s="52">
        <v>6</v>
      </c>
      <c r="C7" s="53" t="s">
        <v>277</v>
      </c>
    </row>
    <row r="8" spans="2:3" ht="72.5" x14ac:dyDescent="0.35">
      <c r="B8" s="52">
        <v>7</v>
      </c>
      <c r="C8" s="53" t="s">
        <v>278</v>
      </c>
    </row>
    <row r="9" spans="2:3" x14ac:dyDescent="0.35">
      <c r="B9" s="52">
        <v>8</v>
      </c>
      <c r="C9" s="54" t="s">
        <v>279</v>
      </c>
    </row>
    <row r="10" spans="2:3" x14ac:dyDescent="0.35">
      <c r="B10" s="52">
        <v>9</v>
      </c>
      <c r="C10" s="54" t="s">
        <v>280</v>
      </c>
    </row>
    <row r="11" spans="2:3" x14ac:dyDescent="0.35">
      <c r="B11" s="52">
        <v>10</v>
      </c>
      <c r="C11" s="54" t="s">
        <v>281</v>
      </c>
    </row>
    <row r="12" spans="2:3" x14ac:dyDescent="0.35">
      <c r="B12" s="52">
        <v>11</v>
      </c>
      <c r="C12" s="54" t="s">
        <v>282</v>
      </c>
    </row>
    <row r="13" spans="2:3" x14ac:dyDescent="0.35">
      <c r="B13" s="52">
        <v>12</v>
      </c>
      <c r="C13" s="54" t="s">
        <v>283</v>
      </c>
    </row>
    <row r="14" spans="2:3" x14ac:dyDescent="0.35">
      <c r="B14" s="52">
        <v>13</v>
      </c>
      <c r="C14" s="54" t="s">
        <v>284</v>
      </c>
    </row>
    <row r="15" spans="2:3" x14ac:dyDescent="0.35">
      <c r="B15" s="52">
        <v>14</v>
      </c>
      <c r="C15" s="54" t="s">
        <v>274</v>
      </c>
    </row>
    <row r="16" spans="2:3" x14ac:dyDescent="0.35">
      <c r="B16" s="52">
        <v>15</v>
      </c>
      <c r="C16" s="54" t="s">
        <v>285</v>
      </c>
    </row>
    <row r="17" spans="2:3" x14ac:dyDescent="0.35">
      <c r="B17" s="76">
        <v>16</v>
      </c>
      <c r="C17" s="60" t="s">
        <v>286</v>
      </c>
    </row>
    <row r="18" spans="2:3" x14ac:dyDescent="0.35">
      <c r="B18" s="59">
        <v>17</v>
      </c>
      <c r="C18" s="60" t="s">
        <v>287</v>
      </c>
    </row>
    <row r="19" spans="2:3" x14ac:dyDescent="0.35">
      <c r="B19" s="58">
        <v>18</v>
      </c>
      <c r="C19" s="52" t="s">
        <v>288</v>
      </c>
    </row>
    <row r="20" spans="2:3" x14ac:dyDescent="0.35">
      <c r="B20" s="59">
        <v>19</v>
      </c>
      <c r="C20" s="52" t="s">
        <v>324</v>
      </c>
    </row>
    <row r="21" spans="2:3" x14ac:dyDescent="0.35">
      <c r="B21" s="61">
        <v>20</v>
      </c>
      <c r="C21" s="52" t="s">
        <v>289</v>
      </c>
    </row>
    <row r="22" spans="2:3" x14ac:dyDescent="0.35">
      <c r="B22" s="59">
        <v>21</v>
      </c>
      <c r="C22" s="52" t="s">
        <v>288</v>
      </c>
    </row>
    <row r="23" spans="2:3" s="70" customFormat="1" ht="29.25" customHeight="1" x14ac:dyDescent="0.35">
      <c r="B23" s="69">
        <v>22</v>
      </c>
      <c r="C23" s="55" t="s">
        <v>316</v>
      </c>
    </row>
    <row r="24" spans="2:3" s="70" customFormat="1" ht="30.75" customHeight="1" x14ac:dyDescent="0.35">
      <c r="B24" s="71">
        <v>23</v>
      </c>
      <c r="C24" s="55" t="s">
        <v>317</v>
      </c>
    </row>
    <row r="25" spans="2:3" x14ac:dyDescent="0.35">
      <c r="B25" s="61">
        <v>24</v>
      </c>
      <c r="C25" s="52" t="s">
        <v>320</v>
      </c>
    </row>
    <row r="26" spans="2:3" x14ac:dyDescent="0.35">
      <c r="B26" s="59">
        <v>25</v>
      </c>
      <c r="C26" s="52" t="s">
        <v>318</v>
      </c>
    </row>
    <row r="27" spans="2:3" x14ac:dyDescent="0.35">
      <c r="B27" s="71">
        <v>26</v>
      </c>
      <c r="C27" s="61" t="s">
        <v>319</v>
      </c>
    </row>
    <row r="28" spans="2:3" x14ac:dyDescent="0.35">
      <c r="B28" s="72">
        <v>27</v>
      </c>
      <c r="C28" s="52" t="s">
        <v>321</v>
      </c>
    </row>
    <row r="29" spans="2:3" ht="43.5" x14ac:dyDescent="0.35">
      <c r="B29" s="75">
        <v>28</v>
      </c>
      <c r="C29" s="53" t="s">
        <v>322</v>
      </c>
    </row>
    <row r="30" spans="2:3" x14ac:dyDescent="0.35">
      <c r="B30" s="71">
        <v>29</v>
      </c>
      <c r="C30" s="52" t="s">
        <v>323</v>
      </c>
    </row>
    <row r="31" spans="2:3" ht="29" x14ac:dyDescent="0.35">
      <c r="B31" s="77">
        <v>30</v>
      </c>
      <c r="C31" s="53" t="s">
        <v>325</v>
      </c>
    </row>
    <row r="32" spans="2:3" x14ac:dyDescent="0.35">
      <c r="B32" s="71">
        <v>31</v>
      </c>
      <c r="C32" s="52" t="s">
        <v>326</v>
      </c>
    </row>
    <row r="33" spans="2:4" x14ac:dyDescent="0.35">
      <c r="B33" s="71">
        <v>32</v>
      </c>
      <c r="C33" s="52" t="s">
        <v>327</v>
      </c>
    </row>
    <row r="34" spans="2:4" ht="36.75" customHeight="1" x14ac:dyDescent="0.35">
      <c r="B34" s="77">
        <v>33</v>
      </c>
      <c r="C34" s="60" t="s">
        <v>328</v>
      </c>
    </row>
    <row r="35" spans="2:4" x14ac:dyDescent="0.35">
      <c r="B35" s="79">
        <v>34</v>
      </c>
      <c r="C35" s="52" t="s">
        <v>336</v>
      </c>
    </row>
    <row r="36" spans="2:4" ht="58" x14ac:dyDescent="0.35">
      <c r="B36" s="69">
        <v>35</v>
      </c>
      <c r="C36" s="53" t="s">
        <v>337</v>
      </c>
    </row>
    <row r="37" spans="2:4" x14ac:dyDescent="0.35">
      <c r="B37" s="52">
        <v>36</v>
      </c>
      <c r="C37" s="53" t="s">
        <v>346</v>
      </c>
    </row>
    <row r="38" spans="2:4" x14ac:dyDescent="0.35">
      <c r="B38" s="52">
        <f t="shared" ref="B38:B44" si="0">B37+1</f>
        <v>37</v>
      </c>
      <c r="C38" s="52" t="s">
        <v>342</v>
      </c>
    </row>
    <row r="39" spans="2:4" x14ac:dyDescent="0.35">
      <c r="B39" s="52">
        <f t="shared" si="0"/>
        <v>38</v>
      </c>
      <c r="C39" s="52" t="s">
        <v>343</v>
      </c>
    </row>
    <row r="40" spans="2:4" x14ac:dyDescent="0.35">
      <c r="B40" s="52">
        <f t="shared" si="0"/>
        <v>39</v>
      </c>
      <c r="C40" s="52" t="s">
        <v>344</v>
      </c>
    </row>
    <row r="41" spans="2:4" x14ac:dyDescent="0.35">
      <c r="B41" s="52">
        <f t="shared" si="0"/>
        <v>40</v>
      </c>
      <c r="C41" s="52" t="s">
        <v>345</v>
      </c>
    </row>
    <row r="42" spans="2:4" ht="29.5" thickBot="1" x14ac:dyDescent="0.4">
      <c r="B42" s="80">
        <f t="shared" si="0"/>
        <v>41</v>
      </c>
      <c r="C42" s="81" t="s">
        <v>347</v>
      </c>
    </row>
    <row r="43" spans="2:4" ht="29" x14ac:dyDescent="0.35">
      <c r="B43" s="84">
        <f t="shared" si="0"/>
        <v>42</v>
      </c>
      <c r="C43" s="89" t="s">
        <v>352</v>
      </c>
      <c r="D43" t="s">
        <v>353</v>
      </c>
    </row>
    <row r="44" spans="2:4" ht="15" thickBot="1" x14ac:dyDescent="0.4">
      <c r="B44" s="86">
        <f t="shared" si="0"/>
        <v>43</v>
      </c>
      <c r="C44" s="88" t="s">
        <v>348</v>
      </c>
    </row>
    <row r="45" spans="2:4" ht="15" thickBot="1" x14ac:dyDescent="0.4">
      <c r="B45" s="82">
        <f t="shared" ref="B45:B49" si="1">B44+1</f>
        <v>44</v>
      </c>
      <c r="C45" s="83" t="s">
        <v>349</v>
      </c>
    </row>
    <row r="46" spans="2:4" ht="29" x14ac:dyDescent="0.35">
      <c r="B46" s="84">
        <f t="shared" si="1"/>
        <v>45</v>
      </c>
      <c r="C46" s="85" t="s">
        <v>350</v>
      </c>
    </row>
    <row r="47" spans="2:4" ht="15" thickBot="1" x14ac:dyDescent="0.4">
      <c r="B47" s="86">
        <f t="shared" si="1"/>
        <v>46</v>
      </c>
      <c r="C47" s="87" t="s">
        <v>351</v>
      </c>
    </row>
    <row r="48" spans="2:4" x14ac:dyDescent="0.35">
      <c r="B48" s="90">
        <f t="shared" si="1"/>
        <v>47</v>
      </c>
      <c r="C48" s="91" t="s">
        <v>354</v>
      </c>
    </row>
    <row r="49" spans="2:3" x14ac:dyDescent="0.35">
      <c r="B49" s="90">
        <f t="shared" si="1"/>
        <v>48</v>
      </c>
      <c r="C49" s="91" t="s">
        <v>355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8"/>
    <col min="2" max="2" width="12.26953125" style="48" customWidth="1"/>
    <col min="3" max="16384" width="9.1796875" style="48"/>
  </cols>
  <sheetData>
    <row r="2" spans="1:12" x14ac:dyDescent="0.35">
      <c r="B2" s="63" t="s">
        <v>290</v>
      </c>
      <c r="C2" s="222"/>
      <c r="D2" s="222"/>
    </row>
    <row r="3" spans="1:12" x14ac:dyDescent="0.35">
      <c r="D3" s="64"/>
      <c r="E3" s="64"/>
      <c r="F3" s="64"/>
      <c r="G3" s="64"/>
      <c r="H3" s="64"/>
      <c r="I3" s="64"/>
    </row>
    <row r="4" spans="1:12" x14ac:dyDescent="0.35">
      <c r="A4" s="63" t="s">
        <v>65</v>
      </c>
      <c r="B4" s="65" t="s">
        <v>291</v>
      </c>
      <c r="C4" s="223" t="s">
        <v>292</v>
      </c>
      <c r="D4" s="223"/>
      <c r="E4" s="223"/>
      <c r="F4" s="65"/>
      <c r="G4" s="224" t="s">
        <v>293</v>
      </c>
      <c r="H4" s="224"/>
      <c r="I4" s="224"/>
      <c r="J4" s="225" t="s">
        <v>294</v>
      </c>
      <c r="K4" s="225"/>
      <c r="L4" s="225"/>
    </row>
    <row r="5" spans="1:12" x14ac:dyDescent="0.35">
      <c r="A5" s="63"/>
      <c r="B5" s="65"/>
      <c r="C5" s="65" t="s">
        <v>295</v>
      </c>
      <c r="D5" s="65" t="s">
        <v>296</v>
      </c>
      <c r="E5" s="65" t="s">
        <v>297</v>
      </c>
      <c r="F5" s="65"/>
      <c r="G5" s="65" t="s">
        <v>295</v>
      </c>
      <c r="H5" s="65" t="s">
        <v>296</v>
      </c>
      <c r="I5" s="65" t="s">
        <v>297</v>
      </c>
      <c r="J5" s="65" t="s">
        <v>295</v>
      </c>
      <c r="K5" s="65" t="s">
        <v>296</v>
      </c>
      <c r="L5" s="65" t="s">
        <v>297</v>
      </c>
    </row>
    <row r="6" spans="1:12" x14ac:dyDescent="0.35">
      <c r="B6" s="49" t="s">
        <v>298</v>
      </c>
      <c r="C6" s="49"/>
      <c r="D6" s="49"/>
      <c r="E6" s="49">
        <f>C6*D6</f>
        <v>0</v>
      </c>
      <c r="F6" s="49" t="s">
        <v>315</v>
      </c>
      <c r="G6" s="49"/>
      <c r="H6" s="49"/>
      <c r="I6" s="49">
        <f>G6*H6</f>
        <v>0</v>
      </c>
      <c r="J6" s="49"/>
      <c r="K6" s="49"/>
      <c r="L6" s="49">
        <f>J6*K6</f>
        <v>0</v>
      </c>
    </row>
    <row r="7" spans="1:12" x14ac:dyDescent="0.35">
      <c r="B7" s="49"/>
      <c r="C7" s="49"/>
      <c r="D7" s="49"/>
      <c r="E7" s="49">
        <f t="shared" ref="E7:E41" si="0">C7*D7</f>
        <v>0</v>
      </c>
      <c r="F7" s="49" t="s">
        <v>315</v>
      </c>
      <c r="G7" s="49"/>
      <c r="H7" s="49"/>
      <c r="I7" s="49">
        <f t="shared" ref="I7:I35" si="1">G7*H7</f>
        <v>0</v>
      </c>
      <c r="J7" s="49"/>
      <c r="K7" s="49"/>
      <c r="L7" s="49">
        <f t="shared" ref="L7:L35" si="2">J7*K7</f>
        <v>0</v>
      </c>
    </row>
    <row r="8" spans="1:12" x14ac:dyDescent="0.35">
      <c r="B8" s="49"/>
      <c r="C8" s="49"/>
      <c r="D8" s="49"/>
      <c r="E8" s="49">
        <f t="shared" si="0"/>
        <v>0</v>
      </c>
      <c r="F8" s="49"/>
      <c r="G8" s="49"/>
      <c r="H8" s="49"/>
      <c r="I8" s="49">
        <f t="shared" si="1"/>
        <v>0</v>
      </c>
      <c r="J8" s="49"/>
      <c r="K8" s="49"/>
      <c r="L8" s="49">
        <f t="shared" si="2"/>
        <v>0</v>
      </c>
    </row>
    <row r="9" spans="1:12" x14ac:dyDescent="0.35">
      <c r="B9" s="49"/>
      <c r="C9" s="49"/>
      <c r="D9" s="49"/>
      <c r="E9" s="49">
        <f t="shared" si="0"/>
        <v>0</v>
      </c>
      <c r="F9" s="49" t="s">
        <v>299</v>
      </c>
      <c r="G9" s="49"/>
      <c r="H9" s="49"/>
      <c r="I9" s="49">
        <f t="shared" si="1"/>
        <v>0</v>
      </c>
      <c r="J9" s="49"/>
      <c r="K9" s="49"/>
      <c r="L9" s="49">
        <f t="shared" si="2"/>
        <v>0</v>
      </c>
    </row>
    <row r="10" spans="1:12" x14ac:dyDescent="0.35">
      <c r="B10" s="49" t="s">
        <v>300</v>
      </c>
      <c r="C10" s="49"/>
      <c r="D10" s="49"/>
      <c r="E10" s="49">
        <f t="shared" si="0"/>
        <v>0</v>
      </c>
      <c r="F10" s="49" t="s">
        <v>299</v>
      </c>
      <c r="G10" s="49"/>
      <c r="H10" s="49"/>
      <c r="I10" s="49">
        <f t="shared" si="1"/>
        <v>0</v>
      </c>
      <c r="J10" s="49"/>
      <c r="K10" s="49"/>
      <c r="L10" s="49">
        <f t="shared" si="2"/>
        <v>0</v>
      </c>
    </row>
    <row r="11" spans="1:12" x14ac:dyDescent="0.35">
      <c r="B11" s="49"/>
      <c r="C11" s="49"/>
      <c r="D11" s="49"/>
      <c r="E11" s="49">
        <f t="shared" si="0"/>
        <v>0</v>
      </c>
      <c r="F11" s="49" t="s">
        <v>301</v>
      </c>
      <c r="G11" s="49"/>
      <c r="H11" s="49"/>
      <c r="I11" s="49">
        <f t="shared" si="1"/>
        <v>0</v>
      </c>
      <c r="J11" s="49"/>
      <c r="K11" s="49"/>
      <c r="L11" s="49">
        <f t="shared" si="2"/>
        <v>0</v>
      </c>
    </row>
    <row r="12" spans="1:12" x14ac:dyDescent="0.35">
      <c r="B12" s="49"/>
      <c r="C12" s="49"/>
      <c r="D12" s="49"/>
      <c r="E12" s="49">
        <f t="shared" si="0"/>
        <v>0</v>
      </c>
      <c r="F12" s="49"/>
      <c r="G12" s="49"/>
      <c r="H12" s="49"/>
      <c r="I12" s="49">
        <f t="shared" si="1"/>
        <v>0</v>
      </c>
      <c r="J12" s="49"/>
      <c r="K12" s="49"/>
      <c r="L12" s="49">
        <f t="shared" si="2"/>
        <v>0</v>
      </c>
    </row>
    <row r="13" spans="1:12" x14ac:dyDescent="0.35">
      <c r="B13" s="49"/>
      <c r="C13" s="49"/>
      <c r="D13" s="49"/>
      <c r="E13" s="49">
        <f t="shared" si="0"/>
        <v>0</v>
      </c>
      <c r="F13" s="49"/>
      <c r="G13" s="49"/>
      <c r="H13" s="49"/>
      <c r="I13" s="49">
        <f t="shared" si="1"/>
        <v>0</v>
      </c>
      <c r="J13" s="49"/>
      <c r="K13" s="49"/>
      <c r="L13" s="49">
        <f t="shared" si="2"/>
        <v>0</v>
      </c>
    </row>
    <row r="14" spans="1:12" x14ac:dyDescent="0.35">
      <c r="B14" s="49" t="s">
        <v>302</v>
      </c>
      <c r="C14" s="49"/>
      <c r="D14" s="49"/>
      <c r="E14" s="49">
        <f t="shared" si="0"/>
        <v>0</v>
      </c>
      <c r="F14" s="49" t="s">
        <v>299</v>
      </c>
      <c r="G14" s="49"/>
      <c r="H14" s="49"/>
      <c r="I14" s="49">
        <f t="shared" si="1"/>
        <v>0</v>
      </c>
      <c r="J14" s="49"/>
      <c r="K14" s="49"/>
      <c r="L14" s="49">
        <f t="shared" si="2"/>
        <v>0</v>
      </c>
    </row>
    <row r="15" spans="1:12" x14ac:dyDescent="0.35">
      <c r="B15" s="49"/>
      <c r="C15" s="49"/>
      <c r="D15" s="49"/>
      <c r="E15" s="49">
        <f t="shared" si="0"/>
        <v>0</v>
      </c>
      <c r="F15" s="49" t="s">
        <v>301</v>
      </c>
      <c r="G15" s="49"/>
      <c r="H15" s="49"/>
      <c r="I15" s="49">
        <f t="shared" si="1"/>
        <v>0</v>
      </c>
      <c r="J15" s="49"/>
      <c r="K15" s="49"/>
      <c r="L15" s="49">
        <f t="shared" si="2"/>
        <v>0</v>
      </c>
    </row>
    <row r="16" spans="1:12" x14ac:dyDescent="0.35">
      <c r="B16" s="49"/>
      <c r="C16" s="49"/>
      <c r="D16" s="49"/>
      <c r="E16" s="49">
        <f t="shared" si="0"/>
        <v>0</v>
      </c>
      <c r="F16" s="49"/>
      <c r="G16" s="49"/>
      <c r="H16" s="49"/>
      <c r="I16" s="49">
        <f t="shared" si="1"/>
        <v>0</v>
      </c>
      <c r="J16" s="49"/>
      <c r="K16" s="49"/>
      <c r="L16" s="49">
        <f t="shared" si="2"/>
        <v>0</v>
      </c>
    </row>
    <row r="17" spans="2:12" x14ac:dyDescent="0.35">
      <c r="B17" s="49"/>
      <c r="C17" s="49"/>
      <c r="D17" s="49"/>
      <c r="E17" s="49">
        <f t="shared" si="0"/>
        <v>0</v>
      </c>
      <c r="F17" s="49"/>
      <c r="G17" s="49"/>
      <c r="H17" s="49"/>
      <c r="I17" s="49">
        <f t="shared" si="1"/>
        <v>0</v>
      </c>
      <c r="J17" s="49"/>
      <c r="K17" s="49"/>
      <c r="L17" s="49">
        <f t="shared" si="2"/>
        <v>0</v>
      </c>
    </row>
    <row r="18" spans="2:12" x14ac:dyDescent="0.35">
      <c r="B18" s="49" t="s">
        <v>303</v>
      </c>
      <c r="C18" s="49"/>
      <c r="D18" s="49"/>
      <c r="E18" s="49">
        <f t="shared" si="0"/>
        <v>0</v>
      </c>
      <c r="F18" s="49" t="s">
        <v>299</v>
      </c>
      <c r="G18" s="49"/>
      <c r="H18" s="49"/>
      <c r="I18" s="49">
        <f t="shared" si="1"/>
        <v>0</v>
      </c>
      <c r="J18" s="49"/>
      <c r="K18" s="49"/>
      <c r="L18" s="49">
        <f t="shared" si="2"/>
        <v>0</v>
      </c>
    </row>
    <row r="19" spans="2:12" x14ac:dyDescent="0.35">
      <c r="B19" s="49"/>
      <c r="C19" s="49"/>
      <c r="D19" s="49"/>
      <c r="E19" s="49">
        <f t="shared" si="0"/>
        <v>0</v>
      </c>
      <c r="F19" s="49" t="s">
        <v>301</v>
      </c>
      <c r="G19" s="49"/>
      <c r="H19" s="49"/>
      <c r="I19" s="49">
        <f t="shared" si="1"/>
        <v>0</v>
      </c>
      <c r="J19" s="49"/>
      <c r="K19" s="49"/>
      <c r="L19" s="49">
        <f t="shared" si="2"/>
        <v>0</v>
      </c>
    </row>
    <row r="20" spans="2:12" x14ac:dyDescent="0.35">
      <c r="B20" s="49"/>
      <c r="C20" s="49"/>
      <c r="D20" s="49"/>
      <c r="E20" s="49">
        <f t="shared" si="0"/>
        <v>0</v>
      </c>
      <c r="F20" s="49"/>
      <c r="G20" s="49"/>
      <c r="H20" s="49"/>
      <c r="I20" s="49">
        <f t="shared" si="1"/>
        <v>0</v>
      </c>
      <c r="J20" s="49"/>
      <c r="K20" s="49"/>
      <c r="L20" s="49">
        <f t="shared" si="2"/>
        <v>0</v>
      </c>
    </row>
    <row r="21" spans="2:12" x14ac:dyDescent="0.35">
      <c r="B21" s="49" t="s">
        <v>304</v>
      </c>
      <c r="C21" s="49"/>
      <c r="D21" s="49"/>
      <c r="E21" s="49">
        <f t="shared" si="0"/>
        <v>0</v>
      </c>
      <c r="F21" s="49" t="s">
        <v>299</v>
      </c>
      <c r="G21" s="49"/>
      <c r="H21" s="49"/>
      <c r="I21" s="49">
        <f t="shared" si="1"/>
        <v>0</v>
      </c>
      <c r="J21" s="49"/>
      <c r="K21" s="49"/>
      <c r="L21" s="49">
        <f t="shared" si="2"/>
        <v>0</v>
      </c>
    </row>
    <row r="22" spans="2:12" x14ac:dyDescent="0.35">
      <c r="B22" s="49"/>
      <c r="C22" s="49"/>
      <c r="D22" s="49"/>
      <c r="E22" s="49">
        <f t="shared" si="0"/>
        <v>0</v>
      </c>
      <c r="F22" s="49" t="s">
        <v>301</v>
      </c>
      <c r="G22" s="49"/>
      <c r="H22" s="49"/>
      <c r="I22" s="49">
        <f t="shared" si="1"/>
        <v>0</v>
      </c>
      <c r="J22" s="49"/>
      <c r="K22" s="49"/>
      <c r="L22" s="49">
        <f t="shared" si="2"/>
        <v>0</v>
      </c>
    </row>
    <row r="23" spans="2:12" x14ac:dyDescent="0.35">
      <c r="B23" s="49"/>
      <c r="C23" s="49"/>
      <c r="D23" s="49"/>
      <c r="E23" s="49">
        <f t="shared" si="0"/>
        <v>0</v>
      </c>
      <c r="F23" s="49"/>
      <c r="G23" s="49"/>
      <c r="H23" s="49"/>
      <c r="I23" s="49">
        <f t="shared" si="1"/>
        <v>0</v>
      </c>
      <c r="J23" s="49"/>
      <c r="K23" s="49"/>
      <c r="L23" s="49">
        <f t="shared" si="2"/>
        <v>0</v>
      </c>
    </row>
    <row r="24" spans="2:12" x14ac:dyDescent="0.35">
      <c r="B24" s="49" t="s">
        <v>305</v>
      </c>
      <c r="C24" s="49"/>
      <c r="D24" s="49"/>
      <c r="E24" s="49">
        <f t="shared" si="0"/>
        <v>0</v>
      </c>
      <c r="F24" s="49" t="s">
        <v>306</v>
      </c>
      <c r="G24" s="49"/>
      <c r="H24" s="49"/>
      <c r="I24" s="49">
        <f t="shared" si="1"/>
        <v>0</v>
      </c>
      <c r="J24" s="49"/>
      <c r="K24" s="49"/>
      <c r="L24" s="49">
        <f t="shared" si="2"/>
        <v>0</v>
      </c>
    </row>
    <row r="25" spans="2:12" x14ac:dyDescent="0.35">
      <c r="B25" s="49"/>
      <c r="C25" s="49"/>
      <c r="D25" s="49"/>
      <c r="E25" s="49">
        <f>C25*D25</f>
        <v>0</v>
      </c>
      <c r="F25" s="49" t="s">
        <v>306</v>
      </c>
      <c r="G25" s="49"/>
      <c r="H25" s="49"/>
      <c r="I25" s="49">
        <f>G25*H25</f>
        <v>0</v>
      </c>
      <c r="J25" s="49"/>
      <c r="K25" s="49"/>
      <c r="L25" s="49">
        <f>J25*K25</f>
        <v>0</v>
      </c>
    </row>
    <row r="26" spans="2:12" x14ac:dyDescent="0.35">
      <c r="B26" s="49"/>
      <c r="C26" s="49"/>
      <c r="D26" s="49"/>
      <c r="E26" s="49">
        <f>C26*D26</f>
        <v>0</v>
      </c>
      <c r="F26" s="49" t="s">
        <v>306</v>
      </c>
      <c r="G26" s="49"/>
      <c r="H26" s="49"/>
      <c r="I26" s="49">
        <f>G26*H26</f>
        <v>0</v>
      </c>
      <c r="J26" s="49"/>
      <c r="K26" s="49"/>
      <c r="L26" s="49">
        <f>J26*K26</f>
        <v>0</v>
      </c>
    </row>
    <row r="27" spans="2:12" x14ac:dyDescent="0.35">
      <c r="B27" s="49"/>
      <c r="C27" s="49"/>
      <c r="D27" s="49"/>
      <c r="E27" s="49">
        <f>C27*D27</f>
        <v>0</v>
      </c>
      <c r="F27" s="49" t="s">
        <v>306</v>
      </c>
      <c r="G27" s="49"/>
      <c r="H27" s="49"/>
      <c r="I27" s="49">
        <f>G27*H27</f>
        <v>0</v>
      </c>
      <c r="J27" s="49"/>
      <c r="K27" s="49"/>
      <c r="L27" s="49">
        <f>J27*K27</f>
        <v>0</v>
      </c>
    </row>
    <row r="28" spans="2:12" x14ac:dyDescent="0.35">
      <c r="B28" s="49" t="s">
        <v>307</v>
      </c>
      <c r="C28" s="49"/>
      <c r="D28" s="49"/>
      <c r="E28" s="49">
        <f t="shared" si="0"/>
        <v>0</v>
      </c>
      <c r="F28" s="49" t="s">
        <v>306</v>
      </c>
      <c r="G28" s="49"/>
      <c r="H28" s="49"/>
      <c r="I28" s="49">
        <f t="shared" si="1"/>
        <v>0</v>
      </c>
      <c r="J28" s="49"/>
      <c r="K28" s="49"/>
      <c r="L28" s="49">
        <f t="shared" si="2"/>
        <v>0</v>
      </c>
    </row>
    <row r="29" spans="2:12" x14ac:dyDescent="0.35">
      <c r="B29" s="49" t="s">
        <v>308</v>
      </c>
      <c r="C29" s="49"/>
      <c r="D29" s="49"/>
      <c r="E29" s="49">
        <f t="shared" si="0"/>
        <v>0</v>
      </c>
      <c r="F29" s="49" t="s">
        <v>306</v>
      </c>
      <c r="G29" s="49"/>
      <c r="H29" s="49"/>
      <c r="I29" s="49">
        <f t="shared" si="1"/>
        <v>0</v>
      </c>
      <c r="J29" s="49"/>
      <c r="K29" s="49"/>
      <c r="L29" s="49">
        <f t="shared" si="2"/>
        <v>0</v>
      </c>
    </row>
    <row r="30" spans="2:12" x14ac:dyDescent="0.35">
      <c r="B30" s="49" t="s">
        <v>312</v>
      </c>
      <c r="C30" s="49"/>
      <c r="D30" s="49"/>
      <c r="E30" s="49">
        <f t="shared" si="0"/>
        <v>0</v>
      </c>
      <c r="F30" s="49"/>
      <c r="G30" s="49"/>
      <c r="H30" s="49"/>
      <c r="I30" s="49">
        <f t="shared" si="1"/>
        <v>0</v>
      </c>
      <c r="J30" s="49"/>
      <c r="K30" s="49"/>
      <c r="L30" s="49">
        <f t="shared" si="2"/>
        <v>0</v>
      </c>
    </row>
    <row r="31" spans="2:12" x14ac:dyDescent="0.35">
      <c r="B31" s="49"/>
      <c r="C31" s="49"/>
      <c r="D31" s="49"/>
      <c r="E31" s="49">
        <f>C31*D31</f>
        <v>0</v>
      </c>
      <c r="F31" s="49"/>
      <c r="G31" s="49"/>
      <c r="H31" s="49"/>
      <c r="I31" s="49">
        <f>G31*H31</f>
        <v>0</v>
      </c>
      <c r="J31" s="49"/>
      <c r="K31" s="49"/>
      <c r="L31" s="49">
        <f>J31*K31</f>
        <v>0</v>
      </c>
    </row>
    <row r="32" spans="2:12" x14ac:dyDescent="0.35">
      <c r="B32" s="49"/>
      <c r="C32" s="49"/>
      <c r="D32" s="49"/>
      <c r="E32" s="49">
        <f>C32*D32</f>
        <v>0</v>
      </c>
      <c r="F32" s="49"/>
      <c r="G32" s="49"/>
      <c r="H32" s="49"/>
      <c r="I32" s="49">
        <f>G32*H32</f>
        <v>0</v>
      </c>
      <c r="J32" s="49"/>
      <c r="K32" s="49"/>
      <c r="L32" s="49">
        <f>J32*K32</f>
        <v>0</v>
      </c>
    </row>
    <row r="33" spans="2:12" x14ac:dyDescent="0.35">
      <c r="B33" s="49" t="s">
        <v>309</v>
      </c>
      <c r="C33" s="49"/>
      <c r="D33" s="49"/>
      <c r="E33" s="49">
        <f t="shared" si="0"/>
        <v>0</v>
      </c>
      <c r="F33" s="49"/>
      <c r="G33" s="49"/>
      <c r="H33" s="49"/>
      <c r="I33" s="49">
        <f t="shared" si="1"/>
        <v>0</v>
      </c>
      <c r="J33" s="49"/>
      <c r="K33" s="49"/>
      <c r="L33" s="49">
        <f t="shared" si="2"/>
        <v>0</v>
      </c>
    </row>
    <row r="34" spans="2:12" x14ac:dyDescent="0.35">
      <c r="B34" s="49" t="s">
        <v>313</v>
      </c>
      <c r="C34" s="49"/>
      <c r="D34" s="49"/>
      <c r="E34" s="49">
        <f t="shared" si="0"/>
        <v>0</v>
      </c>
      <c r="F34" s="49"/>
      <c r="G34" s="49"/>
      <c r="H34" s="49"/>
      <c r="I34" s="49">
        <f t="shared" si="1"/>
        <v>0</v>
      </c>
      <c r="J34" s="49"/>
      <c r="K34" s="49"/>
      <c r="L34" s="49">
        <f t="shared" si="2"/>
        <v>0</v>
      </c>
    </row>
    <row r="35" spans="2:12" x14ac:dyDescent="0.35">
      <c r="B35" s="49" t="s">
        <v>310</v>
      </c>
      <c r="C35" s="49"/>
      <c r="D35" s="49"/>
      <c r="E35" s="49">
        <f t="shared" si="0"/>
        <v>0</v>
      </c>
      <c r="F35" s="49"/>
      <c r="G35" s="49"/>
      <c r="H35" s="49"/>
      <c r="I35" s="49">
        <f t="shared" si="1"/>
        <v>0</v>
      </c>
      <c r="J35" s="49"/>
      <c r="K35" s="49"/>
      <c r="L35" s="49">
        <f t="shared" si="2"/>
        <v>0</v>
      </c>
    </row>
    <row r="36" spans="2:12" x14ac:dyDescent="0.35">
      <c r="B36" s="49" t="s">
        <v>311</v>
      </c>
      <c r="C36" s="49"/>
      <c r="D36" s="49"/>
      <c r="E36" s="49">
        <f t="shared" si="0"/>
        <v>0</v>
      </c>
      <c r="F36" s="49"/>
      <c r="G36" s="49"/>
      <c r="H36" s="49"/>
      <c r="I36" s="49">
        <f t="shared" ref="I36:I41" si="3">G36*H36</f>
        <v>0</v>
      </c>
      <c r="J36" s="49"/>
      <c r="K36" s="49"/>
      <c r="L36" s="49">
        <f t="shared" ref="L36:L41" si="4">J36*K36</f>
        <v>0</v>
      </c>
    </row>
    <row r="37" spans="2:12" x14ac:dyDescent="0.35">
      <c r="B37" s="49"/>
      <c r="C37" s="49"/>
      <c r="D37" s="49"/>
      <c r="E37" s="49">
        <f>C37*D37</f>
        <v>0</v>
      </c>
      <c r="F37" s="49"/>
      <c r="G37" s="49"/>
      <c r="H37" s="49"/>
      <c r="I37" s="49">
        <f t="shared" si="3"/>
        <v>0</v>
      </c>
      <c r="J37" s="49"/>
      <c r="K37" s="49"/>
      <c r="L37" s="49">
        <f t="shared" si="4"/>
        <v>0</v>
      </c>
    </row>
    <row r="38" spans="2:12" x14ac:dyDescent="0.35">
      <c r="B38" s="49" t="s">
        <v>314</v>
      </c>
      <c r="C38" s="49"/>
      <c r="D38" s="49"/>
      <c r="E38" s="49">
        <f>C38*D38</f>
        <v>0</v>
      </c>
      <c r="F38" s="49"/>
      <c r="G38" s="49"/>
      <c r="H38" s="49"/>
      <c r="I38" s="49">
        <f t="shared" si="3"/>
        <v>0</v>
      </c>
      <c r="J38" s="49"/>
      <c r="K38" s="49"/>
      <c r="L38" s="49">
        <f t="shared" si="4"/>
        <v>0</v>
      </c>
    </row>
    <row r="39" spans="2:12" x14ac:dyDescent="0.35">
      <c r="B39" s="49"/>
      <c r="C39" s="49"/>
      <c r="D39" s="49"/>
      <c r="E39" s="49">
        <f t="shared" si="0"/>
        <v>0</v>
      </c>
      <c r="F39" s="49"/>
      <c r="G39" s="49"/>
      <c r="H39" s="49"/>
      <c r="I39" s="49">
        <f t="shared" si="3"/>
        <v>0</v>
      </c>
      <c r="J39" s="49"/>
      <c r="K39" s="49"/>
      <c r="L39" s="49">
        <f t="shared" si="4"/>
        <v>0</v>
      </c>
    </row>
    <row r="40" spans="2:12" x14ac:dyDescent="0.35">
      <c r="B40" s="49"/>
      <c r="C40" s="49"/>
      <c r="D40" s="49"/>
      <c r="E40" s="49">
        <f t="shared" si="0"/>
        <v>0</v>
      </c>
      <c r="F40" s="49"/>
      <c r="G40" s="49"/>
      <c r="H40" s="49"/>
      <c r="I40" s="49">
        <f t="shared" si="3"/>
        <v>0</v>
      </c>
      <c r="J40" s="49"/>
      <c r="K40" s="49"/>
      <c r="L40" s="49">
        <f t="shared" si="4"/>
        <v>0</v>
      </c>
    </row>
    <row r="41" spans="2:12" x14ac:dyDescent="0.35">
      <c r="B41" s="49"/>
      <c r="C41" s="49"/>
      <c r="D41" s="49"/>
      <c r="E41" s="49">
        <f t="shared" si="0"/>
        <v>0</v>
      </c>
      <c r="F41" s="49"/>
      <c r="G41" s="49"/>
      <c r="H41" s="49"/>
      <c r="I41" s="49">
        <f t="shared" si="3"/>
        <v>0</v>
      </c>
      <c r="J41" s="49"/>
      <c r="K41" s="49"/>
      <c r="L41" s="49">
        <f t="shared" si="4"/>
        <v>0</v>
      </c>
    </row>
    <row r="42" spans="2:12" x14ac:dyDescent="0.35">
      <c r="B42" s="49" t="s">
        <v>143</v>
      </c>
      <c r="C42" s="49"/>
      <c r="D42" s="49">
        <f>E42*10.764</f>
        <v>0</v>
      </c>
      <c r="E42" s="68">
        <f>SUM(E6:E41)</f>
        <v>0</v>
      </c>
      <c r="F42" s="49"/>
      <c r="G42" s="49"/>
      <c r="H42" s="49">
        <f>I42*10.764</f>
        <v>0</v>
      </c>
      <c r="I42" s="67">
        <f>SUM(I6:I41)</f>
        <v>0</v>
      </c>
      <c r="J42" s="49"/>
      <c r="K42" s="49">
        <f>L42*10.764</f>
        <v>0</v>
      </c>
      <c r="L42" s="66">
        <f>SUM(L6:L41)</f>
        <v>0</v>
      </c>
    </row>
    <row r="44" spans="2:12" x14ac:dyDescent="0.3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2025-07-29T07:10:27Z</cp:lastPrinted>
  <dcterms:created xsi:type="dcterms:W3CDTF">2019-07-16T09:29:46Z</dcterms:created>
  <dcterms:modified xsi:type="dcterms:W3CDTF">2025-07-29T07:12:04Z</dcterms:modified>
</cp:coreProperties>
</file>