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6" i="1" l="1"/>
  <c r="J95" i="1"/>
  <c r="J94" i="1"/>
  <c r="J93" i="1"/>
  <c r="H86" i="1"/>
  <c r="E89" i="1" l="1"/>
  <c r="J90" i="1"/>
  <c r="C89" i="1" s="1"/>
  <c r="G89" i="1" s="1"/>
  <c r="D98" i="1"/>
  <c r="D94" i="1"/>
  <c r="J89" i="1"/>
  <c r="D93" i="1"/>
  <c r="D96" i="1"/>
  <c r="D92" i="1"/>
  <c r="J91" i="1"/>
  <c r="J92" i="1" s="1"/>
  <c r="J97" i="1" s="1"/>
  <c r="J98" i="1" s="1"/>
  <c r="J85" i="1"/>
  <c r="J87" i="1" s="1"/>
  <c r="D95" i="1"/>
  <c r="D91" i="1"/>
  <c r="J88" i="1"/>
  <c r="D90" i="1"/>
  <c r="D97" i="1"/>
  <c r="D316" i="1"/>
  <c r="F316" i="1" s="1"/>
  <c r="D314" i="1"/>
  <c r="F314" i="1" s="1"/>
  <c r="D313" i="1"/>
  <c r="F313" i="1" s="1"/>
  <c r="D312" i="1"/>
  <c r="F312" i="1" s="1"/>
  <c r="D311" i="1"/>
  <c r="F311" i="1" s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7" i="1"/>
  <c r="D366" i="1"/>
  <c r="F366" i="1" s="1"/>
  <c r="D365" i="1"/>
  <c r="F365" i="1" s="1"/>
  <c r="D364" i="1"/>
  <c r="F364" i="1" s="1"/>
  <c r="D363" i="1"/>
  <c r="D362" i="1"/>
  <c r="F362" i="1" s="1"/>
  <c r="D361" i="1"/>
  <c r="F361" i="1" s="1"/>
  <c r="D360" i="1"/>
  <c r="D335" i="1"/>
  <c r="D334" i="1"/>
  <c r="F334" i="1" s="1"/>
  <c r="D331" i="1"/>
  <c r="F331" i="1" s="1"/>
  <c r="D330" i="1"/>
  <c r="F330" i="1" s="1"/>
  <c r="D332" i="1"/>
  <c r="F332" i="1" s="1"/>
  <c r="D329" i="1"/>
  <c r="F329" i="1" s="1"/>
  <c r="D326" i="1"/>
  <c r="D325" i="1"/>
  <c r="D322" i="1"/>
  <c r="D321" i="1"/>
  <c r="D327" i="1"/>
  <c r="D324" i="1"/>
  <c r="D323" i="1"/>
  <c r="D320" i="1"/>
  <c r="P316" i="1"/>
  <c r="P315" i="1"/>
  <c r="P314" i="1"/>
  <c r="P313" i="1"/>
  <c r="P312" i="1"/>
  <c r="P311" i="1"/>
  <c r="G311" i="1"/>
  <c r="P310" i="1"/>
  <c r="P301" i="1"/>
  <c r="P302" i="1"/>
  <c r="P385" i="1"/>
  <c r="F385" i="1"/>
  <c r="P384" i="1"/>
  <c r="F384" i="1"/>
  <c r="P383" i="1"/>
  <c r="F383" i="1"/>
  <c r="P382" i="1"/>
  <c r="F382" i="1"/>
  <c r="P381" i="1"/>
  <c r="F381" i="1"/>
  <c r="P380" i="1"/>
  <c r="F380" i="1"/>
  <c r="P379" i="1"/>
  <c r="F379" i="1"/>
  <c r="A379" i="1"/>
  <c r="A380" i="1" s="1"/>
  <c r="A381" i="1" s="1"/>
  <c r="A382" i="1" s="1"/>
  <c r="A383" i="1" s="1"/>
  <c r="A384" i="1" s="1"/>
  <c r="A385" i="1" s="1"/>
  <c r="P378" i="1"/>
  <c r="G378" i="1"/>
  <c r="F378" i="1"/>
  <c r="P377" i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D349" i="1"/>
  <c r="F349" i="1" s="1"/>
  <c r="P356" i="1"/>
  <c r="P355" i="1"/>
  <c r="P354" i="1"/>
  <c r="P353" i="1"/>
  <c r="P352" i="1"/>
  <c r="P351" i="1"/>
  <c r="P350" i="1"/>
  <c r="P349" i="1"/>
  <c r="G349" i="1"/>
  <c r="P348" i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P309" i="1"/>
  <c r="P308" i="1"/>
  <c r="P307" i="1"/>
  <c r="P306" i="1"/>
  <c r="P305" i="1"/>
  <c r="P304" i="1"/>
  <c r="G304" i="1"/>
  <c r="P303" i="1"/>
  <c r="P338" i="1"/>
  <c r="P293" i="1"/>
  <c r="A350" i="1" s="1"/>
  <c r="P294" i="1"/>
  <c r="A351" i="1" s="1"/>
  <c r="P295" i="1"/>
  <c r="A352" i="1" s="1"/>
  <c r="P296" i="1"/>
  <c r="A353" i="1" s="1"/>
  <c r="P297" i="1"/>
  <c r="A354" i="1" s="1"/>
  <c r="P298" i="1"/>
  <c r="A355" i="1" s="1"/>
  <c r="P299" i="1"/>
  <c r="A356" i="1" s="1"/>
  <c r="P292" i="1"/>
  <c r="A349" i="1" s="1"/>
  <c r="C169" i="1"/>
  <c r="C155" i="1"/>
  <c r="C141" i="1"/>
  <c r="C127" i="1"/>
  <c r="J180" i="1"/>
  <c r="J179" i="1"/>
  <c r="J178" i="1"/>
  <c r="J177" i="1"/>
  <c r="J166" i="1"/>
  <c r="J165" i="1"/>
  <c r="J164" i="1"/>
  <c r="J163" i="1"/>
  <c r="J152" i="1"/>
  <c r="J151" i="1"/>
  <c r="J150" i="1"/>
  <c r="J149" i="1"/>
  <c r="J138" i="1"/>
  <c r="J137" i="1"/>
  <c r="J136" i="1"/>
  <c r="J135" i="1"/>
  <c r="P337" i="1"/>
  <c r="P376" i="1"/>
  <c r="P375" i="1"/>
  <c r="P374" i="1"/>
  <c r="P373" i="1"/>
  <c r="P372" i="1"/>
  <c r="P371" i="1"/>
  <c r="P370" i="1"/>
  <c r="P369" i="1"/>
  <c r="G369" i="1"/>
  <c r="P368" i="1"/>
  <c r="P367" i="1"/>
  <c r="F367" i="1"/>
  <c r="P366" i="1"/>
  <c r="P365" i="1"/>
  <c r="P364" i="1"/>
  <c r="P363" i="1"/>
  <c r="F363" i="1"/>
  <c r="P362" i="1"/>
  <c r="P361" i="1"/>
  <c r="P360" i="1"/>
  <c r="G360" i="1"/>
  <c r="P359" i="1"/>
  <c r="I359" i="1"/>
  <c r="P358" i="1"/>
  <c r="P357" i="1"/>
  <c r="I322" i="1"/>
  <c r="I320" i="1"/>
  <c r="I319" i="1"/>
  <c r="D333" i="1"/>
  <c r="F333" i="1" s="1"/>
  <c r="P336" i="1"/>
  <c r="P335" i="1"/>
  <c r="F335" i="1"/>
  <c r="P334" i="1"/>
  <c r="P333" i="1"/>
  <c r="P332" i="1"/>
  <c r="P331" i="1"/>
  <c r="P330" i="1"/>
  <c r="P329" i="1"/>
  <c r="G329" i="1"/>
  <c r="P328" i="1"/>
  <c r="G340" i="1"/>
  <c r="G320" i="1"/>
  <c r="P319" i="1"/>
  <c r="P347" i="1"/>
  <c r="P346" i="1"/>
  <c r="P345" i="1"/>
  <c r="P344" i="1"/>
  <c r="P343" i="1"/>
  <c r="P342" i="1"/>
  <c r="P341" i="1"/>
  <c r="P340" i="1"/>
  <c r="P339" i="1"/>
  <c r="P318" i="1"/>
  <c r="H142" i="1"/>
  <c r="H156" i="1"/>
  <c r="H170" i="1"/>
  <c r="H128" i="1"/>
  <c r="C203" i="1" l="1"/>
  <c r="C202" i="1"/>
  <c r="D89" i="1"/>
  <c r="I86" i="1" s="1"/>
  <c r="I87" i="1" s="1"/>
  <c r="E205" i="1"/>
  <c r="E203" i="1"/>
  <c r="A315" i="1"/>
  <c r="G204" i="1"/>
  <c r="A312" i="1"/>
  <c r="C205" i="1"/>
  <c r="E202" i="1"/>
  <c r="C204" i="1"/>
  <c r="F304" i="1"/>
  <c r="G202" i="1" s="1"/>
  <c r="A311" i="1"/>
  <c r="A316" i="1"/>
  <c r="A314" i="1"/>
  <c r="E204" i="1"/>
  <c r="A313" i="1"/>
  <c r="A335" i="1"/>
  <c r="A371" i="1"/>
  <c r="A331" i="1"/>
  <c r="A329" i="1"/>
  <c r="A333" i="1"/>
  <c r="A373" i="1"/>
  <c r="A336" i="1"/>
  <c r="A334" i="1"/>
  <c r="A332" i="1"/>
  <c r="A330" i="1"/>
  <c r="A376" i="1"/>
  <c r="A374" i="1"/>
  <c r="A372" i="1"/>
  <c r="A370" i="1"/>
  <c r="A369" i="1"/>
  <c r="A375" i="1"/>
  <c r="J175" i="1"/>
  <c r="J176" i="1" s="1"/>
  <c r="J181" i="1" s="1"/>
  <c r="J174" i="1"/>
  <c r="J172" i="1"/>
  <c r="D182" i="1"/>
  <c r="D181" i="1"/>
  <c r="D180" i="1"/>
  <c r="D179" i="1"/>
  <c r="D178" i="1"/>
  <c r="D177" i="1"/>
  <c r="D176" i="1"/>
  <c r="D175" i="1"/>
  <c r="J173" i="1"/>
  <c r="J169" i="1"/>
  <c r="J171" i="1" s="1"/>
  <c r="J161" i="1"/>
  <c r="J162" i="1" s="1"/>
  <c r="J167" i="1" s="1"/>
  <c r="J160" i="1"/>
  <c r="C159" i="1" s="1"/>
  <c r="D159" i="1" s="1"/>
  <c r="J158" i="1"/>
  <c r="D168" i="1"/>
  <c r="D167" i="1"/>
  <c r="D166" i="1"/>
  <c r="D165" i="1"/>
  <c r="D164" i="1"/>
  <c r="D163" i="1"/>
  <c r="D162" i="1"/>
  <c r="D161" i="1"/>
  <c r="J159" i="1"/>
  <c r="J155" i="1"/>
  <c r="J157" i="1" s="1"/>
  <c r="J147" i="1"/>
  <c r="J148" i="1" s="1"/>
  <c r="J153" i="1" s="1"/>
  <c r="J154" i="1" s="1"/>
  <c r="C146" i="1" s="1"/>
  <c r="J146" i="1"/>
  <c r="C145" i="1" s="1"/>
  <c r="D145" i="1" s="1"/>
  <c r="J144" i="1"/>
  <c r="D154" i="1"/>
  <c r="D153" i="1"/>
  <c r="D152" i="1"/>
  <c r="D151" i="1"/>
  <c r="D150" i="1"/>
  <c r="D149" i="1"/>
  <c r="D148" i="1"/>
  <c r="D147" i="1"/>
  <c r="J145" i="1"/>
  <c r="J141" i="1"/>
  <c r="J143" i="1" s="1"/>
  <c r="J133" i="1"/>
  <c r="J134" i="1" s="1"/>
  <c r="J139" i="1" s="1"/>
  <c r="J140" i="1" s="1"/>
  <c r="C132" i="1" s="1"/>
  <c r="J132" i="1"/>
  <c r="C131" i="1" s="1"/>
  <c r="J130" i="1"/>
  <c r="D140" i="1"/>
  <c r="D139" i="1"/>
  <c r="D138" i="1"/>
  <c r="D137" i="1"/>
  <c r="D136" i="1"/>
  <c r="D135" i="1"/>
  <c r="D134" i="1"/>
  <c r="D133" i="1"/>
  <c r="J131" i="1"/>
  <c r="J127" i="1"/>
  <c r="J129" i="1" s="1"/>
  <c r="F360" i="1"/>
  <c r="G205" i="1" s="1"/>
  <c r="I299" i="1"/>
  <c r="I259" i="1"/>
  <c r="J251" i="1"/>
  <c r="K231" i="1"/>
  <c r="P239" i="1"/>
  <c r="A239" i="1" s="1"/>
  <c r="P238" i="1"/>
  <c r="A238" i="1" s="1"/>
  <c r="P237" i="1"/>
  <c r="A237" i="1" s="1"/>
  <c r="P236" i="1"/>
  <c r="A236" i="1" s="1"/>
  <c r="P235" i="1"/>
  <c r="A235" i="1" s="1"/>
  <c r="P234" i="1"/>
  <c r="A234" i="1" s="1"/>
  <c r="P233" i="1"/>
  <c r="A233" i="1" s="1"/>
  <c r="P232" i="1"/>
  <c r="A232" i="1" s="1"/>
  <c r="P230" i="1"/>
  <c r="A230" i="1" s="1"/>
  <c r="P229" i="1"/>
  <c r="A229" i="1" s="1"/>
  <c r="P228" i="1"/>
  <c r="A228" i="1" s="1"/>
  <c r="P227" i="1"/>
  <c r="A227" i="1" s="1"/>
  <c r="P226" i="1"/>
  <c r="A226" i="1" s="1"/>
  <c r="P225" i="1"/>
  <c r="A225" i="1" s="1"/>
  <c r="P224" i="1"/>
  <c r="A224" i="1" s="1"/>
  <c r="P223" i="1"/>
  <c r="A223" i="1" s="1"/>
  <c r="P259" i="1"/>
  <c r="A259" i="1" s="1"/>
  <c r="P258" i="1"/>
  <c r="A258" i="1" s="1"/>
  <c r="P257" i="1"/>
  <c r="A257" i="1" s="1"/>
  <c r="P256" i="1"/>
  <c r="A256" i="1" s="1"/>
  <c r="P255" i="1"/>
  <c r="A255" i="1" s="1"/>
  <c r="P254" i="1"/>
  <c r="A254" i="1" s="1"/>
  <c r="P253" i="1"/>
  <c r="A253" i="1" s="1"/>
  <c r="P252" i="1"/>
  <c r="A252" i="1" s="1"/>
  <c r="P250" i="1"/>
  <c r="A250" i="1" s="1"/>
  <c r="P249" i="1"/>
  <c r="A249" i="1" s="1"/>
  <c r="P248" i="1"/>
  <c r="A248" i="1" s="1"/>
  <c r="P247" i="1"/>
  <c r="A247" i="1" s="1"/>
  <c r="P246" i="1"/>
  <c r="A246" i="1" s="1"/>
  <c r="P245" i="1"/>
  <c r="A245" i="1" s="1"/>
  <c r="P244" i="1"/>
  <c r="A244" i="1" s="1"/>
  <c r="P243" i="1"/>
  <c r="A243" i="1" s="1"/>
  <c r="P279" i="1"/>
  <c r="A279" i="1" s="1"/>
  <c r="P278" i="1"/>
  <c r="A278" i="1" s="1"/>
  <c r="P277" i="1"/>
  <c r="A277" i="1" s="1"/>
  <c r="P276" i="1"/>
  <c r="A276" i="1" s="1"/>
  <c r="P275" i="1"/>
  <c r="A275" i="1" s="1"/>
  <c r="P274" i="1"/>
  <c r="A274" i="1" s="1"/>
  <c r="P273" i="1"/>
  <c r="A273" i="1" s="1"/>
  <c r="P272" i="1"/>
  <c r="A272" i="1" s="1"/>
  <c r="P270" i="1"/>
  <c r="A270" i="1" s="1"/>
  <c r="P269" i="1"/>
  <c r="A269" i="1" s="1"/>
  <c r="P268" i="1"/>
  <c r="A268" i="1" s="1"/>
  <c r="P267" i="1"/>
  <c r="A267" i="1" s="1"/>
  <c r="P266" i="1"/>
  <c r="A266" i="1" s="1"/>
  <c r="P265" i="1"/>
  <c r="A265" i="1" s="1"/>
  <c r="P264" i="1"/>
  <c r="A264" i="1" s="1"/>
  <c r="P263" i="1"/>
  <c r="A263" i="1" s="1"/>
  <c r="A293" i="1"/>
  <c r="A294" i="1"/>
  <c r="A295" i="1"/>
  <c r="A296" i="1"/>
  <c r="A297" i="1"/>
  <c r="A298" i="1"/>
  <c r="A299" i="1"/>
  <c r="P317" i="1"/>
  <c r="P320" i="1"/>
  <c r="P321" i="1"/>
  <c r="P322" i="1"/>
  <c r="P323" i="1"/>
  <c r="P324" i="1"/>
  <c r="P325" i="1"/>
  <c r="P326" i="1"/>
  <c r="P327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A292" i="1"/>
  <c r="P284" i="1"/>
  <c r="P285" i="1"/>
  <c r="P286" i="1"/>
  <c r="P287" i="1"/>
  <c r="P288" i="1"/>
  <c r="P289" i="1"/>
  <c r="A346" i="1" s="1"/>
  <c r="P290" i="1"/>
  <c r="A347" i="1" s="1"/>
  <c r="P283" i="1"/>
  <c r="A304" i="1" s="1"/>
  <c r="D131" i="1" l="1"/>
  <c r="J128" i="1" s="1"/>
  <c r="G131" i="1"/>
  <c r="J182" i="1"/>
  <c r="C173" i="1"/>
  <c r="D173" i="1" s="1"/>
  <c r="J86" i="1"/>
  <c r="I85" i="1" s="1"/>
  <c r="C87" i="1" s="1"/>
  <c r="A345" i="1"/>
  <c r="A309" i="1"/>
  <c r="A341" i="1"/>
  <c r="A305" i="1"/>
  <c r="A344" i="1"/>
  <c r="A308" i="1"/>
  <c r="A343" i="1"/>
  <c r="A307" i="1"/>
  <c r="A342" i="1"/>
  <c r="A306" i="1"/>
  <c r="J168" i="1"/>
  <c r="C160" i="1" s="1"/>
  <c r="D160" i="1" s="1"/>
  <c r="I156" i="1" s="1"/>
  <c r="I157" i="1" s="1"/>
  <c r="A283" i="1"/>
  <c r="A320" i="1"/>
  <c r="A340" i="1"/>
  <c r="A360" i="1"/>
  <c r="A289" i="1"/>
  <c r="A366" i="1"/>
  <c r="A326" i="1"/>
  <c r="A287" i="1"/>
  <c r="A364" i="1"/>
  <c r="A324" i="1"/>
  <c r="A285" i="1"/>
  <c r="A362" i="1"/>
  <c r="A322" i="1"/>
  <c r="A290" i="1"/>
  <c r="A367" i="1"/>
  <c r="A327" i="1"/>
  <c r="A288" i="1"/>
  <c r="A365" i="1"/>
  <c r="A325" i="1"/>
  <c r="A286" i="1"/>
  <c r="A363" i="1"/>
  <c r="A323" i="1"/>
  <c r="A284" i="1"/>
  <c r="A361" i="1"/>
  <c r="A321" i="1"/>
  <c r="E145" i="1"/>
  <c r="D146" i="1"/>
  <c r="I142" i="1" s="1"/>
  <c r="I143" i="1" s="1"/>
  <c r="G145" i="1"/>
  <c r="J142" i="1"/>
  <c r="E131" i="1"/>
  <c r="D132" i="1"/>
  <c r="D298" i="1"/>
  <c r="F298" i="1" s="1"/>
  <c r="D297" i="1"/>
  <c r="F297" i="1" s="1"/>
  <c r="D296" i="1"/>
  <c r="D295" i="1"/>
  <c r="F295" i="1" s="1"/>
  <c r="D294" i="1"/>
  <c r="F294" i="1" s="1"/>
  <c r="D293" i="1"/>
  <c r="F293" i="1" s="1"/>
  <c r="D292" i="1"/>
  <c r="F292" i="1" s="1"/>
  <c r="D290" i="1"/>
  <c r="F290" i="1" s="1"/>
  <c r="K290" i="1" s="1"/>
  <c r="D289" i="1"/>
  <c r="F289" i="1" s="1"/>
  <c r="D288" i="1"/>
  <c r="F288" i="1" s="1"/>
  <c r="D287" i="1"/>
  <c r="F287" i="1" s="1"/>
  <c r="D286" i="1"/>
  <c r="F286" i="1" s="1"/>
  <c r="K286" i="1" s="1"/>
  <c r="D285" i="1"/>
  <c r="F285" i="1" s="1"/>
  <c r="D284" i="1"/>
  <c r="F284" i="1" s="1"/>
  <c r="D283" i="1"/>
  <c r="D278" i="1"/>
  <c r="F278" i="1" s="1"/>
  <c r="D277" i="1"/>
  <c r="F277" i="1" s="1"/>
  <c r="D276" i="1"/>
  <c r="F276" i="1" s="1"/>
  <c r="D275" i="1"/>
  <c r="F275" i="1" s="1"/>
  <c r="I275" i="1" s="1"/>
  <c r="D274" i="1"/>
  <c r="F274" i="1" s="1"/>
  <c r="I274" i="1" s="1"/>
  <c r="D273" i="1"/>
  <c r="F273" i="1" s="1"/>
  <c r="I273" i="1" s="1"/>
  <c r="D272" i="1"/>
  <c r="F272" i="1" s="1"/>
  <c r="I272" i="1" s="1"/>
  <c r="D270" i="1"/>
  <c r="F270" i="1" s="1"/>
  <c r="I270" i="1" s="1"/>
  <c r="D269" i="1"/>
  <c r="F269" i="1" s="1"/>
  <c r="I269" i="1" s="1"/>
  <c r="D268" i="1"/>
  <c r="F268" i="1" s="1"/>
  <c r="I268" i="1" s="1"/>
  <c r="D267" i="1"/>
  <c r="F267" i="1" s="1"/>
  <c r="I267" i="1" s="1"/>
  <c r="D266" i="1"/>
  <c r="F266" i="1" s="1"/>
  <c r="I266" i="1" s="1"/>
  <c r="D265" i="1"/>
  <c r="F265" i="1" s="1"/>
  <c r="I265" i="1" s="1"/>
  <c r="D264" i="1"/>
  <c r="F264" i="1" s="1"/>
  <c r="I264" i="1" s="1"/>
  <c r="D263" i="1"/>
  <c r="F263" i="1" s="1"/>
  <c r="D258" i="1"/>
  <c r="F258" i="1" s="1"/>
  <c r="I258" i="1" s="1"/>
  <c r="D257" i="1"/>
  <c r="F257" i="1" s="1"/>
  <c r="I257" i="1" s="1"/>
  <c r="D256" i="1"/>
  <c r="F256" i="1" s="1"/>
  <c r="I256" i="1" s="1"/>
  <c r="D255" i="1"/>
  <c r="F255" i="1" s="1"/>
  <c r="I255" i="1" s="1"/>
  <c r="D254" i="1"/>
  <c r="F254" i="1" s="1"/>
  <c r="D253" i="1"/>
  <c r="F253" i="1" s="1"/>
  <c r="D252" i="1"/>
  <c r="F252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I233" i="1" s="1"/>
  <c r="D232" i="1"/>
  <c r="F232" i="1" s="1"/>
  <c r="D230" i="1"/>
  <c r="F230" i="1" s="1"/>
  <c r="K230" i="1" s="1"/>
  <c r="D229" i="1"/>
  <c r="F229" i="1" s="1"/>
  <c r="D228" i="1"/>
  <c r="F228" i="1" s="1"/>
  <c r="D227" i="1"/>
  <c r="F227" i="1" s="1"/>
  <c r="D226" i="1"/>
  <c r="F226" i="1" s="1"/>
  <c r="K226" i="1" s="1"/>
  <c r="D225" i="1"/>
  <c r="F225" i="1" s="1"/>
  <c r="K225" i="1" s="1"/>
  <c r="D224" i="1"/>
  <c r="F224" i="1" s="1"/>
  <c r="K224" i="1" s="1"/>
  <c r="D223" i="1"/>
  <c r="F223" i="1" s="1"/>
  <c r="K222" i="1"/>
  <c r="F283" i="1"/>
  <c r="J284" i="1"/>
  <c r="J283" i="1"/>
  <c r="F296" i="1"/>
  <c r="G292" i="1"/>
  <c r="G283" i="1"/>
  <c r="G272" i="1"/>
  <c r="G263" i="1"/>
  <c r="G252" i="1"/>
  <c r="G243" i="1"/>
  <c r="G232" i="1"/>
  <c r="J224" i="1"/>
  <c r="J223" i="1"/>
  <c r="G223" i="1"/>
  <c r="F327" i="1"/>
  <c r="F326" i="1"/>
  <c r="F325" i="1"/>
  <c r="F324" i="1"/>
  <c r="I128" i="1" l="1"/>
  <c r="I129" i="1" s="1"/>
  <c r="C174" i="1"/>
  <c r="D174" i="1" s="1"/>
  <c r="I170" i="1" s="1"/>
  <c r="I171" i="1" s="1"/>
  <c r="E159" i="1"/>
  <c r="G159" i="1"/>
  <c r="J156" i="1"/>
  <c r="I155" i="1" s="1"/>
  <c r="C157" i="1" s="1"/>
  <c r="I141" i="1"/>
  <c r="C143" i="1" s="1"/>
  <c r="K229" i="1"/>
  <c r="I229" i="1"/>
  <c r="K250" i="1"/>
  <c r="J250" i="1"/>
  <c r="K284" i="1"/>
  <c r="I284" i="1"/>
  <c r="J293" i="1"/>
  <c r="K293" i="1"/>
  <c r="I293" i="1"/>
  <c r="K285" i="1"/>
  <c r="I285" i="1"/>
  <c r="K246" i="1"/>
  <c r="I246" i="1"/>
  <c r="J246" i="1"/>
  <c r="G200" i="1"/>
  <c r="I263" i="1"/>
  <c r="K292" i="1"/>
  <c r="J292" i="1"/>
  <c r="I292" i="1"/>
  <c r="K288" i="1"/>
  <c r="I289" i="1"/>
  <c r="K248" i="1"/>
  <c r="J248" i="1"/>
  <c r="I248" i="1"/>
  <c r="J235" i="1"/>
  <c r="I235" i="1"/>
  <c r="F243" i="1"/>
  <c r="C199" i="1"/>
  <c r="E199" i="1"/>
  <c r="J252" i="1"/>
  <c r="I252" i="1"/>
  <c r="K289" i="1"/>
  <c r="I290" i="1"/>
  <c r="K298" i="1"/>
  <c r="I298" i="1"/>
  <c r="J298" i="1"/>
  <c r="K223" i="1"/>
  <c r="G198" i="1"/>
  <c r="K244" i="1"/>
  <c r="J244" i="1"/>
  <c r="I244" i="1"/>
  <c r="K249" i="1"/>
  <c r="J249" i="1"/>
  <c r="C198" i="1"/>
  <c r="E198" i="1"/>
  <c r="I227" i="1"/>
  <c r="K227" i="1"/>
  <c r="I295" i="1"/>
  <c r="K295" i="1"/>
  <c r="J295" i="1"/>
  <c r="C200" i="1"/>
  <c r="E200" i="1"/>
  <c r="K228" i="1"/>
  <c r="I228" i="1"/>
  <c r="K287" i="1"/>
  <c r="I288" i="1"/>
  <c r="K247" i="1"/>
  <c r="J247" i="1"/>
  <c r="I247" i="1"/>
  <c r="K294" i="1"/>
  <c r="J294" i="1"/>
  <c r="K232" i="1"/>
  <c r="I232" i="1"/>
  <c r="K245" i="1"/>
  <c r="I245" i="1"/>
  <c r="J245" i="1"/>
  <c r="I296" i="1"/>
  <c r="J296" i="1"/>
  <c r="K296" i="1"/>
  <c r="K283" i="1"/>
  <c r="G201" i="1"/>
  <c r="I283" i="1"/>
  <c r="C201" i="1"/>
  <c r="E201" i="1"/>
  <c r="I297" i="1"/>
  <c r="J297" i="1"/>
  <c r="K297" i="1"/>
  <c r="J124" i="1"/>
  <c r="J123" i="1"/>
  <c r="J122" i="1"/>
  <c r="J121" i="1"/>
  <c r="I127" i="1" l="1"/>
  <c r="C129" i="1" s="1"/>
  <c r="J170" i="1"/>
  <c r="I169" i="1" s="1"/>
  <c r="C171" i="1" s="1"/>
  <c r="G173" i="1"/>
  <c r="E173" i="1"/>
  <c r="E206" i="1"/>
  <c r="C206" i="1"/>
  <c r="K243" i="1"/>
  <c r="I243" i="1"/>
  <c r="J243" i="1"/>
  <c r="G199" i="1"/>
  <c r="C14" i="1"/>
  <c r="E29" i="1" l="1"/>
  <c r="F321" i="1" l="1"/>
  <c r="F322" i="1"/>
  <c r="F323" i="1"/>
  <c r="F320" i="1"/>
  <c r="G203" i="1" l="1"/>
  <c r="G206" i="1" s="1"/>
  <c r="F190" i="1"/>
  <c r="F213" i="1" l="1"/>
  <c r="F214" i="1"/>
  <c r="F215" i="1"/>
  <c r="F212" i="1"/>
  <c r="B412" i="1" l="1"/>
  <c r="A405" i="1"/>
  <c r="A399" i="1"/>
  <c r="A393" i="1"/>
  <c r="F409" i="1" l="1"/>
  <c r="F408" i="1"/>
  <c r="F407" i="1"/>
  <c r="F406" i="1"/>
  <c r="F405" i="1"/>
  <c r="F403" i="1"/>
  <c r="F402" i="1"/>
  <c r="F401" i="1"/>
  <c r="F400" i="1"/>
  <c r="F399" i="1"/>
  <c r="F397" i="1"/>
  <c r="F396" i="1"/>
  <c r="F395" i="1"/>
  <c r="F394" i="1"/>
  <c r="F393" i="1"/>
  <c r="F391" i="1"/>
  <c r="F390" i="1"/>
  <c r="F388" i="1"/>
  <c r="F387" i="1"/>
  <c r="F389" i="1"/>
  <c r="A406" i="1"/>
  <c r="A394" i="1"/>
  <c r="A400" i="1"/>
  <c r="B413" i="1" l="1"/>
  <c r="A401" i="1"/>
  <c r="A395" i="1"/>
  <c r="A40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37" i="1"/>
  <c r="G405" i="1"/>
  <c r="G399" i="1"/>
  <c r="G393" i="1"/>
  <c r="G387" i="1"/>
  <c r="A387" i="1"/>
  <c r="A388" i="1" s="1"/>
  <c r="A389" i="1" s="1"/>
  <c r="A390" i="1" s="1"/>
  <c r="A391" i="1" s="1"/>
  <c r="A213" i="1"/>
  <c r="A214" i="1" s="1"/>
  <c r="A215" i="1" s="1"/>
  <c r="G212" i="1"/>
  <c r="J110" i="1"/>
  <c r="J109" i="1"/>
  <c r="J108" i="1"/>
  <c r="J107" i="1"/>
  <c r="J82" i="1"/>
  <c r="J81" i="1"/>
  <c r="J80" i="1"/>
  <c r="J79" i="1"/>
  <c r="D54" i="1"/>
  <c r="G49" i="1"/>
  <c r="C49" i="1"/>
  <c r="E42" i="1"/>
  <c r="E43" i="1" s="1"/>
  <c r="E26" i="1"/>
  <c r="E24" i="1"/>
  <c r="E7" i="1"/>
  <c r="E3" i="1"/>
  <c r="H72" i="1"/>
  <c r="A402" i="1"/>
  <c r="H100" i="1"/>
  <c r="A396" i="1"/>
  <c r="A408" i="1"/>
  <c r="E75" i="1" l="1"/>
  <c r="D65" i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99" i="1"/>
  <c r="J101" i="1" s="1"/>
  <c r="J103" i="1"/>
  <c r="D112" i="1"/>
  <c r="D110" i="1"/>
  <c r="D108" i="1"/>
  <c r="D106" i="1"/>
  <c r="J104" i="1"/>
  <c r="C103" i="1" s="1"/>
  <c r="J102" i="1"/>
  <c r="J105" i="1"/>
  <c r="J106" i="1" s="1"/>
  <c r="J111" i="1" s="1"/>
  <c r="J112" i="1" s="1"/>
  <c r="C104" i="1" s="1"/>
  <c r="E103" i="1" s="1"/>
  <c r="D111" i="1"/>
  <c r="D109" i="1"/>
  <c r="D107" i="1"/>
  <c r="A403" i="1"/>
  <c r="A397" i="1"/>
  <c r="A409" i="1"/>
  <c r="G103" i="1" l="1"/>
  <c r="J78" i="1"/>
  <c r="J83" i="1" s="1"/>
  <c r="J84" i="1" s="1"/>
  <c r="D105" i="1"/>
  <c r="D103" i="1"/>
  <c r="D77" i="1"/>
  <c r="J73" i="1"/>
  <c r="D75" i="1"/>
  <c r="D104" i="1"/>
  <c r="H114" i="1"/>
  <c r="G75" i="1" l="1"/>
  <c r="D69" i="1" s="1"/>
  <c r="D70" i="1" s="1"/>
  <c r="D76" i="1"/>
  <c r="I72" i="1" s="1"/>
  <c r="D126" i="1"/>
  <c r="D124" i="1"/>
  <c r="D122" i="1"/>
  <c r="D120" i="1"/>
  <c r="J118" i="1"/>
  <c r="C117" i="1" s="1"/>
  <c r="D117" i="1" s="1"/>
  <c r="J116" i="1"/>
  <c r="J119" i="1"/>
  <c r="J120" i="1" s="1"/>
  <c r="J125" i="1" s="1"/>
  <c r="J126" i="1" s="1"/>
  <c r="C118" i="1" s="1"/>
  <c r="D125" i="1"/>
  <c r="D123" i="1"/>
  <c r="D121" i="1"/>
  <c r="J113" i="1"/>
  <c r="J115" i="1" s="1"/>
  <c r="J117" i="1"/>
  <c r="J72" i="1"/>
  <c r="I100" i="1"/>
  <c r="J100" i="1"/>
  <c r="F70" i="1" l="1"/>
  <c r="E117" i="1"/>
  <c r="D119" i="1"/>
  <c r="D118" i="1"/>
  <c r="G117" i="1"/>
  <c r="J114" i="1"/>
  <c r="I73" i="1"/>
  <c r="I71" i="1" s="1"/>
  <c r="C73" i="1" s="1"/>
  <c r="I101" i="1"/>
  <c r="I99" i="1" s="1"/>
  <c r="C101" i="1" s="1"/>
  <c r="I114" i="1" l="1"/>
  <c r="I115" i="1" s="1"/>
  <c r="I113" i="1" l="1"/>
  <c r="C115" i="1" s="1"/>
</calcChain>
</file>

<file path=xl/sharedStrings.xml><?xml version="1.0" encoding="utf-8"?>
<sst xmlns="http://schemas.openxmlformats.org/spreadsheetml/2006/main" count="638" uniqueCount="254">
  <si>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</si>
  <si>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</si>
  <si>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</si>
  <si>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</si>
  <si>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</si>
  <si>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</si>
  <si>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</si>
  <si>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</si>
  <si>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</si>
  <si>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</si>
  <si>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</si>
  <si>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</si>
  <si>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</si>
  <si>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</si>
  <si>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</si>
  <si>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</si>
  <si>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</si>
  <si>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</si>
  <si>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</si>
  <si>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</si>
  <si>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</si>
  <si>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</si>
  <si>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</si>
  <si>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</si>
  <si>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</si>
  <si>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</si>
  <si>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</si>
  <si>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</si>
  <si>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</si>
  <si>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</si>
  <si>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</si>
  <si>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</si>
  <si>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</si>
  <si>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</si>
  <si>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</si>
  <si>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</si>
  <si>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</si>
  <si>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</si>
  <si>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</si>
  <si>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</si>
  <si>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</si>
  <si>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</si>
  <si>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</si>
  <si>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</si>
  <si>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</si>
  <si>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</si>
  <si>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</si>
  <si>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</si>
  <si>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</si>
  <si>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</si>
  <si>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</si>
  <si>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</si>
  <si>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</si>
  <si>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</si>
  <si>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</si>
  <si>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</si>
  <si>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</si>
  <si>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</si>
  <si>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</si>
  <si>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</si>
  <si>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</si>
  <si>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</si>
  <si>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</si>
  <si>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</si>
  <si>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</si>
  <si>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</si>
  <si>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</si>
  <si>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</si>
  <si>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</si>
  <si>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</si>
  <si>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</si>
  <si>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</si>
  <si>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</si>
  <si>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</si>
  <si>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</si>
  <si>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</si>
  <si>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</si>
  <si>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</si>
  <si>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</si>
  <si>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</si>
  <si>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</si>
  <si>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</si>
  <si>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</si>
  <si>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</si>
  <si>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</si>
  <si>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</si>
  <si>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</si>
  <si>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</si>
  <si>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</si>
  <si>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</si>
  <si>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</si>
  <si>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</si>
  <si>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</si>
  <si>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</si>
  <si>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</si>
  <si>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</si>
  <si>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</si>
  <si>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</si>
  <si>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</si>
  <si>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</si>
  <si>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</si>
  <si>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</si>
  <si>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</si>
  <si>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</si>
  <si>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</si>
  <si>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</si>
  <si>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</si>
  <si>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</si>
  <si>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</si>
  <si>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</si>
  <si>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</si>
  <si>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</si>
  <si>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</si>
  <si>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</si>
  <si>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</si>
  <si>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</si>
  <si>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</si>
  <si>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</si>
  <si>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</si>
  <si>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</si>
  <si>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</si>
  <si>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</si>
  <si>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</si>
  <si>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</si>
  <si>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</si>
  <si>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</si>
  <si>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</si>
  <si>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</si>
  <si>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</si>
  <si>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</si>
  <si>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</si>
  <si>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</si>
  <si>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</si>
  <si>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</si>
  <si>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</si>
  <si>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</si>
  <si>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</si>
  <si>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</si>
  <si>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</si>
  <si>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</si>
  <si>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</si>
  <si>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</si>
  <si>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</si>
  <si>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</si>
  <si>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</si>
  <si>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</si>
  <si>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</si>
  <si>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</si>
  <si>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</si>
  <si>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</si>
  <si>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</si>
  <si>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</si>
  <si>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</si>
  <si>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</si>
  <si>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</si>
  <si>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</si>
  <si>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</si>
  <si>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</si>
  <si>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</si>
  <si>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</si>
  <si>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</si>
  <si>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</si>
  <si>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</si>
  <si>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</si>
  <si>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</si>
  <si>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</si>
  <si>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</si>
  <si>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</si>
  <si>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</si>
  <si>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</si>
  <si>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</si>
  <si>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Axis Thane</t>
  </si>
  <si>
    <t>Arihant Superstructures Limited</t>
  </si>
  <si>
    <t>Miss.Chaitali 9619007738</t>
  </si>
  <si>
    <t>Survey No</t>
  </si>
  <si>
    <t>Bapgaon</t>
  </si>
  <si>
    <t>Bhiwandi</t>
  </si>
  <si>
    <t>Jay Ambe Park</t>
  </si>
  <si>
    <t>Thane</t>
  </si>
  <si>
    <t>Internal Road</t>
  </si>
  <si>
    <t>Open Plot</t>
  </si>
  <si>
    <t>https://goo.gl/maps/LvRsXwL7TivTvnUu9</t>
  </si>
  <si>
    <t>Mahsul/K-1/T-8/B.P/Mj-Bapgaon-Bhiwandi/SR-09/2022</t>
  </si>
  <si>
    <t>Laura, Mable, Valentia &amp; Wesley = G + 1st to 14th Floor</t>
  </si>
  <si>
    <t>Mable = G + 1st to 14th Floor</t>
  </si>
  <si>
    <t>As per RERA - 31/03/2029</t>
  </si>
  <si>
    <t>Laura</t>
  </si>
  <si>
    <t>Mabel</t>
  </si>
  <si>
    <t>Valentia</t>
  </si>
  <si>
    <t>Wesley</t>
  </si>
  <si>
    <t>Ground Floor For Parking</t>
  </si>
  <si>
    <t>1st to 7th, 9th to 12th &amp; 14th Floor For Residential</t>
  </si>
  <si>
    <t>8th &amp; 13th Floor (Part Refuge Area)</t>
  </si>
  <si>
    <t>Refuge Area</t>
  </si>
  <si>
    <t>Wisley</t>
  </si>
  <si>
    <t>Clubhouse</t>
  </si>
  <si>
    <t>Internal road</t>
  </si>
  <si>
    <t>Town Planning, Thane</t>
  </si>
  <si>
    <t>BS/Rekhankan/BP/Mouje-Bapgaon/T-Bhiwandi/SSTN/784</t>
  </si>
  <si>
    <t>Valentia = G + 1st to 14th Floor
Wesley = G + 1st to 14th Floor</t>
  </si>
  <si>
    <t>We considered Gross carpet area = Net carpet + Balcony.</t>
  </si>
  <si>
    <t>Layout Plan :</t>
  </si>
  <si>
    <t>Latitude &amp; Longitude</t>
  </si>
  <si>
    <t>smithpal</t>
  </si>
  <si>
    <t>DC add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</si>
  <si>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E mail : vsjcapf@gmail.com. Web site : www.vsjadon.com</t>
  </si>
  <si>
    <t>Mangesh Laxman Bapardekar</t>
  </si>
  <si>
    <t>Mr. Rupesh 9594755288</t>
  </si>
  <si>
    <t>Arihant Aaradhya Phase I &amp; II</t>
  </si>
  <si>
    <t>Phase I - P51700045430
Phase II - P51700049981</t>
  </si>
  <si>
    <t>Osane</t>
  </si>
  <si>
    <t>Querida</t>
  </si>
  <si>
    <t>Patricia</t>
  </si>
  <si>
    <t>Naldo</t>
  </si>
  <si>
    <t>Phase I</t>
  </si>
  <si>
    <t>Phase II</t>
  </si>
  <si>
    <t>8 Buildings</t>
  </si>
  <si>
    <t>Ground Floor For Entrance Lobby &amp; Parking</t>
  </si>
  <si>
    <t>2BHK</t>
  </si>
  <si>
    <t>Naldo = G + 1st to 14th Floor</t>
  </si>
  <si>
    <t>Patricia = G + 1st to 14th Floor</t>
  </si>
  <si>
    <t>Osane = G + 1st to 14th Floor</t>
  </si>
  <si>
    <t>Querida = G + 1st to 14th Floor</t>
  </si>
  <si>
    <t>1BHK</t>
  </si>
  <si>
    <t>Ground Floor For Entrance Lobby, Society Office &amp; Parking</t>
  </si>
  <si>
    <t>Phase I Flats</t>
  </si>
  <si>
    <t>Phase II Flats</t>
  </si>
  <si>
    <t>Phase I - Valentia, Wesley, Laura, Mabel
Phase II - Naldo, Osane, Patricia, Querida</t>
  </si>
  <si>
    <t>19.271635,73.144382</t>
  </si>
  <si>
    <t>Flats - 852</t>
  </si>
  <si>
    <t>We have taken approved CC from RERA Site.</t>
  </si>
  <si>
    <t>Please Check for Environment Clearance Certificate, Fire NOC.</t>
  </si>
  <si>
    <t>Approved Plans, Cost Sheet</t>
  </si>
  <si>
    <t>CC was refered from RERA site</t>
  </si>
  <si>
    <t>EC &amp; Fire NOC required</t>
  </si>
  <si>
    <t>5.7KM from Kalyan Junction Railway Station</t>
  </si>
  <si>
    <t>As per Layout</t>
  </si>
  <si>
    <t>Adj. S. No.13 &amp; 19</t>
  </si>
  <si>
    <t xml:space="preserve">Open Plot </t>
  </si>
  <si>
    <t>12 M W Road</t>
  </si>
  <si>
    <t>Adj. S. No.118</t>
  </si>
  <si>
    <r>
      <rPr>
        <b/>
        <sz val="12"/>
        <color indexed="8"/>
        <rFont val="Times New Roman"/>
        <family val="1"/>
      </rPr>
      <t>Phase I</t>
    </r>
    <r>
      <rPr>
        <sz val="12"/>
        <color indexed="8"/>
        <rFont val="Times New Roman"/>
        <family val="1"/>
      </rPr>
      <t xml:space="preserve">
Laura = G + 1st to 14th Floor
Mable = G + 1st to 14th Floor
Valentia = G + 1st to 14th Floor
Wesley = G + 1st to 14th Floor
</t>
    </r>
    <r>
      <rPr>
        <b/>
        <sz val="12"/>
        <color indexed="8"/>
        <rFont val="Times New Roman"/>
        <family val="1"/>
      </rPr>
      <t>Phase II</t>
    </r>
    <r>
      <rPr>
        <sz val="12"/>
        <color indexed="8"/>
        <rFont val="Times New Roman"/>
        <family val="1"/>
      </rPr>
      <t xml:space="preserve">
Naldo = G + 1st to 14th Floor
Osane = G + 1st to 14th Floor
Patricia = G + 1st to 14th Floor
Querida = G + 1st to 14th Floor</t>
    </r>
  </si>
  <si>
    <t>We have done APF valuation for Buildings (Laura, Mable, Valentia, Wesley, Naldo, Osane, Patricia, Querida) which are mentioned on RERA site</t>
  </si>
  <si>
    <t>Laura = G + 1st to 14th Floor
Mable = G + 1st to 14th Floor</t>
  </si>
  <si>
    <t xml:space="preserve">We have updated revised plans &amp; CC of Phase II (on 19/09/2024).
</t>
  </si>
  <si>
    <t xml:space="preserve">Recommended Rates / Other charges of the Property have been revised on 28/04/2023.
</t>
  </si>
  <si>
    <t>14/1</t>
  </si>
  <si>
    <t>Valentia = G + 1st to 14th Floor</t>
  </si>
  <si>
    <t>Wesley = G + 1st to 14th Floor</t>
  </si>
  <si>
    <t>Laura = G + 1st to 14th Floor</t>
  </si>
  <si>
    <t>Pooja</t>
  </si>
  <si>
    <t>Mrs Nisha 8657767248</t>
  </si>
  <si>
    <t>Mr. Aman 9167277682
Mrs. Nisha 8657767248</t>
  </si>
  <si>
    <t>Laura, Mabel, Valentia, Wesley, Patricia = Construction work is in process.
Naldo, Osane  = Construction work is in process at the time of Visit.
Querida = Construction work is in process (Labour found).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</si>
</sst>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FF00"/>
      <name val="Times New Roman"/>
      <family val="1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6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0" xfId="1" applyNumberFormat="1" applyFont="1" applyFill="1"/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/>
    <xf numFmtId="0" fontId="28" fillId="0" borderId="0" xfId="1" applyFont="1" applyFill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Fill="1" applyBorder="1"/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35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1" fontId="1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49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5" fillId="0" borderId="1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33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4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0" applyNumberFormat="1" applyFont="1" applyFill="1" applyBorder="1" applyAlignment="1" applyProtection="1">
      <alignment horizontal="center" vertical="top" wrapText="1"/>
      <protection locked="0"/>
    </xf>
    <xf numFmtId="1" fontId="7" fillId="0" borderId="9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68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1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360626</xdr:colOff>
      <xdr:row>451</xdr:row>
      <xdr:rowOff>130133</xdr:rowOff>
    </xdr:from>
    <xdr:to>
      <xdr:col>12</xdr:col>
      <xdr:colOff>426076</xdr:colOff>
      <xdr:row>453</xdr:row>
      <xdr:rowOff>96053</xdr:rowOff>
    </xdr:to>
    <xdr:sp macro="" textlink="">
      <xdr:nvSpPr>
        <xdr:cNvPr id="20" name="Rectangle 19"/>
        <xdr:cNvSpPr/>
      </xdr:nvSpPr>
      <xdr:spPr>
        <a:xfrm>
          <a:off x="9504626" y="51504519"/>
          <a:ext cx="766836" cy="36423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Mable</a:t>
          </a:r>
        </a:p>
      </xdr:txBody>
    </xdr:sp>
    <xdr:clientData/>
  </xdr:twoCellAnchor>
  <xdr:twoCellAnchor>
    <xdr:from>
      <xdr:col>8</xdr:col>
      <xdr:colOff>0</xdr:colOff>
      <xdr:row>450</xdr:row>
      <xdr:rowOff>190708</xdr:rowOff>
    </xdr:from>
    <xdr:to>
      <xdr:col>8</xdr:col>
      <xdr:colOff>654165</xdr:colOff>
      <xdr:row>452</xdr:row>
      <xdr:rowOff>156629</xdr:rowOff>
    </xdr:to>
    <xdr:sp macro="" textlink="">
      <xdr:nvSpPr>
        <xdr:cNvPr id="21" name="Rectangle 20"/>
        <xdr:cNvSpPr/>
      </xdr:nvSpPr>
      <xdr:spPr>
        <a:xfrm>
          <a:off x="6520295" y="51365935"/>
          <a:ext cx="654165" cy="36423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Laura</a:t>
          </a:r>
        </a:p>
      </xdr:txBody>
    </xdr:sp>
    <xdr:clientData/>
  </xdr:twoCellAnchor>
  <xdr:twoCellAnchor editAs="oneCell">
    <xdr:from>
      <xdr:col>9</xdr:col>
      <xdr:colOff>103911</xdr:colOff>
      <xdr:row>320</xdr:row>
      <xdr:rowOff>8659</xdr:rowOff>
    </xdr:from>
    <xdr:to>
      <xdr:col>17</xdr:col>
      <xdr:colOff>27684</xdr:colOff>
      <xdr:row>334</xdr:row>
      <xdr:rowOff>94185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2843" y="60639614"/>
          <a:ext cx="5760000" cy="28737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1117022</xdr:colOff>
      <xdr:row>358</xdr:row>
      <xdr:rowOff>173182</xdr:rowOff>
    </xdr:from>
    <xdr:to>
      <xdr:col>16</xdr:col>
      <xdr:colOff>486613</xdr:colOff>
      <xdr:row>373</xdr:row>
      <xdr:rowOff>59548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5636" y="50828864"/>
          <a:ext cx="5760000" cy="28737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225483</xdr:colOff>
      <xdr:row>525</xdr:row>
      <xdr:rowOff>51953</xdr:rowOff>
    </xdr:from>
    <xdr:to>
      <xdr:col>6</xdr:col>
      <xdr:colOff>251114</xdr:colOff>
      <xdr:row>544</xdr:row>
      <xdr:rowOff>58949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119" y="97371476"/>
          <a:ext cx="3376700" cy="37910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649432</xdr:colOff>
      <xdr:row>545</xdr:row>
      <xdr:rowOff>25977</xdr:rowOff>
    </xdr:from>
    <xdr:to>
      <xdr:col>7</xdr:col>
      <xdr:colOff>675409</xdr:colOff>
      <xdr:row>561</xdr:row>
      <xdr:rowOff>134883</xdr:rowOff>
    </xdr:to>
    <xdr:grpSp>
      <xdr:nvGrpSpPr>
        <xdr:cNvPr id="30" name="Group 29"/>
        <xdr:cNvGrpSpPr/>
      </xdr:nvGrpSpPr>
      <xdr:grpSpPr>
        <a:xfrm>
          <a:off x="649432" y="104908927"/>
          <a:ext cx="6001327" cy="3258506"/>
          <a:chOff x="1059543" y="4647336"/>
          <a:chExt cx="4746171" cy="2805177"/>
        </a:xfrm>
      </xdr:grpSpPr>
      <xdr:pic>
        <xdr:nvPicPr>
          <xdr:cNvPr id="31" name="Picture 30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59543" y="4651256"/>
            <a:ext cx="4746171" cy="280125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Rectangle 31"/>
          <xdr:cNvSpPr/>
        </xdr:nvSpPr>
        <xdr:spPr>
          <a:xfrm rot="1254039">
            <a:off x="3958964" y="6043835"/>
            <a:ext cx="224967" cy="299423"/>
          </a:xfrm>
          <a:prstGeom prst="rect">
            <a:avLst/>
          </a:prstGeom>
          <a:noFill/>
          <a:ln w="190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3" name="TextBox 40"/>
          <xdr:cNvSpPr txBox="1"/>
        </xdr:nvSpPr>
        <xdr:spPr>
          <a:xfrm>
            <a:off x="3299933" y="5913384"/>
            <a:ext cx="70698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00B0F0"/>
                </a:solidFill>
              </a:rPr>
              <a:t>Valentia</a:t>
            </a:r>
            <a:endParaRPr lang="en-IN" sz="1200" b="1">
              <a:solidFill>
                <a:srgbClr val="00B0F0"/>
              </a:solidFill>
            </a:endParaRPr>
          </a:p>
        </xdr:txBody>
      </xdr:sp>
      <xdr:sp macro="" textlink="">
        <xdr:nvSpPr>
          <xdr:cNvPr id="34" name="Rectangle 33"/>
          <xdr:cNvSpPr/>
        </xdr:nvSpPr>
        <xdr:spPr>
          <a:xfrm rot="1254039">
            <a:off x="4052930" y="5758995"/>
            <a:ext cx="224967" cy="299423"/>
          </a:xfrm>
          <a:prstGeom prst="rect">
            <a:avLst/>
          </a:prstGeom>
          <a:noFill/>
          <a:ln w="19050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5" name="TextBox 42"/>
          <xdr:cNvSpPr txBox="1"/>
        </xdr:nvSpPr>
        <xdr:spPr>
          <a:xfrm>
            <a:off x="3591649" y="5455639"/>
            <a:ext cx="64261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92D050"/>
                </a:solidFill>
              </a:rPr>
              <a:t>Wesley</a:t>
            </a:r>
            <a:endParaRPr lang="en-IN" sz="1200" b="1">
              <a:solidFill>
                <a:srgbClr val="92D050"/>
              </a:solidFill>
            </a:endParaRPr>
          </a:p>
        </xdr:txBody>
      </xdr:sp>
      <xdr:sp macro="" textlink="">
        <xdr:nvSpPr>
          <xdr:cNvPr id="36" name="Rectangle 35"/>
          <xdr:cNvSpPr/>
        </xdr:nvSpPr>
        <xdr:spPr>
          <a:xfrm rot="8414997">
            <a:off x="4404664" y="5824402"/>
            <a:ext cx="179142" cy="299423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7" name="Rectangle 36"/>
          <xdr:cNvSpPr/>
        </xdr:nvSpPr>
        <xdr:spPr>
          <a:xfrm rot="8414997">
            <a:off x="4574371" y="6079338"/>
            <a:ext cx="179142" cy="216874"/>
          </a:xfrm>
          <a:prstGeom prst="rect">
            <a:avLst/>
          </a:prstGeom>
          <a:noFill/>
          <a:ln w="190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8" name="TextBox 45"/>
          <xdr:cNvSpPr txBox="1"/>
        </xdr:nvSpPr>
        <xdr:spPr>
          <a:xfrm>
            <a:off x="4495363" y="5723962"/>
            <a:ext cx="5355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Laura</a:t>
            </a:r>
            <a:endParaRPr lang="en-IN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39" name="TextBox 46"/>
          <xdr:cNvSpPr txBox="1"/>
        </xdr:nvSpPr>
        <xdr:spPr>
          <a:xfrm>
            <a:off x="4732169" y="5911969"/>
            <a:ext cx="59343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C000"/>
                </a:solidFill>
              </a:rPr>
              <a:t>Mabel</a:t>
            </a:r>
            <a:endParaRPr lang="en-IN" sz="1200" b="1">
              <a:solidFill>
                <a:srgbClr val="FFC000"/>
              </a:solidFill>
            </a:endParaRPr>
          </a:p>
        </xdr:txBody>
      </xdr:sp>
      <xdr:sp macro="" textlink="">
        <xdr:nvSpPr>
          <xdr:cNvPr id="40" name="Freeform 39"/>
          <xdr:cNvSpPr/>
        </xdr:nvSpPr>
        <xdr:spPr>
          <a:xfrm>
            <a:off x="3838575" y="5686425"/>
            <a:ext cx="1090613" cy="781050"/>
          </a:xfrm>
          <a:custGeom>
            <a:avLst/>
            <a:gdLst>
              <a:gd name="connsiteX0" fmla="*/ 204788 w 1090613"/>
              <a:gd name="connsiteY0" fmla="*/ 0 h 781050"/>
              <a:gd name="connsiteX1" fmla="*/ 0 w 1090613"/>
              <a:gd name="connsiteY1" fmla="*/ 623888 h 781050"/>
              <a:gd name="connsiteX2" fmla="*/ 390525 w 1090613"/>
              <a:gd name="connsiteY2" fmla="*/ 781050 h 781050"/>
              <a:gd name="connsiteX3" fmla="*/ 500063 w 1090613"/>
              <a:gd name="connsiteY3" fmla="*/ 385763 h 781050"/>
              <a:gd name="connsiteX4" fmla="*/ 804863 w 1090613"/>
              <a:gd name="connsiteY4" fmla="*/ 690563 h 781050"/>
              <a:gd name="connsiteX5" fmla="*/ 1090613 w 1090613"/>
              <a:gd name="connsiteY5" fmla="*/ 538163 h 781050"/>
              <a:gd name="connsiteX6" fmla="*/ 604838 w 1090613"/>
              <a:gd name="connsiteY6" fmla="*/ 4763 h 781050"/>
              <a:gd name="connsiteX7" fmla="*/ 204788 w 1090613"/>
              <a:gd name="connsiteY7" fmla="*/ 0 h 7810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090613" h="781050">
                <a:moveTo>
                  <a:pt x="204788" y="0"/>
                </a:moveTo>
                <a:lnTo>
                  <a:pt x="0" y="623888"/>
                </a:lnTo>
                <a:lnTo>
                  <a:pt x="390525" y="781050"/>
                </a:lnTo>
                <a:lnTo>
                  <a:pt x="500063" y="385763"/>
                </a:lnTo>
                <a:lnTo>
                  <a:pt x="804863" y="690563"/>
                </a:lnTo>
                <a:lnTo>
                  <a:pt x="1090613" y="538163"/>
                </a:lnTo>
                <a:lnTo>
                  <a:pt x="604838" y="4763"/>
                </a:lnTo>
                <a:lnTo>
                  <a:pt x="204788" y="0"/>
                </a:lnTo>
                <a:close/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1" name="TextBox 48"/>
          <xdr:cNvSpPr txBox="1"/>
        </xdr:nvSpPr>
        <xdr:spPr>
          <a:xfrm>
            <a:off x="2368602" y="5264258"/>
            <a:ext cx="2353529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chemeClr val="bg1"/>
                </a:solidFill>
              </a:rPr>
              <a:t>Phase I ( Valentia, Wesley, Laura, Mabel)</a:t>
            </a:r>
            <a:endParaRPr lang="en-IN" sz="1000" b="1">
              <a:solidFill>
                <a:schemeClr val="bg1"/>
              </a:solidFill>
            </a:endParaRPr>
          </a:p>
        </xdr:txBody>
      </xdr:sp>
      <xdr:sp macro="" textlink="">
        <xdr:nvSpPr>
          <xdr:cNvPr id="42" name="Rectangle 41"/>
          <xdr:cNvSpPr/>
        </xdr:nvSpPr>
        <xdr:spPr>
          <a:xfrm rot="21248829">
            <a:off x="3752850" y="6657975"/>
            <a:ext cx="360359" cy="185738"/>
          </a:xfrm>
          <a:prstGeom prst="rect">
            <a:avLst/>
          </a:prstGeom>
          <a:noFill/>
          <a:ln w="19050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3" name="TextBox 50"/>
          <xdr:cNvSpPr txBox="1"/>
        </xdr:nvSpPr>
        <xdr:spPr>
          <a:xfrm>
            <a:off x="3114392" y="6635093"/>
            <a:ext cx="7024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chemeClr val="accent2"/>
                </a:solidFill>
              </a:rPr>
              <a:t>Querida</a:t>
            </a:r>
            <a:endParaRPr lang="en-IN" sz="1200" b="1">
              <a:solidFill>
                <a:schemeClr val="accent2"/>
              </a:solidFill>
            </a:endParaRPr>
          </a:p>
        </xdr:txBody>
      </xdr:sp>
      <xdr:sp macro="" textlink="">
        <xdr:nvSpPr>
          <xdr:cNvPr id="44" name="Rectangle 43"/>
          <xdr:cNvSpPr/>
        </xdr:nvSpPr>
        <xdr:spPr>
          <a:xfrm rot="21093230">
            <a:off x="4106707" y="6615878"/>
            <a:ext cx="270672" cy="184807"/>
          </a:xfrm>
          <a:prstGeom prst="rect">
            <a:avLst/>
          </a:prstGeom>
          <a:noFill/>
          <a:ln w="28575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5" name="TextBox 52"/>
          <xdr:cNvSpPr txBox="1"/>
        </xdr:nvSpPr>
        <xdr:spPr>
          <a:xfrm>
            <a:off x="3936449" y="6817782"/>
            <a:ext cx="69744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chemeClr val="accent6"/>
                </a:solidFill>
              </a:rPr>
              <a:t>Patricia</a:t>
            </a:r>
            <a:endParaRPr lang="en-IN" sz="1200" b="1">
              <a:solidFill>
                <a:schemeClr val="accent6"/>
              </a:solidFill>
            </a:endParaRPr>
          </a:p>
        </xdr:txBody>
      </xdr:sp>
      <xdr:sp macro="" textlink="">
        <xdr:nvSpPr>
          <xdr:cNvPr id="46" name="Rectangle 45"/>
          <xdr:cNvSpPr/>
        </xdr:nvSpPr>
        <xdr:spPr>
          <a:xfrm rot="21013209">
            <a:off x="4380013" y="6541848"/>
            <a:ext cx="291025" cy="179064"/>
          </a:xfrm>
          <a:prstGeom prst="rect">
            <a:avLst/>
          </a:prstGeom>
          <a:noFill/>
          <a:ln w="19050">
            <a:solidFill>
              <a:srgbClr val="0ADCE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7" name="TextBox 54"/>
          <xdr:cNvSpPr txBox="1"/>
        </xdr:nvSpPr>
        <xdr:spPr>
          <a:xfrm>
            <a:off x="4450364" y="6745702"/>
            <a:ext cx="69744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0ADCE6"/>
                </a:solidFill>
              </a:rPr>
              <a:t>Osane</a:t>
            </a:r>
            <a:endParaRPr lang="en-IN" sz="1200" b="1">
              <a:solidFill>
                <a:srgbClr val="0ADCE6"/>
              </a:solidFill>
            </a:endParaRPr>
          </a:p>
        </xdr:txBody>
      </xdr:sp>
      <xdr:sp macro="" textlink="">
        <xdr:nvSpPr>
          <xdr:cNvPr id="48" name="Freeform 47"/>
          <xdr:cNvSpPr/>
        </xdr:nvSpPr>
        <xdr:spPr>
          <a:xfrm>
            <a:off x="4629150" y="6296025"/>
            <a:ext cx="266700" cy="361950"/>
          </a:xfrm>
          <a:custGeom>
            <a:avLst/>
            <a:gdLst>
              <a:gd name="connsiteX0" fmla="*/ 52388 w 266700"/>
              <a:gd name="connsiteY0" fmla="*/ 80963 h 361950"/>
              <a:gd name="connsiteX1" fmla="*/ 219075 w 266700"/>
              <a:gd name="connsiteY1" fmla="*/ 0 h 361950"/>
              <a:gd name="connsiteX2" fmla="*/ 266700 w 266700"/>
              <a:gd name="connsiteY2" fmla="*/ 342900 h 361950"/>
              <a:gd name="connsiteX3" fmla="*/ 80963 w 266700"/>
              <a:gd name="connsiteY3" fmla="*/ 361950 h 361950"/>
              <a:gd name="connsiteX4" fmla="*/ 0 w 266700"/>
              <a:gd name="connsiteY4" fmla="*/ 200025 h 361950"/>
              <a:gd name="connsiteX5" fmla="*/ 61913 w 266700"/>
              <a:gd name="connsiteY5" fmla="*/ 171450 h 361950"/>
              <a:gd name="connsiteX6" fmla="*/ 52388 w 266700"/>
              <a:gd name="connsiteY6" fmla="*/ 80963 h 3619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66700" h="361950">
                <a:moveTo>
                  <a:pt x="52388" y="80963"/>
                </a:moveTo>
                <a:lnTo>
                  <a:pt x="219075" y="0"/>
                </a:lnTo>
                <a:lnTo>
                  <a:pt x="266700" y="342900"/>
                </a:lnTo>
                <a:lnTo>
                  <a:pt x="80963" y="361950"/>
                </a:lnTo>
                <a:lnTo>
                  <a:pt x="0" y="200025"/>
                </a:lnTo>
                <a:lnTo>
                  <a:pt x="61913" y="171450"/>
                </a:lnTo>
                <a:lnTo>
                  <a:pt x="52388" y="80963"/>
                </a:lnTo>
                <a:close/>
              </a:path>
            </a:pathLst>
          </a:cu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9" name="TextBox 56"/>
          <xdr:cNvSpPr txBox="1"/>
        </xdr:nvSpPr>
        <xdr:spPr>
          <a:xfrm>
            <a:off x="4842698" y="6363086"/>
            <a:ext cx="69744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Naldo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50" name="Freeform 49"/>
          <xdr:cNvSpPr/>
        </xdr:nvSpPr>
        <xdr:spPr>
          <a:xfrm>
            <a:off x="3714750" y="6248400"/>
            <a:ext cx="1238250" cy="685800"/>
          </a:xfrm>
          <a:custGeom>
            <a:avLst/>
            <a:gdLst>
              <a:gd name="connsiteX0" fmla="*/ 0 w 1238250"/>
              <a:gd name="connsiteY0" fmla="*/ 395288 h 685800"/>
              <a:gd name="connsiteX1" fmla="*/ 52388 w 1238250"/>
              <a:gd name="connsiteY1" fmla="*/ 685800 h 685800"/>
              <a:gd name="connsiteX2" fmla="*/ 1223963 w 1238250"/>
              <a:gd name="connsiteY2" fmla="*/ 485775 h 685800"/>
              <a:gd name="connsiteX3" fmla="*/ 1238250 w 1238250"/>
              <a:gd name="connsiteY3" fmla="*/ 0 h 685800"/>
              <a:gd name="connsiteX4" fmla="*/ 909638 w 1238250"/>
              <a:gd name="connsiteY4" fmla="*/ 147638 h 685800"/>
              <a:gd name="connsiteX5" fmla="*/ 919163 w 1238250"/>
              <a:gd name="connsiteY5" fmla="*/ 214313 h 685800"/>
              <a:gd name="connsiteX6" fmla="*/ 0 w 1238250"/>
              <a:gd name="connsiteY6" fmla="*/ 395288 h 6858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238250" h="685800">
                <a:moveTo>
                  <a:pt x="0" y="395288"/>
                </a:moveTo>
                <a:lnTo>
                  <a:pt x="52388" y="685800"/>
                </a:lnTo>
                <a:lnTo>
                  <a:pt x="1223963" y="485775"/>
                </a:lnTo>
                <a:lnTo>
                  <a:pt x="1238250" y="0"/>
                </a:lnTo>
                <a:lnTo>
                  <a:pt x="909638" y="147638"/>
                </a:lnTo>
                <a:lnTo>
                  <a:pt x="919163" y="214313"/>
                </a:lnTo>
                <a:lnTo>
                  <a:pt x="0" y="395288"/>
                </a:lnTo>
                <a:close/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1" name="TextBox 58"/>
          <xdr:cNvSpPr txBox="1"/>
        </xdr:nvSpPr>
        <xdr:spPr>
          <a:xfrm>
            <a:off x="2756264" y="6950556"/>
            <a:ext cx="2403222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chemeClr val="bg1"/>
                </a:solidFill>
              </a:rPr>
              <a:t>Phase II ( Naldo, Osane, Patricia, Querida)</a:t>
            </a:r>
            <a:endParaRPr lang="en-IN" sz="1000" b="1">
              <a:solidFill>
                <a:schemeClr val="bg1"/>
              </a:solidFill>
            </a:endParaRPr>
          </a:p>
        </xdr:txBody>
      </xdr:sp>
      <xdr:sp macro="" textlink="">
        <xdr:nvSpPr>
          <xdr:cNvPr id="52" name="TextBox 59"/>
          <xdr:cNvSpPr txBox="1"/>
        </xdr:nvSpPr>
        <xdr:spPr>
          <a:xfrm>
            <a:off x="1059543" y="4647336"/>
            <a:ext cx="2362763" cy="30777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Arihant Aaradhya Phase I &amp; II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640773</xdr:colOff>
      <xdr:row>481</xdr:row>
      <xdr:rowOff>25977</xdr:rowOff>
    </xdr:from>
    <xdr:to>
      <xdr:col>7</xdr:col>
      <xdr:colOff>837447</xdr:colOff>
      <xdr:row>511</xdr:row>
      <xdr:rowOff>94801</xdr:rowOff>
    </xdr:to>
    <xdr:grpSp>
      <xdr:nvGrpSpPr>
        <xdr:cNvPr id="53" name="Group 52"/>
        <xdr:cNvGrpSpPr/>
      </xdr:nvGrpSpPr>
      <xdr:grpSpPr>
        <a:xfrm>
          <a:off x="640773" y="92310527"/>
          <a:ext cx="6172024" cy="5974324"/>
          <a:chOff x="486151" y="1550202"/>
          <a:chExt cx="5885697" cy="6043596"/>
        </a:xfrm>
      </xdr:grpSpPr>
      <xdr:pic>
        <xdr:nvPicPr>
          <xdr:cNvPr id="57" name="Picture 56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86151" y="1550202"/>
            <a:ext cx="5885697" cy="60435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8" name="TextBox 11"/>
          <xdr:cNvSpPr txBox="1"/>
        </xdr:nvSpPr>
        <xdr:spPr>
          <a:xfrm>
            <a:off x="2635648" y="4537588"/>
            <a:ext cx="767839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VALENTIA</a:t>
            </a:r>
          </a:p>
        </xdr:txBody>
      </xdr:sp>
      <xdr:sp macro="" textlink="">
        <xdr:nvSpPr>
          <xdr:cNvPr id="59" name="TextBox 12"/>
          <xdr:cNvSpPr txBox="1"/>
        </xdr:nvSpPr>
        <xdr:spPr>
          <a:xfrm>
            <a:off x="3157842" y="3882146"/>
            <a:ext cx="649730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WESLEY</a:t>
            </a:r>
          </a:p>
        </xdr:txBody>
      </xdr:sp>
      <xdr:sp macro="" textlink="">
        <xdr:nvSpPr>
          <xdr:cNvPr id="60" name="TextBox 13"/>
          <xdr:cNvSpPr txBox="1"/>
        </xdr:nvSpPr>
        <xdr:spPr>
          <a:xfrm>
            <a:off x="4999784" y="3900075"/>
            <a:ext cx="586764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LAURA</a:t>
            </a:r>
          </a:p>
        </xdr:txBody>
      </xdr:sp>
      <xdr:sp macro="" textlink="">
        <xdr:nvSpPr>
          <xdr:cNvPr id="61" name="TextBox 14"/>
          <xdr:cNvSpPr txBox="1"/>
        </xdr:nvSpPr>
        <xdr:spPr>
          <a:xfrm>
            <a:off x="5292768" y="4493070"/>
            <a:ext cx="600934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MABEL</a:t>
            </a:r>
          </a:p>
        </xdr:txBody>
      </xdr:sp>
      <xdr:sp macro="" textlink="">
        <xdr:nvSpPr>
          <xdr:cNvPr id="62" name="TextBox 11"/>
          <xdr:cNvSpPr txBox="1"/>
        </xdr:nvSpPr>
        <xdr:spPr>
          <a:xfrm>
            <a:off x="2829867" y="5477837"/>
            <a:ext cx="655949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Querida</a:t>
            </a:r>
            <a:endParaRPr lang="en-IN" sz="1100" b="1"/>
          </a:p>
        </xdr:txBody>
      </xdr:sp>
      <xdr:sp macro="" textlink="">
        <xdr:nvSpPr>
          <xdr:cNvPr id="63" name="TextBox 11"/>
          <xdr:cNvSpPr txBox="1"/>
        </xdr:nvSpPr>
        <xdr:spPr>
          <a:xfrm>
            <a:off x="3641488" y="5468342"/>
            <a:ext cx="627095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Patricia</a:t>
            </a:r>
            <a:endParaRPr lang="en-IN" sz="1100" b="1"/>
          </a:p>
        </xdr:txBody>
      </xdr:sp>
      <xdr:sp macro="" textlink="">
        <xdr:nvSpPr>
          <xdr:cNvPr id="64" name="TextBox 11"/>
          <xdr:cNvSpPr txBox="1"/>
        </xdr:nvSpPr>
        <xdr:spPr>
          <a:xfrm rot="20887218">
            <a:off x="4322275" y="5337537"/>
            <a:ext cx="551754" cy="26161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Osane</a:t>
            </a:r>
            <a:endParaRPr lang="en-IN" sz="1100" b="1"/>
          </a:p>
        </xdr:txBody>
      </xdr:sp>
      <xdr:sp macro="" textlink="">
        <xdr:nvSpPr>
          <xdr:cNvPr id="65" name="TextBox 11"/>
          <xdr:cNvSpPr txBox="1"/>
        </xdr:nvSpPr>
        <xdr:spPr>
          <a:xfrm>
            <a:off x="5202628" y="5789244"/>
            <a:ext cx="532518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Naldo</a:t>
            </a:r>
            <a:endParaRPr lang="en-IN" sz="1100" b="1"/>
          </a:p>
        </xdr:txBody>
      </xdr:sp>
    </xdr:grpSp>
    <xdr:clientData/>
  </xdr:twoCellAnchor>
  <xdr:twoCellAnchor>
    <xdr:from>
      <xdr:col>3</xdr:col>
      <xdr:colOff>97987</xdr:colOff>
      <xdr:row>512</xdr:row>
      <xdr:rowOff>69272</xdr:rowOff>
    </xdr:from>
    <xdr:to>
      <xdr:col>5</xdr:col>
      <xdr:colOff>381000</xdr:colOff>
      <xdr:row>522</xdr:row>
      <xdr:rowOff>151421</xdr:rowOff>
    </xdr:to>
    <xdr:grpSp>
      <xdr:nvGrpSpPr>
        <xdr:cNvPr id="54" name="Group 53"/>
        <xdr:cNvGrpSpPr/>
      </xdr:nvGrpSpPr>
      <xdr:grpSpPr>
        <a:xfrm>
          <a:off x="2625287" y="98456172"/>
          <a:ext cx="2092763" cy="2050649"/>
          <a:chOff x="1582687" y="3846976"/>
          <a:chExt cx="2160000" cy="2334706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2687" y="3846976"/>
            <a:ext cx="2160000" cy="23347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6" name="Freeform 55"/>
          <xdr:cNvSpPr/>
        </xdr:nvSpPr>
        <xdr:spPr>
          <a:xfrm>
            <a:off x="2205038" y="5005388"/>
            <a:ext cx="542925" cy="495300"/>
          </a:xfrm>
          <a:custGeom>
            <a:avLst/>
            <a:gdLst>
              <a:gd name="connsiteX0" fmla="*/ 233362 w 542925"/>
              <a:gd name="connsiteY0" fmla="*/ 0 h 495300"/>
              <a:gd name="connsiteX1" fmla="*/ 319087 w 542925"/>
              <a:gd name="connsiteY1" fmla="*/ 9525 h 495300"/>
              <a:gd name="connsiteX2" fmla="*/ 290512 w 542925"/>
              <a:gd name="connsiteY2" fmla="*/ 171450 h 495300"/>
              <a:gd name="connsiteX3" fmla="*/ 504825 w 542925"/>
              <a:gd name="connsiteY3" fmla="*/ 276225 h 495300"/>
              <a:gd name="connsiteX4" fmla="*/ 542925 w 542925"/>
              <a:gd name="connsiteY4" fmla="*/ 271462 h 495300"/>
              <a:gd name="connsiteX5" fmla="*/ 471487 w 542925"/>
              <a:gd name="connsiteY5" fmla="*/ 342900 h 495300"/>
              <a:gd name="connsiteX6" fmla="*/ 490537 w 542925"/>
              <a:gd name="connsiteY6" fmla="*/ 409575 h 495300"/>
              <a:gd name="connsiteX7" fmla="*/ 238125 w 542925"/>
              <a:gd name="connsiteY7" fmla="*/ 495300 h 495300"/>
              <a:gd name="connsiteX8" fmla="*/ 38100 w 542925"/>
              <a:gd name="connsiteY8" fmla="*/ 490537 h 495300"/>
              <a:gd name="connsiteX9" fmla="*/ 0 w 542925"/>
              <a:gd name="connsiteY9" fmla="*/ 342900 h 495300"/>
              <a:gd name="connsiteX10" fmla="*/ 66675 w 542925"/>
              <a:gd name="connsiteY10" fmla="*/ 357187 h 495300"/>
              <a:gd name="connsiteX11" fmla="*/ 114300 w 542925"/>
              <a:gd name="connsiteY11" fmla="*/ 342900 h 495300"/>
              <a:gd name="connsiteX12" fmla="*/ 180975 w 542925"/>
              <a:gd name="connsiteY12" fmla="*/ 357187 h 495300"/>
              <a:gd name="connsiteX13" fmla="*/ 242887 w 542925"/>
              <a:gd name="connsiteY13" fmla="*/ 328612 h 495300"/>
              <a:gd name="connsiteX14" fmla="*/ 247650 w 542925"/>
              <a:gd name="connsiteY14" fmla="*/ 204787 h 495300"/>
              <a:gd name="connsiteX15" fmla="*/ 238125 w 542925"/>
              <a:gd name="connsiteY15" fmla="*/ 176212 h 495300"/>
              <a:gd name="connsiteX16" fmla="*/ 233362 w 542925"/>
              <a:gd name="connsiteY16" fmla="*/ 0 h 4953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542925" h="495300">
                <a:moveTo>
                  <a:pt x="233362" y="0"/>
                </a:moveTo>
                <a:lnTo>
                  <a:pt x="319087" y="9525"/>
                </a:lnTo>
                <a:lnTo>
                  <a:pt x="290512" y="171450"/>
                </a:lnTo>
                <a:lnTo>
                  <a:pt x="504825" y="276225"/>
                </a:lnTo>
                <a:lnTo>
                  <a:pt x="542925" y="271462"/>
                </a:lnTo>
                <a:lnTo>
                  <a:pt x="471487" y="342900"/>
                </a:lnTo>
                <a:lnTo>
                  <a:pt x="490537" y="409575"/>
                </a:lnTo>
                <a:lnTo>
                  <a:pt x="238125" y="495300"/>
                </a:lnTo>
                <a:lnTo>
                  <a:pt x="38100" y="490537"/>
                </a:lnTo>
                <a:lnTo>
                  <a:pt x="0" y="342900"/>
                </a:lnTo>
                <a:lnTo>
                  <a:pt x="66675" y="357187"/>
                </a:lnTo>
                <a:lnTo>
                  <a:pt x="114300" y="342900"/>
                </a:lnTo>
                <a:lnTo>
                  <a:pt x="180975" y="357187"/>
                </a:lnTo>
                <a:lnTo>
                  <a:pt x="242887" y="328612"/>
                </a:lnTo>
                <a:lnTo>
                  <a:pt x="247650" y="204787"/>
                </a:lnTo>
                <a:lnTo>
                  <a:pt x="238125" y="176212"/>
                </a:lnTo>
                <a:lnTo>
                  <a:pt x="233362" y="0"/>
                </a:lnTo>
                <a:close/>
              </a:path>
            </a:pathLst>
          </a:cu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8</xdr:col>
      <xdr:colOff>796636</xdr:colOff>
      <xdr:row>338</xdr:row>
      <xdr:rowOff>51954</xdr:rowOff>
    </xdr:from>
    <xdr:to>
      <xdr:col>18</xdr:col>
      <xdr:colOff>441574</xdr:colOff>
      <xdr:row>357</xdr:row>
      <xdr:rowOff>39361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50" y="67662136"/>
          <a:ext cx="7247619" cy="37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424295</xdr:colOff>
      <xdr:row>302</xdr:row>
      <xdr:rowOff>17318</xdr:rowOff>
    </xdr:from>
    <xdr:to>
      <xdr:col>18</xdr:col>
      <xdr:colOff>31138</xdr:colOff>
      <xdr:row>317</xdr:row>
      <xdr:rowOff>10883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42909" y="60457773"/>
          <a:ext cx="7209524" cy="29809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311728</xdr:colOff>
      <xdr:row>49</xdr:row>
      <xdr:rowOff>8659</xdr:rowOff>
    </xdr:from>
    <xdr:to>
      <xdr:col>12</xdr:col>
      <xdr:colOff>46637</xdr:colOff>
      <xdr:row>50</xdr:row>
      <xdr:rowOff>468561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0342" y="11741727"/>
          <a:ext cx="3060000" cy="8582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294409</xdr:colOff>
      <xdr:row>50</xdr:row>
      <xdr:rowOff>588818</xdr:rowOff>
    </xdr:from>
    <xdr:to>
      <xdr:col>12</xdr:col>
      <xdr:colOff>29318</xdr:colOff>
      <xdr:row>59</xdr:row>
      <xdr:rowOff>162501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3023" y="12720204"/>
          <a:ext cx="3060000" cy="35135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311727</xdr:colOff>
      <xdr:row>42</xdr:row>
      <xdr:rowOff>8659</xdr:rowOff>
    </xdr:from>
    <xdr:to>
      <xdr:col>11</xdr:col>
      <xdr:colOff>388023</xdr:colOff>
      <xdr:row>48</xdr:row>
      <xdr:rowOff>317225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0341" y="9715500"/>
          <a:ext cx="2700000" cy="1936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467591</xdr:colOff>
      <xdr:row>13</xdr:row>
      <xdr:rowOff>34636</xdr:rowOff>
    </xdr:from>
    <xdr:to>
      <xdr:col>12</xdr:col>
      <xdr:colOff>562500</xdr:colOff>
      <xdr:row>14</xdr:row>
      <xdr:rowOff>139140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86205" y="3671454"/>
          <a:ext cx="3420000" cy="5807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411107</xdr:colOff>
      <xdr:row>472</xdr:row>
      <xdr:rowOff>33990</xdr:rowOff>
    </xdr:from>
    <xdr:to>
      <xdr:col>13</xdr:col>
      <xdr:colOff>216651</xdr:colOff>
      <xdr:row>480</xdr:row>
      <xdr:rowOff>95250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4682" y="91197765"/>
          <a:ext cx="1300969" cy="16614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117475</xdr:colOff>
      <xdr:row>438</xdr:row>
      <xdr:rowOff>76200</xdr:rowOff>
    </xdr:from>
    <xdr:to>
      <xdr:col>10</xdr:col>
      <xdr:colOff>140116</xdr:colOff>
      <xdr:row>452</xdr:row>
      <xdr:rowOff>26650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2150" y="84448650"/>
          <a:ext cx="1946691" cy="274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219376</xdr:colOff>
      <xdr:row>462</xdr:row>
      <xdr:rowOff>87710</xdr:rowOff>
    </xdr:from>
    <xdr:to>
      <xdr:col>14</xdr:col>
      <xdr:colOff>653570</xdr:colOff>
      <xdr:row>471</xdr:row>
      <xdr:rowOff>116060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8376" y="89251235"/>
          <a:ext cx="1272394" cy="182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290663</xdr:colOff>
      <xdr:row>438</xdr:row>
      <xdr:rowOff>76200</xdr:rowOff>
    </xdr:from>
    <xdr:to>
      <xdr:col>13</xdr:col>
      <xdr:colOff>27554</xdr:colOff>
      <xdr:row>452</xdr:row>
      <xdr:rowOff>26650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9388" y="84448650"/>
          <a:ext cx="1937166" cy="274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219376</xdr:colOff>
      <xdr:row>438</xdr:row>
      <xdr:rowOff>76200</xdr:rowOff>
    </xdr:from>
    <xdr:to>
      <xdr:col>15</xdr:col>
      <xdr:colOff>670642</xdr:colOff>
      <xdr:row>452</xdr:row>
      <xdr:rowOff>26650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8376" y="84448650"/>
          <a:ext cx="1946691" cy="274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759387</xdr:colOff>
      <xdr:row>452</xdr:row>
      <xdr:rowOff>141430</xdr:rowOff>
    </xdr:from>
    <xdr:to>
      <xdr:col>11</xdr:col>
      <xdr:colOff>411107</xdr:colOff>
      <xdr:row>461</xdr:row>
      <xdr:rowOff>169780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4062" y="87304705"/>
          <a:ext cx="2280620" cy="182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509201</xdr:colOff>
      <xdr:row>452</xdr:row>
      <xdr:rowOff>141430</xdr:rowOff>
    </xdr:from>
    <xdr:to>
      <xdr:col>14</xdr:col>
      <xdr:colOff>459371</xdr:colOff>
      <xdr:row>461</xdr:row>
      <xdr:rowOff>169780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2776" y="87304705"/>
          <a:ext cx="2283795" cy="182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495404</xdr:colOff>
      <xdr:row>472</xdr:row>
      <xdr:rowOff>33990</xdr:rowOff>
    </xdr:from>
    <xdr:to>
      <xdr:col>11</xdr:col>
      <xdr:colOff>335873</xdr:colOff>
      <xdr:row>480</xdr:row>
      <xdr:rowOff>95250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2129" y="91197765"/>
          <a:ext cx="1307319" cy="16614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338598</xdr:colOff>
      <xdr:row>462</xdr:row>
      <xdr:rowOff>87710</xdr:rowOff>
    </xdr:from>
    <xdr:to>
      <xdr:col>13</xdr:col>
      <xdr:colOff>106042</xdr:colOff>
      <xdr:row>471</xdr:row>
      <xdr:rowOff>116060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2173" y="89251235"/>
          <a:ext cx="1262869" cy="182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535444</xdr:colOff>
      <xdr:row>462</xdr:row>
      <xdr:rowOff>87710</xdr:rowOff>
    </xdr:from>
    <xdr:to>
      <xdr:col>11</xdr:col>
      <xdr:colOff>225264</xdr:colOff>
      <xdr:row>471</xdr:row>
      <xdr:rowOff>116060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0119" y="89251235"/>
          <a:ext cx="2318720" cy="182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14</xdr:col>
      <xdr:colOff>371776</xdr:colOff>
      <xdr:row>438</xdr:row>
      <xdr:rowOff>50800</xdr:rowOff>
    </xdr:from>
    <xdr:to>
      <xdr:col>16</xdr:col>
      <xdr:colOff>47625</xdr:colOff>
      <xdr:row>440</xdr:row>
      <xdr:rowOff>34416</xdr:rowOff>
    </xdr:to>
    <xdr:sp macro="" textlink="">
      <xdr:nvSpPr>
        <xdr:cNvPr id="96" name="Rectangle 95"/>
        <xdr:cNvSpPr/>
      </xdr:nvSpPr>
      <xdr:spPr>
        <a:xfrm>
          <a:off x="12258976" y="84423250"/>
          <a:ext cx="1114124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Mable</a:t>
          </a:r>
        </a:p>
      </xdr:txBody>
    </xdr:sp>
    <xdr:clientData/>
  </xdr:twoCellAnchor>
  <xdr:twoCellAnchor>
    <xdr:from>
      <xdr:col>9</xdr:col>
      <xdr:colOff>0</xdr:colOff>
      <xdr:row>435</xdr:row>
      <xdr:rowOff>0</xdr:rowOff>
    </xdr:from>
    <xdr:to>
      <xdr:col>9</xdr:col>
      <xdr:colOff>524182</xdr:colOff>
      <xdr:row>436</xdr:row>
      <xdr:rowOff>67710</xdr:rowOff>
    </xdr:to>
    <xdr:sp macro="" textlink="">
      <xdr:nvSpPr>
        <xdr:cNvPr id="76" name="TextBox 75"/>
        <xdr:cNvSpPr txBox="1"/>
      </xdr:nvSpPr>
      <xdr:spPr>
        <a:xfrm>
          <a:off x="8483600" y="82442050"/>
          <a:ext cx="5241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/>
            <a:t>Naldo</a:t>
          </a:r>
        </a:p>
      </xdr:txBody>
    </xdr:sp>
    <xdr:clientData/>
  </xdr:twoCellAnchor>
  <xdr:oneCellAnchor>
    <xdr:from>
      <xdr:col>13</xdr:col>
      <xdr:colOff>219376</xdr:colOff>
      <xdr:row>480</xdr:row>
      <xdr:rowOff>0</xdr:rowOff>
    </xdr:from>
    <xdr:ext cx="1310494" cy="1800000"/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01776" y="88632110"/>
          <a:ext cx="1310494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13</xdr:col>
      <xdr:colOff>219376</xdr:colOff>
      <xdr:row>480</xdr:row>
      <xdr:rowOff>0</xdr:rowOff>
    </xdr:from>
    <xdr:ext cx="2013366" cy="2700000"/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01776" y="83902550"/>
          <a:ext cx="2013366" cy="27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9</xdr:col>
      <xdr:colOff>0</xdr:colOff>
      <xdr:row>479</xdr:row>
      <xdr:rowOff>0</xdr:rowOff>
    </xdr:from>
    <xdr:to>
      <xdr:col>9</xdr:col>
      <xdr:colOff>524182</xdr:colOff>
      <xdr:row>480</xdr:row>
      <xdr:rowOff>0</xdr:rowOff>
    </xdr:to>
    <xdr:sp macro="" textlink="">
      <xdr:nvSpPr>
        <xdr:cNvPr id="103" name="TextBox 102"/>
        <xdr:cNvSpPr txBox="1"/>
      </xdr:nvSpPr>
      <xdr:spPr>
        <a:xfrm>
          <a:off x="8483600" y="83235800"/>
          <a:ext cx="5241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/>
            <a:t>Naldo</a:t>
          </a:r>
        </a:p>
      </xdr:txBody>
    </xdr:sp>
    <xdr:clientData/>
  </xdr:twoCellAnchor>
  <xdr:twoCellAnchor>
    <xdr:from>
      <xdr:col>0</xdr:col>
      <xdr:colOff>254000</xdr:colOff>
      <xdr:row>437</xdr:row>
      <xdr:rowOff>101600</xdr:rowOff>
    </xdr:from>
    <xdr:to>
      <xdr:col>7</xdr:col>
      <xdr:colOff>895072</xdr:colOff>
      <xdr:row>477</xdr:row>
      <xdr:rowOff>121649</xdr:rowOff>
    </xdr:to>
    <xdr:grpSp>
      <xdr:nvGrpSpPr>
        <xdr:cNvPr id="3" name="Group 2"/>
        <xdr:cNvGrpSpPr/>
      </xdr:nvGrpSpPr>
      <xdr:grpSpPr>
        <a:xfrm>
          <a:off x="254000" y="83731100"/>
          <a:ext cx="6616422" cy="7887699"/>
          <a:chOff x="254000" y="83731100"/>
          <a:chExt cx="6616422" cy="7887699"/>
        </a:xfrm>
      </xdr:grpSpPr>
      <xdr:pic>
        <xdr:nvPicPr>
          <xdr:cNvPr id="104" name="Picture 10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53351" y="89818799"/>
            <a:ext cx="121707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5328" y="89818799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6" name="Picture 10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9090" y="898187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7" name="Picture 10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97414" y="837311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7006" y="837311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9" name="Picture 108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44634" y="87909566"/>
            <a:ext cx="121707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0" name="Picture 109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43769" y="8790956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1" name="Picture 110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898187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2" name="Picture 111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9090" y="8790956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3" name="Picture 112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6734" y="8600033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4" name="Picture 113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3329" y="86000333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5" name="Picture 114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6662" y="86000333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6" name="Picture 115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87909566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7" name="TextBox 116"/>
          <xdr:cNvSpPr txBox="1"/>
        </xdr:nvSpPr>
        <xdr:spPr>
          <a:xfrm>
            <a:off x="417534" y="86127333"/>
            <a:ext cx="52418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Naldo</a:t>
            </a:r>
          </a:p>
        </xdr:txBody>
      </xdr:sp>
      <xdr:sp macro="" textlink="">
        <xdr:nvSpPr>
          <xdr:cNvPr id="118" name="TextBox 117"/>
          <xdr:cNvSpPr txBox="1"/>
        </xdr:nvSpPr>
        <xdr:spPr>
          <a:xfrm>
            <a:off x="958850" y="88335016"/>
            <a:ext cx="6223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Querida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23005</xdr:rowOff>
    </xdr:from>
    <xdr:to>
      <xdr:col>6</xdr:col>
      <xdr:colOff>4566</xdr:colOff>
      <xdr:row>54</xdr:row>
      <xdr:rowOff>3505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670171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220777</xdr:colOff>
      <xdr:row>35</xdr:row>
      <xdr:rowOff>23005</xdr:rowOff>
    </xdr:from>
    <xdr:to>
      <xdr:col>15</xdr:col>
      <xdr:colOff>113285</xdr:colOff>
      <xdr:row>54</xdr:row>
      <xdr:rowOff>3505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2042" y="670171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220777</xdr:colOff>
      <xdr:row>15</xdr:row>
      <xdr:rowOff>0</xdr:rowOff>
    </xdr:from>
    <xdr:to>
      <xdr:col>15</xdr:col>
      <xdr:colOff>113285</xdr:colOff>
      <xdr:row>33</xdr:row>
      <xdr:rowOff>171000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2042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LvRsXwL7TivTvnUu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25"/>
  <sheetViews>
    <sheetView tabSelected="1" view="pageBreakPreview" topLeftCell="A13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7" width="11.7265625" style="41" customWidth="1"/>
    <col min="8" max="8" width="18.453125" style="41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11" ht="46.5" customHeight="1" x14ac:dyDescent="0.4">
      <c r="A1" s="184" t="s">
        <v>205</v>
      </c>
      <c r="B1" s="184"/>
      <c r="C1" s="184"/>
      <c r="D1" s="184"/>
      <c r="E1" s="184"/>
      <c r="F1" s="184"/>
      <c r="G1" s="184"/>
      <c r="H1" s="184"/>
      <c r="K1" s="77" t="s">
        <v>234</v>
      </c>
    </row>
    <row r="2" spans="1:11" ht="16.5" customHeight="1" x14ac:dyDescent="0.35">
      <c r="A2" s="134" t="s">
        <v>0</v>
      </c>
      <c r="B2" s="134"/>
      <c r="C2" s="134"/>
      <c r="D2" s="134"/>
      <c r="E2" s="134"/>
      <c r="F2" s="134"/>
      <c r="G2" s="134"/>
      <c r="H2" s="134"/>
    </row>
    <row r="3" spans="1:11" x14ac:dyDescent="0.35">
      <c r="A3" s="115" t="s">
        <v>1</v>
      </c>
      <c r="B3" s="115"/>
      <c r="C3" s="115"/>
      <c r="D3" s="115"/>
      <c r="E3" s="115" t="str">
        <f ca="1">TEXT(TODAY(),"DD/MM/YYYY")</f>
        <v>29/07/2025</v>
      </c>
      <c r="F3" s="115"/>
      <c r="G3" s="115"/>
      <c r="H3" s="115"/>
    </row>
    <row r="4" spans="1:11" ht="15" customHeight="1" x14ac:dyDescent="0.35">
      <c r="A4" s="115" t="s">
        <v>2</v>
      </c>
      <c r="B4" s="115"/>
      <c r="C4" s="115"/>
      <c r="D4" s="115"/>
      <c r="E4" s="115" t="s">
        <v>171</v>
      </c>
      <c r="F4" s="115"/>
      <c r="G4" s="115"/>
      <c r="H4" s="115"/>
    </row>
    <row r="5" spans="1:11" x14ac:dyDescent="0.35">
      <c r="A5" s="115" t="s">
        <v>3</v>
      </c>
      <c r="B5" s="115"/>
      <c r="C5" s="115"/>
      <c r="D5" s="115"/>
      <c r="E5" s="185">
        <v>45867</v>
      </c>
      <c r="F5" s="115"/>
      <c r="G5" s="115"/>
      <c r="H5" s="115"/>
      <c r="I5" s="27">
        <v>45303</v>
      </c>
    </row>
    <row r="6" spans="1:11" ht="16.5" customHeight="1" x14ac:dyDescent="0.35">
      <c r="A6" s="115" t="s">
        <v>4</v>
      </c>
      <c r="B6" s="115"/>
      <c r="C6" s="115"/>
      <c r="D6" s="115"/>
      <c r="E6" s="115" t="s">
        <v>172</v>
      </c>
      <c r="F6" s="115"/>
      <c r="G6" s="115"/>
      <c r="H6" s="115"/>
    </row>
    <row r="7" spans="1:11" ht="15" customHeight="1" x14ac:dyDescent="0.35">
      <c r="A7" s="115" t="s">
        <v>5</v>
      </c>
      <c r="B7" s="115"/>
      <c r="C7" s="115"/>
      <c r="D7" s="115"/>
      <c r="E7" s="115" t="str">
        <f>E6</f>
        <v>Arihant Superstructures Limited</v>
      </c>
      <c r="F7" s="115"/>
      <c r="G7" s="115"/>
      <c r="H7" s="115"/>
    </row>
    <row r="8" spans="1:11" x14ac:dyDescent="0.35">
      <c r="A8" s="115" t="s">
        <v>6</v>
      </c>
      <c r="B8" s="115"/>
      <c r="C8" s="115"/>
      <c r="D8" s="115"/>
      <c r="E8" s="166" t="s">
        <v>208</v>
      </c>
      <c r="F8" s="166"/>
      <c r="G8" s="166"/>
      <c r="H8" s="166"/>
    </row>
    <row r="9" spans="1:11" x14ac:dyDescent="0.35">
      <c r="A9" s="115" t="s">
        <v>169</v>
      </c>
      <c r="B9" s="115"/>
      <c r="C9" s="115"/>
      <c r="D9" s="115"/>
      <c r="E9" s="115" t="s">
        <v>173</v>
      </c>
      <c r="F9" s="115"/>
      <c r="G9" s="115"/>
      <c r="H9" s="115"/>
    </row>
    <row r="10" spans="1:11" ht="35" customHeight="1" x14ac:dyDescent="0.35">
      <c r="A10" s="115" t="s">
        <v>170</v>
      </c>
      <c r="B10" s="115"/>
      <c r="C10" s="115"/>
      <c r="D10" s="115"/>
      <c r="E10" s="110" t="s">
        <v>252</v>
      </c>
      <c r="F10" s="115"/>
      <c r="G10" s="115"/>
      <c r="H10" s="115"/>
      <c r="I10" s="22" t="s">
        <v>207</v>
      </c>
      <c r="J10" s="22" t="s">
        <v>251</v>
      </c>
    </row>
    <row r="11" spans="1:11" ht="32.25" customHeight="1" x14ac:dyDescent="0.35">
      <c r="A11" s="115" t="s">
        <v>7</v>
      </c>
      <c r="B11" s="115"/>
      <c r="C11" s="115"/>
      <c r="D11" s="115"/>
      <c r="E11" s="97" t="s">
        <v>227</v>
      </c>
      <c r="F11" s="166"/>
      <c r="G11" s="166"/>
      <c r="H11" s="166"/>
    </row>
    <row r="12" spans="1:11" x14ac:dyDescent="0.35">
      <c r="A12" s="111" t="s">
        <v>8</v>
      </c>
      <c r="B12" s="111"/>
      <c r="C12" s="111"/>
      <c r="D12" s="111"/>
      <c r="E12" s="110" t="s">
        <v>232</v>
      </c>
      <c r="F12" s="110"/>
      <c r="G12" s="110"/>
      <c r="H12" s="110"/>
      <c r="I12" s="76" t="s">
        <v>233</v>
      </c>
    </row>
    <row r="13" spans="1:11" ht="34.5" customHeight="1" x14ac:dyDescent="0.35">
      <c r="A13" s="111" t="s">
        <v>9</v>
      </c>
      <c r="B13" s="111"/>
      <c r="C13" s="111"/>
      <c r="D13" s="111"/>
      <c r="E13" s="110" t="s">
        <v>209</v>
      </c>
      <c r="F13" s="115"/>
      <c r="G13" s="115"/>
      <c r="H13" s="115"/>
    </row>
    <row r="14" spans="1:11" ht="37.5" customHeight="1" x14ac:dyDescent="0.35">
      <c r="A14" s="112" t="s">
        <v>10</v>
      </c>
      <c r="B14" s="112"/>
      <c r="C14" s="11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Arihant Aaradhya Phase I &amp; II, Survey No.14/1, near Jay Ambe Park, Internal road, Bapgaon, Bapgaon, Bhiwandi, Bhiwandi, Thane - 421302.</v>
      </c>
      <c r="D14" s="112"/>
      <c r="E14" s="112"/>
      <c r="F14" s="112"/>
      <c r="G14" s="112"/>
      <c r="H14" s="112"/>
    </row>
    <row r="15" spans="1:11" x14ac:dyDescent="0.35">
      <c r="A15" s="110" t="s">
        <v>174</v>
      </c>
      <c r="B15" s="110"/>
      <c r="C15" s="186" t="s">
        <v>246</v>
      </c>
      <c r="D15" s="186"/>
      <c r="E15" s="186"/>
      <c r="F15" s="186"/>
      <c r="G15" s="186"/>
      <c r="H15" s="186"/>
    </row>
    <row r="16" spans="1:11" ht="15.75" hidden="1" customHeight="1" x14ac:dyDescent="0.35">
      <c r="A16" s="110" t="s">
        <v>168</v>
      </c>
      <c r="B16" s="110"/>
      <c r="C16" s="110" t="s">
        <v>175</v>
      </c>
      <c r="D16" s="110"/>
      <c r="E16" s="110"/>
      <c r="F16" s="110"/>
      <c r="G16" s="110"/>
      <c r="H16" s="110"/>
    </row>
    <row r="17" spans="1:8" ht="15.75" customHeight="1" x14ac:dyDescent="0.35">
      <c r="A17" s="112" t="s">
        <v>11</v>
      </c>
      <c r="B17" s="112"/>
      <c r="C17" s="115" t="s">
        <v>196</v>
      </c>
      <c r="D17" s="115"/>
      <c r="E17" s="112" t="s">
        <v>74</v>
      </c>
      <c r="F17" s="112"/>
      <c r="G17" s="110" t="s">
        <v>175</v>
      </c>
      <c r="H17" s="110"/>
    </row>
    <row r="18" spans="1:8" x14ac:dyDescent="0.35">
      <c r="A18" s="111" t="s">
        <v>13</v>
      </c>
      <c r="B18" s="111"/>
      <c r="C18" s="110" t="s">
        <v>176</v>
      </c>
      <c r="D18" s="110"/>
      <c r="E18" s="112" t="s">
        <v>12</v>
      </c>
      <c r="F18" s="112"/>
      <c r="G18" s="123" t="s">
        <v>178</v>
      </c>
      <c r="H18" s="123"/>
    </row>
    <row r="19" spans="1:8" x14ac:dyDescent="0.35">
      <c r="A19" s="111" t="s">
        <v>75</v>
      </c>
      <c r="B19" s="111"/>
      <c r="C19" s="110" t="s">
        <v>176</v>
      </c>
      <c r="D19" s="110"/>
      <c r="E19" s="112" t="s">
        <v>14</v>
      </c>
      <c r="F19" s="112"/>
      <c r="G19" s="110">
        <v>421302</v>
      </c>
      <c r="H19" s="110"/>
    </row>
    <row r="20" spans="1:8" ht="32.25" customHeight="1" x14ac:dyDescent="0.35">
      <c r="A20" s="111" t="s">
        <v>123</v>
      </c>
      <c r="B20" s="111"/>
      <c r="C20" s="110" t="s">
        <v>177</v>
      </c>
      <c r="D20" s="110"/>
      <c r="E20" s="112" t="s">
        <v>15</v>
      </c>
      <c r="F20" s="112"/>
      <c r="G20" s="110" t="s">
        <v>235</v>
      </c>
      <c r="H20" s="110"/>
    </row>
    <row r="21" spans="1:8" ht="15" customHeight="1" x14ac:dyDescent="0.35">
      <c r="A21" s="112" t="s">
        <v>78</v>
      </c>
      <c r="B21" s="112"/>
      <c r="C21" s="112"/>
      <c r="D21" s="112"/>
      <c r="E21" s="115" t="s">
        <v>16</v>
      </c>
      <c r="F21" s="115"/>
      <c r="G21" s="115"/>
      <c r="H21" s="115"/>
    </row>
    <row r="22" spans="1:8" ht="18.75" customHeight="1" x14ac:dyDescent="0.35">
      <c r="A22" s="112"/>
      <c r="B22" s="112"/>
      <c r="C22" s="112"/>
      <c r="D22" s="112"/>
      <c r="E22" s="115"/>
      <c r="F22" s="115"/>
      <c r="G22" s="115"/>
      <c r="H22" s="115"/>
    </row>
    <row r="23" spans="1:8" ht="15" customHeight="1" x14ac:dyDescent="0.35">
      <c r="A23" s="112" t="s">
        <v>17</v>
      </c>
      <c r="B23" s="112"/>
      <c r="C23" s="112"/>
      <c r="D23" s="112"/>
      <c r="E23" s="110" t="s">
        <v>18</v>
      </c>
      <c r="F23" s="110"/>
      <c r="G23" s="110"/>
      <c r="H23" s="110"/>
    </row>
    <row r="24" spans="1:8" ht="15" customHeight="1" x14ac:dyDescent="0.35">
      <c r="A24" s="111" t="s">
        <v>19</v>
      </c>
      <c r="B24" s="111"/>
      <c r="C24" s="111"/>
      <c r="D24" s="111"/>
      <c r="E24" s="110" t="str">
        <f>IF(AND(G18="Mumbai"),"Upper Class","Middle Class")</f>
        <v>Middle Class</v>
      </c>
      <c r="F24" s="110"/>
      <c r="G24" s="110"/>
      <c r="H24" s="110"/>
    </row>
    <row r="25" spans="1:8" x14ac:dyDescent="0.35">
      <c r="A25" s="111" t="s">
        <v>20</v>
      </c>
      <c r="B25" s="111"/>
      <c r="C25" s="111"/>
      <c r="D25" s="111"/>
      <c r="E25" s="110" t="s">
        <v>21</v>
      </c>
      <c r="F25" s="110"/>
      <c r="G25" s="110"/>
      <c r="H25" s="110"/>
    </row>
    <row r="26" spans="1:8" ht="15.75" customHeight="1" x14ac:dyDescent="0.35">
      <c r="A26" s="111" t="s">
        <v>22</v>
      </c>
      <c r="B26" s="111"/>
      <c r="C26" s="111"/>
      <c r="D26" s="111"/>
      <c r="E26" s="110" t="str">
        <f>IF(AND(G18="Mumbai"),"Developed","Developing")</f>
        <v>Developing</v>
      </c>
      <c r="F26" s="110"/>
      <c r="G26" s="110"/>
      <c r="H26" s="110"/>
    </row>
    <row r="27" spans="1:8" x14ac:dyDescent="0.35">
      <c r="A27" s="111" t="s">
        <v>23</v>
      </c>
      <c r="B27" s="111"/>
      <c r="C27" s="111"/>
      <c r="D27" s="111"/>
      <c r="E27" s="110" t="s">
        <v>24</v>
      </c>
      <c r="F27" s="110"/>
      <c r="G27" s="110"/>
      <c r="H27" s="110"/>
    </row>
    <row r="28" spans="1:8" ht="15.75" customHeight="1" x14ac:dyDescent="0.35">
      <c r="A28" s="111" t="s">
        <v>83</v>
      </c>
      <c r="B28" s="111"/>
      <c r="C28" s="111"/>
      <c r="D28" s="111"/>
      <c r="E28" s="110" t="s">
        <v>84</v>
      </c>
      <c r="F28" s="110"/>
      <c r="G28" s="110"/>
      <c r="H28" s="110"/>
    </row>
    <row r="29" spans="1:8" ht="15" customHeight="1" x14ac:dyDescent="0.35">
      <c r="A29" s="111" t="s">
        <v>32</v>
      </c>
      <c r="B29" s="111"/>
      <c r="C29" s="111"/>
      <c r="D29" s="111"/>
      <c r="E29" s="11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10"/>
      <c r="G29" s="110"/>
      <c r="H29" s="110"/>
    </row>
    <row r="30" spans="1:8" ht="15.75" customHeight="1" x14ac:dyDescent="0.35">
      <c r="A30" s="111" t="s">
        <v>95</v>
      </c>
      <c r="B30" s="111"/>
      <c r="C30" s="111"/>
      <c r="D30" s="111"/>
      <c r="E30" s="110" t="s">
        <v>33</v>
      </c>
      <c r="F30" s="110"/>
      <c r="G30" s="110"/>
      <c r="H30" s="110"/>
    </row>
    <row r="31" spans="1:8" s="23" customFormat="1" x14ac:dyDescent="0.35">
      <c r="A31" s="190" t="s">
        <v>96</v>
      </c>
      <c r="B31" s="190"/>
      <c r="C31" s="189" t="s">
        <v>236</v>
      </c>
      <c r="D31" s="189"/>
      <c r="E31" s="189"/>
      <c r="F31" s="189" t="s">
        <v>30</v>
      </c>
      <c r="G31" s="189"/>
      <c r="H31" s="189"/>
    </row>
    <row r="32" spans="1:8" s="23" customFormat="1" x14ac:dyDescent="0.35">
      <c r="A32" s="187" t="s">
        <v>25</v>
      </c>
      <c r="B32" s="187" t="s">
        <v>29</v>
      </c>
      <c r="C32" s="188" t="s">
        <v>237</v>
      </c>
      <c r="D32" s="188"/>
      <c r="E32" s="188"/>
      <c r="F32" s="188" t="s">
        <v>177</v>
      </c>
      <c r="G32" s="188"/>
      <c r="H32" s="188"/>
    </row>
    <row r="33" spans="1:8" x14ac:dyDescent="0.35">
      <c r="A33" s="187" t="s">
        <v>26</v>
      </c>
      <c r="B33" s="187" t="s">
        <v>29</v>
      </c>
      <c r="C33" s="188" t="s">
        <v>238</v>
      </c>
      <c r="D33" s="188"/>
      <c r="E33" s="188"/>
      <c r="F33" s="188" t="s">
        <v>180</v>
      </c>
      <c r="G33" s="188"/>
      <c r="H33" s="188"/>
    </row>
    <row r="34" spans="1:8" s="23" customFormat="1" x14ac:dyDescent="0.35">
      <c r="A34" s="187" t="s">
        <v>28</v>
      </c>
      <c r="B34" s="187" t="s">
        <v>29</v>
      </c>
      <c r="C34" s="188" t="s">
        <v>239</v>
      </c>
      <c r="D34" s="188"/>
      <c r="E34" s="188"/>
      <c r="F34" s="188" t="s">
        <v>179</v>
      </c>
      <c r="G34" s="188"/>
      <c r="H34" s="188"/>
    </row>
    <row r="35" spans="1:8" x14ac:dyDescent="0.35">
      <c r="A35" s="187" t="s">
        <v>27</v>
      </c>
      <c r="B35" s="187" t="s">
        <v>29</v>
      </c>
      <c r="C35" s="188" t="s">
        <v>240</v>
      </c>
      <c r="D35" s="188"/>
      <c r="E35" s="188"/>
      <c r="F35" s="188" t="s">
        <v>180</v>
      </c>
      <c r="G35" s="188"/>
      <c r="H35" s="188"/>
    </row>
    <row r="36" spans="1:8" x14ac:dyDescent="0.35">
      <c r="A36" s="111" t="s">
        <v>31</v>
      </c>
      <c r="B36" s="111"/>
      <c r="C36" s="111"/>
      <c r="D36" s="111"/>
      <c r="E36" s="111"/>
      <c r="F36" s="111"/>
      <c r="G36" s="111"/>
      <c r="H36" s="111"/>
    </row>
    <row r="37" spans="1:8" ht="15.75" customHeight="1" x14ac:dyDescent="0.35">
      <c r="A37" s="134" t="s">
        <v>202</v>
      </c>
      <c r="B37" s="134"/>
      <c r="C37" s="241" t="s">
        <v>228</v>
      </c>
      <c r="D37" s="241"/>
      <c r="E37" s="241"/>
      <c r="F37" s="241"/>
      <c r="G37" s="241"/>
      <c r="H37" s="241"/>
    </row>
    <row r="38" spans="1:8" x14ac:dyDescent="0.35">
      <c r="A38" s="134" t="s">
        <v>167</v>
      </c>
      <c r="B38" s="134"/>
      <c r="C38" s="192" t="s">
        <v>181</v>
      </c>
      <c r="D38" s="110"/>
      <c r="E38" s="110"/>
      <c r="F38" s="110"/>
      <c r="G38" s="110"/>
      <c r="H38" s="110"/>
    </row>
    <row r="39" spans="1:8" x14ac:dyDescent="0.35">
      <c r="A39" s="179" t="s">
        <v>34</v>
      </c>
      <c r="B39" s="179"/>
      <c r="C39" s="179"/>
      <c r="D39" s="179"/>
      <c r="E39" s="179"/>
      <c r="F39" s="179"/>
      <c r="G39" s="179"/>
      <c r="H39" s="179"/>
    </row>
    <row r="40" spans="1:8" x14ac:dyDescent="0.35">
      <c r="A40" s="111" t="s">
        <v>35</v>
      </c>
      <c r="B40" s="111"/>
      <c r="C40" s="111"/>
      <c r="D40" s="111"/>
      <c r="E40" s="191">
        <v>26144.99</v>
      </c>
      <c r="F40" s="191"/>
      <c r="G40" s="191"/>
      <c r="H40" s="191"/>
    </row>
    <row r="41" spans="1:8" x14ac:dyDescent="0.35">
      <c r="A41" s="111" t="s">
        <v>36</v>
      </c>
      <c r="B41" s="111"/>
      <c r="C41" s="111"/>
      <c r="D41" s="111"/>
      <c r="E41" s="122">
        <v>1.1000000000000001</v>
      </c>
      <c r="F41" s="122"/>
      <c r="G41" s="122"/>
      <c r="H41" s="122"/>
    </row>
    <row r="42" spans="1:8" x14ac:dyDescent="0.35">
      <c r="A42" s="111" t="s">
        <v>37</v>
      </c>
      <c r="B42" s="111"/>
      <c r="C42" s="111"/>
      <c r="D42" s="111"/>
      <c r="E42" s="122">
        <f>E44/E40-E41</f>
        <v>1.5378472510412129</v>
      </c>
      <c r="F42" s="122"/>
      <c r="G42" s="122"/>
      <c r="H42" s="122"/>
    </row>
    <row r="43" spans="1:8" x14ac:dyDescent="0.35">
      <c r="A43" s="111" t="s">
        <v>38</v>
      </c>
      <c r="B43" s="111"/>
      <c r="C43" s="111"/>
      <c r="D43" s="111"/>
      <c r="E43" s="122">
        <f>E41+E42</f>
        <v>2.637847251041213</v>
      </c>
      <c r="F43" s="122"/>
      <c r="G43" s="122"/>
      <c r="H43" s="122"/>
    </row>
    <row r="44" spans="1:8" x14ac:dyDescent="0.35">
      <c r="A44" s="111" t="s">
        <v>94</v>
      </c>
      <c r="B44" s="111"/>
      <c r="C44" s="111"/>
      <c r="D44" s="111"/>
      <c r="E44" s="203">
        <v>68966.490000000005</v>
      </c>
      <c r="F44" s="203"/>
      <c r="G44" s="203"/>
      <c r="H44" s="203"/>
    </row>
    <row r="45" spans="1:8" x14ac:dyDescent="0.35">
      <c r="A45" s="115" t="s">
        <v>39</v>
      </c>
      <c r="B45" s="115"/>
      <c r="C45" s="115"/>
      <c r="D45" s="115"/>
      <c r="E45" s="115" t="s">
        <v>216</v>
      </c>
      <c r="F45" s="204"/>
      <c r="G45" s="204"/>
      <c r="H45" s="204"/>
    </row>
    <row r="46" spans="1:8" x14ac:dyDescent="0.35">
      <c r="A46" s="179" t="s">
        <v>40</v>
      </c>
      <c r="B46" s="179"/>
      <c r="C46" s="179"/>
      <c r="D46" s="179"/>
      <c r="E46" s="179"/>
      <c r="F46" s="179"/>
      <c r="G46" s="179"/>
      <c r="H46" s="179"/>
    </row>
    <row r="47" spans="1:8" ht="33.75" customHeight="1" x14ac:dyDescent="0.35">
      <c r="A47" s="145" t="s">
        <v>155</v>
      </c>
      <c r="B47" s="146"/>
      <c r="C47" s="233" t="s">
        <v>197</v>
      </c>
      <c r="D47" s="234"/>
      <c r="E47" s="234"/>
      <c r="F47" s="234"/>
      <c r="G47" s="234"/>
      <c r="H47" s="235"/>
    </row>
    <row r="48" spans="1:8" ht="31.5" customHeight="1" x14ac:dyDescent="0.35">
      <c r="A48" s="145" t="s">
        <v>41</v>
      </c>
      <c r="B48" s="146"/>
      <c r="C48" s="147" t="s">
        <v>198</v>
      </c>
      <c r="D48" s="148"/>
      <c r="E48" s="149"/>
      <c r="F48" s="19" t="s">
        <v>42</v>
      </c>
      <c r="G48" s="150">
        <v>44634</v>
      </c>
      <c r="H48" s="146"/>
    </row>
    <row r="49" spans="1:14" ht="31.5" customHeight="1" x14ac:dyDescent="0.35">
      <c r="A49" s="145" t="s">
        <v>43</v>
      </c>
      <c r="B49" s="146"/>
      <c r="C49" s="147" t="str">
        <f>C48</f>
        <v>BS/Rekhankan/BP/Mouje-Bapgaon/T-Bhiwandi/SSTN/784</v>
      </c>
      <c r="D49" s="148"/>
      <c r="E49" s="149"/>
      <c r="F49" s="19" t="s">
        <v>42</v>
      </c>
      <c r="G49" s="150">
        <f>G48</f>
        <v>44634</v>
      </c>
      <c r="H49" s="198"/>
    </row>
    <row r="50" spans="1:14" s="24" customFormat="1" ht="31.5" customHeight="1" x14ac:dyDescent="0.35">
      <c r="A50" s="199" t="s">
        <v>159</v>
      </c>
      <c r="B50" s="200"/>
      <c r="C50" s="145" t="s">
        <v>182</v>
      </c>
      <c r="D50" s="157"/>
      <c r="E50" s="146"/>
      <c r="F50" s="19" t="s">
        <v>42</v>
      </c>
      <c r="G50" s="150">
        <v>44644</v>
      </c>
      <c r="H50" s="198"/>
    </row>
    <row r="51" spans="1:14" s="24" customFormat="1" ht="165" customHeight="1" x14ac:dyDescent="0.35">
      <c r="A51" s="201"/>
      <c r="B51" s="202"/>
      <c r="C51" s="145" t="s">
        <v>241</v>
      </c>
      <c r="D51" s="157"/>
      <c r="E51" s="157"/>
      <c r="F51" s="157"/>
      <c r="G51" s="157"/>
      <c r="H51" s="146"/>
    </row>
    <row r="52" spans="1:14" x14ac:dyDescent="0.35">
      <c r="A52" s="151" t="s">
        <v>44</v>
      </c>
      <c r="B52" s="152"/>
      <c r="C52" s="151" t="s">
        <v>103</v>
      </c>
      <c r="D52" s="153"/>
      <c r="E52" s="152"/>
      <c r="F52" s="43" t="s">
        <v>42</v>
      </c>
      <c r="G52" s="155" t="s">
        <v>29</v>
      </c>
      <c r="H52" s="156"/>
    </row>
    <row r="53" spans="1:14" x14ac:dyDescent="0.35">
      <c r="A53" s="154" t="s">
        <v>46</v>
      </c>
      <c r="B53" s="154"/>
      <c r="C53" s="154"/>
      <c r="D53" s="154"/>
      <c r="E53" s="154"/>
      <c r="F53" s="154"/>
      <c r="G53" s="154"/>
      <c r="H53" s="154"/>
    </row>
    <row r="54" spans="1:14" x14ac:dyDescent="0.35">
      <c r="A54" s="112" t="s">
        <v>93</v>
      </c>
      <c r="B54" s="112"/>
      <c r="C54" s="112"/>
      <c r="D54" s="111">
        <f>E44</f>
        <v>68966.490000000005</v>
      </c>
      <c r="E54" s="111"/>
      <c r="F54" s="111"/>
      <c r="G54" s="111"/>
      <c r="H54" s="111"/>
    </row>
    <row r="55" spans="1:14" x14ac:dyDescent="0.35">
      <c r="A55" s="110" t="s">
        <v>47</v>
      </c>
      <c r="B55" s="115"/>
      <c r="C55" s="115"/>
      <c r="D55" s="115" t="s">
        <v>229</v>
      </c>
      <c r="E55" s="115"/>
      <c r="F55" s="115"/>
      <c r="G55" s="115"/>
      <c r="H55" s="115"/>
      <c r="I55" s="25"/>
    </row>
    <row r="56" spans="1:14" x14ac:dyDescent="0.35">
      <c r="A56" s="195" t="s">
        <v>48</v>
      </c>
      <c r="B56" s="196"/>
      <c r="C56" s="197"/>
      <c r="D56" s="193" t="s">
        <v>183</v>
      </c>
      <c r="E56" s="194"/>
      <c r="F56" s="194"/>
      <c r="G56" s="194"/>
      <c r="H56" s="194"/>
      <c r="I56" s="26"/>
    </row>
    <row r="57" spans="1:14" ht="15.75" customHeight="1" x14ac:dyDescent="0.35">
      <c r="A57" s="110" t="s">
        <v>91</v>
      </c>
      <c r="B57" s="110"/>
      <c r="C57" s="110"/>
      <c r="D57" s="110" t="s">
        <v>243</v>
      </c>
      <c r="E57" s="115"/>
      <c r="F57" s="115"/>
      <c r="G57" s="115"/>
      <c r="H57" s="115"/>
      <c r="I57" s="26"/>
    </row>
    <row r="58" spans="1:14" x14ac:dyDescent="0.35">
      <c r="A58" s="110"/>
      <c r="B58" s="110"/>
      <c r="C58" s="110"/>
      <c r="D58" s="115" t="s">
        <v>184</v>
      </c>
      <c r="E58" s="115"/>
      <c r="F58" s="115"/>
      <c r="G58" s="115"/>
      <c r="H58" s="115"/>
      <c r="I58" s="26"/>
    </row>
    <row r="59" spans="1:14" ht="35.25" customHeight="1" x14ac:dyDescent="0.35">
      <c r="A59" s="110"/>
      <c r="B59" s="110"/>
      <c r="C59" s="110"/>
      <c r="D59" s="110" t="s">
        <v>199</v>
      </c>
      <c r="E59" s="115"/>
      <c r="F59" s="115"/>
      <c r="G59" s="115"/>
      <c r="H59" s="115"/>
      <c r="I59" s="26"/>
    </row>
    <row r="60" spans="1:14" ht="15.75" customHeight="1" x14ac:dyDescent="0.35">
      <c r="A60" s="110"/>
      <c r="B60" s="110"/>
      <c r="C60" s="110"/>
      <c r="D60" s="115" t="s">
        <v>219</v>
      </c>
      <c r="E60" s="115"/>
      <c r="F60" s="115"/>
      <c r="G60" s="115"/>
      <c r="H60" s="115"/>
      <c r="I60" s="26"/>
    </row>
    <row r="61" spans="1:14" x14ac:dyDescent="0.35">
      <c r="A61" s="110"/>
      <c r="B61" s="110"/>
      <c r="C61" s="110"/>
      <c r="D61" s="110" t="s">
        <v>221</v>
      </c>
      <c r="E61" s="115"/>
      <c r="F61" s="115"/>
      <c r="G61" s="115"/>
      <c r="H61" s="115"/>
      <c r="I61" s="26"/>
    </row>
    <row r="62" spans="1:14" ht="15.75" customHeight="1" x14ac:dyDescent="0.35">
      <c r="A62" s="110"/>
      <c r="B62" s="110"/>
      <c r="C62" s="110"/>
      <c r="D62" s="115" t="s">
        <v>220</v>
      </c>
      <c r="E62" s="115"/>
      <c r="F62" s="115"/>
      <c r="G62" s="115"/>
      <c r="H62" s="115"/>
      <c r="I62" s="26"/>
    </row>
    <row r="63" spans="1:14" ht="15.75" customHeight="1" x14ac:dyDescent="0.35">
      <c r="A63" s="110"/>
      <c r="B63" s="110"/>
      <c r="C63" s="110"/>
      <c r="D63" s="115" t="s">
        <v>222</v>
      </c>
      <c r="E63" s="115"/>
      <c r="F63" s="115"/>
      <c r="G63" s="115"/>
      <c r="H63" s="115"/>
      <c r="I63" s="26"/>
    </row>
    <row r="64" spans="1:14" ht="15.75" customHeight="1" x14ac:dyDescent="0.35">
      <c r="A64" s="111" t="s">
        <v>45</v>
      </c>
      <c r="B64" s="111"/>
      <c r="C64" s="111"/>
      <c r="D64" s="112" t="s">
        <v>185</v>
      </c>
      <c r="E64" s="112"/>
      <c r="F64" s="112"/>
      <c r="G64" s="112"/>
      <c r="H64" s="112"/>
      <c r="J64" s="27"/>
      <c r="K64" s="25"/>
      <c r="N64" s="25"/>
    </row>
    <row r="65" spans="1:14" ht="15.75" customHeight="1" x14ac:dyDescent="0.35">
      <c r="A65" s="111" t="s">
        <v>89</v>
      </c>
      <c r="B65" s="111"/>
      <c r="C65" s="111"/>
      <c r="D65" s="118" t="str">
        <f>(IF(G52="NA","60 Years After Completion",IF(G52&lt;&gt;"NA",""&amp;60-ROUNDDOWN((E3-G52)/360,0)&amp;" Years"," ")))</f>
        <v>60 Years After Completion</v>
      </c>
      <c r="E65" s="118"/>
      <c r="F65" s="118"/>
      <c r="G65" s="118"/>
      <c r="H65" s="118"/>
      <c r="N65" s="25"/>
    </row>
    <row r="66" spans="1:14" ht="15.75" customHeight="1" x14ac:dyDescent="0.35">
      <c r="A66" s="111" t="s">
        <v>90</v>
      </c>
      <c r="B66" s="111"/>
      <c r="C66" s="111"/>
      <c r="D66" s="112" t="s">
        <v>24</v>
      </c>
      <c r="E66" s="112"/>
      <c r="F66" s="112"/>
      <c r="G66" s="112"/>
      <c r="H66" s="112"/>
      <c r="J66" s="28"/>
      <c r="K66" s="28"/>
    </row>
    <row r="67" spans="1:14" ht="15" customHeight="1" x14ac:dyDescent="0.35">
      <c r="A67" s="111" t="s">
        <v>76</v>
      </c>
      <c r="B67" s="111"/>
      <c r="C67" s="111"/>
      <c r="D67" s="110" t="s">
        <v>195</v>
      </c>
      <c r="E67" s="110"/>
      <c r="F67" s="110"/>
      <c r="G67" s="110"/>
      <c r="H67" s="110"/>
    </row>
    <row r="68" spans="1:14" x14ac:dyDescent="0.35">
      <c r="A68" s="112" t="s">
        <v>151</v>
      </c>
      <c r="B68" s="112"/>
      <c r="C68" s="112"/>
      <c r="D68" s="112" t="s">
        <v>29</v>
      </c>
      <c r="E68" s="112"/>
      <c r="F68" s="112"/>
      <c r="G68" s="112"/>
      <c r="H68" s="112"/>
      <c r="I68" s="29"/>
      <c r="J68" s="29"/>
      <c r="K68" s="29"/>
      <c r="L68" s="29"/>
      <c r="M68" s="29"/>
      <c r="N68" s="29"/>
    </row>
    <row r="69" spans="1:14" ht="15.75" customHeight="1" x14ac:dyDescent="0.35">
      <c r="A69" s="111" t="s">
        <v>88</v>
      </c>
      <c r="B69" s="111"/>
      <c r="C69" s="111"/>
      <c r="D69" s="110" t="str">
        <f ca="1">(IF(G75&gt;95%,"Nothing",IF(G75&gt;0%,"Cement, Aggregate, Steel, etc",IF(G75=0%,"Work not yet Started"))))</f>
        <v>Cement, Aggregate, Steel, etc</v>
      </c>
      <c r="E69" s="110"/>
      <c r="F69" s="110"/>
      <c r="G69" s="110"/>
      <c r="H69" s="110"/>
      <c r="J69" s="28"/>
    </row>
    <row r="70" spans="1:14" ht="33.75" customHeight="1" thickBot="1" x14ac:dyDescent="0.4">
      <c r="A70" s="112" t="s">
        <v>116</v>
      </c>
      <c r="B70" s="112"/>
      <c r="C70" s="112"/>
      <c r="D70" s="110" t="str">
        <f ca="1">(IF(D69="Nothing","Yes",IF(D69="Cement, Aggregate, Steel, etc","Under Construction",IF(D69="Work not yet Started","Work not yet Started"))))</f>
        <v>Under Construction</v>
      </c>
      <c r="E70" s="110"/>
      <c r="F70" s="110" t="str">
        <f ca="1">(IF(D69="Nothing","Yes",IF(D69="Cement, Aggregate, Steel, etc","Under Construction",IF(D69="Work not yet Started","Work not yet Started"))))</f>
        <v>Under Construction</v>
      </c>
      <c r="G70" s="110"/>
      <c r="H70" s="110"/>
    </row>
    <row r="71" spans="1:14" x14ac:dyDescent="0.35">
      <c r="A71" s="97" t="s">
        <v>141</v>
      </c>
      <c r="B71" s="97"/>
      <c r="C71" s="97" t="s">
        <v>184</v>
      </c>
      <c r="D71" s="97"/>
      <c r="E71" s="97"/>
      <c r="F71" s="97"/>
      <c r="G71" s="97"/>
      <c r="H71" s="97"/>
      <c r="I71" s="85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Plaster, External Plaster Completed, Flooring upto 8 Floor, Painting upto 8 Floor Completed</v>
      </c>
      <c r="J71" s="47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Flooring upto 8 Floor, Painting upto 8 Floor</v>
      </c>
    </row>
    <row r="72" spans="1:14" x14ac:dyDescent="0.35">
      <c r="A72" s="94" t="s">
        <v>143</v>
      </c>
      <c r="B72" s="94">
        <v>0</v>
      </c>
      <c r="C72" s="94" t="s">
        <v>73</v>
      </c>
      <c r="D72" s="94">
        <v>1</v>
      </c>
      <c r="E72" s="94" t="s">
        <v>72</v>
      </c>
      <c r="F72" s="94">
        <v>0</v>
      </c>
      <c r="G72" s="94" t="s">
        <v>82</v>
      </c>
      <c r="H72" s="94">
        <f ca="1">--TRIM(RIGHT(SUBSTITUTE(LEFT(C71,_xlfn.AGGREGATE(16,6,FIND({0,1,2,3,4,5,6,7,8,9},C71,ROW(INDIRECT("1:"&amp;LEN(C71)))),1))," ",REPT(" ",LEN(C71))),LEN(C71)))</f>
        <v>14</v>
      </c>
      <c r="I72" s="86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Plaster, External Plaster</v>
      </c>
      <c r="J72" s="49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4.5" customHeight="1" x14ac:dyDescent="0.35">
      <c r="A73" s="165" t="s">
        <v>92</v>
      </c>
      <c r="B73" s="166"/>
      <c r="C73" s="97" t="str">
        <f ca="1">I71</f>
        <v>Excavation, Plinth, RCC Slab, Brickwork, Internal Plaster, External Plaster Completed, Flooring upto 8 Floor, Painting upto 8 Floor Completed</v>
      </c>
      <c r="D73" s="97"/>
      <c r="E73" s="97"/>
      <c r="F73" s="97"/>
      <c r="G73" s="97"/>
      <c r="H73" s="98"/>
      <c r="I73" s="48" t="str">
        <f ca="1">IF(I72&lt;&gt;""," Completed","")</f>
        <v xml:space="preserve"> Completed</v>
      </c>
      <c r="J73" s="49" t="str">
        <f ca="1">IF(J71&lt;&gt;"","Completed","")</f>
        <v>Completed</v>
      </c>
    </row>
    <row r="74" spans="1:14" ht="15.75" customHeight="1" x14ac:dyDescent="0.35">
      <c r="A74" s="99" t="s">
        <v>49</v>
      </c>
      <c r="B74" s="100"/>
      <c r="C74" s="55" t="s">
        <v>140</v>
      </c>
      <c r="D74" s="55" t="s">
        <v>85</v>
      </c>
      <c r="E74" s="100" t="s">
        <v>87</v>
      </c>
      <c r="F74" s="100"/>
      <c r="G74" s="100" t="s">
        <v>86</v>
      </c>
      <c r="H74" s="101"/>
      <c r="I74" s="15" t="s">
        <v>142</v>
      </c>
      <c r="J74" s="30">
        <f ca="1">H72*25%</f>
        <v>3.5</v>
      </c>
    </row>
    <row r="75" spans="1:14" x14ac:dyDescent="0.35">
      <c r="A75" s="99" t="s">
        <v>129</v>
      </c>
      <c r="B75" s="100"/>
      <c r="C75" s="55">
        <f ca="1">J76</f>
        <v>14</v>
      </c>
      <c r="D75" s="56">
        <f ca="1">((100/H72)*C75)/100</f>
        <v>1</v>
      </c>
      <c r="E75" s="102">
        <f ca="1">(((C76/H72*10)+(40/(D72+F72+H72)*C77)+(7.5/(H72)*C78)+(7.5/(H72)*C79)+(10/H72*C80)+(10/H72*C81)+(5/H72*C82)+(5/H72*C83)+(5/H72*C84))/100)</f>
        <v>0.83571428571428574</v>
      </c>
      <c r="F75" s="103"/>
      <c r="G75" s="102">
        <f ca="1">((((C75/H72)*20)+((C76/H72)*25)+(30/(H72+F72+D72)*C77)+(5/H72*C78)+(5/H72*C79)+(5/H72*C80)+(5/H72*C81)+(0/H72*C82)+(0/H72*C83)+(5/H72*C84))/100)</f>
        <v>0.9285714285714286</v>
      </c>
      <c r="H75" s="106"/>
      <c r="I75" s="15" t="s">
        <v>98</v>
      </c>
      <c r="J75" s="31">
        <f ca="1">H72*50%</f>
        <v>7</v>
      </c>
    </row>
    <row r="76" spans="1:14" x14ac:dyDescent="0.35">
      <c r="A76" s="99" t="s">
        <v>50</v>
      </c>
      <c r="B76" s="100"/>
      <c r="C76" s="59">
        <v>14</v>
      </c>
      <c r="D76" s="56">
        <f ca="1">((100/H72)*C76)/100</f>
        <v>1</v>
      </c>
      <c r="E76" s="104"/>
      <c r="F76" s="105"/>
      <c r="G76" s="104"/>
      <c r="H76" s="107"/>
      <c r="I76" s="15" t="s">
        <v>99</v>
      </c>
      <c r="J76" s="31">
        <f ca="1">H72</f>
        <v>14</v>
      </c>
    </row>
    <row r="77" spans="1:14" ht="15.75" customHeight="1" x14ac:dyDescent="0.35">
      <c r="A77" s="99" t="s">
        <v>130</v>
      </c>
      <c r="B77" s="100"/>
      <c r="C77" s="55">
        <v>15</v>
      </c>
      <c r="D77" s="56">
        <f ca="1">((100/(D72+F72+H72))*C77)/100</f>
        <v>1</v>
      </c>
      <c r="E77" s="104"/>
      <c r="F77" s="105"/>
      <c r="G77" s="104"/>
      <c r="H77" s="107"/>
      <c r="I77" s="15" t="s">
        <v>100</v>
      </c>
      <c r="J77" s="32">
        <f ca="1">(IF(B72&gt;1,(H72/(B72+2)),H72/4))</f>
        <v>3.5</v>
      </c>
    </row>
    <row r="78" spans="1:14" ht="15.75" customHeight="1" x14ac:dyDescent="0.35">
      <c r="A78" s="99" t="s">
        <v>137</v>
      </c>
      <c r="B78" s="100" t="s">
        <v>131</v>
      </c>
      <c r="C78" s="69">
        <v>14</v>
      </c>
      <c r="D78" s="56">
        <f ca="1">((100/H72)*C78)/100</f>
        <v>1</v>
      </c>
      <c r="E78" s="104"/>
      <c r="F78" s="105"/>
      <c r="G78" s="104"/>
      <c r="H78" s="107"/>
      <c r="I78" s="15" t="s">
        <v>101</v>
      </c>
      <c r="J78" s="32">
        <f ca="1">(IF(B72&gt;1,(H72/(B72+2)+J77),H72/4+J77))</f>
        <v>7</v>
      </c>
    </row>
    <row r="79" spans="1:14" ht="15.75" customHeight="1" x14ac:dyDescent="0.35">
      <c r="A79" s="99" t="s">
        <v>138</v>
      </c>
      <c r="B79" s="100" t="s">
        <v>131</v>
      </c>
      <c r="C79" s="55">
        <v>14</v>
      </c>
      <c r="D79" s="56">
        <f ca="1">((100/H72)*C79)/100</f>
        <v>1</v>
      </c>
      <c r="E79" s="104"/>
      <c r="F79" s="105"/>
      <c r="G79" s="104"/>
      <c r="H79" s="107"/>
      <c r="I79" s="15" t="s">
        <v>149</v>
      </c>
      <c r="J79" s="32">
        <f>(IF(B72&gt;1,(H72/(B72+2)+J78),0))</f>
        <v>0</v>
      </c>
    </row>
    <row r="80" spans="1:14" ht="15" customHeight="1" x14ac:dyDescent="0.35">
      <c r="A80" s="99" t="s">
        <v>136</v>
      </c>
      <c r="B80" s="100" t="s">
        <v>133</v>
      </c>
      <c r="C80" s="55">
        <v>14</v>
      </c>
      <c r="D80" s="56">
        <f ca="1">((100/(H72))*C80)/100</f>
        <v>1</v>
      </c>
      <c r="E80" s="104"/>
      <c r="F80" s="105"/>
      <c r="G80" s="104"/>
      <c r="H80" s="107"/>
      <c r="I80" s="15" t="s">
        <v>144</v>
      </c>
      <c r="J80" s="32">
        <f>(IF(B72&gt;2,(H72/(B72+2)+J79),0))</f>
        <v>0</v>
      </c>
    </row>
    <row r="81" spans="1:10" ht="15.75" customHeight="1" x14ac:dyDescent="0.35">
      <c r="A81" s="99" t="s">
        <v>132</v>
      </c>
      <c r="B81" s="100" t="s">
        <v>132</v>
      </c>
      <c r="C81" s="55">
        <v>8</v>
      </c>
      <c r="D81" s="56">
        <f ca="1">((100/H72)*C81)/100</f>
        <v>0.57142857142857151</v>
      </c>
      <c r="E81" s="104"/>
      <c r="F81" s="105"/>
      <c r="G81" s="104"/>
      <c r="H81" s="107"/>
      <c r="I81" s="15" t="s">
        <v>145</v>
      </c>
      <c r="J81" s="33">
        <f>(IF(B72&gt;3,(H72/(B72+2)+J80),0))</f>
        <v>0</v>
      </c>
    </row>
    <row r="82" spans="1:10" ht="15.75" customHeight="1" x14ac:dyDescent="0.35">
      <c r="A82" s="99" t="s">
        <v>139</v>
      </c>
      <c r="B82" s="100"/>
      <c r="C82" s="55">
        <v>8</v>
      </c>
      <c r="D82" s="56">
        <f ca="1">((100/H72)*C82)/100</f>
        <v>0.57142857142857151</v>
      </c>
      <c r="E82" s="104"/>
      <c r="F82" s="105"/>
      <c r="G82" s="104"/>
      <c r="H82" s="107"/>
      <c r="I82" s="15" t="s">
        <v>146</v>
      </c>
      <c r="J82" s="32">
        <f>(IF(B72&gt;4,(H72/(B72+2)+J81),0))</f>
        <v>0</v>
      </c>
    </row>
    <row r="83" spans="1:10" ht="15.75" customHeight="1" x14ac:dyDescent="0.35">
      <c r="A83" s="99" t="s">
        <v>134</v>
      </c>
      <c r="B83" s="100" t="s">
        <v>134</v>
      </c>
      <c r="C83" s="55">
        <v>0</v>
      </c>
      <c r="D83" s="56">
        <f ca="1">((100/(H72))*C83)/100</f>
        <v>0</v>
      </c>
      <c r="E83" s="104"/>
      <c r="F83" s="105"/>
      <c r="G83" s="104"/>
      <c r="H83" s="107"/>
      <c r="I83" s="15" t="s">
        <v>150</v>
      </c>
      <c r="J83" s="32">
        <f ca="1">(IF(B72=1,(H72/(B72+3)+J78),IF(B72=0,(H72/4+J78),IF(B72&gt;1,0))))</f>
        <v>10.5</v>
      </c>
    </row>
    <row r="84" spans="1:10" ht="16" thickBot="1" x14ac:dyDescent="0.4">
      <c r="A84" s="116" t="s">
        <v>135</v>
      </c>
      <c r="B84" s="117"/>
      <c r="C84" s="57">
        <v>0</v>
      </c>
      <c r="D84" s="58">
        <f ca="1">((100/(H72))*C84)/100</f>
        <v>0</v>
      </c>
      <c r="E84" s="113"/>
      <c r="F84" s="114"/>
      <c r="G84" s="113"/>
      <c r="H84" s="159"/>
      <c r="I84" s="16" t="s">
        <v>102</v>
      </c>
      <c r="J84" s="34">
        <f ca="1">(IF(B72&gt;1.5,(H72/(B72+2)+J78+MAX(0,J79-J78)+MAX(0,J80-J79)+MAX(0,J81-J80)+MAX(0,J82-J81)+MAX(0,J83-J82)),IF(B72=1,(H72/(B72+3)+J83),IF(B72=0,H72/4+J83))))</f>
        <v>14</v>
      </c>
    </row>
    <row r="85" spans="1:10" x14ac:dyDescent="0.35">
      <c r="A85" s="160" t="s">
        <v>141</v>
      </c>
      <c r="B85" s="161"/>
      <c r="C85" s="162" t="s">
        <v>249</v>
      </c>
      <c r="D85" s="163"/>
      <c r="E85" s="163"/>
      <c r="F85" s="163"/>
      <c r="G85" s="163"/>
      <c r="H85" s="164"/>
      <c r="I85" s="46" t="str">
        <f ca="1">IF(D98=100%,"All work Completed. Possession granted to the Building.",IF(D97=100%,"All work Completed, Waiting for OC",I86&amp;""&amp;I87&amp;""&amp;J86&amp;""&amp;J85&amp;" "&amp;J87))</f>
        <v>Excavation, Plinth, RCC Slab, Brickwork, Internal Plaster Completed, External Plaster upto 10 Floor, Flooring upto 2 Floor Completed</v>
      </c>
      <c r="J85" s="47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External Plaster upto 10 Floor, Flooring upto 2 Floor</v>
      </c>
    </row>
    <row r="86" spans="1:10" x14ac:dyDescent="0.35">
      <c r="A86" s="17" t="s">
        <v>143</v>
      </c>
      <c r="B86" s="81">
        <v>0</v>
      </c>
      <c r="C86" s="81" t="s">
        <v>73</v>
      </c>
      <c r="D86" s="81">
        <v>1</v>
      </c>
      <c r="E86" s="81" t="s">
        <v>72</v>
      </c>
      <c r="F86" s="81">
        <v>0</v>
      </c>
      <c r="G86" s="81" t="s">
        <v>82</v>
      </c>
      <c r="H86" s="18">
        <f ca="1">--TRIM(RIGHT(SUBSTITUTE(LEFT(C85,_xlfn.AGGREGATE(16,6,FIND({0,1,2,3,4,5,6,7,8,9},C85,ROW(INDIRECT("1:"&amp;LEN(C85)))),1))," ",REPT(" ",LEN(C85))),LEN(C85)))</f>
        <v>14</v>
      </c>
      <c r="I86" s="48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Brickwork, Internal Plaster</v>
      </c>
      <c r="J86" s="49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4.5" customHeight="1" x14ac:dyDescent="0.35">
      <c r="A87" s="165" t="s">
        <v>92</v>
      </c>
      <c r="B87" s="166"/>
      <c r="C87" s="97" t="str">
        <f ca="1">I85</f>
        <v>Excavation, Plinth, RCC Slab, Brickwork, Internal Plaster Completed, External Plaster upto 10 Floor, Flooring upto 2 Floor Completed</v>
      </c>
      <c r="D87" s="97"/>
      <c r="E87" s="97"/>
      <c r="F87" s="97"/>
      <c r="G87" s="97"/>
      <c r="H87" s="98"/>
      <c r="I87" s="48" t="str">
        <f ca="1">IF(I86&lt;&gt;""," Completed","")</f>
        <v xml:space="preserve"> Completed</v>
      </c>
      <c r="J87" s="49" t="str">
        <f ca="1">IF(J85&lt;&gt;"","Completed","")</f>
        <v>Completed</v>
      </c>
    </row>
    <row r="88" spans="1:10" ht="15.75" customHeight="1" x14ac:dyDescent="0.35">
      <c r="A88" s="99" t="s">
        <v>49</v>
      </c>
      <c r="B88" s="100"/>
      <c r="C88" s="79" t="s">
        <v>140</v>
      </c>
      <c r="D88" s="79" t="s">
        <v>85</v>
      </c>
      <c r="E88" s="100" t="s">
        <v>87</v>
      </c>
      <c r="F88" s="100"/>
      <c r="G88" s="100" t="s">
        <v>86</v>
      </c>
      <c r="H88" s="101"/>
      <c r="I88" s="15" t="s">
        <v>142</v>
      </c>
      <c r="J88" s="30">
        <f ca="1">H86*25%</f>
        <v>3.5</v>
      </c>
    </row>
    <row r="89" spans="1:10" x14ac:dyDescent="0.35">
      <c r="A89" s="99" t="s">
        <v>129</v>
      </c>
      <c r="B89" s="100"/>
      <c r="C89" s="79">
        <f ca="1">J90</f>
        <v>14</v>
      </c>
      <c r="D89" s="56">
        <f ca="1">((100/H86)*C89)/100</f>
        <v>1</v>
      </c>
      <c r="E89" s="102">
        <f ca="1">(((C90/H86*10)+(40/(D86+F86+H86)*C91)+(7.5/(H86)*C92)+(7.5/(H86)*C93)+(10/H86*C94)+(10/H86*C95)+(5/H86*C96)+(5/H86*C97)+(5/H86*C98))/100)</f>
        <v>0.73571428571428565</v>
      </c>
      <c r="F89" s="103"/>
      <c r="G89" s="102">
        <f ca="1">((((C89/H86)*20)+((C90/H86)*25)+(30/(H86+F86+D86)*C91)+(5/H86*C92)+(5/H86*C93)+(5/H86*C94)+(5/H86*C95)+(0/H86*C96)+(0/H86*C97)+(5/H86*C98))/100)</f>
        <v>0.89285714285714279</v>
      </c>
      <c r="H89" s="106"/>
      <c r="I89" s="15" t="s">
        <v>98</v>
      </c>
      <c r="J89" s="31">
        <f ca="1">H86*50%</f>
        <v>7</v>
      </c>
    </row>
    <row r="90" spans="1:10" x14ac:dyDescent="0.35">
      <c r="A90" s="99" t="s">
        <v>50</v>
      </c>
      <c r="B90" s="100"/>
      <c r="C90" s="59">
        <v>14</v>
      </c>
      <c r="D90" s="56">
        <f ca="1">((100/H86)*C90)/100</f>
        <v>1</v>
      </c>
      <c r="E90" s="104"/>
      <c r="F90" s="105"/>
      <c r="G90" s="104"/>
      <c r="H90" s="107"/>
      <c r="I90" s="15" t="s">
        <v>99</v>
      </c>
      <c r="J90" s="31">
        <f ca="1">H86</f>
        <v>14</v>
      </c>
    </row>
    <row r="91" spans="1:10" ht="15.75" customHeight="1" x14ac:dyDescent="0.35">
      <c r="A91" s="99" t="s">
        <v>130</v>
      </c>
      <c r="B91" s="100"/>
      <c r="C91" s="79">
        <v>15</v>
      </c>
      <c r="D91" s="56">
        <f ca="1">((100/(D86+F86+H86))*C91)/100</f>
        <v>1</v>
      </c>
      <c r="E91" s="104"/>
      <c r="F91" s="105"/>
      <c r="G91" s="104"/>
      <c r="H91" s="107"/>
      <c r="I91" s="15" t="s">
        <v>100</v>
      </c>
      <c r="J91" s="32">
        <f ca="1">(IF(B86&gt;1,(H86/(B86+2)),H86/4))</f>
        <v>3.5</v>
      </c>
    </row>
    <row r="92" spans="1:10" ht="15.75" customHeight="1" x14ac:dyDescent="0.35">
      <c r="A92" s="99" t="s">
        <v>137</v>
      </c>
      <c r="B92" s="100" t="s">
        <v>131</v>
      </c>
      <c r="C92" s="80">
        <v>14</v>
      </c>
      <c r="D92" s="56">
        <f ca="1">((100/H86)*C92)/100</f>
        <v>1</v>
      </c>
      <c r="E92" s="104"/>
      <c r="F92" s="105"/>
      <c r="G92" s="104"/>
      <c r="H92" s="107"/>
      <c r="I92" s="15" t="s">
        <v>101</v>
      </c>
      <c r="J92" s="32">
        <f ca="1">(IF(B86&gt;1,(H86/(B86+2)+J91),H86/4+J91))</f>
        <v>7</v>
      </c>
    </row>
    <row r="93" spans="1:10" ht="15.75" customHeight="1" x14ac:dyDescent="0.35">
      <c r="A93" s="99" t="s">
        <v>138</v>
      </c>
      <c r="B93" s="100" t="s">
        <v>131</v>
      </c>
      <c r="C93" s="79">
        <v>14</v>
      </c>
      <c r="D93" s="56">
        <f ca="1">((100/H86)*C93)/100</f>
        <v>1</v>
      </c>
      <c r="E93" s="104"/>
      <c r="F93" s="105"/>
      <c r="G93" s="104"/>
      <c r="H93" s="107"/>
      <c r="I93" s="15" t="s">
        <v>149</v>
      </c>
      <c r="J93" s="32">
        <f>(IF(B86&gt;1,(H86/(B86+2)+J92),0))</f>
        <v>0</v>
      </c>
    </row>
    <row r="94" spans="1:10" ht="15" customHeight="1" x14ac:dyDescent="0.35">
      <c r="A94" s="99" t="s">
        <v>136</v>
      </c>
      <c r="B94" s="100" t="s">
        <v>133</v>
      </c>
      <c r="C94" s="79">
        <v>10</v>
      </c>
      <c r="D94" s="56">
        <f ca="1">((100/(H86))*C94)/100</f>
        <v>0.7142857142857143</v>
      </c>
      <c r="E94" s="104"/>
      <c r="F94" s="105"/>
      <c r="G94" s="104"/>
      <c r="H94" s="107"/>
      <c r="I94" s="15" t="s">
        <v>144</v>
      </c>
      <c r="J94" s="32">
        <f>(IF(B86&gt;2,(H86/(B86+2)+J93),0))</f>
        <v>0</v>
      </c>
    </row>
    <row r="95" spans="1:10" ht="15.75" customHeight="1" x14ac:dyDescent="0.35">
      <c r="A95" s="99" t="s">
        <v>132</v>
      </c>
      <c r="B95" s="100" t="s">
        <v>132</v>
      </c>
      <c r="C95" s="79">
        <v>2</v>
      </c>
      <c r="D95" s="56">
        <f ca="1">((100/H86)*C95)/100</f>
        <v>0.14285714285714288</v>
      </c>
      <c r="E95" s="104"/>
      <c r="F95" s="105"/>
      <c r="G95" s="104"/>
      <c r="H95" s="107"/>
      <c r="I95" s="15" t="s">
        <v>145</v>
      </c>
      <c r="J95" s="33">
        <f>(IF(B86&gt;3,(H86/(B86+2)+J94),0))</f>
        <v>0</v>
      </c>
    </row>
    <row r="96" spans="1:10" ht="15.75" customHeight="1" x14ac:dyDescent="0.35">
      <c r="A96" s="99" t="s">
        <v>139</v>
      </c>
      <c r="B96" s="100"/>
      <c r="C96" s="79">
        <v>0</v>
      </c>
      <c r="D96" s="56">
        <f ca="1">((100/H86)*C96)/100</f>
        <v>0</v>
      </c>
      <c r="E96" s="104"/>
      <c r="F96" s="105"/>
      <c r="G96" s="104"/>
      <c r="H96" s="107"/>
      <c r="I96" s="15" t="s">
        <v>146</v>
      </c>
      <c r="J96" s="32">
        <f>(IF(B86&gt;4,(H86/(B86+2)+J95),0))</f>
        <v>0</v>
      </c>
    </row>
    <row r="97" spans="1:10" ht="15.75" customHeight="1" x14ac:dyDescent="0.35">
      <c r="A97" s="99" t="s">
        <v>134</v>
      </c>
      <c r="B97" s="100" t="s">
        <v>134</v>
      </c>
      <c r="C97" s="79">
        <v>0</v>
      </c>
      <c r="D97" s="56">
        <f ca="1">((100/(H86))*C97)/100</f>
        <v>0</v>
      </c>
      <c r="E97" s="104"/>
      <c r="F97" s="105"/>
      <c r="G97" s="104"/>
      <c r="H97" s="107"/>
      <c r="I97" s="15" t="s">
        <v>150</v>
      </c>
      <c r="J97" s="32">
        <f ca="1">(IF(B86=1,(H86/(B86+3)+J92),IF(B86=0,(H86/4+J92),IF(B86&gt;1,0))))</f>
        <v>10.5</v>
      </c>
    </row>
    <row r="98" spans="1:10" ht="16" thickBot="1" x14ac:dyDescent="0.4">
      <c r="A98" s="108" t="s">
        <v>135</v>
      </c>
      <c r="B98" s="109"/>
      <c r="C98" s="95">
        <v>0</v>
      </c>
      <c r="D98" s="96">
        <f ca="1">((100/(H86))*C98)/100</f>
        <v>0</v>
      </c>
      <c r="E98" s="104"/>
      <c r="F98" s="105"/>
      <c r="G98" s="104"/>
      <c r="H98" s="107"/>
      <c r="I98" s="16" t="s">
        <v>102</v>
      </c>
      <c r="J98" s="34">
        <f ca="1">(IF(B86&gt;1.5,(H86/(B86+2)+J92+MAX(0,J93-J92)+MAX(0,J94-J93)+MAX(0,J95-J94)+MAX(0,J96-J95)+MAX(0,J97-J96)),IF(B86=1,(H86/(B86+3)+J97),IF(B86=0,H86/4+J97))))</f>
        <v>14</v>
      </c>
    </row>
    <row r="99" spans="1:10" x14ac:dyDescent="0.35">
      <c r="A99" s="97" t="s">
        <v>141</v>
      </c>
      <c r="B99" s="97"/>
      <c r="C99" s="97" t="s">
        <v>247</v>
      </c>
      <c r="D99" s="97"/>
      <c r="E99" s="97"/>
      <c r="F99" s="97"/>
      <c r="G99" s="97"/>
      <c r="H99" s="97"/>
      <c r="I99" s="85" t="str">
        <f ca="1">IF(D112=100%,"All work Completed. Possession granted to the Building.",IF(D111=100%,"All work Completed, Waiting for OC",I100&amp;""&amp;I101&amp;""&amp;J100&amp;""&amp;J99&amp;" "&amp;J101))</f>
        <v>Excavation, Plinth, RCC Slab, Brickwork, Internal Plaster, External Plaster Completed, Flooring upto 13 Floor, Painting upto 12 Floor, Finishing upto 3 Floor Completed</v>
      </c>
      <c r="J99" s="47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Flooring upto 13 Floor, Painting upto 12 Floor, Finishing upto 3 Floor</v>
      </c>
    </row>
    <row r="100" spans="1:10" x14ac:dyDescent="0.35">
      <c r="A100" s="84" t="s">
        <v>143</v>
      </c>
      <c r="B100" s="84">
        <v>0</v>
      </c>
      <c r="C100" s="84" t="s">
        <v>73</v>
      </c>
      <c r="D100" s="84">
        <v>1</v>
      </c>
      <c r="E100" s="84" t="s">
        <v>72</v>
      </c>
      <c r="F100" s="84">
        <v>0</v>
      </c>
      <c r="G100" s="84" t="s">
        <v>82</v>
      </c>
      <c r="H100" s="84">
        <f ca="1">--TRIM(RIGHT(SUBSTITUTE(LEFT(C99,_xlfn.AGGREGATE(16,6,FIND({0,1,2,3,4,5,6,7,8,9},C99,ROW(INDIRECT("1:"&amp;LEN(C99)))),1))," ",REPT(" ",LEN(C99))),LEN(C99)))</f>
        <v>14</v>
      </c>
      <c r="I100" s="86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Slab, Brickwork, Internal Plaster, External Plaster</v>
      </c>
      <c r="J100" s="49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47.5" customHeight="1" x14ac:dyDescent="0.35">
      <c r="A101" s="166" t="s">
        <v>92</v>
      </c>
      <c r="B101" s="166"/>
      <c r="C101" s="97" t="str">
        <f ca="1">(IF($G$52="NA",I99,"All work Completed. OC Received."))</f>
        <v>Excavation, Plinth, RCC Slab, Brickwork, Internal Plaster, External Plaster Completed, Flooring upto 13 Floor, Painting upto 12 Floor, Finishing upto 3 Floor Completed</v>
      </c>
      <c r="D101" s="97"/>
      <c r="E101" s="97"/>
      <c r="F101" s="97"/>
      <c r="G101" s="97"/>
      <c r="H101" s="97"/>
      <c r="I101" s="86" t="str">
        <f ca="1">IF(I100&lt;&gt;""," Completed","")</f>
        <v xml:space="preserve"> Completed</v>
      </c>
      <c r="J101" s="49" t="str">
        <f ca="1">IF(J99&lt;&gt;"","Completed","")</f>
        <v>Completed</v>
      </c>
    </row>
    <row r="102" spans="1:10" ht="15.75" customHeight="1" x14ac:dyDescent="0.35">
      <c r="A102" s="100" t="s">
        <v>49</v>
      </c>
      <c r="B102" s="100"/>
      <c r="C102" s="91" t="s">
        <v>140</v>
      </c>
      <c r="D102" s="91" t="s">
        <v>85</v>
      </c>
      <c r="E102" s="100" t="s">
        <v>87</v>
      </c>
      <c r="F102" s="100"/>
      <c r="G102" s="100" t="s">
        <v>86</v>
      </c>
      <c r="H102" s="100"/>
      <c r="I102" s="15" t="s">
        <v>142</v>
      </c>
      <c r="J102" s="30">
        <f ca="1">H100*25%</f>
        <v>3.5</v>
      </c>
    </row>
    <row r="103" spans="1:10" x14ac:dyDescent="0.35">
      <c r="A103" s="144" t="s">
        <v>129</v>
      </c>
      <c r="B103" s="144"/>
      <c r="C103" s="92">
        <f ca="1">J104</f>
        <v>14</v>
      </c>
      <c r="D103" s="20">
        <f ca="1">((100/H100)*C103)/100</f>
        <v>1</v>
      </c>
      <c r="E103" s="236">
        <f ca="1">(((C104/H100*10)+(40/(D100+F100+H100)*C105)+(7.5/(H100)*C106)+(7.5/(H100)*C107)+(10/H100*C108)+(10/H100*C109)+(5/H100*C110)+(5/H100*C111)+(5/H100*C112))/100)</f>
        <v>0.89642857142857157</v>
      </c>
      <c r="F103" s="236"/>
      <c r="G103" s="236">
        <f ca="1">((((C103/H100)*20)+((C104/H100)*25)+(30/(H100+F100+D100)*C105)+(5/H100*C106)+(5/H100*C107)+(5/H100*C108)+(5/H100*C109)+(0/H100*C110)+(0/H100*C111)+(5/H100*C112))/100)</f>
        <v>0.9464285714285714</v>
      </c>
      <c r="H103" s="236"/>
      <c r="I103" s="15" t="s">
        <v>98</v>
      </c>
      <c r="J103" s="31">
        <f ca="1">H100*50%</f>
        <v>7</v>
      </c>
    </row>
    <row r="104" spans="1:10" x14ac:dyDescent="0.35">
      <c r="A104" s="144" t="s">
        <v>50</v>
      </c>
      <c r="B104" s="144"/>
      <c r="C104" s="92">
        <f ca="1">J112</f>
        <v>14</v>
      </c>
      <c r="D104" s="20">
        <f ca="1">((100/H100)*C104)/100</f>
        <v>1</v>
      </c>
      <c r="E104" s="236"/>
      <c r="F104" s="236"/>
      <c r="G104" s="236"/>
      <c r="H104" s="236"/>
      <c r="I104" s="15" t="s">
        <v>99</v>
      </c>
      <c r="J104" s="31">
        <f ca="1">H100</f>
        <v>14</v>
      </c>
    </row>
    <row r="105" spans="1:10" ht="15.75" customHeight="1" x14ac:dyDescent="0.35">
      <c r="A105" s="144" t="s">
        <v>130</v>
      </c>
      <c r="B105" s="144"/>
      <c r="C105" s="92">
        <v>15</v>
      </c>
      <c r="D105" s="20">
        <f ca="1">((100/(D100+F100+H100))*C105)/100</f>
        <v>1</v>
      </c>
      <c r="E105" s="236"/>
      <c r="F105" s="236"/>
      <c r="G105" s="236"/>
      <c r="H105" s="236"/>
      <c r="I105" s="15" t="s">
        <v>100</v>
      </c>
      <c r="J105" s="32">
        <f ca="1">(IF(B100&gt;1,(H100/(B100+2)),H100/4))</f>
        <v>3.5</v>
      </c>
    </row>
    <row r="106" spans="1:10" ht="15.75" customHeight="1" x14ac:dyDescent="0.35">
      <c r="A106" s="144" t="s">
        <v>137</v>
      </c>
      <c r="B106" s="144" t="s">
        <v>131</v>
      </c>
      <c r="C106" s="92">
        <v>14</v>
      </c>
      <c r="D106" s="20">
        <f ca="1">((100/H100)*C106)/100</f>
        <v>1</v>
      </c>
      <c r="E106" s="236"/>
      <c r="F106" s="236"/>
      <c r="G106" s="236"/>
      <c r="H106" s="236"/>
      <c r="I106" s="15" t="s">
        <v>101</v>
      </c>
      <c r="J106" s="32">
        <f ca="1">(IF(B100&gt;1,(H100/(B100+2)+J105),H100/4+J105))</f>
        <v>7</v>
      </c>
    </row>
    <row r="107" spans="1:10" ht="15.75" customHeight="1" x14ac:dyDescent="0.35">
      <c r="A107" s="144" t="s">
        <v>138</v>
      </c>
      <c r="B107" s="144" t="s">
        <v>131</v>
      </c>
      <c r="C107" s="92">
        <v>14</v>
      </c>
      <c r="D107" s="20">
        <f ca="1">((100/H100)*C107)/100</f>
        <v>1</v>
      </c>
      <c r="E107" s="236"/>
      <c r="F107" s="236"/>
      <c r="G107" s="236"/>
      <c r="H107" s="236"/>
      <c r="I107" s="15" t="s">
        <v>149</v>
      </c>
      <c r="J107" s="32">
        <f>(IF(B100&gt;1,(H100/(B100+2)+J106),0))</f>
        <v>0</v>
      </c>
    </row>
    <row r="108" spans="1:10" ht="15" customHeight="1" x14ac:dyDescent="0.35">
      <c r="A108" s="144" t="s">
        <v>136</v>
      </c>
      <c r="B108" s="144" t="s">
        <v>133</v>
      </c>
      <c r="C108" s="92">
        <v>14</v>
      </c>
      <c r="D108" s="20">
        <f ca="1">((100/(H100))*C108)/100</f>
        <v>1</v>
      </c>
      <c r="E108" s="236"/>
      <c r="F108" s="236"/>
      <c r="G108" s="236"/>
      <c r="H108" s="236"/>
      <c r="I108" s="15" t="s">
        <v>144</v>
      </c>
      <c r="J108" s="32">
        <f>(IF(B100&gt;2,(H100/(B100+2)+J107),0))</f>
        <v>0</v>
      </c>
    </row>
    <row r="109" spans="1:10" ht="15.75" customHeight="1" x14ac:dyDescent="0.35">
      <c r="A109" s="144" t="s">
        <v>132</v>
      </c>
      <c r="B109" s="144" t="s">
        <v>132</v>
      </c>
      <c r="C109" s="92">
        <v>13</v>
      </c>
      <c r="D109" s="20">
        <f ca="1">((100/H100)*C109)/100</f>
        <v>0.9285714285714286</v>
      </c>
      <c r="E109" s="236"/>
      <c r="F109" s="236"/>
      <c r="G109" s="236"/>
      <c r="H109" s="236"/>
      <c r="I109" s="15" t="s">
        <v>145</v>
      </c>
      <c r="J109" s="33">
        <f>(IF(B100&gt;3,(H100/(B100+2)+J108),0))</f>
        <v>0</v>
      </c>
    </row>
    <row r="110" spans="1:10" ht="15.75" customHeight="1" x14ac:dyDescent="0.35">
      <c r="A110" s="144" t="s">
        <v>139</v>
      </c>
      <c r="B110" s="144"/>
      <c r="C110" s="92">
        <v>12</v>
      </c>
      <c r="D110" s="20">
        <f ca="1">((100/H100)*C110)/100</f>
        <v>0.85714285714285721</v>
      </c>
      <c r="E110" s="236"/>
      <c r="F110" s="236"/>
      <c r="G110" s="236"/>
      <c r="H110" s="236"/>
      <c r="I110" s="15" t="s">
        <v>146</v>
      </c>
      <c r="J110" s="32">
        <f>(IF(B100&gt;4,(H100/(B100+2)+J109),0))</f>
        <v>0</v>
      </c>
    </row>
    <row r="111" spans="1:10" ht="15.75" customHeight="1" x14ac:dyDescent="0.35">
      <c r="A111" s="144" t="s">
        <v>134</v>
      </c>
      <c r="B111" s="144" t="s">
        <v>134</v>
      </c>
      <c r="C111" s="92">
        <v>3</v>
      </c>
      <c r="D111" s="20">
        <f ca="1">((100/(H100))*C111)/100</f>
        <v>0.2142857142857143</v>
      </c>
      <c r="E111" s="236"/>
      <c r="F111" s="236"/>
      <c r="G111" s="236"/>
      <c r="H111" s="236"/>
      <c r="I111" s="15" t="s">
        <v>150</v>
      </c>
      <c r="J111" s="32">
        <f ca="1">(IF(B100=1,(H100/(B100+3)+J106),IF(B100=0,(H100/4+J106),IF(B100&gt;1,0))))</f>
        <v>10.5</v>
      </c>
    </row>
    <row r="112" spans="1:10" ht="16" thickBot="1" x14ac:dyDescent="0.4">
      <c r="A112" s="144" t="s">
        <v>135</v>
      </c>
      <c r="B112" s="144"/>
      <c r="C112" s="92">
        <v>0</v>
      </c>
      <c r="D112" s="20">
        <f ca="1">((100/(H100))*C112)/100</f>
        <v>0</v>
      </c>
      <c r="E112" s="236"/>
      <c r="F112" s="236"/>
      <c r="G112" s="236"/>
      <c r="H112" s="236"/>
      <c r="I112" s="16" t="s">
        <v>102</v>
      </c>
      <c r="J112" s="34">
        <f ca="1">(IF(B100&gt;1.5,(H100/(B100+2)+J106+MAX(0,J107-J106)+MAX(0,J108-J107)+MAX(0,J109-J108)+MAX(0,J110-J109)+MAX(0,J111-J110)),IF(B100=1,(H100/(B100+3)+J111),IF(B100=0,H100/4+J111))))</f>
        <v>14</v>
      </c>
    </row>
    <row r="113" spans="1:10" ht="15.75" customHeight="1" x14ac:dyDescent="0.35">
      <c r="A113" s="208" t="s">
        <v>141</v>
      </c>
      <c r="B113" s="209"/>
      <c r="C113" s="210" t="s">
        <v>248</v>
      </c>
      <c r="D113" s="211"/>
      <c r="E113" s="211"/>
      <c r="F113" s="211"/>
      <c r="G113" s="211"/>
      <c r="H113" s="212"/>
      <c r="I113" s="46" t="str">
        <f ca="1">IF(D126=100%,"All work Completed. Possession granted to the Building.",IF(D125=100%,"All work Completed, Waiting for OC",I114&amp;""&amp;I115&amp;""&amp;J114&amp;""&amp;J113&amp;" "&amp;J115))</f>
        <v>Excavation, Plinth, RCC Slab, Brickwork, Internal Plaster, External Plaster Completed, Flooring upto 13 Floor, Painting upto 12 Floor, Finishing upto 3 Floor Completed</v>
      </c>
      <c r="J113" s="47" t="str">
        <f ca="1">(IF(C119=(D114+F114+H114),"",IF(C119&gt;0,", RCC upto "&amp;C119&amp;" Slab","")))&amp;(IF(C120=H114,"",IF(C120&gt;0,", Brickwork upto "&amp;C120&amp;" Floor","")))&amp;(IF(C121=H114,"",IF(C121&gt;0,", Internal Plaster upto "&amp;C121&amp;" Floor","")))&amp;(IF(C122=H114,"",IF(C122&gt;0,", External Plaster upto "&amp;C122&amp;" Floor","")))&amp;(IF(C123=H114,"",IF(C123&gt;0,", Flooring upto "&amp;C123&amp;" Floor","")))&amp;(IF(C124=H114,"",IF(C124&gt;0,", Painting upto "&amp;C124&amp;" Floor","")))&amp;(IF(C125=H114,"",IF(C125&gt;0,", Finishing upto "&amp;C125&amp;" Floor","")))&amp;(IF(C126=H114,"",IF(C126&gt;0,", Possession upto "&amp;C126&amp;" Floor","")))</f>
        <v>, Flooring upto 13 Floor, Painting upto 12 Floor, Finishing upto 3 Floor</v>
      </c>
    </row>
    <row r="114" spans="1:10" x14ac:dyDescent="0.35">
      <c r="A114" s="17" t="s">
        <v>143</v>
      </c>
      <c r="B114" s="53">
        <v>0</v>
      </c>
      <c r="C114" s="53" t="s">
        <v>73</v>
      </c>
      <c r="D114" s="53">
        <v>1</v>
      </c>
      <c r="E114" s="53" t="s">
        <v>72</v>
      </c>
      <c r="F114" s="53">
        <v>0</v>
      </c>
      <c r="G114" s="53" t="s">
        <v>82</v>
      </c>
      <c r="H114" s="18">
        <f ca="1">--TRIM(RIGHT(SUBSTITUTE(LEFT(C113,_xlfn.AGGREGATE(16,6,FIND({0,1,2,3,4,5,6,7,8,9},C113,ROW(INDIRECT("1:"&amp;LEN(C113)))),1))," ",REPT(" ",LEN(C113))),LEN(C113)))</f>
        <v>14</v>
      </c>
      <c r="I114" s="48" t="str">
        <f ca="1">IF(D117=100%,"Excavation","")&amp;IF(D118=100%,", Plinth","")&amp;IF(D119=100%,", RCC Slab","")&amp;IF(D120=100%,", Brickwork","")&amp;IF(D121=100%,", Internal Plaster","")&amp;IF(D122=100%,", External Plaster","")&amp;IF(D123=100%,", Flooring","")&amp;IF(D124=100%,", Painting","")&amp;IF(D125=100%,", Building common Amenities","")</f>
        <v>Excavation, Plinth, RCC Slab, Brickwork, Internal Plaster, External Plaster</v>
      </c>
      <c r="J114" s="49" t="str">
        <f ca="1">(IF(C117=0,"Work not yet Started.",IF(D117=25%,"Piling work in process",IF(D117=50%,"Excavation work in process",IF(D117=100%,"","0")))))&amp;(IF(C118=0%,"",IF(C118=J119,", Footing work is process",IF(C118=J120,", Footing work Completed",IF(C118=J121,", 1st Basement Completed",IF(C118=J122,", 1st &amp; 2nd Basement Completed",IF(C118=J123,", 1st to 3rd Basement Completed",IF(C118=J124,", 1st to 4th Basement Completed",IF(C118=J125,", Plinth work is process",IF(C118=J126,"","0"))))))))))</f>
        <v/>
      </c>
    </row>
    <row r="115" spans="1:10" ht="50" customHeight="1" x14ac:dyDescent="0.35">
      <c r="A115" s="165" t="s">
        <v>92</v>
      </c>
      <c r="B115" s="166"/>
      <c r="C115" s="97" t="str">
        <f ca="1">(IF($G$52="NA",I113,"All work Completed. OC Received."))</f>
        <v>Excavation, Plinth, RCC Slab, Brickwork, Internal Plaster, External Plaster Completed, Flooring upto 13 Floor, Painting upto 12 Floor, Finishing upto 3 Floor Completed</v>
      </c>
      <c r="D115" s="97"/>
      <c r="E115" s="97"/>
      <c r="F115" s="97"/>
      <c r="G115" s="97"/>
      <c r="H115" s="98"/>
      <c r="I115" s="48" t="str">
        <f ca="1">IF(I114&lt;&gt;""," Completed","")</f>
        <v xml:space="preserve"> Completed</v>
      </c>
      <c r="J115" s="49" t="str">
        <f ca="1">IF(J113&lt;&gt;"","Completed","")</f>
        <v>Completed</v>
      </c>
    </row>
    <row r="116" spans="1:10" ht="15.75" customHeight="1" x14ac:dyDescent="0.35">
      <c r="A116" s="205" t="s">
        <v>49</v>
      </c>
      <c r="B116" s="144"/>
      <c r="C116" s="50" t="s">
        <v>140</v>
      </c>
      <c r="D116" s="50" t="s">
        <v>85</v>
      </c>
      <c r="E116" s="144" t="s">
        <v>87</v>
      </c>
      <c r="F116" s="144"/>
      <c r="G116" s="144" t="s">
        <v>86</v>
      </c>
      <c r="H116" s="213"/>
      <c r="I116" s="15" t="s">
        <v>142</v>
      </c>
      <c r="J116" s="30">
        <f ca="1">H114*25%</f>
        <v>3.5</v>
      </c>
    </row>
    <row r="117" spans="1:10" x14ac:dyDescent="0.35">
      <c r="A117" s="205" t="s">
        <v>129</v>
      </c>
      <c r="B117" s="144"/>
      <c r="C117" s="50">
        <f ca="1">J118</f>
        <v>14</v>
      </c>
      <c r="D117" s="20">
        <f ca="1">((100/H114)*C117)/100</f>
        <v>1</v>
      </c>
      <c r="E117" s="215">
        <f ca="1">(((C118/H114*10)+(40/(D114+F114+H114)*C119)+(7.5/(H114)*C120)+(7.5/(H114)*C121)+(10/H114*C122)+(10/H114*C123)+(5/H114*C124)+(5/H114*C125)+(5/H114*C126))/100)</f>
        <v>0.89642857142857157</v>
      </c>
      <c r="F117" s="216"/>
      <c r="G117" s="215">
        <f ca="1">((((C117/H114)*20)+((C118/H114)*25)+(30/(H114+F114+D114)*C119)+(5/H114*C120)+(5/H114*C121)+(5/H114*C122)+(5/H114*C123)+(0/H114*C124)+(0/H114*C125)+(5/H114*C126))/100)</f>
        <v>0.9464285714285714</v>
      </c>
      <c r="H117" s="221"/>
      <c r="I117" s="15" t="s">
        <v>98</v>
      </c>
      <c r="J117" s="31">
        <f ca="1">H114*50%</f>
        <v>7</v>
      </c>
    </row>
    <row r="118" spans="1:10" x14ac:dyDescent="0.35">
      <c r="A118" s="205" t="s">
        <v>50</v>
      </c>
      <c r="B118" s="144"/>
      <c r="C118" s="50">
        <f ca="1">J126</f>
        <v>14</v>
      </c>
      <c r="D118" s="20">
        <f ca="1">((100/H114)*C118)/100</f>
        <v>1</v>
      </c>
      <c r="E118" s="217"/>
      <c r="F118" s="218"/>
      <c r="G118" s="217"/>
      <c r="H118" s="222"/>
      <c r="I118" s="15" t="s">
        <v>99</v>
      </c>
      <c r="J118" s="31">
        <f ca="1">H114</f>
        <v>14</v>
      </c>
    </row>
    <row r="119" spans="1:10" ht="15.75" customHeight="1" x14ac:dyDescent="0.35">
      <c r="A119" s="205" t="s">
        <v>130</v>
      </c>
      <c r="B119" s="144"/>
      <c r="C119" s="50">
        <v>15</v>
      </c>
      <c r="D119" s="20">
        <f ca="1">((100/(D114+F114+H114))*C119)/100</f>
        <v>1</v>
      </c>
      <c r="E119" s="217"/>
      <c r="F119" s="218"/>
      <c r="G119" s="217"/>
      <c r="H119" s="222"/>
      <c r="I119" s="15" t="s">
        <v>100</v>
      </c>
      <c r="J119" s="32">
        <f ca="1">(IF(B114&gt;1,(H114/(B114+2)),H114/4))</f>
        <v>3.5</v>
      </c>
    </row>
    <row r="120" spans="1:10" ht="15.75" customHeight="1" x14ac:dyDescent="0.35">
      <c r="A120" s="205" t="s">
        <v>137</v>
      </c>
      <c r="B120" s="144" t="s">
        <v>131</v>
      </c>
      <c r="C120" s="50">
        <v>14</v>
      </c>
      <c r="D120" s="20">
        <f ca="1">((100/H114)*C120)/100</f>
        <v>1</v>
      </c>
      <c r="E120" s="217"/>
      <c r="F120" s="218"/>
      <c r="G120" s="217"/>
      <c r="H120" s="222"/>
      <c r="I120" s="15" t="s">
        <v>101</v>
      </c>
      <c r="J120" s="32">
        <f ca="1">(IF(B114&gt;1,(H114/(B114+2)+J119),H114/4+J119))</f>
        <v>7</v>
      </c>
    </row>
    <row r="121" spans="1:10" ht="15.75" customHeight="1" x14ac:dyDescent="0.35">
      <c r="A121" s="205" t="s">
        <v>138</v>
      </c>
      <c r="B121" s="144" t="s">
        <v>131</v>
      </c>
      <c r="C121" s="50">
        <v>14</v>
      </c>
      <c r="D121" s="20">
        <f ca="1">((100/H114)*C121)/100</f>
        <v>1</v>
      </c>
      <c r="E121" s="217"/>
      <c r="F121" s="218"/>
      <c r="G121" s="217"/>
      <c r="H121" s="222"/>
      <c r="I121" s="15" t="s">
        <v>149</v>
      </c>
      <c r="J121" s="32">
        <f>(IF(B114&gt;1,(H114/(B114+2)+J120),0))</f>
        <v>0</v>
      </c>
    </row>
    <row r="122" spans="1:10" ht="15" customHeight="1" x14ac:dyDescent="0.35">
      <c r="A122" s="205" t="s">
        <v>136</v>
      </c>
      <c r="B122" s="144" t="s">
        <v>133</v>
      </c>
      <c r="C122" s="50">
        <v>14</v>
      </c>
      <c r="D122" s="20">
        <f ca="1">((100/(H114))*C122)/100</f>
        <v>1</v>
      </c>
      <c r="E122" s="217"/>
      <c r="F122" s="218"/>
      <c r="G122" s="217"/>
      <c r="H122" s="222"/>
      <c r="I122" s="15" t="s">
        <v>144</v>
      </c>
      <c r="J122" s="32">
        <f>(IF(B114&gt;2,(H114/(B114+2)+J121),0))</f>
        <v>0</v>
      </c>
    </row>
    <row r="123" spans="1:10" ht="15.75" customHeight="1" x14ac:dyDescent="0.35">
      <c r="A123" s="205" t="s">
        <v>132</v>
      </c>
      <c r="B123" s="144" t="s">
        <v>132</v>
      </c>
      <c r="C123" s="50">
        <v>13</v>
      </c>
      <c r="D123" s="20">
        <f ca="1">((100/H114)*C123)/100</f>
        <v>0.9285714285714286</v>
      </c>
      <c r="E123" s="217"/>
      <c r="F123" s="218"/>
      <c r="G123" s="217"/>
      <c r="H123" s="222"/>
      <c r="I123" s="15" t="s">
        <v>145</v>
      </c>
      <c r="J123" s="33">
        <f>(IF(B114&gt;3,(H114/(B114+2)+J122),0))</f>
        <v>0</v>
      </c>
    </row>
    <row r="124" spans="1:10" ht="15.75" customHeight="1" x14ac:dyDescent="0.35">
      <c r="A124" s="205" t="s">
        <v>139</v>
      </c>
      <c r="B124" s="144"/>
      <c r="C124" s="50">
        <v>12</v>
      </c>
      <c r="D124" s="20">
        <f ca="1">((100/H114)*C124)/100</f>
        <v>0.85714285714285721</v>
      </c>
      <c r="E124" s="217"/>
      <c r="F124" s="218"/>
      <c r="G124" s="217"/>
      <c r="H124" s="222"/>
      <c r="I124" s="15" t="s">
        <v>146</v>
      </c>
      <c r="J124" s="32">
        <f>(IF(B114&gt;4,(H114/(B114+2)+J123),0))</f>
        <v>0</v>
      </c>
    </row>
    <row r="125" spans="1:10" ht="15.75" customHeight="1" x14ac:dyDescent="0.35">
      <c r="A125" s="205" t="s">
        <v>134</v>
      </c>
      <c r="B125" s="144" t="s">
        <v>134</v>
      </c>
      <c r="C125" s="50">
        <v>3</v>
      </c>
      <c r="D125" s="20">
        <f ca="1">((100/(H114))*C125)/100</f>
        <v>0.2142857142857143</v>
      </c>
      <c r="E125" s="217"/>
      <c r="F125" s="218"/>
      <c r="G125" s="217"/>
      <c r="H125" s="222"/>
      <c r="I125" s="15" t="s">
        <v>150</v>
      </c>
      <c r="J125" s="32">
        <f ca="1">(IF(B114=1,(H114/(B114+3)+J120),IF(B114=0,(H114/4+J120),IF(B114&gt;1,0))))</f>
        <v>10.5</v>
      </c>
    </row>
    <row r="126" spans="1:10" ht="16" thickBot="1" x14ac:dyDescent="0.4">
      <c r="A126" s="206" t="s">
        <v>135</v>
      </c>
      <c r="B126" s="207"/>
      <c r="C126" s="51">
        <v>0</v>
      </c>
      <c r="D126" s="21">
        <f ca="1">((100/(H114))*C126)/100</f>
        <v>0</v>
      </c>
      <c r="E126" s="219"/>
      <c r="F126" s="220"/>
      <c r="G126" s="219"/>
      <c r="H126" s="223"/>
      <c r="I126" s="16" t="s">
        <v>102</v>
      </c>
      <c r="J126" s="34">
        <f ca="1">(IF(B114&gt;1.5,(H114/(B114+2)+J120+MAX(0,J121-J120)+MAX(0,J122-J121)+MAX(0,J123-J122)+MAX(0,J124-J123)+MAX(0,J125-J124)),IF(B114=1,(H114/(B114+3)+J125),IF(B114=0,H114/4+J125))))</f>
        <v>14</v>
      </c>
    </row>
    <row r="127" spans="1:10" x14ac:dyDescent="0.35">
      <c r="A127" s="160" t="s">
        <v>141</v>
      </c>
      <c r="B127" s="161"/>
      <c r="C127" s="162" t="str">
        <f>D60</f>
        <v>Naldo = G + 1st to 14th Floor</v>
      </c>
      <c r="D127" s="163"/>
      <c r="E127" s="163"/>
      <c r="F127" s="163"/>
      <c r="G127" s="163"/>
      <c r="H127" s="164"/>
      <c r="I127" s="46" t="str">
        <f ca="1">IF(D140=100%,"All work Completed. Possession granted to the Building.",IF(D139=100%,"All work Completed, Waiting for OC",I128&amp;""&amp;I129&amp;""&amp;J128&amp;""&amp;J127&amp;" "&amp;J129))</f>
        <v>Excavation, Plinth Completed, RCC upto 9 Slab, Brickwork upto 5 Floor, Internal Plaster upto 2 Floor Completed</v>
      </c>
      <c r="J127" s="47" t="str">
        <f ca="1">(IF(C133=(D128+F128+H128),"",IF(C133&gt;0,", RCC upto "&amp;C133&amp;" Slab","")))&amp;(IF(C134=H128,"",IF(C134&gt;0,", Brickwork upto "&amp;C134&amp;" Floor","")))&amp;(IF(C135=H128,"",IF(C135&gt;0,", Internal Plaster upto "&amp;C135&amp;" Floor","")))&amp;(IF(C136=H128,"",IF(C136&gt;0,", External Plaster upto "&amp;C136&amp;" Floor","")))&amp;(IF(C137=H128,"",IF(C137&gt;0,", Flooring upto "&amp;C137&amp;" Floor","")))&amp;(IF(C138=H128,"",IF(C138&gt;0,", Painting upto "&amp;C138&amp;" Floor","")))&amp;(IF(C139=H128,"",IF(C139&gt;0,", Finishing upto "&amp;C139&amp;" Floor","")))&amp;(IF(C140=H128,"",IF(C140&gt;0,", Possession upto "&amp;C140&amp;" Floor","")))</f>
        <v>, RCC upto 9 Slab, Brickwork upto 5 Floor, Internal Plaster upto 2 Floor</v>
      </c>
    </row>
    <row r="128" spans="1:10" x14ac:dyDescent="0.35">
      <c r="A128" s="17" t="s">
        <v>143</v>
      </c>
      <c r="B128" s="73">
        <v>0</v>
      </c>
      <c r="C128" s="73" t="s">
        <v>73</v>
      </c>
      <c r="D128" s="73">
        <v>1</v>
      </c>
      <c r="E128" s="73" t="s">
        <v>72</v>
      </c>
      <c r="F128" s="73">
        <v>0</v>
      </c>
      <c r="G128" s="73" t="s">
        <v>82</v>
      </c>
      <c r="H128" s="18">
        <f ca="1">--TRIM(RIGHT(SUBSTITUTE(LEFT(C127,_xlfn.AGGREGATE(16,6,FIND({0,1,2,3,4,5,6,7,8,9},C127,ROW(INDIRECT("1:"&amp;LEN(C127)))),1))," ",REPT(" ",LEN(C127))),LEN(C127)))</f>
        <v>14</v>
      </c>
      <c r="I128" s="48" t="str">
        <f ca="1">IF(D131=100%,"Excavation","")&amp;IF(D132=100%,", Plinth","")&amp;IF(D133=100%,", RCC Slab","")&amp;IF(D134=100%,", Brickwork","")&amp;IF(D135=100%,", Internal Plaster","")&amp;IF(D136=100%,", External Plaster","")&amp;IF(D137=100%,", Flooring","")&amp;IF(D138=100%,", Painting","")&amp;IF(D139=100%,", Building common Amenities","")</f>
        <v>Excavation, Plinth</v>
      </c>
      <c r="J128" s="49" t="str">
        <f ca="1">(IF(C131=0,"Work not yet Started.",IF(D131=25%,"Piling work in process",IF(D131=50%,"Excavation work in process",IF(D131=100%,"","0")))))&amp;(IF(C132=0%,"",IF(C132=J133,", Footing work is process",IF(C132=J134,", Footing work Completed",IF(C132=J135,", 1st Basement Completed",IF(C132=J136,", 1st &amp; 2nd Basement Completed",IF(C132=J137,", 1st to 3rd Basement Completed",IF(C132=J138,", 1st to 4th Basement Completed",IF(C132=J139,", Plinth work is process",IF(C132=J140,"","0"))))))))))</f>
        <v/>
      </c>
    </row>
    <row r="129" spans="1:10" ht="31" customHeight="1" x14ac:dyDescent="0.35">
      <c r="A129" s="165" t="s">
        <v>92</v>
      </c>
      <c r="B129" s="166"/>
      <c r="C129" s="97" t="str">
        <f ca="1">(IF($G$52="NA",I127,"All work Completed. OC Received."))</f>
        <v>Excavation, Plinth Completed, RCC upto 9 Slab, Brickwork upto 5 Floor, Internal Plaster upto 2 Floor Completed</v>
      </c>
      <c r="D129" s="97"/>
      <c r="E129" s="97"/>
      <c r="F129" s="97"/>
      <c r="G129" s="97"/>
      <c r="H129" s="98"/>
      <c r="I129" s="48" t="str">
        <f ca="1">IF(I128&lt;&gt;""," Completed","")</f>
        <v xml:space="preserve"> Completed</v>
      </c>
      <c r="J129" s="49" t="str">
        <f ca="1">IF(J127&lt;&gt;"","Completed","")</f>
        <v>Completed</v>
      </c>
    </row>
    <row r="130" spans="1:10" ht="15.75" customHeight="1" x14ac:dyDescent="0.35">
      <c r="A130" s="99" t="s">
        <v>49</v>
      </c>
      <c r="B130" s="100"/>
      <c r="C130" s="70" t="s">
        <v>140</v>
      </c>
      <c r="D130" s="70" t="s">
        <v>85</v>
      </c>
      <c r="E130" s="100" t="s">
        <v>87</v>
      </c>
      <c r="F130" s="100"/>
      <c r="G130" s="100" t="s">
        <v>86</v>
      </c>
      <c r="H130" s="101"/>
      <c r="I130" s="15" t="s">
        <v>142</v>
      </c>
      <c r="J130" s="30">
        <f ca="1">H128*25%</f>
        <v>3.5</v>
      </c>
    </row>
    <row r="131" spans="1:10" x14ac:dyDescent="0.35">
      <c r="A131" s="205" t="s">
        <v>129</v>
      </c>
      <c r="B131" s="144"/>
      <c r="C131" s="69">
        <f ca="1">J132</f>
        <v>14</v>
      </c>
      <c r="D131" s="20">
        <f ca="1">((100/H128)*C131)/100</f>
        <v>1</v>
      </c>
      <c r="E131" s="215">
        <f ca="1">(((C132/H128*10)+(40/(D128+F128+H128)*C133)+(7.5/(H128)*C134)+(7.5/(H128)*C135)+(10/H128*C136)+(10/H128*C137)+(5/H128*C138)+(5/H128*C139)+(5/H128*C140))/100)</f>
        <v>0.3775</v>
      </c>
      <c r="F131" s="216"/>
      <c r="G131" s="215">
        <f ca="1">((((C131/H128)*20)+((C132/H128)*25)+(30/(H128+F128+D128)*C133)+(5/H128*C134)+(5/H128*C135)+(5/H128*C136)+(5/H128*C137)+(0/H128*C138)+(0/H128*C139)+(5/H128*C140))/100)</f>
        <v>0.65500000000000003</v>
      </c>
      <c r="H131" s="221"/>
      <c r="I131" s="15" t="s">
        <v>98</v>
      </c>
      <c r="J131" s="31">
        <f ca="1">H128*50%</f>
        <v>7</v>
      </c>
    </row>
    <row r="132" spans="1:10" x14ac:dyDescent="0.35">
      <c r="A132" s="205" t="s">
        <v>50</v>
      </c>
      <c r="B132" s="144"/>
      <c r="C132" s="69">
        <f ca="1">J140</f>
        <v>14</v>
      </c>
      <c r="D132" s="20">
        <f ca="1">((100/H128)*C132)/100</f>
        <v>1</v>
      </c>
      <c r="E132" s="217"/>
      <c r="F132" s="218"/>
      <c r="G132" s="217"/>
      <c r="H132" s="222"/>
      <c r="I132" s="15" t="s">
        <v>99</v>
      </c>
      <c r="J132" s="31">
        <f ca="1">H128</f>
        <v>14</v>
      </c>
    </row>
    <row r="133" spans="1:10" ht="15.75" customHeight="1" x14ac:dyDescent="0.35">
      <c r="A133" s="205" t="s">
        <v>130</v>
      </c>
      <c r="B133" s="144"/>
      <c r="C133" s="69">
        <v>9</v>
      </c>
      <c r="D133" s="20">
        <f ca="1">((100/(D128+F128+H128))*C133)/100</f>
        <v>0.6</v>
      </c>
      <c r="E133" s="217"/>
      <c r="F133" s="218"/>
      <c r="G133" s="217"/>
      <c r="H133" s="222"/>
      <c r="I133" s="15" t="s">
        <v>100</v>
      </c>
      <c r="J133" s="32">
        <f ca="1">(IF(B128&gt;1,(H128/(B128+2)),H128/4))</f>
        <v>3.5</v>
      </c>
    </row>
    <row r="134" spans="1:10" ht="15.75" customHeight="1" x14ac:dyDescent="0.35">
      <c r="A134" s="205" t="s">
        <v>137</v>
      </c>
      <c r="B134" s="144" t="s">
        <v>131</v>
      </c>
      <c r="C134" s="69">
        <v>5</v>
      </c>
      <c r="D134" s="20">
        <f ca="1">((100/H128)*C134)/100</f>
        <v>0.35714285714285715</v>
      </c>
      <c r="E134" s="217"/>
      <c r="F134" s="218"/>
      <c r="G134" s="217"/>
      <c r="H134" s="222"/>
      <c r="I134" s="15" t="s">
        <v>101</v>
      </c>
      <c r="J134" s="32">
        <f ca="1">(IF(B128&gt;1,(H128/(B128+2)+J133),H128/4+J133))</f>
        <v>7</v>
      </c>
    </row>
    <row r="135" spans="1:10" ht="15.75" customHeight="1" x14ac:dyDescent="0.35">
      <c r="A135" s="205" t="s">
        <v>138</v>
      </c>
      <c r="B135" s="144" t="s">
        <v>131</v>
      </c>
      <c r="C135" s="69">
        <v>2</v>
      </c>
      <c r="D135" s="20">
        <f ca="1">((100/H128)*C135)/100</f>
        <v>0.14285714285714288</v>
      </c>
      <c r="E135" s="217"/>
      <c r="F135" s="218"/>
      <c r="G135" s="217"/>
      <c r="H135" s="222"/>
      <c r="I135" s="15" t="s">
        <v>149</v>
      </c>
      <c r="J135" s="32">
        <f>(IF(B128&gt;1,(H128/(B128+2)+J134),0))</f>
        <v>0</v>
      </c>
    </row>
    <row r="136" spans="1:10" ht="15" customHeight="1" x14ac:dyDescent="0.35">
      <c r="A136" s="205" t="s">
        <v>136</v>
      </c>
      <c r="B136" s="144" t="s">
        <v>133</v>
      </c>
      <c r="C136" s="69">
        <v>0</v>
      </c>
      <c r="D136" s="20">
        <f ca="1">((100/(H128))*C136)/100</f>
        <v>0</v>
      </c>
      <c r="E136" s="217"/>
      <c r="F136" s="218"/>
      <c r="G136" s="217"/>
      <c r="H136" s="222"/>
      <c r="I136" s="15" t="s">
        <v>144</v>
      </c>
      <c r="J136" s="32">
        <f>(IF(B128&gt;2,(H128/(B128+2)+J135),0))</f>
        <v>0</v>
      </c>
    </row>
    <row r="137" spans="1:10" ht="15.75" customHeight="1" x14ac:dyDescent="0.35">
      <c r="A137" s="205" t="s">
        <v>132</v>
      </c>
      <c r="B137" s="144" t="s">
        <v>132</v>
      </c>
      <c r="C137" s="69">
        <v>0</v>
      </c>
      <c r="D137" s="20">
        <f ca="1">((100/H128)*C137)/100</f>
        <v>0</v>
      </c>
      <c r="E137" s="217"/>
      <c r="F137" s="218"/>
      <c r="G137" s="217"/>
      <c r="H137" s="222"/>
      <c r="I137" s="15" t="s">
        <v>145</v>
      </c>
      <c r="J137" s="33">
        <f>(IF(B128&gt;3,(H128/(B128+2)+J136),0))</f>
        <v>0</v>
      </c>
    </row>
    <row r="138" spans="1:10" ht="15.75" customHeight="1" x14ac:dyDescent="0.35">
      <c r="A138" s="205" t="s">
        <v>139</v>
      </c>
      <c r="B138" s="144"/>
      <c r="C138" s="69">
        <v>0</v>
      </c>
      <c r="D138" s="20">
        <f ca="1">((100/H128)*C138)/100</f>
        <v>0</v>
      </c>
      <c r="E138" s="217"/>
      <c r="F138" s="218"/>
      <c r="G138" s="217"/>
      <c r="H138" s="222"/>
      <c r="I138" s="15" t="s">
        <v>146</v>
      </c>
      <c r="J138" s="32">
        <f>(IF(B128&gt;4,(H128/(B128+2)+J137),0))</f>
        <v>0</v>
      </c>
    </row>
    <row r="139" spans="1:10" ht="15.75" customHeight="1" x14ac:dyDescent="0.35">
      <c r="A139" s="205" t="s">
        <v>134</v>
      </c>
      <c r="B139" s="144" t="s">
        <v>134</v>
      </c>
      <c r="C139" s="69">
        <v>0</v>
      </c>
      <c r="D139" s="20">
        <f ca="1">((100/(H128))*C139)/100</f>
        <v>0</v>
      </c>
      <c r="E139" s="217"/>
      <c r="F139" s="218"/>
      <c r="G139" s="217"/>
      <c r="H139" s="222"/>
      <c r="I139" s="15" t="s">
        <v>150</v>
      </c>
      <c r="J139" s="32">
        <f ca="1">(IF(B128=1,(H128/(B128+3)+J134),IF(B128=0,(H128/4+J134),IF(B128&gt;1,0))))</f>
        <v>10.5</v>
      </c>
    </row>
    <row r="140" spans="1:10" ht="16" thickBot="1" x14ac:dyDescent="0.4">
      <c r="A140" s="206" t="s">
        <v>135</v>
      </c>
      <c r="B140" s="207"/>
      <c r="C140" s="72">
        <v>0</v>
      </c>
      <c r="D140" s="21">
        <f ca="1">((100/(H128))*C140)/100</f>
        <v>0</v>
      </c>
      <c r="E140" s="219"/>
      <c r="F140" s="220"/>
      <c r="G140" s="219"/>
      <c r="H140" s="223"/>
      <c r="I140" s="16" t="s">
        <v>102</v>
      </c>
      <c r="J140" s="34">
        <f ca="1">(IF(B128&gt;1.5,(H128/(B128+2)+J134+MAX(0,J135-J134)+MAX(0,J136-J135)+MAX(0,J137-J136)+MAX(0,J138-J137)+MAX(0,J139-J138)),IF(B128=1,(H128/(B128+3)+J139),IF(B128=0,H128/4+J139))))</f>
        <v>14</v>
      </c>
    </row>
    <row r="141" spans="1:10" x14ac:dyDescent="0.35">
      <c r="A141" s="160" t="s">
        <v>141</v>
      </c>
      <c r="B141" s="161"/>
      <c r="C141" s="162" t="str">
        <f>D61</f>
        <v>Osane = G + 1st to 14th Floor</v>
      </c>
      <c r="D141" s="163"/>
      <c r="E141" s="163"/>
      <c r="F141" s="163"/>
      <c r="G141" s="163"/>
      <c r="H141" s="164"/>
      <c r="I141" s="46" t="str">
        <f ca="1">IF(D154=100%,"All work Completed. Possession granted to the Building.",IF(D153=100%,"All work Completed, Waiting for OC",I142&amp;""&amp;I143&amp;""&amp;J142&amp;""&amp;J141&amp;" "&amp;J143))</f>
        <v>Excavation, Plinth Completed, RCC upto 8 Slab, Brickwork upto 4 Floor Completed</v>
      </c>
      <c r="J141" s="47" t="str">
        <f ca="1">(IF(C147=(D142+F142+H142),"",IF(C147&gt;0,", RCC upto "&amp;C147&amp;" Slab","")))&amp;(IF(C148=H142,"",IF(C148&gt;0,", Brickwork upto "&amp;C148&amp;" Floor","")))&amp;(IF(C149=H142,"",IF(C149&gt;0,", Internal Plaster upto "&amp;C149&amp;" Floor","")))&amp;(IF(C150=H142,"",IF(C150&gt;0,", External Plaster upto "&amp;C150&amp;" Floor","")))&amp;(IF(C151=H142,"",IF(C151&gt;0,", Flooring upto "&amp;C151&amp;" Floor","")))&amp;(IF(C152=H142,"",IF(C152&gt;0,", Painting upto "&amp;C152&amp;" Floor","")))&amp;(IF(C153=H142,"",IF(C153&gt;0,", Finishing upto "&amp;C153&amp;" Floor","")))&amp;(IF(C154=H142,"",IF(C154&gt;0,", Possession upto "&amp;C154&amp;" Floor","")))</f>
        <v>, RCC upto 8 Slab, Brickwork upto 4 Floor</v>
      </c>
    </row>
    <row r="142" spans="1:10" x14ac:dyDescent="0.35">
      <c r="A142" s="17" t="s">
        <v>143</v>
      </c>
      <c r="B142" s="73">
        <v>0</v>
      </c>
      <c r="C142" s="73" t="s">
        <v>73</v>
      </c>
      <c r="D142" s="73">
        <v>1</v>
      </c>
      <c r="E142" s="73" t="s">
        <v>72</v>
      </c>
      <c r="F142" s="73">
        <v>0</v>
      </c>
      <c r="G142" s="73" t="s">
        <v>82</v>
      </c>
      <c r="H142" s="18">
        <f ca="1">--TRIM(RIGHT(SUBSTITUTE(LEFT(C141,_xlfn.AGGREGATE(16,6,FIND({0,1,2,3,4,5,6,7,8,9},C141,ROW(INDIRECT("1:"&amp;LEN(C141)))),1))," ",REPT(" ",LEN(C141))),LEN(C141)))</f>
        <v>14</v>
      </c>
      <c r="I142" s="48" t="str">
        <f ca="1">IF(D145=100%,"Excavation","")&amp;IF(D146=100%,", Plinth","")&amp;IF(D147=100%,", RCC Slab","")&amp;IF(D148=100%,", Brickwork","")&amp;IF(D149=100%,", Internal Plaster","")&amp;IF(D150=100%,", External Plaster","")&amp;IF(D151=100%,", Flooring","")&amp;IF(D152=100%,", Painting","")&amp;IF(D153=100%,", Building common Amenities","")</f>
        <v>Excavation, Plinth</v>
      </c>
      <c r="J142" s="49" t="str">
        <f ca="1">(IF(C145=0,"Work not yet Started.",IF(D145=25%,"Piling work in process",IF(D145=50%,"Excavation work in process",IF(D145=100%,"","0")))))&amp;(IF(C146=0%,"",IF(C146=J147,", Footing work is process",IF(C146=J148,", Footing work Completed",IF(C146=J149,", 1st Basement Completed",IF(C146=J150,", 1st &amp; 2nd Basement Completed",IF(C146=J151,", 1st to 3rd Basement Completed",IF(C146=J152,", 1st to 4th Basement Completed",IF(C146=J153,", Plinth work is process",IF(C146=J154,"","0"))))))))))</f>
        <v/>
      </c>
    </row>
    <row r="143" spans="1:10" x14ac:dyDescent="0.35">
      <c r="A143" s="166" t="s">
        <v>92</v>
      </c>
      <c r="B143" s="166"/>
      <c r="C143" s="97" t="str">
        <f ca="1">(IF($G$52="NA",I141,"All work Completed. OC Received."))</f>
        <v>Excavation, Plinth Completed, RCC upto 8 Slab, Brickwork upto 4 Floor Completed</v>
      </c>
      <c r="D143" s="97"/>
      <c r="E143" s="97"/>
      <c r="F143" s="97"/>
      <c r="G143" s="97"/>
      <c r="H143" s="97"/>
      <c r="I143" s="86" t="str">
        <f ca="1">IF(I142&lt;&gt;""," Completed","")</f>
        <v xml:space="preserve"> Completed</v>
      </c>
      <c r="J143" s="49" t="str">
        <f ca="1">IF(J141&lt;&gt;"","Completed","")</f>
        <v>Completed</v>
      </c>
    </row>
    <row r="144" spans="1:10" ht="15.75" customHeight="1" x14ac:dyDescent="0.35">
      <c r="A144" s="100" t="s">
        <v>49</v>
      </c>
      <c r="B144" s="100"/>
      <c r="C144" s="91" t="s">
        <v>140</v>
      </c>
      <c r="D144" s="91" t="s">
        <v>85</v>
      </c>
      <c r="E144" s="100" t="s">
        <v>87</v>
      </c>
      <c r="F144" s="100"/>
      <c r="G144" s="100" t="s">
        <v>86</v>
      </c>
      <c r="H144" s="100"/>
      <c r="I144" s="15" t="s">
        <v>142</v>
      </c>
      <c r="J144" s="30">
        <f ca="1">H142*25%</f>
        <v>3.5</v>
      </c>
    </row>
    <row r="145" spans="1:10" x14ac:dyDescent="0.35">
      <c r="A145" s="144" t="s">
        <v>129</v>
      </c>
      <c r="B145" s="144"/>
      <c r="C145" s="92">
        <f ca="1">J146</f>
        <v>14</v>
      </c>
      <c r="D145" s="20">
        <f ca="1">((100/H142)*C145)/100</f>
        <v>1</v>
      </c>
      <c r="E145" s="236">
        <f ca="1">(((C146/H142*10)+(40/(D142+F142+H142)*C147)+(7.5/(H142)*C148)+(7.5/(H142)*C149)+(10/H142*C150)+(10/H142*C151)+(5/H142*C152)+(5/H142*C153)+(5/H142*C154))/100)</f>
        <v>0.33476190476190476</v>
      </c>
      <c r="F145" s="236"/>
      <c r="G145" s="236">
        <f ca="1">((((C145/H142)*20)+((C146/H142)*25)+(30/(H142+F142+D142)*C147)+(5/H142*C148)+(5/H142*C149)+(5/H142*C150)+(5/H142*C151)+(0/H142*C152)+(0/H142*C153)+(5/H142*C154))/100)</f>
        <v>0.62428571428571433</v>
      </c>
      <c r="H145" s="236"/>
      <c r="I145" s="15" t="s">
        <v>98</v>
      </c>
      <c r="J145" s="31">
        <f ca="1">H142*50%</f>
        <v>7</v>
      </c>
    </row>
    <row r="146" spans="1:10" x14ac:dyDescent="0.35">
      <c r="A146" s="144" t="s">
        <v>50</v>
      </c>
      <c r="B146" s="144"/>
      <c r="C146" s="92">
        <f ca="1">J154</f>
        <v>14</v>
      </c>
      <c r="D146" s="20">
        <f ca="1">((100/H142)*C146)/100</f>
        <v>1</v>
      </c>
      <c r="E146" s="236"/>
      <c r="F146" s="236"/>
      <c r="G146" s="236"/>
      <c r="H146" s="236"/>
      <c r="I146" s="15" t="s">
        <v>99</v>
      </c>
      <c r="J146" s="31">
        <f ca="1">H142</f>
        <v>14</v>
      </c>
    </row>
    <row r="147" spans="1:10" ht="15.75" customHeight="1" x14ac:dyDescent="0.35">
      <c r="A147" s="144" t="s">
        <v>130</v>
      </c>
      <c r="B147" s="144"/>
      <c r="C147" s="92">
        <v>8</v>
      </c>
      <c r="D147" s="20">
        <f ca="1">((100/(D142+F142+H142))*C147)/100</f>
        <v>0.53333333333333333</v>
      </c>
      <c r="E147" s="236"/>
      <c r="F147" s="236"/>
      <c r="G147" s="236"/>
      <c r="H147" s="236"/>
      <c r="I147" s="15" t="s">
        <v>100</v>
      </c>
      <c r="J147" s="32">
        <f ca="1">(IF(B142&gt;1,(H142/(B142+2)),H142/4))</f>
        <v>3.5</v>
      </c>
    </row>
    <row r="148" spans="1:10" ht="15.75" customHeight="1" x14ac:dyDescent="0.35">
      <c r="A148" s="144" t="s">
        <v>137</v>
      </c>
      <c r="B148" s="144" t="s">
        <v>131</v>
      </c>
      <c r="C148" s="92">
        <v>4</v>
      </c>
      <c r="D148" s="20">
        <f ca="1">((100/H142)*C148)/100</f>
        <v>0.28571428571428575</v>
      </c>
      <c r="E148" s="236"/>
      <c r="F148" s="236"/>
      <c r="G148" s="236"/>
      <c r="H148" s="236"/>
      <c r="I148" s="15" t="s">
        <v>101</v>
      </c>
      <c r="J148" s="32">
        <f ca="1">(IF(B142&gt;1,(H142/(B142+2)+J147),H142/4+J147))</f>
        <v>7</v>
      </c>
    </row>
    <row r="149" spans="1:10" ht="15.75" customHeight="1" x14ac:dyDescent="0.35">
      <c r="A149" s="144" t="s">
        <v>138</v>
      </c>
      <c r="B149" s="144" t="s">
        <v>131</v>
      </c>
      <c r="C149" s="92">
        <v>0</v>
      </c>
      <c r="D149" s="20">
        <f ca="1">((100/H142)*C149)/100</f>
        <v>0</v>
      </c>
      <c r="E149" s="236"/>
      <c r="F149" s="236"/>
      <c r="G149" s="236"/>
      <c r="H149" s="236"/>
      <c r="I149" s="15" t="s">
        <v>149</v>
      </c>
      <c r="J149" s="32">
        <f>(IF(B142&gt;1,(H142/(B142+2)+J148),0))</f>
        <v>0</v>
      </c>
    </row>
    <row r="150" spans="1:10" ht="15" customHeight="1" x14ac:dyDescent="0.35">
      <c r="A150" s="144" t="s">
        <v>136</v>
      </c>
      <c r="B150" s="144" t="s">
        <v>133</v>
      </c>
      <c r="C150" s="92">
        <v>0</v>
      </c>
      <c r="D150" s="20">
        <f ca="1">((100/(H142))*C150)/100</f>
        <v>0</v>
      </c>
      <c r="E150" s="236"/>
      <c r="F150" s="236"/>
      <c r="G150" s="236"/>
      <c r="H150" s="236"/>
      <c r="I150" s="15" t="s">
        <v>144</v>
      </c>
      <c r="J150" s="32">
        <f>(IF(B142&gt;2,(H142/(B142+2)+J149),0))</f>
        <v>0</v>
      </c>
    </row>
    <row r="151" spans="1:10" ht="15.75" customHeight="1" x14ac:dyDescent="0.35">
      <c r="A151" s="144" t="s">
        <v>132</v>
      </c>
      <c r="B151" s="144" t="s">
        <v>132</v>
      </c>
      <c r="C151" s="92">
        <v>0</v>
      </c>
      <c r="D151" s="20">
        <f ca="1">((100/H142)*C151)/100</f>
        <v>0</v>
      </c>
      <c r="E151" s="236"/>
      <c r="F151" s="236"/>
      <c r="G151" s="236"/>
      <c r="H151" s="236"/>
      <c r="I151" s="15" t="s">
        <v>145</v>
      </c>
      <c r="J151" s="33">
        <f>(IF(B142&gt;3,(H142/(B142+2)+J150),0))</f>
        <v>0</v>
      </c>
    </row>
    <row r="152" spans="1:10" ht="15.75" customHeight="1" x14ac:dyDescent="0.35">
      <c r="A152" s="144" t="s">
        <v>139</v>
      </c>
      <c r="B152" s="144"/>
      <c r="C152" s="92">
        <v>0</v>
      </c>
      <c r="D152" s="20">
        <f ca="1">((100/H142)*C152)/100</f>
        <v>0</v>
      </c>
      <c r="E152" s="236"/>
      <c r="F152" s="236"/>
      <c r="G152" s="236"/>
      <c r="H152" s="236"/>
      <c r="I152" s="15" t="s">
        <v>146</v>
      </c>
      <c r="J152" s="32">
        <f>(IF(B142&gt;4,(H142/(B142+2)+J151),0))</f>
        <v>0</v>
      </c>
    </row>
    <row r="153" spans="1:10" ht="15.75" customHeight="1" x14ac:dyDescent="0.35">
      <c r="A153" s="144" t="s">
        <v>134</v>
      </c>
      <c r="B153" s="144" t="s">
        <v>134</v>
      </c>
      <c r="C153" s="92">
        <v>0</v>
      </c>
      <c r="D153" s="20">
        <f ca="1">((100/(H142))*C153)/100</f>
        <v>0</v>
      </c>
      <c r="E153" s="236"/>
      <c r="F153" s="236"/>
      <c r="G153" s="236"/>
      <c r="H153" s="236"/>
      <c r="I153" s="15" t="s">
        <v>150</v>
      </c>
      <c r="J153" s="32">
        <f ca="1">(IF(B142=1,(H142/(B142+3)+J148),IF(B142=0,(H142/4+J148),IF(B142&gt;1,0))))</f>
        <v>10.5</v>
      </c>
    </row>
    <row r="154" spans="1:10" ht="16" thickBot="1" x14ac:dyDescent="0.4">
      <c r="A154" s="144" t="s">
        <v>135</v>
      </c>
      <c r="B154" s="144"/>
      <c r="C154" s="92">
        <v>0</v>
      </c>
      <c r="D154" s="20">
        <f ca="1">((100/(H142))*C154)/100</f>
        <v>0</v>
      </c>
      <c r="E154" s="236"/>
      <c r="F154" s="236"/>
      <c r="G154" s="236"/>
      <c r="H154" s="236"/>
      <c r="I154" s="16" t="s">
        <v>102</v>
      </c>
      <c r="J154" s="34">
        <f ca="1">(IF(B142&gt;1.5,(H142/(B142+2)+J148+MAX(0,J149-J148)+MAX(0,J150-J149)+MAX(0,J151-J150)+MAX(0,J152-J151)+MAX(0,J153-J152)),IF(B142=1,(H142/(B142+3)+J153),IF(B142=0,H142/4+J153))))</f>
        <v>14</v>
      </c>
    </row>
    <row r="155" spans="1:10" x14ac:dyDescent="0.35">
      <c r="A155" s="97" t="s">
        <v>141</v>
      </c>
      <c r="B155" s="97"/>
      <c r="C155" s="97" t="str">
        <f>D62</f>
        <v>Patricia = G + 1st to 14th Floor</v>
      </c>
      <c r="D155" s="97"/>
      <c r="E155" s="97"/>
      <c r="F155" s="97"/>
      <c r="G155" s="97"/>
      <c r="H155" s="97"/>
      <c r="I155" s="85" t="str">
        <f ca="1">IF(D168=100%,"All work Completed. Possession granted to the Building.",IF(D167=100%,"All work Completed, Waiting for OC",I156&amp;""&amp;I157&amp;""&amp;J156&amp;""&amp;J155&amp;" "&amp;J157))</f>
        <v>Excavation, Plinth Completed, RCC upto 2 Slab Completed</v>
      </c>
      <c r="J155" s="47" t="str">
        <f ca="1">(IF(C161=(D156+F156+H156),"",IF(C161&gt;0,", RCC upto "&amp;C161&amp;" Slab","")))&amp;(IF(C162=H156,"",IF(C162&gt;0,", Brickwork upto "&amp;C162&amp;" Floor","")))&amp;(IF(C163=H156,"",IF(C163&gt;0,", Internal Plaster upto "&amp;C163&amp;" Floor","")))&amp;(IF(C164=H156,"",IF(C164&gt;0,", External Plaster upto "&amp;C164&amp;" Floor","")))&amp;(IF(C165=H156,"",IF(C165&gt;0,", Flooring upto "&amp;C165&amp;" Floor","")))&amp;(IF(C166=H156,"",IF(C166&gt;0,", Painting upto "&amp;C166&amp;" Floor","")))&amp;(IF(C167=H156,"",IF(C167&gt;0,", Finishing upto "&amp;C167&amp;" Floor","")))&amp;(IF(C168=H156,"",IF(C168&gt;0,", Possession upto "&amp;C168&amp;" Floor","")))</f>
        <v>, RCC upto 2 Slab</v>
      </c>
    </row>
    <row r="156" spans="1:10" x14ac:dyDescent="0.35">
      <c r="A156" s="82" t="s">
        <v>143</v>
      </c>
      <c r="B156" s="82">
        <v>0</v>
      </c>
      <c r="C156" s="82" t="s">
        <v>73</v>
      </c>
      <c r="D156" s="82">
        <v>1</v>
      </c>
      <c r="E156" s="82" t="s">
        <v>72</v>
      </c>
      <c r="F156" s="82">
        <v>0</v>
      </c>
      <c r="G156" s="82" t="s">
        <v>82</v>
      </c>
      <c r="H156" s="82">
        <f ca="1">--TRIM(RIGHT(SUBSTITUTE(LEFT(C155,_xlfn.AGGREGATE(16,6,FIND({0,1,2,3,4,5,6,7,8,9},C155,ROW(INDIRECT("1:"&amp;LEN(C155)))),1))," ",REPT(" ",LEN(C155))),LEN(C155)))</f>
        <v>14</v>
      </c>
      <c r="I156" s="86" t="str">
        <f ca="1">IF(D159=100%,"Excavation","")&amp;IF(D160=100%,", Plinth","")&amp;IF(D161=100%,", RCC Slab","")&amp;IF(D162=100%,", Brickwork","")&amp;IF(D163=100%,", Internal Plaster","")&amp;IF(D164=100%,", External Plaster","")&amp;IF(D165=100%,", Flooring","")&amp;IF(D166=100%,", Painting","")&amp;IF(D167=100%,", Building common Amenities","")</f>
        <v>Excavation, Plinth</v>
      </c>
      <c r="J156" s="49" t="str">
        <f ca="1">(IF(C159=0,"Work not yet Started.",IF(D159=25%,"Piling work in process",IF(D159=50%,"Excavation work in process",IF(D159=100%,"","0")))))&amp;(IF(C160=0%,"",IF(C160=J161,", Footing work is process",IF(C160=J162,", Footing work Completed",IF(C160=J163,", 1st Basement Completed",IF(C160=J164,", 1st &amp; 2nd Basement Completed",IF(C160=J165,", 1st to 3rd Basement Completed",IF(C160=J166,", 1st to 4th Basement Completed",IF(C160=J167,", Plinth work is process",IF(C160=J168,"","0"))))))))))</f>
        <v/>
      </c>
    </row>
    <row r="157" spans="1:10" x14ac:dyDescent="0.35">
      <c r="A157" s="166" t="s">
        <v>92</v>
      </c>
      <c r="B157" s="166"/>
      <c r="C157" s="97" t="str">
        <f ca="1">(IF($G$52="NA",I155,"All work Completed. OC Received."))</f>
        <v>Excavation, Plinth Completed, RCC upto 2 Slab Completed</v>
      </c>
      <c r="D157" s="97"/>
      <c r="E157" s="97"/>
      <c r="F157" s="97"/>
      <c r="G157" s="97"/>
      <c r="H157" s="97"/>
      <c r="I157" s="86" t="str">
        <f ca="1">IF(I156&lt;&gt;""," Completed","")</f>
        <v xml:space="preserve"> Completed</v>
      </c>
      <c r="J157" s="49" t="str">
        <f ca="1">IF(J155&lt;&gt;"","Completed","")</f>
        <v>Completed</v>
      </c>
    </row>
    <row r="158" spans="1:10" ht="15.75" customHeight="1" x14ac:dyDescent="0.35">
      <c r="A158" s="99" t="s">
        <v>49</v>
      </c>
      <c r="B158" s="100"/>
      <c r="C158" s="70" t="s">
        <v>140</v>
      </c>
      <c r="D158" s="70" t="s">
        <v>85</v>
      </c>
      <c r="E158" s="100" t="s">
        <v>87</v>
      </c>
      <c r="F158" s="100"/>
      <c r="G158" s="100" t="s">
        <v>86</v>
      </c>
      <c r="H158" s="101"/>
      <c r="I158" s="15" t="s">
        <v>142</v>
      </c>
      <c r="J158" s="30">
        <f ca="1">H156*25%</f>
        <v>3.5</v>
      </c>
    </row>
    <row r="159" spans="1:10" x14ac:dyDescent="0.35">
      <c r="A159" s="205" t="s">
        <v>129</v>
      </c>
      <c r="B159" s="144"/>
      <c r="C159" s="69">
        <f ca="1">J160</f>
        <v>14</v>
      </c>
      <c r="D159" s="20">
        <f ca="1">((100/H156)*C159)/100</f>
        <v>1</v>
      </c>
      <c r="E159" s="215">
        <f ca="1">(((C160/H156*10)+(40/(D156+F156+H156)*C161)+(7.5/(H156)*C162)+(7.5/(H156)*C163)+(10/H156*C164)+(10/H156*C165)+(5/H156*C166)+(5/H156*C167)+(5/H156*C168))/100)</f>
        <v>0.15333333333333332</v>
      </c>
      <c r="F159" s="216"/>
      <c r="G159" s="215">
        <f ca="1">((((C159/H156)*20)+((C160/H156)*25)+(30/(H156+F156+D156)*C161)+(5/H156*C162)+(5/H156*C163)+(5/H156*C164)+(5/H156*C165)+(0/H156*C166)+(0/H156*C167)+(5/H156*C168))/100)</f>
        <v>0.49</v>
      </c>
      <c r="H159" s="221"/>
      <c r="I159" s="15" t="s">
        <v>98</v>
      </c>
      <c r="J159" s="31">
        <f ca="1">H156*50%</f>
        <v>7</v>
      </c>
    </row>
    <row r="160" spans="1:10" x14ac:dyDescent="0.35">
      <c r="A160" s="205" t="s">
        <v>50</v>
      </c>
      <c r="B160" s="144"/>
      <c r="C160" s="60">
        <f ca="1">J168</f>
        <v>14</v>
      </c>
      <c r="D160" s="20">
        <f ca="1">((100/H156)*C160)/100</f>
        <v>1</v>
      </c>
      <c r="E160" s="217"/>
      <c r="F160" s="218"/>
      <c r="G160" s="217"/>
      <c r="H160" s="222"/>
      <c r="I160" s="15" t="s">
        <v>99</v>
      </c>
      <c r="J160" s="31">
        <f ca="1">H156</f>
        <v>14</v>
      </c>
    </row>
    <row r="161" spans="1:10" ht="15.75" customHeight="1" x14ac:dyDescent="0.35">
      <c r="A161" s="205" t="s">
        <v>130</v>
      </c>
      <c r="B161" s="144"/>
      <c r="C161" s="69">
        <v>2</v>
      </c>
      <c r="D161" s="20">
        <f ca="1">((100/(D156+F156+H156))*C161)/100</f>
        <v>0.13333333333333333</v>
      </c>
      <c r="E161" s="217"/>
      <c r="F161" s="218"/>
      <c r="G161" s="217"/>
      <c r="H161" s="222"/>
      <c r="I161" s="15" t="s">
        <v>100</v>
      </c>
      <c r="J161" s="32">
        <f ca="1">(IF(B156&gt;1,(H156/(B156+2)),H156/4))</f>
        <v>3.5</v>
      </c>
    </row>
    <row r="162" spans="1:10" ht="15.75" customHeight="1" x14ac:dyDescent="0.35">
      <c r="A162" s="205" t="s">
        <v>137</v>
      </c>
      <c r="B162" s="144" t="s">
        <v>131</v>
      </c>
      <c r="C162" s="69">
        <v>0</v>
      </c>
      <c r="D162" s="20">
        <f ca="1">((100/H156)*C162)/100</f>
        <v>0</v>
      </c>
      <c r="E162" s="217"/>
      <c r="F162" s="218"/>
      <c r="G162" s="217"/>
      <c r="H162" s="222"/>
      <c r="I162" s="15" t="s">
        <v>101</v>
      </c>
      <c r="J162" s="32">
        <f ca="1">(IF(B156&gt;1,(H156/(B156+2)+J161),H156/4+J161))</f>
        <v>7</v>
      </c>
    </row>
    <row r="163" spans="1:10" ht="15.75" customHeight="1" x14ac:dyDescent="0.35">
      <c r="A163" s="205" t="s">
        <v>138</v>
      </c>
      <c r="B163" s="144" t="s">
        <v>131</v>
      </c>
      <c r="C163" s="69">
        <v>0</v>
      </c>
      <c r="D163" s="20">
        <f ca="1">((100/H156)*C163)/100</f>
        <v>0</v>
      </c>
      <c r="E163" s="217"/>
      <c r="F163" s="218"/>
      <c r="G163" s="217"/>
      <c r="H163" s="222"/>
      <c r="I163" s="15" t="s">
        <v>149</v>
      </c>
      <c r="J163" s="32">
        <f>(IF(B156&gt;1,(H156/(B156+2)+J162),0))</f>
        <v>0</v>
      </c>
    </row>
    <row r="164" spans="1:10" ht="15" customHeight="1" x14ac:dyDescent="0.35">
      <c r="A164" s="205" t="s">
        <v>136</v>
      </c>
      <c r="B164" s="144" t="s">
        <v>133</v>
      </c>
      <c r="C164" s="69">
        <v>0</v>
      </c>
      <c r="D164" s="20">
        <f ca="1">((100/(H156))*C164)/100</f>
        <v>0</v>
      </c>
      <c r="E164" s="217"/>
      <c r="F164" s="218"/>
      <c r="G164" s="217"/>
      <c r="H164" s="222"/>
      <c r="I164" s="15" t="s">
        <v>144</v>
      </c>
      <c r="J164" s="32">
        <f>(IF(B156&gt;2,(H156/(B156+2)+J163),0))</f>
        <v>0</v>
      </c>
    </row>
    <row r="165" spans="1:10" ht="15.75" customHeight="1" x14ac:dyDescent="0.35">
      <c r="A165" s="205" t="s">
        <v>132</v>
      </c>
      <c r="B165" s="144" t="s">
        <v>132</v>
      </c>
      <c r="C165" s="69">
        <v>0</v>
      </c>
      <c r="D165" s="20">
        <f ca="1">((100/H156)*C165)/100</f>
        <v>0</v>
      </c>
      <c r="E165" s="217"/>
      <c r="F165" s="218"/>
      <c r="G165" s="217"/>
      <c r="H165" s="222"/>
      <c r="I165" s="15" t="s">
        <v>145</v>
      </c>
      <c r="J165" s="33">
        <f>(IF(B156&gt;3,(H156/(B156+2)+J164),0))</f>
        <v>0</v>
      </c>
    </row>
    <row r="166" spans="1:10" ht="15.75" customHeight="1" x14ac:dyDescent="0.35">
      <c r="A166" s="205" t="s">
        <v>139</v>
      </c>
      <c r="B166" s="144"/>
      <c r="C166" s="69">
        <v>0</v>
      </c>
      <c r="D166" s="20">
        <f ca="1">((100/H156)*C166)/100</f>
        <v>0</v>
      </c>
      <c r="E166" s="217"/>
      <c r="F166" s="218"/>
      <c r="G166" s="217"/>
      <c r="H166" s="222"/>
      <c r="I166" s="15" t="s">
        <v>146</v>
      </c>
      <c r="J166" s="32">
        <f>(IF(B156&gt;4,(H156/(B156+2)+J165),0))</f>
        <v>0</v>
      </c>
    </row>
    <row r="167" spans="1:10" ht="15.75" customHeight="1" x14ac:dyDescent="0.35">
      <c r="A167" s="205" t="s">
        <v>134</v>
      </c>
      <c r="B167" s="144" t="s">
        <v>134</v>
      </c>
      <c r="C167" s="69">
        <v>0</v>
      </c>
      <c r="D167" s="20">
        <f ca="1">((100/(H156))*C167)/100</f>
        <v>0</v>
      </c>
      <c r="E167" s="217"/>
      <c r="F167" s="218"/>
      <c r="G167" s="217"/>
      <c r="H167" s="222"/>
      <c r="I167" s="15" t="s">
        <v>150</v>
      </c>
      <c r="J167" s="32">
        <f ca="1">(IF(B156=1,(H156/(B156+3)+J162),IF(B156=0,(H156/4+J162),IF(B156&gt;1,0))))</f>
        <v>10.5</v>
      </c>
    </row>
    <row r="168" spans="1:10" ht="16" thickBot="1" x14ac:dyDescent="0.4">
      <c r="A168" s="206" t="s">
        <v>135</v>
      </c>
      <c r="B168" s="207"/>
      <c r="C168" s="72">
        <v>0</v>
      </c>
      <c r="D168" s="21">
        <f ca="1">((100/(H156))*C168)/100</f>
        <v>0</v>
      </c>
      <c r="E168" s="219"/>
      <c r="F168" s="220"/>
      <c r="G168" s="219"/>
      <c r="H168" s="223"/>
      <c r="I168" s="16" t="s">
        <v>102</v>
      </c>
      <c r="J168" s="34">
        <f ca="1">(IF(B156&gt;1.5,(H156/(B156+2)+J162+MAX(0,J163-J162)+MAX(0,J164-J163)+MAX(0,J165-J164)+MAX(0,J166-J165)+MAX(0,J167-J166)),IF(B156=1,(H156/(B156+3)+J167),IF(B156=0,H156/4+J167))))</f>
        <v>14</v>
      </c>
    </row>
    <row r="169" spans="1:10" x14ac:dyDescent="0.35">
      <c r="A169" s="160" t="s">
        <v>141</v>
      </c>
      <c r="B169" s="161"/>
      <c r="C169" s="162" t="str">
        <f>D63</f>
        <v>Querida = G + 1st to 14th Floor</v>
      </c>
      <c r="D169" s="163"/>
      <c r="E169" s="163"/>
      <c r="F169" s="163"/>
      <c r="G169" s="163"/>
      <c r="H169" s="164"/>
      <c r="I169" s="46" t="str">
        <f ca="1">IF(D182=100%,"All work Completed. Possession granted to the Building.",IF(D181=100%,"All work Completed, Waiting for OC",I170&amp;""&amp;I171&amp;""&amp;J170&amp;""&amp;J169&amp;" "&amp;J171))</f>
        <v xml:space="preserve">Excavation, Plinth Completed </v>
      </c>
      <c r="J169" s="47" t="str">
        <f ca="1">(IF(C175=(D170+F170+H170),"",IF(C175&gt;0,", RCC upto "&amp;C175&amp;" Slab","")))&amp;(IF(C176=H170,"",IF(C176&gt;0,", Brickwork upto "&amp;C176&amp;" Floor","")))&amp;(IF(C177=H170,"",IF(C177&gt;0,", Internal Plaster upto "&amp;C177&amp;" Floor","")))&amp;(IF(C178=H170,"",IF(C178&gt;0,", External Plaster upto "&amp;C178&amp;" Floor","")))&amp;(IF(C179=H170,"",IF(C179&gt;0,", Flooring upto "&amp;C179&amp;" Floor","")))&amp;(IF(C180=H170,"",IF(C180&gt;0,", Painting upto "&amp;C180&amp;" Floor","")))&amp;(IF(C181=H170,"",IF(C181&gt;0,", Finishing upto "&amp;C181&amp;" Floor","")))&amp;(IF(C182=H170,"",IF(C182&gt;0,", Possession upto "&amp;C182&amp;" Floor","")))</f>
        <v/>
      </c>
    </row>
    <row r="170" spans="1:10" x14ac:dyDescent="0.35">
      <c r="A170" s="17" t="s">
        <v>143</v>
      </c>
      <c r="B170" s="73">
        <v>0</v>
      </c>
      <c r="C170" s="73" t="s">
        <v>73</v>
      </c>
      <c r="D170" s="73">
        <v>1</v>
      </c>
      <c r="E170" s="73" t="s">
        <v>72</v>
      </c>
      <c r="F170" s="73">
        <v>0</v>
      </c>
      <c r="G170" s="73" t="s">
        <v>82</v>
      </c>
      <c r="H170" s="18">
        <f ca="1">--TRIM(RIGHT(SUBSTITUTE(LEFT(C169,_xlfn.AGGREGATE(16,6,FIND({0,1,2,3,4,5,6,7,8,9},C169,ROW(INDIRECT("1:"&amp;LEN(C169)))),1))," ",REPT(" ",LEN(C169))),LEN(C169)))</f>
        <v>14</v>
      </c>
      <c r="I170" s="48" t="str">
        <f ca="1">IF(D173=100%,"Excavation","")&amp;IF(D174=100%,", Plinth","")&amp;IF(D175=100%,", RCC Slab","")&amp;IF(D176=100%,", Brickwork","")&amp;IF(D177=100%,", Internal Plaster","")&amp;IF(D178=100%,", External Plaster","")&amp;IF(D179=100%,", Flooring","")&amp;IF(D180=100%,", Painting","")&amp;IF(D181=100%,", Building common Amenities","")</f>
        <v>Excavation, Plinth</v>
      </c>
      <c r="J170" s="49" t="str">
        <f ca="1">(IF(C173=0,"Work not yet Started.",IF(D173=25%,"Piling work in process",IF(D173=50%,"Excavation work in process",IF(D173=100%,"","0")))))&amp;(IF(C174=0%,"",IF(C174=J175,", Footing work is process",IF(C174=J176,", Footing work Completed",IF(C174=J177,", 1st Basement Completed",IF(C174=J178,", 1st &amp; 2nd Basement Completed",IF(C174=J179,", 1st to 3rd Basement Completed",IF(C174=J180,", 1st to 4th Basement Completed",IF(C174=J181,", Plinth work is process",IF(C174=J182,"","0"))))))))))</f>
        <v/>
      </c>
    </row>
    <row r="171" spans="1:10" x14ac:dyDescent="0.35">
      <c r="A171" s="165" t="s">
        <v>92</v>
      </c>
      <c r="B171" s="166"/>
      <c r="C171" s="97" t="str">
        <f ca="1">(IF($G$52="NA",I169,"All work Completed. OC Received."))</f>
        <v xml:space="preserve">Excavation, Plinth Completed </v>
      </c>
      <c r="D171" s="97"/>
      <c r="E171" s="97"/>
      <c r="F171" s="97"/>
      <c r="G171" s="97"/>
      <c r="H171" s="98"/>
      <c r="I171" s="48" t="str">
        <f ca="1">IF(I170&lt;&gt;""," Completed","")</f>
        <v xml:space="preserve"> Completed</v>
      </c>
      <c r="J171" s="49" t="str">
        <f ca="1">IF(J169&lt;&gt;"","Completed","")</f>
        <v/>
      </c>
    </row>
    <row r="172" spans="1:10" ht="15.75" customHeight="1" x14ac:dyDescent="0.35">
      <c r="A172" s="99" t="s">
        <v>49</v>
      </c>
      <c r="B172" s="100"/>
      <c r="C172" s="70" t="s">
        <v>140</v>
      </c>
      <c r="D172" s="70" t="s">
        <v>85</v>
      </c>
      <c r="E172" s="100" t="s">
        <v>87</v>
      </c>
      <c r="F172" s="100"/>
      <c r="G172" s="100" t="s">
        <v>86</v>
      </c>
      <c r="H172" s="101"/>
      <c r="I172" s="15" t="s">
        <v>142</v>
      </c>
      <c r="J172" s="30">
        <f ca="1">H170*25%</f>
        <v>3.5</v>
      </c>
    </row>
    <row r="173" spans="1:10" x14ac:dyDescent="0.35">
      <c r="A173" s="205" t="s">
        <v>129</v>
      </c>
      <c r="B173" s="144"/>
      <c r="C173" s="69">
        <f ca="1">J174</f>
        <v>14</v>
      </c>
      <c r="D173" s="20">
        <f ca="1">((100/H170)*C173)/100</f>
        <v>1</v>
      </c>
      <c r="E173" s="215">
        <f ca="1">(((C174/H170*10)+(40/(D170+F170+H170)*C175)+(7.5/(H170)*C176)+(7.5/(H170)*C177)+(10/H170*C178)+(10/H170*C179)+(5/H170*C180)+(5/H170*C181)+(5/H170*C182))/100)</f>
        <v>0.1</v>
      </c>
      <c r="F173" s="216"/>
      <c r="G173" s="215">
        <f ca="1">((((C173/H170)*20)+((C174/H170)*25)+(30/(H170+F170+D170)*C175)+(5/H170*C176)+(5/H170*C177)+(5/H170*C178)+(5/H170*C179)+(0/H170*C180)+(0/H170*C181)+(5/H170*C182))/100)</f>
        <v>0.45</v>
      </c>
      <c r="H173" s="221"/>
      <c r="I173" s="15" t="s">
        <v>98</v>
      </c>
      <c r="J173" s="31">
        <f ca="1">H170*50%</f>
        <v>7</v>
      </c>
    </row>
    <row r="174" spans="1:10" x14ac:dyDescent="0.35">
      <c r="A174" s="205" t="s">
        <v>50</v>
      </c>
      <c r="B174" s="144"/>
      <c r="C174" s="60">
        <f ca="1">J182</f>
        <v>14</v>
      </c>
      <c r="D174" s="20">
        <f ca="1">((100/H170)*C174)/100</f>
        <v>1</v>
      </c>
      <c r="E174" s="217"/>
      <c r="F174" s="218"/>
      <c r="G174" s="217"/>
      <c r="H174" s="222"/>
      <c r="I174" s="15" t="s">
        <v>99</v>
      </c>
      <c r="J174" s="31">
        <f ca="1">H170</f>
        <v>14</v>
      </c>
    </row>
    <row r="175" spans="1:10" ht="15.75" customHeight="1" x14ac:dyDescent="0.35">
      <c r="A175" s="205" t="s">
        <v>130</v>
      </c>
      <c r="B175" s="144"/>
      <c r="C175" s="69">
        <v>0</v>
      </c>
      <c r="D175" s="20">
        <f ca="1">((100/(D170+F170+H170))*C175)/100</f>
        <v>0</v>
      </c>
      <c r="E175" s="217"/>
      <c r="F175" s="218"/>
      <c r="G175" s="217"/>
      <c r="H175" s="222"/>
      <c r="I175" s="15" t="s">
        <v>100</v>
      </c>
      <c r="J175" s="32">
        <f ca="1">(IF(B170&gt;1,(H170/(B170+2)),H170/4))</f>
        <v>3.5</v>
      </c>
    </row>
    <row r="176" spans="1:10" ht="15.75" customHeight="1" x14ac:dyDescent="0.35">
      <c r="A176" s="205" t="s">
        <v>137</v>
      </c>
      <c r="B176" s="144" t="s">
        <v>131</v>
      </c>
      <c r="C176" s="69">
        <v>0</v>
      </c>
      <c r="D176" s="20">
        <f ca="1">((100/H170)*C176)/100</f>
        <v>0</v>
      </c>
      <c r="E176" s="217"/>
      <c r="F176" s="218"/>
      <c r="G176" s="217"/>
      <c r="H176" s="222"/>
      <c r="I176" s="15" t="s">
        <v>101</v>
      </c>
      <c r="J176" s="32">
        <f ca="1">(IF(B170&gt;1,(H170/(B170+2)+J175),H170/4+J175))</f>
        <v>7</v>
      </c>
    </row>
    <row r="177" spans="1:12" ht="15.75" customHeight="1" x14ac:dyDescent="0.35">
      <c r="A177" s="205" t="s">
        <v>138</v>
      </c>
      <c r="B177" s="144" t="s">
        <v>131</v>
      </c>
      <c r="C177" s="69">
        <v>0</v>
      </c>
      <c r="D177" s="20">
        <f ca="1">((100/H170)*C177)/100</f>
        <v>0</v>
      </c>
      <c r="E177" s="217"/>
      <c r="F177" s="218"/>
      <c r="G177" s="217"/>
      <c r="H177" s="222"/>
      <c r="I177" s="15" t="s">
        <v>149</v>
      </c>
      <c r="J177" s="32">
        <f>(IF(B170&gt;1,(H170/(B170+2)+J176),0))</f>
        <v>0</v>
      </c>
    </row>
    <row r="178" spans="1:12" ht="15" customHeight="1" x14ac:dyDescent="0.35">
      <c r="A178" s="205" t="s">
        <v>136</v>
      </c>
      <c r="B178" s="144" t="s">
        <v>133</v>
      </c>
      <c r="C178" s="69">
        <v>0</v>
      </c>
      <c r="D178" s="20">
        <f ca="1">((100/(H170))*C178)/100</f>
        <v>0</v>
      </c>
      <c r="E178" s="217"/>
      <c r="F178" s="218"/>
      <c r="G178" s="217"/>
      <c r="H178" s="222"/>
      <c r="I178" s="15" t="s">
        <v>144</v>
      </c>
      <c r="J178" s="32">
        <f>(IF(B170&gt;2,(H170/(B170+2)+J177),0))</f>
        <v>0</v>
      </c>
    </row>
    <row r="179" spans="1:12" ht="15.75" customHeight="1" x14ac:dyDescent="0.35">
      <c r="A179" s="205" t="s">
        <v>132</v>
      </c>
      <c r="B179" s="144" t="s">
        <v>132</v>
      </c>
      <c r="C179" s="69">
        <v>0</v>
      </c>
      <c r="D179" s="20">
        <f ca="1">((100/H170)*C179)/100</f>
        <v>0</v>
      </c>
      <c r="E179" s="217"/>
      <c r="F179" s="218"/>
      <c r="G179" s="217"/>
      <c r="H179" s="222"/>
      <c r="I179" s="15" t="s">
        <v>145</v>
      </c>
      <c r="J179" s="33">
        <f>(IF(B170&gt;3,(H170/(B170+2)+J178),0))</f>
        <v>0</v>
      </c>
    </row>
    <row r="180" spans="1:12" ht="15.75" customHeight="1" x14ac:dyDescent="0.35">
      <c r="A180" s="205" t="s">
        <v>139</v>
      </c>
      <c r="B180" s="144"/>
      <c r="C180" s="69">
        <v>0</v>
      </c>
      <c r="D180" s="20">
        <f ca="1">((100/H170)*C180)/100</f>
        <v>0</v>
      </c>
      <c r="E180" s="217"/>
      <c r="F180" s="218"/>
      <c r="G180" s="217"/>
      <c r="H180" s="222"/>
      <c r="I180" s="15" t="s">
        <v>146</v>
      </c>
      <c r="J180" s="32">
        <f>(IF(B170&gt;4,(H170/(B170+2)+J179),0))</f>
        <v>0</v>
      </c>
    </row>
    <row r="181" spans="1:12" ht="15.75" customHeight="1" x14ac:dyDescent="0.35">
      <c r="A181" s="205" t="s">
        <v>134</v>
      </c>
      <c r="B181" s="144" t="s">
        <v>134</v>
      </c>
      <c r="C181" s="69">
        <v>0</v>
      </c>
      <c r="D181" s="20">
        <f ca="1">((100/(H170))*C181)/100</f>
        <v>0</v>
      </c>
      <c r="E181" s="217"/>
      <c r="F181" s="218"/>
      <c r="G181" s="217"/>
      <c r="H181" s="222"/>
      <c r="I181" s="15" t="s">
        <v>150</v>
      </c>
      <c r="J181" s="32">
        <f ca="1">(IF(B170=1,(H170/(B170+3)+J176),IF(B170=0,(H170/4+J176),IF(B170&gt;1,0))))</f>
        <v>10.5</v>
      </c>
    </row>
    <row r="182" spans="1:12" ht="16" thickBot="1" x14ac:dyDescent="0.4">
      <c r="A182" s="206" t="s">
        <v>135</v>
      </c>
      <c r="B182" s="207"/>
      <c r="C182" s="72">
        <v>0</v>
      </c>
      <c r="D182" s="21">
        <f ca="1">((100/(H170))*C182)/100</f>
        <v>0</v>
      </c>
      <c r="E182" s="219"/>
      <c r="F182" s="220"/>
      <c r="G182" s="219"/>
      <c r="H182" s="223"/>
      <c r="I182" s="16" t="s">
        <v>102</v>
      </c>
      <c r="J182" s="34">
        <f ca="1">(IF(B170&gt;1.5,(H170/(B170+2)+J176+MAX(0,J177-J176)+MAX(0,J178-J177)+MAX(0,J179-J178)+MAX(0,J180-J179)+MAX(0,J181-J180)),IF(B170=1,(H170/(B170+3)+J181),IF(B170=0,H170/4+J181))))</f>
        <v>14</v>
      </c>
    </row>
    <row r="183" spans="1:12" x14ac:dyDescent="0.35">
      <c r="A183" s="242" t="s">
        <v>161</v>
      </c>
      <c r="B183" s="242"/>
      <c r="C183" s="242"/>
      <c r="D183" s="242"/>
      <c r="E183" s="242"/>
      <c r="F183" s="167" t="s">
        <v>166</v>
      </c>
      <c r="G183" s="167"/>
      <c r="H183" s="167"/>
    </row>
    <row r="184" spans="1:12" x14ac:dyDescent="0.35">
      <c r="A184" s="111" t="s">
        <v>164</v>
      </c>
      <c r="B184" s="111"/>
      <c r="C184" s="111"/>
      <c r="D184" s="111"/>
      <c r="E184" s="111"/>
      <c r="F184" s="142">
        <v>6000</v>
      </c>
      <c r="G184" s="142"/>
      <c r="H184" s="142"/>
    </row>
    <row r="185" spans="1:12" hidden="1" x14ac:dyDescent="0.35">
      <c r="A185" s="111" t="s">
        <v>163</v>
      </c>
      <c r="B185" s="111"/>
      <c r="C185" s="111"/>
      <c r="D185" s="111"/>
      <c r="E185" s="111"/>
      <c r="F185" s="142"/>
      <c r="G185" s="142"/>
      <c r="H185" s="142"/>
    </row>
    <row r="186" spans="1:12" hidden="1" x14ac:dyDescent="0.35">
      <c r="A186" s="111" t="s">
        <v>165</v>
      </c>
      <c r="B186" s="111"/>
      <c r="C186" s="111"/>
      <c r="D186" s="111"/>
      <c r="E186" s="111"/>
      <c r="F186" s="142"/>
      <c r="G186" s="142"/>
      <c r="H186" s="142"/>
    </row>
    <row r="187" spans="1:12" s="35" customFormat="1" hidden="1" x14ac:dyDescent="0.3">
      <c r="A187" s="111" t="s">
        <v>162</v>
      </c>
      <c r="B187" s="111"/>
      <c r="C187" s="111"/>
      <c r="D187" s="111"/>
      <c r="E187" s="111"/>
      <c r="F187" s="142"/>
      <c r="G187" s="142"/>
      <c r="H187" s="142"/>
    </row>
    <row r="188" spans="1:12" s="35" customFormat="1" x14ac:dyDescent="0.3">
      <c r="A188" s="111" t="s">
        <v>97</v>
      </c>
      <c r="B188" s="111"/>
      <c r="C188" s="111"/>
      <c r="D188" s="111"/>
      <c r="E188" s="111"/>
      <c r="F188" s="142">
        <v>200000</v>
      </c>
      <c r="G188" s="142"/>
      <c r="H188" s="142"/>
      <c r="J188" s="35" t="s">
        <v>204</v>
      </c>
      <c r="K188" s="67">
        <v>45044</v>
      </c>
      <c r="L188" s="35" t="s">
        <v>203</v>
      </c>
    </row>
    <row r="189" spans="1:12" x14ac:dyDescent="0.35">
      <c r="A189" s="111" t="s">
        <v>51</v>
      </c>
      <c r="B189" s="111"/>
      <c r="C189" s="111"/>
      <c r="D189" s="111"/>
      <c r="E189" s="111"/>
      <c r="F189" s="142">
        <v>250000</v>
      </c>
      <c r="G189" s="142"/>
      <c r="H189" s="142"/>
    </row>
    <row r="190" spans="1:12" s="36" customFormat="1" x14ac:dyDescent="0.35">
      <c r="A190" s="179" t="s">
        <v>52</v>
      </c>
      <c r="B190" s="179"/>
      <c r="C190" s="179"/>
      <c r="D190" s="179"/>
      <c r="E190" s="179"/>
      <c r="F190" s="142">
        <f>F184*0.8</f>
        <v>4800</v>
      </c>
      <c r="G190" s="142"/>
      <c r="H190" s="142"/>
    </row>
    <row r="191" spans="1:12" s="37" customFormat="1" ht="15.75" hidden="1" customHeight="1" x14ac:dyDescent="0.35">
      <c r="A191" s="135" t="s">
        <v>77</v>
      </c>
      <c r="B191" s="135"/>
      <c r="C191" s="135"/>
      <c r="D191" s="135"/>
      <c r="E191" s="135"/>
      <c r="F191" s="135"/>
      <c r="G191" s="135"/>
      <c r="H191" s="135"/>
    </row>
    <row r="192" spans="1:12" s="37" customFormat="1" ht="15.75" hidden="1" customHeight="1" x14ac:dyDescent="0.35">
      <c r="A192" s="119" t="s">
        <v>53</v>
      </c>
      <c r="B192" s="119"/>
      <c r="C192" s="121" t="s">
        <v>80</v>
      </c>
      <c r="D192" s="121"/>
      <c r="E192" s="158" t="s">
        <v>54</v>
      </c>
      <c r="F192" s="158"/>
      <c r="G192" s="119" t="s">
        <v>55</v>
      </c>
      <c r="H192" s="119"/>
    </row>
    <row r="193" spans="1:9" s="37" customFormat="1" hidden="1" x14ac:dyDescent="0.35">
      <c r="A193" s="180"/>
      <c r="B193" s="180"/>
      <c r="C193" s="230"/>
      <c r="D193" s="230"/>
      <c r="E193" s="214"/>
      <c r="F193" s="214"/>
      <c r="G193" s="143"/>
      <c r="H193" s="143"/>
    </row>
    <row r="194" spans="1:9" s="37" customFormat="1" hidden="1" x14ac:dyDescent="0.35">
      <c r="A194" s="180"/>
      <c r="B194" s="180"/>
      <c r="C194" s="230"/>
      <c r="D194" s="230"/>
      <c r="E194" s="214"/>
      <c r="F194" s="214"/>
      <c r="G194" s="143"/>
      <c r="H194" s="143"/>
    </row>
    <row r="195" spans="1:9" s="37" customFormat="1" hidden="1" x14ac:dyDescent="0.35">
      <c r="A195" s="135" t="s">
        <v>154</v>
      </c>
      <c r="B195" s="135"/>
      <c r="C195" s="121"/>
      <c r="D195" s="121"/>
      <c r="E195" s="158"/>
      <c r="F195" s="158"/>
      <c r="G195" s="119"/>
      <c r="H195" s="119"/>
    </row>
    <row r="196" spans="1:9" s="37" customFormat="1" x14ac:dyDescent="0.35">
      <c r="A196" s="135" t="s">
        <v>71</v>
      </c>
      <c r="B196" s="135"/>
      <c r="C196" s="135"/>
      <c r="D196" s="135"/>
      <c r="E196" s="135"/>
      <c r="F196" s="135"/>
      <c r="G196" s="135"/>
      <c r="H196" s="135"/>
    </row>
    <row r="197" spans="1:9" s="37" customFormat="1" ht="15.75" customHeight="1" x14ac:dyDescent="0.35">
      <c r="A197" s="119" t="s">
        <v>53</v>
      </c>
      <c r="B197" s="119"/>
      <c r="C197" s="121" t="s">
        <v>80</v>
      </c>
      <c r="D197" s="121"/>
      <c r="E197" s="158" t="s">
        <v>54</v>
      </c>
      <c r="F197" s="158"/>
      <c r="G197" s="119" t="s">
        <v>55</v>
      </c>
      <c r="H197" s="119"/>
    </row>
    <row r="198" spans="1:9" s="37" customFormat="1" x14ac:dyDescent="0.35">
      <c r="A198" s="225" t="s">
        <v>225</v>
      </c>
      <c r="B198" s="52" t="s">
        <v>186</v>
      </c>
      <c r="C198" s="120">
        <f>COUNT(D223:D230)*12+COUNT(D232:D238)*2</f>
        <v>110</v>
      </c>
      <c r="D198" s="120"/>
      <c r="E198" s="120">
        <f>SUM(D223:D230)*12+SUM(D232:D238)*2</f>
        <v>40986.943920000005</v>
      </c>
      <c r="F198" s="120"/>
      <c r="G198" s="120">
        <f>SUM(F223:F230)*12+SUM(F232:F238)*2</f>
        <v>61480.41588</v>
      </c>
      <c r="H198" s="120"/>
    </row>
    <row r="199" spans="1:9" s="37" customFormat="1" x14ac:dyDescent="0.35">
      <c r="A199" s="226"/>
      <c r="B199" s="52" t="s">
        <v>187</v>
      </c>
      <c r="C199" s="120">
        <f>COUNT(D243:D250)*12+COUNT(D252:D258)*2</f>
        <v>110</v>
      </c>
      <c r="D199" s="120"/>
      <c r="E199" s="120">
        <f>SUM(D243:D250)*12+SUM(D252:D258)*2</f>
        <v>40986.943920000005</v>
      </c>
      <c r="F199" s="120"/>
      <c r="G199" s="120">
        <f>SUM(F243:F250)*12+SUM(F252:F258)*2</f>
        <v>61480.41588</v>
      </c>
      <c r="H199" s="120"/>
    </row>
    <row r="200" spans="1:9" s="37" customFormat="1" x14ac:dyDescent="0.35">
      <c r="A200" s="226"/>
      <c r="B200" s="52" t="s">
        <v>188</v>
      </c>
      <c r="C200" s="120">
        <f>COUNT(D263:D270)*12+COUNT(D272:D278)*2</f>
        <v>110</v>
      </c>
      <c r="D200" s="120"/>
      <c r="E200" s="120">
        <f>SUM(D263:D270)*12+SUM(D272:D278)*2</f>
        <v>40986.943920000005</v>
      </c>
      <c r="F200" s="120"/>
      <c r="G200" s="120">
        <f>SUM(F263:F270)*12+SUM(F272:F278)*2</f>
        <v>61480.41588</v>
      </c>
      <c r="H200" s="120"/>
    </row>
    <row r="201" spans="1:9" s="37" customFormat="1" x14ac:dyDescent="0.35">
      <c r="A201" s="227"/>
      <c r="B201" s="52" t="s">
        <v>189</v>
      </c>
      <c r="C201" s="120">
        <f>COUNT(D283:D290)*12+COUNT(D292:D298)*2</f>
        <v>110</v>
      </c>
      <c r="D201" s="120"/>
      <c r="E201" s="120">
        <f>SUM(D283:D290)*12+SUM(D292:D298)*2</f>
        <v>58265.101439999991</v>
      </c>
      <c r="F201" s="120"/>
      <c r="G201" s="120">
        <f>SUM(F283:F290)*12+SUM(F292:F298)*2</f>
        <v>87397.652159999983</v>
      </c>
      <c r="H201" s="120"/>
    </row>
    <row r="202" spans="1:9" s="37" customFormat="1" x14ac:dyDescent="0.35">
      <c r="A202" s="225" t="s">
        <v>226</v>
      </c>
      <c r="B202" s="74" t="s">
        <v>213</v>
      </c>
      <c r="C202" s="120">
        <f>COUNT(D304:D309)*12+COUNT(D311:D314,D316)*2</f>
        <v>82</v>
      </c>
      <c r="D202" s="120"/>
      <c r="E202" s="228">
        <f>SUM(D304:D309)*12+SUM(D311:D314,D316)*2</f>
        <v>42908.963759999991</v>
      </c>
      <c r="F202" s="229"/>
      <c r="G202" s="228">
        <f>SUM(F304:F309)*12+SUM(F311:F314,F316)*2</f>
        <v>64363.445639999998</v>
      </c>
      <c r="H202" s="229"/>
      <c r="I202" s="75"/>
    </row>
    <row r="203" spans="1:9" s="37" customFormat="1" x14ac:dyDescent="0.35">
      <c r="A203" s="226"/>
      <c r="B203" s="74" t="s">
        <v>210</v>
      </c>
      <c r="C203" s="120">
        <f>COUNT(D320:D327)*12+COUNT(D329:D335)*2</f>
        <v>110</v>
      </c>
      <c r="D203" s="120"/>
      <c r="E203" s="120">
        <f>SUM(D320:D327)*12+SUM(D329:D335)*2</f>
        <v>58258.083312000002</v>
      </c>
      <c r="F203" s="120"/>
      <c r="G203" s="120">
        <f>SUM(F320:F327)*12+SUM(F329:F335)*2</f>
        <v>87387.124968000004</v>
      </c>
      <c r="H203" s="120"/>
      <c r="I203" s="75"/>
    </row>
    <row r="204" spans="1:9" s="37" customFormat="1" x14ac:dyDescent="0.35">
      <c r="A204" s="226"/>
      <c r="B204" s="74" t="s">
        <v>212</v>
      </c>
      <c r="C204" s="120">
        <f>COUNT(D340:D347)*12+COUNT(D349:D355)*2</f>
        <v>110</v>
      </c>
      <c r="D204" s="120"/>
      <c r="E204" s="120">
        <f>SUM(D340:D347)*12+SUM(D349:D355)*2</f>
        <v>40986.943920000005</v>
      </c>
      <c r="F204" s="120"/>
      <c r="G204" s="120">
        <f>SUM(F340:F347)*12+SUM(F349:F355)*2</f>
        <v>61480.41588</v>
      </c>
      <c r="H204" s="120"/>
      <c r="I204" s="75"/>
    </row>
    <row r="205" spans="1:9" s="37" customFormat="1" x14ac:dyDescent="0.35">
      <c r="A205" s="227"/>
      <c r="B205" s="74" t="s">
        <v>211</v>
      </c>
      <c r="C205" s="120">
        <f>COUNT(D360:D367)*12+COUNT(D369:D375)*2</f>
        <v>110</v>
      </c>
      <c r="D205" s="120"/>
      <c r="E205" s="120">
        <f>SUM(D360:D367)*12+SUM(D369:D375)*2</f>
        <v>58258.083312000002</v>
      </c>
      <c r="F205" s="120"/>
      <c r="G205" s="120">
        <f>SUM(F360:F367)*12+SUM(F369:F375)*2</f>
        <v>87387.124968000004</v>
      </c>
      <c r="H205" s="120"/>
      <c r="I205" s="75"/>
    </row>
    <row r="206" spans="1:9" s="37" customFormat="1" x14ac:dyDescent="0.35">
      <c r="A206" s="135" t="s">
        <v>154</v>
      </c>
      <c r="B206" s="135"/>
      <c r="C206" s="128">
        <f>SUM(C198:D205)</f>
        <v>852</v>
      </c>
      <c r="D206" s="121"/>
      <c r="E206" s="128">
        <f t="shared" ref="E206" si="0">SUM(E198:F205)</f>
        <v>381638.00750399998</v>
      </c>
      <c r="F206" s="121"/>
      <c r="G206" s="128">
        <f t="shared" ref="G206" si="1">SUM(G198:H205)</f>
        <v>572457.01125600003</v>
      </c>
      <c r="H206" s="121"/>
    </row>
    <row r="207" spans="1:9" s="36" customFormat="1" x14ac:dyDescent="0.35">
      <c r="A207" s="134" t="s">
        <v>56</v>
      </c>
      <c r="B207" s="134"/>
      <c r="C207" s="134"/>
      <c r="D207" s="134"/>
      <c r="E207" s="134"/>
      <c r="F207" s="134"/>
      <c r="G207" s="134"/>
      <c r="H207" s="134"/>
    </row>
    <row r="208" spans="1:9" x14ac:dyDescent="0.35">
      <c r="A208" s="134" t="s">
        <v>57</v>
      </c>
      <c r="B208" s="134"/>
      <c r="C208" s="134"/>
      <c r="D208" s="134"/>
      <c r="E208" s="134"/>
      <c r="F208" s="134"/>
      <c r="G208" s="134"/>
      <c r="H208" s="134"/>
    </row>
    <row r="209" spans="1:16" ht="47.25" hidden="1" customHeight="1" x14ac:dyDescent="0.35">
      <c r="A209" s="126" t="s">
        <v>120</v>
      </c>
      <c r="B209" s="126" t="s">
        <v>119</v>
      </c>
      <c r="C209" s="126" t="s">
        <v>58</v>
      </c>
      <c r="D209" s="126" t="s">
        <v>59</v>
      </c>
      <c r="E209" s="127" t="s">
        <v>160</v>
      </c>
      <c r="F209" s="87" t="s">
        <v>152</v>
      </c>
      <c r="G209" s="126" t="s">
        <v>61</v>
      </c>
      <c r="H209" s="126"/>
    </row>
    <row r="210" spans="1:16" s="45" customFormat="1" hidden="1" x14ac:dyDescent="0.35">
      <c r="A210" s="126"/>
      <c r="B210" s="126"/>
      <c r="C210" s="126"/>
      <c r="D210" s="126"/>
      <c r="E210" s="127"/>
      <c r="F210" s="88">
        <v>0.6</v>
      </c>
      <c r="G210" s="126"/>
      <c r="H210" s="126"/>
    </row>
    <row r="211" spans="1:16" s="45" customFormat="1" hidden="1" x14ac:dyDescent="0.35">
      <c r="A211" s="176" t="s">
        <v>117</v>
      </c>
      <c r="B211" s="176"/>
      <c r="C211" s="176"/>
      <c r="D211" s="176"/>
      <c r="E211" s="176"/>
      <c r="F211" s="176"/>
      <c r="G211" s="176"/>
      <c r="H211" s="176"/>
      <c r="J211" s="38"/>
    </row>
    <row r="212" spans="1:16" s="45" customFormat="1" ht="15.75" hidden="1" customHeight="1" x14ac:dyDescent="0.35">
      <c r="A212" s="231">
        <v>1</v>
      </c>
      <c r="B212" s="231"/>
      <c r="C212" s="89"/>
      <c r="D212" s="89"/>
      <c r="E212" s="89">
        <v>0</v>
      </c>
      <c r="F212" s="89">
        <f>(D212+E212)*(($F$210)+1)</f>
        <v>0</v>
      </c>
      <c r="G212" s="231" t="str">
        <f>A211</f>
        <v>Ground Floor</v>
      </c>
      <c r="H212" s="231"/>
      <c r="I212" s="38"/>
      <c r="L212" s="224"/>
      <c r="M212" s="224"/>
      <c r="N212" s="38"/>
    </row>
    <row r="213" spans="1:16" s="45" customFormat="1" ht="15.75" hidden="1" customHeight="1" x14ac:dyDescent="0.35">
      <c r="A213" s="231">
        <f t="shared" ref="A213:A215" si="2">A212+1</f>
        <v>2</v>
      </c>
      <c r="B213" s="231"/>
      <c r="C213" s="89"/>
      <c r="D213" s="89"/>
      <c r="E213" s="89">
        <v>0</v>
      </c>
      <c r="F213" s="89">
        <f t="shared" ref="F213:F215" si="3">(D213+E213)*(($F$210)+1)</f>
        <v>0</v>
      </c>
      <c r="G213" s="231"/>
      <c r="H213" s="231"/>
      <c r="I213" s="38"/>
      <c r="L213" s="224"/>
      <c r="M213" s="224"/>
      <c r="N213" s="38"/>
    </row>
    <row r="214" spans="1:16" s="45" customFormat="1" ht="15.75" hidden="1" customHeight="1" x14ac:dyDescent="0.35">
      <c r="A214" s="231">
        <f t="shared" si="2"/>
        <v>3</v>
      </c>
      <c r="B214" s="231"/>
      <c r="C214" s="89"/>
      <c r="D214" s="89"/>
      <c r="E214" s="89">
        <v>0</v>
      </c>
      <c r="F214" s="89">
        <f t="shared" si="3"/>
        <v>0</v>
      </c>
      <c r="G214" s="231"/>
      <c r="H214" s="231"/>
      <c r="I214" s="38"/>
      <c r="L214" s="224"/>
      <c r="M214" s="224"/>
      <c r="N214" s="38"/>
    </row>
    <row r="215" spans="1:16" s="45" customFormat="1" ht="15.75" hidden="1" customHeight="1" x14ac:dyDescent="0.35">
      <c r="A215" s="231">
        <f t="shared" si="2"/>
        <v>4</v>
      </c>
      <c r="B215" s="231"/>
      <c r="C215" s="89"/>
      <c r="D215" s="89"/>
      <c r="E215" s="89">
        <v>0</v>
      </c>
      <c r="F215" s="89">
        <f t="shared" si="3"/>
        <v>0</v>
      </c>
      <c r="G215" s="231"/>
      <c r="H215" s="231"/>
      <c r="I215" s="38"/>
      <c r="L215" s="224"/>
      <c r="M215" s="224"/>
      <c r="N215" s="38"/>
    </row>
    <row r="216" spans="1:16" s="45" customFormat="1" hidden="1" x14ac:dyDescent="0.35">
      <c r="A216" s="231"/>
      <c r="B216" s="231"/>
      <c r="C216" s="231"/>
      <c r="D216" s="231"/>
      <c r="E216" s="231"/>
      <c r="F216" s="231"/>
      <c r="G216" s="231"/>
      <c r="H216" s="231"/>
      <c r="I216" s="38"/>
      <c r="N216" s="38"/>
    </row>
    <row r="217" spans="1:16" ht="47.25" customHeight="1" x14ac:dyDescent="0.35">
      <c r="A217" s="126" t="s">
        <v>121</v>
      </c>
      <c r="B217" s="126" t="s">
        <v>122</v>
      </c>
      <c r="C217" s="126" t="s">
        <v>58</v>
      </c>
      <c r="D217" s="126" t="s">
        <v>59</v>
      </c>
      <c r="E217" s="127" t="s">
        <v>60</v>
      </c>
      <c r="F217" s="87" t="s">
        <v>152</v>
      </c>
      <c r="G217" s="126" t="s">
        <v>61</v>
      </c>
      <c r="H217" s="126"/>
      <c r="I217" s="38"/>
    </row>
    <row r="218" spans="1:16" s="45" customFormat="1" x14ac:dyDescent="0.35">
      <c r="A218" s="126"/>
      <c r="B218" s="126"/>
      <c r="C218" s="126"/>
      <c r="D218" s="126"/>
      <c r="E218" s="127"/>
      <c r="F218" s="88">
        <v>0.5</v>
      </c>
      <c r="G218" s="126"/>
      <c r="H218" s="126"/>
      <c r="I218" s="38"/>
      <c r="K218" s="54"/>
    </row>
    <row r="219" spans="1:16" s="68" customFormat="1" x14ac:dyDescent="0.35">
      <c r="A219" s="168" t="s">
        <v>214</v>
      </c>
      <c r="B219" s="168"/>
      <c r="C219" s="168"/>
      <c r="D219" s="168"/>
      <c r="E219" s="168"/>
      <c r="F219" s="168"/>
      <c r="G219" s="168"/>
      <c r="H219" s="168"/>
      <c r="J219" s="38"/>
    </row>
    <row r="220" spans="1:16" s="54" customFormat="1" x14ac:dyDescent="0.35">
      <c r="A220" s="129" t="s">
        <v>186</v>
      </c>
      <c r="B220" s="130"/>
      <c r="C220" s="130"/>
      <c r="D220" s="130"/>
      <c r="E220" s="130"/>
      <c r="F220" s="130"/>
      <c r="G220" s="130"/>
      <c r="H220" s="131"/>
      <c r="J220" s="38"/>
    </row>
    <row r="221" spans="1:16" s="54" customFormat="1" x14ac:dyDescent="0.35">
      <c r="A221" s="129" t="s">
        <v>190</v>
      </c>
      <c r="B221" s="130"/>
      <c r="C221" s="130"/>
      <c r="D221" s="130"/>
      <c r="E221" s="130"/>
      <c r="F221" s="130"/>
      <c r="G221" s="130"/>
      <c r="H221" s="131"/>
      <c r="J221" s="38"/>
    </row>
    <row r="222" spans="1:16" s="54" customFormat="1" x14ac:dyDescent="0.35">
      <c r="A222" s="129" t="s">
        <v>191</v>
      </c>
      <c r="B222" s="130"/>
      <c r="C222" s="130"/>
      <c r="D222" s="130"/>
      <c r="E222" s="130"/>
      <c r="F222" s="130"/>
      <c r="G222" s="130"/>
      <c r="H222" s="131"/>
      <c r="J222" s="38"/>
      <c r="K222" s="62">
        <f>10.764</f>
        <v>10.763999999999999</v>
      </c>
    </row>
    <row r="223" spans="1:16" s="54" customFormat="1" ht="15.75" customHeight="1" x14ac:dyDescent="0.35">
      <c r="A223" s="132" t="str">
        <f>P223</f>
        <v>101,.., 1401</v>
      </c>
      <c r="B223" s="133"/>
      <c r="C223" s="64">
        <v>1</v>
      </c>
      <c r="D223" s="65">
        <f>(33.03+2.36)*(10.764)</f>
        <v>380.93795999999998</v>
      </c>
      <c r="E223" s="66">
        <v>0</v>
      </c>
      <c r="F223" s="66">
        <f t="shared" ref="F223:F230" si="4">D223*(($F$218)+1)+(IF(E223&lt;101,E223,IF(E223&lt;201,E223/2,IF(E223&lt;=301,E223/3,E223/4))))</f>
        <v>571.40693999999996</v>
      </c>
      <c r="G223" s="136" t="str">
        <f>A222</f>
        <v>1st to 7th, 9th to 12th &amp; 14th Floor For Residential</v>
      </c>
      <c r="H223" s="137"/>
      <c r="I223" s="38"/>
      <c r="J223" s="54">
        <f>3.65*3.2+1.35*1.2+1.5*0.9+2.75*3.35+2.75*2.1+2.1*0.9</f>
        <v>31.527500000000003</v>
      </c>
      <c r="K223" s="54">
        <f>6000*F223</f>
        <v>3428441.6399999997</v>
      </c>
      <c r="L223" s="224"/>
      <c r="M223" s="224"/>
      <c r="N223" s="38">
        <v>101</v>
      </c>
      <c r="O223" s="61">
        <v>1401</v>
      </c>
      <c r="P223" s="61" t="str">
        <f>N223&amp;""&amp;",.., "&amp;""&amp;O223</f>
        <v>101,.., 1401</v>
      </c>
    </row>
    <row r="224" spans="1:16" s="54" customFormat="1" ht="15.75" customHeight="1" x14ac:dyDescent="0.35">
      <c r="A224" s="132" t="str">
        <f t="shared" ref="A224:A230" si="5">P224</f>
        <v>102,.., 1402</v>
      </c>
      <c r="B224" s="133"/>
      <c r="C224" s="64">
        <v>1</v>
      </c>
      <c r="D224" s="65">
        <f>(31.67+2.2)*(10.764)</f>
        <v>364.57668000000001</v>
      </c>
      <c r="E224" s="66">
        <v>0</v>
      </c>
      <c r="F224" s="66">
        <f t="shared" si="4"/>
        <v>546.86501999999996</v>
      </c>
      <c r="G224" s="138"/>
      <c r="H224" s="139"/>
      <c r="I224" s="38"/>
      <c r="J224" s="54">
        <f>3.5*3.05+2.6*2.1+2.75*3.35+1.5*0.9+1.35*0.9+2.1*0.9</f>
        <v>29.802499999999998</v>
      </c>
      <c r="K224" s="61">
        <f t="shared" ref="K224:K232" si="6">6000*F224</f>
        <v>3281190.1199999996</v>
      </c>
      <c r="L224" s="224"/>
      <c r="M224" s="224"/>
      <c r="N224" s="38">
        <v>102</v>
      </c>
      <c r="O224" s="61">
        <v>1402</v>
      </c>
      <c r="P224" s="61" t="str">
        <f t="shared" ref="P224:P230" si="7">N224&amp;""&amp;",.., "&amp;""&amp;O224</f>
        <v>102,.., 1402</v>
      </c>
    </row>
    <row r="225" spans="1:16" s="54" customFormat="1" ht="15.75" customHeight="1" x14ac:dyDescent="0.35">
      <c r="A225" s="132" t="str">
        <f t="shared" si="5"/>
        <v>103,.., 1403</v>
      </c>
      <c r="B225" s="133"/>
      <c r="C225" s="64">
        <v>1</v>
      </c>
      <c r="D225" s="65">
        <f>(31.67+2.2)*(10.764)</f>
        <v>364.57668000000001</v>
      </c>
      <c r="E225" s="66">
        <v>0</v>
      </c>
      <c r="F225" s="66">
        <f t="shared" si="4"/>
        <v>546.86501999999996</v>
      </c>
      <c r="G225" s="138"/>
      <c r="H225" s="139"/>
      <c r="I225" s="38"/>
      <c r="K225" s="61">
        <f t="shared" si="6"/>
        <v>3281190.1199999996</v>
      </c>
      <c r="L225" s="224"/>
      <c r="M225" s="224"/>
      <c r="N225" s="38">
        <v>103</v>
      </c>
      <c r="O225" s="61">
        <v>1403</v>
      </c>
      <c r="P225" s="61" t="str">
        <f t="shared" si="7"/>
        <v>103,.., 1403</v>
      </c>
    </row>
    <row r="226" spans="1:16" s="54" customFormat="1" ht="15.75" customHeight="1" x14ac:dyDescent="0.35">
      <c r="A226" s="132" t="str">
        <f t="shared" si="5"/>
        <v>104,.., 1404</v>
      </c>
      <c r="B226" s="133"/>
      <c r="C226" s="64">
        <v>1</v>
      </c>
      <c r="D226" s="65">
        <f>(33.03+2.36)*(10.764)</f>
        <v>380.93795999999998</v>
      </c>
      <c r="E226" s="66">
        <v>0</v>
      </c>
      <c r="F226" s="66">
        <f t="shared" si="4"/>
        <v>571.40693999999996</v>
      </c>
      <c r="G226" s="138"/>
      <c r="H226" s="139"/>
      <c r="I226" s="38"/>
      <c r="K226" s="61">
        <f t="shared" si="6"/>
        <v>3428441.6399999997</v>
      </c>
      <c r="L226" s="224"/>
      <c r="M226" s="224"/>
      <c r="N226" s="38">
        <v>104</v>
      </c>
      <c r="O226" s="61">
        <v>1404</v>
      </c>
      <c r="P226" s="61" t="str">
        <f t="shared" si="7"/>
        <v>104,.., 1404</v>
      </c>
    </row>
    <row r="227" spans="1:16" s="54" customFormat="1" ht="15.75" customHeight="1" x14ac:dyDescent="0.35">
      <c r="A227" s="132" t="str">
        <f t="shared" si="5"/>
        <v>105,.., 1405</v>
      </c>
      <c r="B227" s="133"/>
      <c r="C227" s="64">
        <v>1</v>
      </c>
      <c r="D227" s="65">
        <f>(33.03+2.36)*(10.764)</f>
        <v>380.93795999999998</v>
      </c>
      <c r="E227" s="66">
        <v>0</v>
      </c>
      <c r="F227" s="66">
        <f t="shared" si="4"/>
        <v>571.40693999999996</v>
      </c>
      <c r="G227" s="138"/>
      <c r="H227" s="139"/>
      <c r="I227" s="38">
        <f>3500000/F227</f>
        <v>6125.2318706524638</v>
      </c>
      <c r="K227" s="61">
        <f t="shared" si="6"/>
        <v>3428441.6399999997</v>
      </c>
      <c r="L227" s="224"/>
      <c r="M227" s="224"/>
      <c r="N227" s="38">
        <v>105</v>
      </c>
      <c r="O227" s="61">
        <v>1405</v>
      </c>
      <c r="P227" s="61" t="str">
        <f t="shared" si="7"/>
        <v>105,.., 1405</v>
      </c>
    </row>
    <row r="228" spans="1:16" s="54" customFormat="1" ht="15.75" customHeight="1" x14ac:dyDescent="0.35">
      <c r="A228" s="132" t="str">
        <f t="shared" si="5"/>
        <v>106,.., 1406</v>
      </c>
      <c r="B228" s="133"/>
      <c r="C228" s="64">
        <v>1</v>
      </c>
      <c r="D228" s="65">
        <f>(31.67+2.2)*(10.764)</f>
        <v>364.57668000000001</v>
      </c>
      <c r="E228" s="66">
        <v>0</v>
      </c>
      <c r="F228" s="66">
        <f t="shared" si="4"/>
        <v>546.86501999999996</v>
      </c>
      <c r="G228" s="138"/>
      <c r="H228" s="139"/>
      <c r="I228" s="38">
        <f t="shared" ref="I228:I229" si="8">3500000/F228</f>
        <v>6400.1167966457251</v>
      </c>
      <c r="K228" s="61">
        <f t="shared" si="6"/>
        <v>3281190.1199999996</v>
      </c>
      <c r="L228" s="224"/>
      <c r="M228" s="224"/>
      <c r="N228" s="38">
        <v>106</v>
      </c>
      <c r="O228" s="61">
        <v>1406</v>
      </c>
      <c r="P228" s="61" t="str">
        <f t="shared" si="7"/>
        <v>106,.., 1406</v>
      </c>
    </row>
    <row r="229" spans="1:16" s="54" customFormat="1" ht="15.75" customHeight="1" x14ac:dyDescent="0.35">
      <c r="A229" s="132" t="str">
        <f t="shared" si="5"/>
        <v>107,.., 1407</v>
      </c>
      <c r="B229" s="133"/>
      <c r="C229" s="64">
        <v>1</v>
      </c>
      <c r="D229" s="65">
        <f>(31.67+2.2)*(10.764)</f>
        <v>364.57668000000001</v>
      </c>
      <c r="E229" s="66">
        <v>0</v>
      </c>
      <c r="F229" s="66">
        <f t="shared" si="4"/>
        <v>546.86501999999996</v>
      </c>
      <c r="G229" s="138"/>
      <c r="H229" s="139"/>
      <c r="I229" s="38">
        <f t="shared" si="8"/>
        <v>6400.1167966457251</v>
      </c>
      <c r="K229" s="61">
        <f t="shared" si="6"/>
        <v>3281190.1199999996</v>
      </c>
      <c r="L229" s="224"/>
      <c r="M229" s="224"/>
      <c r="N229" s="38">
        <v>107</v>
      </c>
      <c r="O229" s="61">
        <v>1407</v>
      </c>
      <c r="P229" s="61" t="str">
        <f t="shared" si="7"/>
        <v>107,.., 1407</v>
      </c>
    </row>
    <row r="230" spans="1:16" s="54" customFormat="1" ht="15.75" customHeight="1" x14ac:dyDescent="0.35">
      <c r="A230" s="132" t="str">
        <f t="shared" si="5"/>
        <v>108,.., 1408</v>
      </c>
      <c r="B230" s="133"/>
      <c r="C230" s="64">
        <v>1</v>
      </c>
      <c r="D230" s="65">
        <f>(33.03+2.36)*(10.764)</f>
        <v>380.93795999999998</v>
      </c>
      <c r="E230" s="66">
        <v>0</v>
      </c>
      <c r="F230" s="66">
        <f t="shared" si="4"/>
        <v>571.40693999999996</v>
      </c>
      <c r="G230" s="140"/>
      <c r="H230" s="141"/>
      <c r="I230" s="38"/>
      <c r="K230" s="61">
        <f t="shared" si="6"/>
        <v>3428441.6399999997</v>
      </c>
      <c r="L230" s="224"/>
      <c r="M230" s="224"/>
      <c r="N230" s="38">
        <v>108</v>
      </c>
      <c r="O230" s="61">
        <v>1408</v>
      </c>
      <c r="P230" s="61" t="str">
        <f t="shared" si="7"/>
        <v>108,.., 1408</v>
      </c>
    </row>
    <row r="231" spans="1:16" s="54" customFormat="1" x14ac:dyDescent="0.35">
      <c r="A231" s="129" t="s">
        <v>192</v>
      </c>
      <c r="B231" s="130"/>
      <c r="C231" s="130"/>
      <c r="D231" s="130"/>
      <c r="E231" s="130"/>
      <c r="F231" s="130"/>
      <c r="G231" s="130"/>
      <c r="H231" s="131"/>
      <c r="J231" s="38"/>
      <c r="K231" s="61">
        <f t="shared" si="6"/>
        <v>0</v>
      </c>
    </row>
    <row r="232" spans="1:16" s="54" customFormat="1" ht="15.75" customHeight="1" x14ac:dyDescent="0.35">
      <c r="A232" s="132" t="str">
        <f>P232</f>
        <v>801 to 1301</v>
      </c>
      <c r="B232" s="133"/>
      <c r="C232" s="64">
        <v>1</v>
      </c>
      <c r="D232" s="65">
        <f>(33.03+2.36)*(10.764)</f>
        <v>380.93795999999998</v>
      </c>
      <c r="E232" s="66">
        <v>0</v>
      </c>
      <c r="F232" s="66">
        <f t="shared" ref="F232:F238" si="9">D232*(($F$218)+1)+(IF(E232&lt;101,E232,IF(E232&lt;201,E232/2,IF(E232&lt;=301,E232/3,E232/4))))</f>
        <v>571.40693999999996</v>
      </c>
      <c r="G232" s="136" t="str">
        <f>A231</f>
        <v>8th &amp; 13th Floor (Part Refuge Area)</v>
      </c>
      <c r="H232" s="137"/>
      <c r="I232" s="38">
        <f>3285000/F232</f>
        <v>5748.9676271695271</v>
      </c>
      <c r="K232" s="61">
        <f t="shared" si="6"/>
        <v>3428441.6399999997</v>
      </c>
      <c r="L232" s="224"/>
      <c r="M232" s="224"/>
      <c r="N232" s="38">
        <v>801</v>
      </c>
      <c r="O232" s="61">
        <v>1301</v>
      </c>
      <c r="P232" s="61" t="str">
        <f>N232&amp;""&amp;" to "&amp;""&amp;O232</f>
        <v>801 to 1301</v>
      </c>
    </row>
    <row r="233" spans="1:16" s="54" customFormat="1" ht="15.75" customHeight="1" x14ac:dyDescent="0.35">
      <c r="A233" s="132" t="str">
        <f t="shared" ref="A233:A239" si="10">P233</f>
        <v>802 to 1302</v>
      </c>
      <c r="B233" s="133"/>
      <c r="C233" s="64">
        <v>1</v>
      </c>
      <c r="D233" s="65">
        <f>(31.67+2.2)*(10.764)</f>
        <v>364.57668000000001</v>
      </c>
      <c r="E233" s="66">
        <v>0</v>
      </c>
      <c r="F233" s="66">
        <f t="shared" si="9"/>
        <v>546.86501999999996</v>
      </c>
      <c r="G233" s="138"/>
      <c r="H233" s="139"/>
      <c r="I233" s="38">
        <f>3150000/F233</f>
        <v>5760.1051169811526</v>
      </c>
      <c r="L233" s="224"/>
      <c r="M233" s="224"/>
      <c r="N233" s="38">
        <v>802</v>
      </c>
      <c r="O233" s="61">
        <v>1302</v>
      </c>
      <c r="P233" s="61" t="str">
        <f t="shared" ref="P233:P239" si="11">N233&amp;""&amp;" to "&amp;""&amp;O233</f>
        <v>802 to 1302</v>
      </c>
    </row>
    <row r="234" spans="1:16" s="54" customFormat="1" ht="15.75" customHeight="1" x14ac:dyDescent="0.35">
      <c r="A234" s="132" t="str">
        <f t="shared" si="10"/>
        <v>803 to 1303</v>
      </c>
      <c r="B234" s="133"/>
      <c r="C234" s="64">
        <v>1</v>
      </c>
      <c r="D234" s="65">
        <f>(31.67+2.2)*(10.764)</f>
        <v>364.57668000000001</v>
      </c>
      <c r="E234" s="66">
        <v>0</v>
      </c>
      <c r="F234" s="66">
        <f t="shared" si="9"/>
        <v>546.86501999999996</v>
      </c>
      <c r="G234" s="138"/>
      <c r="H234" s="139"/>
      <c r="I234" s="38"/>
      <c r="L234" s="224"/>
      <c r="M234" s="224"/>
      <c r="N234" s="38">
        <v>803</v>
      </c>
      <c r="O234" s="61">
        <v>1303</v>
      </c>
      <c r="P234" s="61" t="str">
        <f t="shared" si="11"/>
        <v>803 to 1303</v>
      </c>
    </row>
    <row r="235" spans="1:16" s="54" customFormat="1" ht="15.75" customHeight="1" x14ac:dyDescent="0.35">
      <c r="A235" s="132" t="str">
        <f t="shared" si="10"/>
        <v>804 to 1304</v>
      </c>
      <c r="B235" s="133"/>
      <c r="C235" s="64">
        <v>1</v>
      </c>
      <c r="D235" s="65">
        <f>(33.03+2.36)*(10.764)</f>
        <v>380.93795999999998</v>
      </c>
      <c r="E235" s="66">
        <v>0</v>
      </c>
      <c r="F235" s="66">
        <f t="shared" si="9"/>
        <v>571.40693999999996</v>
      </c>
      <c r="G235" s="138"/>
      <c r="H235" s="139"/>
      <c r="I235" s="38">
        <f>2500000/F235</f>
        <v>4375.1656218946173</v>
      </c>
      <c r="J235" s="54">
        <f>3000000/F235</f>
        <v>5250.1987462735406</v>
      </c>
      <c r="L235" s="224"/>
      <c r="M235" s="224"/>
      <c r="N235" s="38">
        <v>804</v>
      </c>
      <c r="O235" s="61">
        <v>1304</v>
      </c>
      <c r="P235" s="61" t="str">
        <f t="shared" si="11"/>
        <v>804 to 1304</v>
      </c>
    </row>
    <row r="236" spans="1:16" s="54" customFormat="1" ht="15.75" customHeight="1" x14ac:dyDescent="0.35">
      <c r="A236" s="132" t="str">
        <f t="shared" si="10"/>
        <v>805 to 1305</v>
      </c>
      <c r="B236" s="133"/>
      <c r="C236" s="64">
        <v>1</v>
      </c>
      <c r="D236" s="65">
        <f>(33.03+2.36)*(10.764)</f>
        <v>380.93795999999998</v>
      </c>
      <c r="E236" s="66">
        <v>0</v>
      </c>
      <c r="F236" s="66">
        <f t="shared" si="9"/>
        <v>571.40693999999996</v>
      </c>
      <c r="G236" s="138"/>
      <c r="H236" s="139"/>
      <c r="I236" s="38"/>
      <c r="L236" s="224"/>
      <c r="M236" s="224"/>
      <c r="N236" s="38">
        <v>805</v>
      </c>
      <c r="O236" s="61">
        <v>1305</v>
      </c>
      <c r="P236" s="61" t="str">
        <f t="shared" si="11"/>
        <v>805 to 1305</v>
      </c>
    </row>
    <row r="237" spans="1:16" s="54" customFormat="1" ht="15.75" customHeight="1" x14ac:dyDescent="0.35">
      <c r="A237" s="132" t="str">
        <f t="shared" si="10"/>
        <v>806 to 1306</v>
      </c>
      <c r="B237" s="133"/>
      <c r="C237" s="64">
        <v>1</v>
      </c>
      <c r="D237" s="65">
        <f>(31.67+2.2)*(10.764)</f>
        <v>364.57668000000001</v>
      </c>
      <c r="E237" s="66">
        <v>0</v>
      </c>
      <c r="F237" s="66">
        <f t="shared" si="9"/>
        <v>546.86501999999996</v>
      </c>
      <c r="G237" s="138"/>
      <c r="H237" s="139"/>
      <c r="I237" s="38"/>
      <c r="L237" s="224"/>
      <c r="M237" s="224"/>
      <c r="N237" s="38">
        <v>806</v>
      </c>
      <c r="O237" s="61">
        <v>1306</v>
      </c>
      <c r="P237" s="61" t="str">
        <f t="shared" si="11"/>
        <v>806 to 1306</v>
      </c>
    </row>
    <row r="238" spans="1:16" s="54" customFormat="1" ht="15.75" customHeight="1" x14ac:dyDescent="0.35">
      <c r="A238" s="132" t="str">
        <f t="shared" si="10"/>
        <v>807 to 1307</v>
      </c>
      <c r="B238" s="133"/>
      <c r="C238" s="64">
        <v>1</v>
      </c>
      <c r="D238" s="65">
        <f>(31.67+2.2)*(10.764)</f>
        <v>364.57668000000001</v>
      </c>
      <c r="E238" s="66">
        <v>0</v>
      </c>
      <c r="F238" s="66">
        <f t="shared" si="9"/>
        <v>546.86501999999996</v>
      </c>
      <c r="G238" s="138"/>
      <c r="H238" s="139"/>
      <c r="I238" s="38"/>
      <c r="L238" s="224"/>
      <c r="M238" s="224"/>
      <c r="N238" s="38">
        <v>807</v>
      </c>
      <c r="O238" s="61">
        <v>1307</v>
      </c>
      <c r="P238" s="61" t="str">
        <f t="shared" si="11"/>
        <v>807 to 1307</v>
      </c>
    </row>
    <row r="239" spans="1:16" s="54" customFormat="1" ht="15.75" customHeight="1" x14ac:dyDescent="0.35">
      <c r="A239" s="132" t="str">
        <f t="shared" si="10"/>
        <v>808 to 1308</v>
      </c>
      <c r="B239" s="133"/>
      <c r="C239" s="237" t="s">
        <v>193</v>
      </c>
      <c r="D239" s="238"/>
      <c r="E239" s="238"/>
      <c r="F239" s="239"/>
      <c r="G239" s="140"/>
      <c r="H239" s="141"/>
      <c r="I239" s="38"/>
      <c r="L239" s="224"/>
      <c r="M239" s="224"/>
      <c r="N239" s="38">
        <v>808</v>
      </c>
      <c r="O239" s="61">
        <v>1308</v>
      </c>
      <c r="P239" s="61" t="str">
        <f t="shared" si="11"/>
        <v>808 to 1308</v>
      </c>
    </row>
    <row r="240" spans="1:16" s="54" customFormat="1" x14ac:dyDescent="0.35">
      <c r="A240" s="129" t="s">
        <v>187</v>
      </c>
      <c r="B240" s="130"/>
      <c r="C240" s="130"/>
      <c r="D240" s="130"/>
      <c r="E240" s="130"/>
      <c r="F240" s="130"/>
      <c r="G240" s="130"/>
      <c r="H240" s="131"/>
      <c r="J240" s="38"/>
    </row>
    <row r="241" spans="1:16" s="54" customFormat="1" x14ac:dyDescent="0.35">
      <c r="A241" s="129" t="s">
        <v>190</v>
      </c>
      <c r="B241" s="130"/>
      <c r="C241" s="130"/>
      <c r="D241" s="130"/>
      <c r="E241" s="130"/>
      <c r="F241" s="130"/>
      <c r="G241" s="130"/>
      <c r="H241" s="131"/>
      <c r="J241" s="38"/>
    </row>
    <row r="242" spans="1:16" s="54" customFormat="1" x14ac:dyDescent="0.35">
      <c r="A242" s="129" t="s">
        <v>191</v>
      </c>
      <c r="B242" s="130"/>
      <c r="C242" s="130"/>
      <c r="D242" s="130"/>
      <c r="E242" s="130"/>
      <c r="F242" s="130"/>
      <c r="G242" s="130"/>
      <c r="H242" s="131"/>
      <c r="J242" s="38"/>
    </row>
    <row r="243" spans="1:16" s="54" customFormat="1" ht="15.75" customHeight="1" x14ac:dyDescent="0.35">
      <c r="A243" s="132" t="str">
        <f>P243</f>
        <v>101,.., 1401</v>
      </c>
      <c r="B243" s="133"/>
      <c r="C243" s="64">
        <v>1</v>
      </c>
      <c r="D243" s="65">
        <f>(33.03+2.36)*(10.764)</f>
        <v>380.93795999999998</v>
      </c>
      <c r="E243" s="66">
        <v>0</v>
      </c>
      <c r="F243" s="66">
        <f t="shared" ref="F243:F250" si="12">D243*(($F$218)+1)+(IF(E243&lt;101,E243,IF(E243&lt;201,E243/2,IF(E243&lt;=301,E243/3,E243/4))))</f>
        <v>571.40693999999996</v>
      </c>
      <c r="G243" s="136" t="str">
        <f>A242</f>
        <v>1st to 7th, 9th to 12th &amp; 14th Floor For Residential</v>
      </c>
      <c r="H243" s="137"/>
      <c r="I243" s="38">
        <f>5000*F243</f>
        <v>2857034.6999999997</v>
      </c>
      <c r="J243" s="54">
        <f>5000*F243</f>
        <v>2857034.6999999997</v>
      </c>
      <c r="K243" s="54">
        <f>6000*F243</f>
        <v>3428441.6399999997</v>
      </c>
      <c r="L243" s="224"/>
      <c r="M243" s="224"/>
      <c r="N243" s="38">
        <v>101</v>
      </c>
      <c r="O243" s="61">
        <v>1401</v>
      </c>
      <c r="P243" s="61" t="str">
        <f>N243&amp;""&amp;",.., "&amp;""&amp;O243</f>
        <v>101,.., 1401</v>
      </c>
    </row>
    <row r="244" spans="1:16" s="54" customFormat="1" ht="15.75" customHeight="1" x14ac:dyDescent="0.35">
      <c r="A244" s="132" t="str">
        <f t="shared" ref="A244:A250" si="13">P244</f>
        <v>102,.., 1402</v>
      </c>
      <c r="B244" s="133"/>
      <c r="C244" s="64">
        <v>1</v>
      </c>
      <c r="D244" s="65">
        <f>(31.67+2.2)*(10.764)</f>
        <v>364.57668000000001</v>
      </c>
      <c r="E244" s="66">
        <v>0</v>
      </c>
      <c r="F244" s="66">
        <f t="shared" si="12"/>
        <v>546.86501999999996</v>
      </c>
      <c r="G244" s="138"/>
      <c r="H244" s="139"/>
      <c r="I244" s="38">
        <f t="shared" ref="I244:I248" si="14">5000*F244</f>
        <v>2734325.0999999996</v>
      </c>
      <c r="J244" s="61">
        <f t="shared" ref="J244:J252" si="15">5000*F244</f>
        <v>2734325.0999999996</v>
      </c>
      <c r="K244" s="63">
        <f t="shared" ref="K244:K250" si="16">6000*F244</f>
        <v>3281190.1199999996</v>
      </c>
      <c r="L244" s="224"/>
      <c r="M244" s="224"/>
      <c r="N244" s="38">
        <v>102</v>
      </c>
      <c r="O244" s="61">
        <v>1402</v>
      </c>
      <c r="P244" s="61" t="str">
        <f t="shared" ref="P244:P250" si="17">N244&amp;""&amp;",.., "&amp;""&amp;O244</f>
        <v>102,.., 1402</v>
      </c>
    </row>
    <row r="245" spans="1:16" s="54" customFormat="1" ht="15.75" customHeight="1" x14ac:dyDescent="0.35">
      <c r="A245" s="132" t="str">
        <f t="shared" si="13"/>
        <v>103,.., 1403</v>
      </c>
      <c r="B245" s="133"/>
      <c r="C245" s="64">
        <v>1</v>
      </c>
      <c r="D245" s="65">
        <f>(31.67+2.2)*(10.764)</f>
        <v>364.57668000000001</v>
      </c>
      <c r="E245" s="66">
        <v>0</v>
      </c>
      <c r="F245" s="66">
        <f t="shared" si="12"/>
        <v>546.86501999999996</v>
      </c>
      <c r="G245" s="138"/>
      <c r="H245" s="139"/>
      <c r="I245" s="38">
        <f t="shared" si="14"/>
        <v>2734325.0999999996</v>
      </c>
      <c r="J245" s="61">
        <f t="shared" si="15"/>
        <v>2734325.0999999996</v>
      </c>
      <c r="K245" s="63">
        <f t="shared" si="16"/>
        <v>3281190.1199999996</v>
      </c>
      <c r="L245" s="224"/>
      <c r="M245" s="224"/>
      <c r="N245" s="38">
        <v>103</v>
      </c>
      <c r="O245" s="61">
        <v>1403</v>
      </c>
      <c r="P245" s="61" t="str">
        <f t="shared" si="17"/>
        <v>103,.., 1403</v>
      </c>
    </row>
    <row r="246" spans="1:16" s="54" customFormat="1" ht="15.75" customHeight="1" x14ac:dyDescent="0.35">
      <c r="A246" s="132" t="str">
        <f t="shared" si="13"/>
        <v>104,.., 1404</v>
      </c>
      <c r="B246" s="133"/>
      <c r="C246" s="64">
        <v>1</v>
      </c>
      <c r="D246" s="65">
        <f>(33.03+2.36)*(10.764)</f>
        <v>380.93795999999998</v>
      </c>
      <c r="E246" s="66">
        <v>0</v>
      </c>
      <c r="F246" s="66">
        <f t="shared" si="12"/>
        <v>571.40693999999996</v>
      </c>
      <c r="G246" s="138"/>
      <c r="H246" s="139"/>
      <c r="I246" s="38">
        <f t="shared" si="14"/>
        <v>2857034.6999999997</v>
      </c>
      <c r="J246" s="61">
        <f t="shared" si="15"/>
        <v>2857034.6999999997</v>
      </c>
      <c r="K246" s="63">
        <f t="shared" si="16"/>
        <v>3428441.6399999997</v>
      </c>
      <c r="L246" s="224"/>
      <c r="M246" s="224"/>
      <c r="N246" s="38">
        <v>104</v>
      </c>
      <c r="O246" s="61">
        <v>1404</v>
      </c>
      <c r="P246" s="61" t="str">
        <f t="shared" si="17"/>
        <v>104,.., 1404</v>
      </c>
    </row>
    <row r="247" spans="1:16" s="54" customFormat="1" ht="15.75" customHeight="1" x14ac:dyDescent="0.35">
      <c r="A247" s="132" t="str">
        <f t="shared" si="13"/>
        <v>105,.., 1405</v>
      </c>
      <c r="B247" s="133"/>
      <c r="C247" s="64">
        <v>1</v>
      </c>
      <c r="D247" s="65">
        <f>(33.03+2.36)*(10.764)</f>
        <v>380.93795999999998</v>
      </c>
      <c r="E247" s="66">
        <v>0</v>
      </c>
      <c r="F247" s="66">
        <f t="shared" si="12"/>
        <v>571.40693999999996</v>
      </c>
      <c r="G247" s="138"/>
      <c r="H247" s="139"/>
      <c r="I247" s="38">
        <f t="shared" si="14"/>
        <v>2857034.6999999997</v>
      </c>
      <c r="J247" s="61">
        <f t="shared" si="15"/>
        <v>2857034.6999999997</v>
      </c>
      <c r="K247" s="63">
        <f t="shared" si="16"/>
        <v>3428441.6399999997</v>
      </c>
      <c r="L247" s="224"/>
      <c r="M247" s="224"/>
      <c r="N247" s="38">
        <v>105</v>
      </c>
      <c r="O247" s="61">
        <v>1405</v>
      </c>
      <c r="P247" s="61" t="str">
        <f t="shared" si="17"/>
        <v>105,.., 1405</v>
      </c>
    </row>
    <row r="248" spans="1:16" s="54" customFormat="1" ht="15.75" customHeight="1" x14ac:dyDescent="0.35">
      <c r="A248" s="132" t="str">
        <f t="shared" si="13"/>
        <v>106,.., 1406</v>
      </c>
      <c r="B248" s="133"/>
      <c r="C248" s="64">
        <v>1</v>
      </c>
      <c r="D248" s="65">
        <f>(31.67+2.2)*(10.764)</f>
        <v>364.57668000000001</v>
      </c>
      <c r="E248" s="66">
        <v>0</v>
      </c>
      <c r="F248" s="66">
        <f t="shared" si="12"/>
        <v>546.86501999999996</v>
      </c>
      <c r="G248" s="138"/>
      <c r="H248" s="139"/>
      <c r="I248" s="38">
        <f t="shared" si="14"/>
        <v>2734325.0999999996</v>
      </c>
      <c r="J248" s="61">
        <f t="shared" si="15"/>
        <v>2734325.0999999996</v>
      </c>
      <c r="K248" s="63">
        <f t="shared" si="16"/>
        <v>3281190.1199999996</v>
      </c>
      <c r="L248" s="224"/>
      <c r="M248" s="224"/>
      <c r="N248" s="38">
        <v>106</v>
      </c>
      <c r="O248" s="61">
        <v>1406</v>
      </c>
      <c r="P248" s="61" t="str">
        <f t="shared" si="17"/>
        <v>106,.., 1406</v>
      </c>
    </row>
    <row r="249" spans="1:16" s="54" customFormat="1" ht="15.75" customHeight="1" x14ac:dyDescent="0.35">
      <c r="A249" s="132" t="str">
        <f t="shared" si="13"/>
        <v>107,.., 1407</v>
      </c>
      <c r="B249" s="133"/>
      <c r="C249" s="64">
        <v>1</v>
      </c>
      <c r="D249" s="65">
        <f>(31.67+2.2)*(10.764)</f>
        <v>364.57668000000001</v>
      </c>
      <c r="E249" s="66">
        <v>0</v>
      </c>
      <c r="F249" s="66">
        <f t="shared" si="12"/>
        <v>546.86501999999996</v>
      </c>
      <c r="G249" s="138"/>
      <c r="H249" s="139"/>
      <c r="I249" s="38"/>
      <c r="J249" s="61">
        <f t="shared" si="15"/>
        <v>2734325.0999999996</v>
      </c>
      <c r="K249" s="63">
        <f t="shared" si="16"/>
        <v>3281190.1199999996</v>
      </c>
      <c r="L249" s="224"/>
      <c r="M249" s="224"/>
      <c r="N249" s="38">
        <v>107</v>
      </c>
      <c r="O249" s="61">
        <v>1407</v>
      </c>
      <c r="P249" s="61" t="str">
        <f t="shared" si="17"/>
        <v>107,.., 1407</v>
      </c>
    </row>
    <row r="250" spans="1:16" s="54" customFormat="1" ht="15.75" customHeight="1" x14ac:dyDescent="0.35">
      <c r="A250" s="132" t="str">
        <f t="shared" si="13"/>
        <v>108,.., 1408</v>
      </c>
      <c r="B250" s="133"/>
      <c r="C250" s="64">
        <v>1</v>
      </c>
      <c r="D250" s="65">
        <f>(33.03+2.36)*(10.764)</f>
        <v>380.93795999999998</v>
      </c>
      <c r="E250" s="66">
        <v>0</v>
      </c>
      <c r="F250" s="66">
        <f t="shared" si="12"/>
        <v>571.40693999999996</v>
      </c>
      <c r="G250" s="140"/>
      <c r="H250" s="141"/>
      <c r="I250" s="38"/>
      <c r="J250" s="61">
        <f t="shared" si="15"/>
        <v>2857034.6999999997</v>
      </c>
      <c r="K250" s="63">
        <f t="shared" si="16"/>
        <v>3428441.6399999997</v>
      </c>
      <c r="L250" s="224"/>
      <c r="M250" s="224"/>
      <c r="N250" s="38">
        <v>108</v>
      </c>
      <c r="O250" s="61">
        <v>1408</v>
      </c>
      <c r="P250" s="61" t="str">
        <f t="shared" si="17"/>
        <v>108,.., 1408</v>
      </c>
    </row>
    <row r="251" spans="1:16" s="54" customFormat="1" x14ac:dyDescent="0.35">
      <c r="A251" s="175" t="s">
        <v>192</v>
      </c>
      <c r="B251" s="175"/>
      <c r="C251" s="175"/>
      <c r="D251" s="175"/>
      <c r="E251" s="175"/>
      <c r="F251" s="175"/>
      <c r="G251" s="175"/>
      <c r="H251" s="175"/>
      <c r="J251" s="61">
        <f t="shared" si="15"/>
        <v>0</v>
      </c>
    </row>
    <row r="252" spans="1:16" s="54" customFormat="1" ht="15.75" customHeight="1" x14ac:dyDescent="0.35">
      <c r="A252" s="125" t="str">
        <f>P252</f>
        <v>801 to 1301</v>
      </c>
      <c r="B252" s="125"/>
      <c r="C252" s="90">
        <v>1</v>
      </c>
      <c r="D252" s="65">
        <f>(33.03+2.36)*(10.764)</f>
        <v>380.93795999999998</v>
      </c>
      <c r="E252" s="83">
        <v>0</v>
      </c>
      <c r="F252" s="83">
        <f t="shared" ref="F252:F258" si="18">D252*(($F$218)+1)+(IF(E252&lt;101,E252,IF(E252&lt;201,E252/2,IF(E252&lt;=301,E252/3,E252/4))))</f>
        <v>571.40693999999996</v>
      </c>
      <c r="G252" s="125" t="str">
        <f>A251</f>
        <v>8th &amp; 13th Floor (Part Refuge Area)</v>
      </c>
      <c r="H252" s="125"/>
      <c r="I252" s="38">
        <f>2500000/F252</f>
        <v>4375.1656218946173</v>
      </c>
      <c r="J252" s="61">
        <f t="shared" si="15"/>
        <v>2857034.6999999997</v>
      </c>
      <c r="L252" s="224"/>
      <c r="M252" s="224"/>
      <c r="N252" s="38">
        <v>801</v>
      </c>
      <c r="O252" s="61">
        <v>1301</v>
      </c>
      <c r="P252" s="61" t="str">
        <f>N252&amp;""&amp;" to "&amp;""&amp;O252</f>
        <v>801 to 1301</v>
      </c>
    </row>
    <row r="253" spans="1:16" s="54" customFormat="1" ht="15.75" customHeight="1" x14ac:dyDescent="0.35">
      <c r="A253" s="125" t="str">
        <f t="shared" ref="A253:A259" si="19">P253</f>
        <v>802 to 1302</v>
      </c>
      <c r="B253" s="125"/>
      <c r="C253" s="90">
        <v>1</v>
      </c>
      <c r="D253" s="65">
        <f>(31.67+2.2)*(10.764)</f>
        <v>364.57668000000001</v>
      </c>
      <c r="E253" s="83">
        <v>0</v>
      </c>
      <c r="F253" s="83">
        <f t="shared" si="18"/>
        <v>546.86501999999996</v>
      </c>
      <c r="G253" s="125"/>
      <c r="H253" s="125"/>
      <c r="I253" s="38"/>
      <c r="L253" s="224"/>
      <c r="M253" s="224"/>
      <c r="N253" s="38">
        <v>802</v>
      </c>
      <c r="O253" s="61">
        <v>1302</v>
      </c>
      <c r="P253" s="61" t="str">
        <f t="shared" ref="P253:P259" si="20">N253&amp;""&amp;" to "&amp;""&amp;O253</f>
        <v>802 to 1302</v>
      </c>
    </row>
    <row r="254" spans="1:16" s="54" customFormat="1" ht="15.75" customHeight="1" x14ac:dyDescent="0.35">
      <c r="A254" s="125" t="str">
        <f t="shared" si="19"/>
        <v>803 to 1303</v>
      </c>
      <c r="B254" s="125"/>
      <c r="C254" s="90">
        <v>1</v>
      </c>
      <c r="D254" s="65">
        <f>(31.67+2.2)*(10.764)</f>
        <v>364.57668000000001</v>
      </c>
      <c r="E254" s="83">
        <v>0</v>
      </c>
      <c r="F254" s="83">
        <f t="shared" si="18"/>
        <v>546.86501999999996</v>
      </c>
      <c r="G254" s="125"/>
      <c r="H254" s="125"/>
      <c r="I254" s="38"/>
      <c r="L254" s="224"/>
      <c r="M254" s="224"/>
      <c r="N254" s="38">
        <v>803</v>
      </c>
      <c r="O254" s="61">
        <v>1303</v>
      </c>
      <c r="P254" s="61" t="str">
        <f t="shared" si="20"/>
        <v>803 to 1303</v>
      </c>
    </row>
    <row r="255" spans="1:16" s="54" customFormat="1" ht="15.75" customHeight="1" x14ac:dyDescent="0.35">
      <c r="A255" s="125" t="str">
        <f t="shared" si="19"/>
        <v>804 to 1304</v>
      </c>
      <c r="B255" s="125"/>
      <c r="C255" s="90">
        <v>1</v>
      </c>
      <c r="D255" s="65">
        <f>(33.03+2.36)*(10.764)</f>
        <v>380.93795999999998</v>
      </c>
      <c r="E255" s="83">
        <v>0</v>
      </c>
      <c r="F255" s="83">
        <f t="shared" si="18"/>
        <v>571.40693999999996</v>
      </c>
      <c r="G255" s="125"/>
      <c r="H255" s="125"/>
      <c r="I255" s="38">
        <f>3000000/F255</f>
        <v>5250.1987462735406</v>
      </c>
      <c r="L255" s="224"/>
      <c r="M255" s="224"/>
      <c r="N255" s="38">
        <v>804</v>
      </c>
      <c r="O255" s="61">
        <v>1304</v>
      </c>
      <c r="P255" s="61" t="str">
        <f t="shared" si="20"/>
        <v>804 to 1304</v>
      </c>
    </row>
    <row r="256" spans="1:16" s="54" customFormat="1" ht="15.75" customHeight="1" x14ac:dyDescent="0.35">
      <c r="A256" s="125" t="str">
        <f t="shared" si="19"/>
        <v>805 to 1305</v>
      </c>
      <c r="B256" s="125"/>
      <c r="C256" s="90">
        <v>1</v>
      </c>
      <c r="D256" s="65">
        <f>(33.03+2.36)*(10.764)</f>
        <v>380.93795999999998</v>
      </c>
      <c r="E256" s="83">
        <v>0</v>
      </c>
      <c r="F256" s="83">
        <f t="shared" si="18"/>
        <v>571.40693999999996</v>
      </c>
      <c r="G256" s="125"/>
      <c r="H256" s="125"/>
      <c r="I256" s="38">
        <f t="shared" ref="I256:I259" si="21">3000000/F256</f>
        <v>5250.1987462735406</v>
      </c>
      <c r="L256" s="224"/>
      <c r="M256" s="224"/>
      <c r="N256" s="38">
        <v>805</v>
      </c>
      <c r="O256" s="61">
        <v>1305</v>
      </c>
      <c r="P256" s="61" t="str">
        <f t="shared" si="20"/>
        <v>805 to 1305</v>
      </c>
    </row>
    <row r="257" spans="1:16" s="54" customFormat="1" ht="15.75" customHeight="1" x14ac:dyDescent="0.35">
      <c r="A257" s="125" t="str">
        <f t="shared" si="19"/>
        <v>806 to 1306</v>
      </c>
      <c r="B257" s="125"/>
      <c r="C257" s="90">
        <v>1</v>
      </c>
      <c r="D257" s="65">
        <f>(31.67+2.2)*(10.764)</f>
        <v>364.57668000000001</v>
      </c>
      <c r="E257" s="83">
        <v>0</v>
      </c>
      <c r="F257" s="83">
        <f t="shared" si="18"/>
        <v>546.86501999999996</v>
      </c>
      <c r="G257" s="125"/>
      <c r="H257" s="125"/>
      <c r="I257" s="38">
        <f t="shared" si="21"/>
        <v>5485.8143971249074</v>
      </c>
      <c r="L257" s="224"/>
      <c r="M257" s="224"/>
      <c r="N257" s="38">
        <v>806</v>
      </c>
      <c r="O257" s="61">
        <v>1306</v>
      </c>
      <c r="P257" s="61" t="str">
        <f t="shared" si="20"/>
        <v>806 to 1306</v>
      </c>
    </row>
    <row r="258" spans="1:16" s="54" customFormat="1" ht="15.75" customHeight="1" x14ac:dyDescent="0.35">
      <c r="A258" s="125" t="str">
        <f t="shared" si="19"/>
        <v>807 to 1307</v>
      </c>
      <c r="B258" s="125"/>
      <c r="C258" s="90">
        <v>1</v>
      </c>
      <c r="D258" s="65">
        <f>(31.67+2.2)*(10.764)</f>
        <v>364.57668000000001</v>
      </c>
      <c r="E258" s="83">
        <v>0</v>
      </c>
      <c r="F258" s="83">
        <f t="shared" si="18"/>
        <v>546.86501999999996</v>
      </c>
      <c r="G258" s="125"/>
      <c r="H258" s="125"/>
      <c r="I258" s="38">
        <f t="shared" si="21"/>
        <v>5485.8143971249074</v>
      </c>
      <c r="L258" s="224"/>
      <c r="M258" s="224"/>
      <c r="N258" s="38">
        <v>807</v>
      </c>
      <c r="O258" s="61">
        <v>1307</v>
      </c>
      <c r="P258" s="61" t="str">
        <f t="shared" si="20"/>
        <v>807 to 1307</v>
      </c>
    </row>
    <row r="259" spans="1:16" s="54" customFormat="1" ht="15.75" customHeight="1" x14ac:dyDescent="0.35">
      <c r="A259" s="125" t="str">
        <f t="shared" si="19"/>
        <v>808 to 1308</v>
      </c>
      <c r="B259" s="125"/>
      <c r="C259" s="240" t="s">
        <v>193</v>
      </c>
      <c r="D259" s="240"/>
      <c r="E259" s="240"/>
      <c r="F259" s="240"/>
      <c r="G259" s="125"/>
      <c r="H259" s="125"/>
      <c r="I259" s="38" t="e">
        <f t="shared" si="21"/>
        <v>#DIV/0!</v>
      </c>
      <c r="L259" s="224"/>
      <c r="M259" s="224"/>
      <c r="N259" s="38">
        <v>808</v>
      </c>
      <c r="O259" s="61">
        <v>1308</v>
      </c>
      <c r="P259" s="61" t="str">
        <f t="shared" si="20"/>
        <v>808 to 1308</v>
      </c>
    </row>
    <row r="260" spans="1:16" s="54" customFormat="1" x14ac:dyDescent="0.35">
      <c r="A260" s="175" t="s">
        <v>188</v>
      </c>
      <c r="B260" s="175"/>
      <c r="C260" s="175"/>
      <c r="D260" s="175"/>
      <c r="E260" s="175"/>
      <c r="F260" s="175"/>
      <c r="G260" s="175"/>
      <c r="H260" s="175"/>
      <c r="J260" s="38"/>
    </row>
    <row r="261" spans="1:16" s="54" customFormat="1" x14ac:dyDescent="0.35">
      <c r="A261" s="175" t="s">
        <v>190</v>
      </c>
      <c r="B261" s="175"/>
      <c r="C261" s="175"/>
      <c r="D261" s="175"/>
      <c r="E261" s="175"/>
      <c r="F261" s="175"/>
      <c r="G261" s="175"/>
      <c r="H261" s="175"/>
      <c r="J261" s="38"/>
    </row>
    <row r="262" spans="1:16" s="54" customFormat="1" x14ac:dyDescent="0.35">
      <c r="A262" s="175" t="s">
        <v>191</v>
      </c>
      <c r="B262" s="175"/>
      <c r="C262" s="175"/>
      <c r="D262" s="175"/>
      <c r="E262" s="175"/>
      <c r="F262" s="175"/>
      <c r="G262" s="175"/>
      <c r="H262" s="175"/>
      <c r="J262" s="38"/>
    </row>
    <row r="263" spans="1:16" s="54" customFormat="1" ht="15.75" customHeight="1" x14ac:dyDescent="0.35">
      <c r="A263" s="125" t="str">
        <f>P263</f>
        <v>101,.., 1401</v>
      </c>
      <c r="B263" s="125"/>
      <c r="C263" s="90">
        <v>1</v>
      </c>
      <c r="D263" s="65">
        <f>(33.03+2.36)*(10.764)</f>
        <v>380.93795999999998</v>
      </c>
      <c r="E263" s="83">
        <v>0</v>
      </c>
      <c r="F263" s="83">
        <f t="shared" ref="F263:F270" si="22">D263*(($F$218)+1)+(IF(E263&lt;101,E263,IF(E263&lt;201,E263/2,IF(E263&lt;=301,E263/3,E263/4))))</f>
        <v>571.40693999999996</v>
      </c>
      <c r="G263" s="125" t="str">
        <f>A262</f>
        <v>1st to 7th, 9th to 12th &amp; 14th Floor For Residential</v>
      </c>
      <c r="H263" s="125"/>
      <c r="I263" s="38">
        <f>4600*F263</f>
        <v>2628471.9239999996</v>
      </c>
      <c r="L263" s="224"/>
      <c r="M263" s="224"/>
      <c r="N263" s="38">
        <v>101</v>
      </c>
      <c r="O263" s="61">
        <v>1401</v>
      </c>
      <c r="P263" s="61" t="str">
        <f>N263&amp;""&amp;",.., "&amp;""&amp;O263</f>
        <v>101,.., 1401</v>
      </c>
    </row>
    <row r="264" spans="1:16" s="54" customFormat="1" ht="15.75" customHeight="1" x14ac:dyDescent="0.35">
      <c r="A264" s="125" t="str">
        <f t="shared" ref="A264:A270" si="23">P264</f>
        <v>102,.., 1402</v>
      </c>
      <c r="B264" s="125"/>
      <c r="C264" s="90">
        <v>1</v>
      </c>
      <c r="D264" s="65">
        <f>(31.67+2.2)*(10.764)</f>
        <v>364.57668000000001</v>
      </c>
      <c r="E264" s="83">
        <v>0</v>
      </c>
      <c r="F264" s="83">
        <f t="shared" si="22"/>
        <v>546.86501999999996</v>
      </c>
      <c r="G264" s="125"/>
      <c r="H264" s="125"/>
      <c r="I264" s="38">
        <f t="shared" ref="I264:I270" si="24">4600*F264</f>
        <v>2515579.0919999997</v>
      </c>
      <c r="L264" s="224"/>
      <c r="M264" s="224"/>
      <c r="N264" s="38">
        <v>102</v>
      </c>
      <c r="O264" s="61">
        <v>1402</v>
      </c>
      <c r="P264" s="61" t="str">
        <f t="shared" ref="P264:P270" si="25">N264&amp;""&amp;",.., "&amp;""&amp;O264</f>
        <v>102,.., 1402</v>
      </c>
    </row>
    <row r="265" spans="1:16" s="54" customFormat="1" ht="15.75" customHeight="1" x14ac:dyDescent="0.35">
      <c r="A265" s="125" t="str">
        <f t="shared" si="23"/>
        <v>103,.., 1403</v>
      </c>
      <c r="B265" s="125"/>
      <c r="C265" s="90">
        <v>1</v>
      </c>
      <c r="D265" s="65">
        <f>(31.67+2.2)*(10.764)</f>
        <v>364.57668000000001</v>
      </c>
      <c r="E265" s="83">
        <v>0</v>
      </c>
      <c r="F265" s="83">
        <f t="shared" si="22"/>
        <v>546.86501999999996</v>
      </c>
      <c r="G265" s="125"/>
      <c r="H265" s="125"/>
      <c r="I265" s="38">
        <f t="shared" si="24"/>
        <v>2515579.0919999997</v>
      </c>
      <c r="L265" s="224"/>
      <c r="M265" s="224"/>
      <c r="N265" s="38">
        <v>103</v>
      </c>
      <c r="O265" s="61">
        <v>1403</v>
      </c>
      <c r="P265" s="61" t="str">
        <f t="shared" si="25"/>
        <v>103,.., 1403</v>
      </c>
    </row>
    <row r="266" spans="1:16" s="54" customFormat="1" ht="15.75" customHeight="1" x14ac:dyDescent="0.35">
      <c r="A266" s="125" t="str">
        <f t="shared" si="23"/>
        <v>104,.., 1404</v>
      </c>
      <c r="B266" s="125"/>
      <c r="C266" s="90">
        <v>1</v>
      </c>
      <c r="D266" s="65">
        <f>(33.03+2.36)*(10.764)</f>
        <v>380.93795999999998</v>
      </c>
      <c r="E266" s="83">
        <v>0</v>
      </c>
      <c r="F266" s="83">
        <f t="shared" si="22"/>
        <v>571.40693999999996</v>
      </c>
      <c r="G266" s="125"/>
      <c r="H266" s="125"/>
      <c r="I266" s="38">
        <f t="shared" si="24"/>
        <v>2628471.9239999996</v>
      </c>
      <c r="L266" s="224"/>
      <c r="M266" s="224"/>
      <c r="N266" s="38">
        <v>104</v>
      </c>
      <c r="O266" s="61">
        <v>1404</v>
      </c>
      <c r="P266" s="61" t="str">
        <f t="shared" si="25"/>
        <v>104,.., 1404</v>
      </c>
    </row>
    <row r="267" spans="1:16" s="54" customFormat="1" ht="15.75" customHeight="1" x14ac:dyDescent="0.35">
      <c r="A267" s="125" t="str">
        <f t="shared" si="23"/>
        <v>105,.., 1405</v>
      </c>
      <c r="B267" s="125"/>
      <c r="C267" s="90">
        <v>1</v>
      </c>
      <c r="D267" s="65">
        <f>(33.03+2.36)*(10.764)</f>
        <v>380.93795999999998</v>
      </c>
      <c r="E267" s="83">
        <v>0</v>
      </c>
      <c r="F267" s="83">
        <f t="shared" si="22"/>
        <v>571.40693999999996</v>
      </c>
      <c r="G267" s="125"/>
      <c r="H267" s="125"/>
      <c r="I267" s="38">
        <f t="shared" si="24"/>
        <v>2628471.9239999996</v>
      </c>
      <c r="L267" s="224"/>
      <c r="M267" s="224"/>
      <c r="N267" s="38">
        <v>105</v>
      </c>
      <c r="O267" s="61">
        <v>1405</v>
      </c>
      <c r="P267" s="61" t="str">
        <f t="shared" si="25"/>
        <v>105,.., 1405</v>
      </c>
    </row>
    <row r="268" spans="1:16" s="54" customFormat="1" ht="15.75" customHeight="1" x14ac:dyDescent="0.35">
      <c r="A268" s="125" t="str">
        <f t="shared" si="23"/>
        <v>106,.., 1406</v>
      </c>
      <c r="B268" s="125"/>
      <c r="C268" s="90">
        <v>1</v>
      </c>
      <c r="D268" s="65">
        <f>(31.67+2.2)*(10.764)</f>
        <v>364.57668000000001</v>
      </c>
      <c r="E268" s="83">
        <v>0</v>
      </c>
      <c r="F268" s="83">
        <f t="shared" si="22"/>
        <v>546.86501999999996</v>
      </c>
      <c r="G268" s="125"/>
      <c r="H268" s="125"/>
      <c r="I268" s="38">
        <f t="shared" si="24"/>
        <v>2515579.0919999997</v>
      </c>
      <c r="L268" s="224"/>
      <c r="M268" s="224"/>
      <c r="N268" s="38">
        <v>106</v>
      </c>
      <c r="O268" s="61">
        <v>1406</v>
      </c>
      <c r="P268" s="61" t="str">
        <f t="shared" si="25"/>
        <v>106,.., 1406</v>
      </c>
    </row>
    <row r="269" spans="1:16" s="54" customFormat="1" ht="15.75" customHeight="1" x14ac:dyDescent="0.35">
      <c r="A269" s="125" t="str">
        <f t="shared" si="23"/>
        <v>107,.., 1407</v>
      </c>
      <c r="B269" s="125"/>
      <c r="C269" s="90">
        <v>1</v>
      </c>
      <c r="D269" s="65">
        <f>(31.67+2.2)*(10.764)</f>
        <v>364.57668000000001</v>
      </c>
      <c r="E269" s="83">
        <v>0</v>
      </c>
      <c r="F269" s="83">
        <f t="shared" si="22"/>
        <v>546.86501999999996</v>
      </c>
      <c r="G269" s="125"/>
      <c r="H269" s="125"/>
      <c r="I269" s="38">
        <f t="shared" si="24"/>
        <v>2515579.0919999997</v>
      </c>
      <c r="L269" s="224"/>
      <c r="M269" s="224"/>
      <c r="N269" s="38">
        <v>107</v>
      </c>
      <c r="O269" s="61">
        <v>1407</v>
      </c>
      <c r="P269" s="61" t="str">
        <f t="shared" si="25"/>
        <v>107,.., 1407</v>
      </c>
    </row>
    <row r="270" spans="1:16" s="54" customFormat="1" ht="15.75" customHeight="1" x14ac:dyDescent="0.35">
      <c r="A270" s="125" t="str">
        <f t="shared" si="23"/>
        <v>108,.., 1408</v>
      </c>
      <c r="B270" s="125"/>
      <c r="C270" s="90">
        <v>1</v>
      </c>
      <c r="D270" s="65">
        <f>(33.03+2.36)*(10.764)</f>
        <v>380.93795999999998</v>
      </c>
      <c r="E270" s="83">
        <v>0</v>
      </c>
      <c r="F270" s="83">
        <f t="shared" si="22"/>
        <v>571.40693999999996</v>
      </c>
      <c r="G270" s="125"/>
      <c r="H270" s="125"/>
      <c r="I270" s="38">
        <f t="shared" si="24"/>
        <v>2628471.9239999996</v>
      </c>
      <c r="L270" s="224"/>
      <c r="M270" s="224"/>
      <c r="N270" s="38">
        <v>108</v>
      </c>
      <c r="O270" s="61">
        <v>1408</v>
      </c>
      <c r="P270" s="61" t="str">
        <f t="shared" si="25"/>
        <v>108,.., 1408</v>
      </c>
    </row>
    <row r="271" spans="1:16" s="54" customFormat="1" x14ac:dyDescent="0.35">
      <c r="A271" s="129" t="s">
        <v>192</v>
      </c>
      <c r="B271" s="130"/>
      <c r="C271" s="130"/>
      <c r="D271" s="130"/>
      <c r="E271" s="130"/>
      <c r="F271" s="130"/>
      <c r="G271" s="130"/>
      <c r="H271" s="131"/>
      <c r="J271" s="38"/>
    </row>
    <row r="272" spans="1:16" s="54" customFormat="1" ht="15.75" customHeight="1" x14ac:dyDescent="0.35">
      <c r="A272" s="132" t="str">
        <f>P272</f>
        <v>801 to 1301</v>
      </c>
      <c r="B272" s="133"/>
      <c r="C272" s="64">
        <v>1</v>
      </c>
      <c r="D272" s="65">
        <f>(33.03+2.36)*(10.764)</f>
        <v>380.93795999999998</v>
      </c>
      <c r="E272" s="66">
        <v>0</v>
      </c>
      <c r="F272" s="66">
        <f t="shared" ref="F272:F278" si="26">D272*(($F$218)+1)+(IF(E272&lt;101,E272,IF(E272&lt;201,E272/2,IF(E272&lt;=301,E272/3,E272/4))))</f>
        <v>571.40693999999996</v>
      </c>
      <c r="G272" s="136" t="str">
        <f>A271</f>
        <v>8th &amp; 13th Floor (Part Refuge Area)</v>
      </c>
      <c r="H272" s="137"/>
      <c r="I272" s="38">
        <f>3400000/F272</f>
        <v>5950.225245776679</v>
      </c>
      <c r="L272" s="224"/>
      <c r="M272" s="224"/>
      <c r="N272" s="38">
        <v>801</v>
      </c>
      <c r="O272" s="61">
        <v>1301</v>
      </c>
      <c r="P272" s="61" t="str">
        <f>N272&amp;""&amp;" to "&amp;""&amp;O272</f>
        <v>801 to 1301</v>
      </c>
    </row>
    <row r="273" spans="1:16" s="54" customFormat="1" ht="15.75" customHeight="1" x14ac:dyDescent="0.35">
      <c r="A273" s="132" t="str">
        <f t="shared" ref="A273:A279" si="27">P273</f>
        <v>802 to 1302</v>
      </c>
      <c r="B273" s="133"/>
      <c r="C273" s="64">
        <v>1</v>
      </c>
      <c r="D273" s="65">
        <f>(31.67+2.2)*(10.764)</f>
        <v>364.57668000000001</v>
      </c>
      <c r="E273" s="66">
        <v>0</v>
      </c>
      <c r="F273" s="66">
        <f t="shared" si="26"/>
        <v>546.86501999999996</v>
      </c>
      <c r="G273" s="138"/>
      <c r="H273" s="139"/>
      <c r="I273" s="38">
        <f t="shared" ref="I273:I275" si="28">3400000/F273</f>
        <v>6217.256316741561</v>
      </c>
      <c r="L273" s="224"/>
      <c r="M273" s="224"/>
      <c r="N273" s="38">
        <v>802</v>
      </c>
      <c r="O273" s="61">
        <v>1302</v>
      </c>
      <c r="P273" s="61" t="str">
        <f t="shared" ref="P273:P279" si="29">N273&amp;""&amp;" to "&amp;""&amp;O273</f>
        <v>802 to 1302</v>
      </c>
    </row>
    <row r="274" spans="1:16" s="54" customFormat="1" ht="15.75" customHeight="1" x14ac:dyDescent="0.35">
      <c r="A274" s="132" t="str">
        <f t="shared" si="27"/>
        <v>803 to 1303</v>
      </c>
      <c r="B274" s="133"/>
      <c r="C274" s="64">
        <v>1</v>
      </c>
      <c r="D274" s="65">
        <f>(31.67+2.2)*(10.764)</f>
        <v>364.57668000000001</v>
      </c>
      <c r="E274" s="66">
        <v>0</v>
      </c>
      <c r="F274" s="66">
        <f t="shared" si="26"/>
        <v>546.86501999999996</v>
      </c>
      <c r="G274" s="138"/>
      <c r="H274" s="139"/>
      <c r="I274" s="38">
        <f t="shared" si="28"/>
        <v>6217.256316741561</v>
      </c>
      <c r="L274" s="224"/>
      <c r="M274" s="224"/>
      <c r="N274" s="38">
        <v>803</v>
      </c>
      <c r="O274" s="61">
        <v>1303</v>
      </c>
      <c r="P274" s="61" t="str">
        <f t="shared" si="29"/>
        <v>803 to 1303</v>
      </c>
    </row>
    <row r="275" spans="1:16" s="54" customFormat="1" ht="15.75" customHeight="1" x14ac:dyDescent="0.35">
      <c r="A275" s="132" t="str">
        <f t="shared" si="27"/>
        <v>804 to 1304</v>
      </c>
      <c r="B275" s="133"/>
      <c r="C275" s="64">
        <v>1</v>
      </c>
      <c r="D275" s="65">
        <f>(33.03+2.36)*(10.764)</f>
        <v>380.93795999999998</v>
      </c>
      <c r="E275" s="66">
        <v>0</v>
      </c>
      <c r="F275" s="66">
        <f t="shared" si="26"/>
        <v>571.40693999999996</v>
      </c>
      <c r="G275" s="138"/>
      <c r="H275" s="139"/>
      <c r="I275" s="38">
        <f t="shared" si="28"/>
        <v>5950.225245776679</v>
      </c>
      <c r="L275" s="224"/>
      <c r="M275" s="224"/>
      <c r="N275" s="38">
        <v>804</v>
      </c>
      <c r="O275" s="61">
        <v>1304</v>
      </c>
      <c r="P275" s="61" t="str">
        <f t="shared" si="29"/>
        <v>804 to 1304</v>
      </c>
    </row>
    <row r="276" spans="1:16" s="54" customFormat="1" ht="15.75" customHeight="1" x14ac:dyDescent="0.35">
      <c r="A276" s="132" t="str">
        <f t="shared" si="27"/>
        <v>805 to 1305</v>
      </c>
      <c r="B276" s="133"/>
      <c r="C276" s="64">
        <v>1</v>
      </c>
      <c r="D276" s="65">
        <f>(33.03+2.36)*(10.764)</f>
        <v>380.93795999999998</v>
      </c>
      <c r="E276" s="66">
        <v>0</v>
      </c>
      <c r="F276" s="66">
        <f t="shared" si="26"/>
        <v>571.40693999999996</v>
      </c>
      <c r="G276" s="138"/>
      <c r="H276" s="139"/>
      <c r="I276" s="38"/>
      <c r="L276" s="224"/>
      <c r="M276" s="224"/>
      <c r="N276" s="38">
        <v>805</v>
      </c>
      <c r="O276" s="61">
        <v>1305</v>
      </c>
      <c r="P276" s="61" t="str">
        <f t="shared" si="29"/>
        <v>805 to 1305</v>
      </c>
    </row>
    <row r="277" spans="1:16" s="54" customFormat="1" ht="15.75" customHeight="1" x14ac:dyDescent="0.35">
      <c r="A277" s="132" t="str">
        <f t="shared" si="27"/>
        <v>806 to 1306</v>
      </c>
      <c r="B277" s="133"/>
      <c r="C277" s="64">
        <v>1</v>
      </c>
      <c r="D277" s="65">
        <f>(31.67+2.2)*(10.764)</f>
        <v>364.57668000000001</v>
      </c>
      <c r="E277" s="66">
        <v>0</v>
      </c>
      <c r="F277" s="66">
        <f t="shared" si="26"/>
        <v>546.86501999999996</v>
      </c>
      <c r="G277" s="138"/>
      <c r="H277" s="139"/>
      <c r="I277" s="38"/>
      <c r="L277" s="224"/>
      <c r="M277" s="224"/>
      <c r="N277" s="38">
        <v>806</v>
      </c>
      <c r="O277" s="61">
        <v>1306</v>
      </c>
      <c r="P277" s="61" t="str">
        <f t="shared" si="29"/>
        <v>806 to 1306</v>
      </c>
    </row>
    <row r="278" spans="1:16" s="54" customFormat="1" ht="15.75" customHeight="1" x14ac:dyDescent="0.35">
      <c r="A278" s="132" t="str">
        <f t="shared" si="27"/>
        <v>807 to 1307</v>
      </c>
      <c r="B278" s="133"/>
      <c r="C278" s="64">
        <v>1</v>
      </c>
      <c r="D278" s="65">
        <f>(31.67+2.2)*(10.764)</f>
        <v>364.57668000000001</v>
      </c>
      <c r="E278" s="66">
        <v>0</v>
      </c>
      <c r="F278" s="66">
        <f t="shared" si="26"/>
        <v>546.86501999999996</v>
      </c>
      <c r="G278" s="138"/>
      <c r="H278" s="139"/>
      <c r="I278" s="38"/>
      <c r="L278" s="224"/>
      <c r="M278" s="224"/>
      <c r="N278" s="38">
        <v>807</v>
      </c>
      <c r="O278" s="61">
        <v>1307</v>
      </c>
      <c r="P278" s="61" t="str">
        <f t="shared" si="29"/>
        <v>807 to 1307</v>
      </c>
    </row>
    <row r="279" spans="1:16" s="54" customFormat="1" ht="15.75" customHeight="1" x14ac:dyDescent="0.35">
      <c r="A279" s="132" t="str">
        <f t="shared" si="27"/>
        <v>808 to 1308</v>
      </c>
      <c r="B279" s="133"/>
      <c r="C279" s="237" t="s">
        <v>193</v>
      </c>
      <c r="D279" s="238"/>
      <c r="E279" s="238"/>
      <c r="F279" s="239"/>
      <c r="G279" s="140"/>
      <c r="H279" s="141"/>
      <c r="I279" s="38"/>
      <c r="L279" s="224"/>
      <c r="M279" s="224"/>
      <c r="N279" s="38">
        <v>808</v>
      </c>
      <c r="O279" s="61">
        <v>1308</v>
      </c>
      <c r="P279" s="61" t="str">
        <f t="shared" si="29"/>
        <v>808 to 1308</v>
      </c>
    </row>
    <row r="280" spans="1:16" s="54" customFormat="1" x14ac:dyDescent="0.35">
      <c r="A280" s="129" t="s">
        <v>194</v>
      </c>
      <c r="B280" s="130"/>
      <c r="C280" s="130"/>
      <c r="D280" s="130"/>
      <c r="E280" s="130"/>
      <c r="F280" s="130"/>
      <c r="G280" s="130"/>
      <c r="H280" s="131"/>
      <c r="J280" s="38"/>
    </row>
    <row r="281" spans="1:16" s="54" customFormat="1" x14ac:dyDescent="0.35">
      <c r="A281" s="129" t="s">
        <v>190</v>
      </c>
      <c r="B281" s="130"/>
      <c r="C281" s="130"/>
      <c r="D281" s="130"/>
      <c r="E281" s="130"/>
      <c r="F281" s="130"/>
      <c r="G281" s="130"/>
      <c r="H281" s="131"/>
      <c r="J281" s="38"/>
    </row>
    <row r="282" spans="1:16" s="54" customFormat="1" x14ac:dyDescent="0.35">
      <c r="A282" s="129" t="s">
        <v>191</v>
      </c>
      <c r="B282" s="130"/>
      <c r="C282" s="130"/>
      <c r="D282" s="130"/>
      <c r="E282" s="130"/>
      <c r="F282" s="130"/>
      <c r="G282" s="130"/>
      <c r="H282" s="131"/>
      <c r="J282" s="38"/>
    </row>
    <row r="283" spans="1:16" s="54" customFormat="1" ht="15.75" customHeight="1" x14ac:dyDescent="0.35">
      <c r="A283" s="132" t="str">
        <f>P283</f>
        <v>101,.., 1401</v>
      </c>
      <c r="B283" s="133"/>
      <c r="C283" s="64">
        <v>2</v>
      </c>
      <c r="D283" s="65">
        <f>(48.6+2.36)*(10.764)</f>
        <v>548.53343999999993</v>
      </c>
      <c r="E283" s="66">
        <v>0</v>
      </c>
      <c r="F283" s="66">
        <f t="shared" ref="F283:F290" si="30">D283*(($F$218)+1)+(IF(E283&lt;101,E283,IF(E283&lt;201,E283/2,IF(E283&lt;=301,E283/3,E283/4))))</f>
        <v>822.80015999999989</v>
      </c>
      <c r="G283" s="136" t="str">
        <f>A282</f>
        <v>1st to 7th, 9th to 12th &amp; 14th Floor For Residential</v>
      </c>
      <c r="H283" s="137"/>
      <c r="I283" s="38">
        <f>5000000/F283</f>
        <v>6076.8097079611662</v>
      </c>
      <c r="J283" s="54">
        <f>4.05*3.05+2.75*2.1+2.75*3.35+3.05*3.65+2.1*1.2+1.2*2.05+3.3*0.9</f>
        <v>46.422499999999999</v>
      </c>
      <c r="K283" s="54">
        <f>6000*F283</f>
        <v>4936800.959999999</v>
      </c>
      <c r="L283" s="224"/>
      <c r="M283" s="224"/>
      <c r="N283" s="38">
        <v>101</v>
      </c>
      <c r="O283" s="54">
        <v>1401</v>
      </c>
      <c r="P283" s="54" t="str">
        <f>N283&amp;""&amp;",.., "&amp;""&amp;O283</f>
        <v>101,.., 1401</v>
      </c>
    </row>
    <row r="284" spans="1:16" s="54" customFormat="1" ht="15.75" customHeight="1" x14ac:dyDescent="0.35">
      <c r="A284" s="132" t="str">
        <f t="shared" ref="A284:A290" si="31">P284</f>
        <v>102,.., 1402</v>
      </c>
      <c r="B284" s="133"/>
      <c r="C284" s="64">
        <v>2</v>
      </c>
      <c r="D284" s="65">
        <f>(45.47+2.05)*(10.764)</f>
        <v>511.50527999999991</v>
      </c>
      <c r="E284" s="66">
        <v>0</v>
      </c>
      <c r="F284" s="66">
        <f t="shared" si="30"/>
        <v>767.2579199999999</v>
      </c>
      <c r="G284" s="138"/>
      <c r="H284" s="139"/>
      <c r="I284" s="38">
        <f t="shared" ref="I284:I285" si="32">5000000/F284</f>
        <v>6516.7134410290619</v>
      </c>
      <c r="J284" s="54">
        <f>3.95*3.05+1.2*2.05+2.1*1.2+2.75*3.35+2.75*3.35+2.45*2.1+3*0.9</f>
        <v>43.297500000000007</v>
      </c>
      <c r="K284" s="63">
        <f t="shared" ref="K284:K290" si="33">6000*F284</f>
        <v>4603547.5199999996</v>
      </c>
      <c r="L284" s="224"/>
      <c r="M284" s="224"/>
      <c r="N284" s="38">
        <v>102</v>
      </c>
      <c r="O284" s="54">
        <v>1402</v>
      </c>
      <c r="P284" s="61" t="str">
        <f t="shared" ref="P284:P290" si="34">N284&amp;""&amp;",.., "&amp;""&amp;O284</f>
        <v>102,.., 1402</v>
      </c>
    </row>
    <row r="285" spans="1:16" s="54" customFormat="1" ht="15.75" customHeight="1" x14ac:dyDescent="0.35">
      <c r="A285" s="132" t="str">
        <f t="shared" si="31"/>
        <v>103,.., 1403</v>
      </c>
      <c r="B285" s="133"/>
      <c r="C285" s="64">
        <v>2</v>
      </c>
      <c r="D285" s="65">
        <f>(45.47+2.05)*(10.764)</f>
        <v>511.50527999999991</v>
      </c>
      <c r="E285" s="66">
        <v>0</v>
      </c>
      <c r="F285" s="66">
        <f t="shared" si="30"/>
        <v>767.2579199999999</v>
      </c>
      <c r="G285" s="138"/>
      <c r="H285" s="139"/>
      <c r="I285" s="38">
        <f t="shared" si="32"/>
        <v>6516.7134410290619</v>
      </c>
      <c r="K285" s="63">
        <f t="shared" si="33"/>
        <v>4603547.5199999996</v>
      </c>
      <c r="L285" s="224"/>
      <c r="M285" s="224"/>
      <c r="N285" s="38">
        <v>103</v>
      </c>
      <c r="O285" s="61">
        <v>1403</v>
      </c>
      <c r="P285" s="61" t="str">
        <f t="shared" si="34"/>
        <v>103,.., 1403</v>
      </c>
    </row>
    <row r="286" spans="1:16" s="54" customFormat="1" ht="15.75" customHeight="1" x14ac:dyDescent="0.35">
      <c r="A286" s="132" t="str">
        <f t="shared" si="31"/>
        <v>104,.., 1404</v>
      </c>
      <c r="B286" s="133"/>
      <c r="C286" s="64">
        <v>2</v>
      </c>
      <c r="D286" s="65">
        <f>(48.6+2.36)*(10.764)</f>
        <v>548.53343999999993</v>
      </c>
      <c r="E286" s="66">
        <v>0</v>
      </c>
      <c r="F286" s="66">
        <f t="shared" si="30"/>
        <v>822.80015999999989</v>
      </c>
      <c r="G286" s="138"/>
      <c r="H286" s="139"/>
      <c r="I286" s="38"/>
      <c r="K286" s="63">
        <f t="shared" si="33"/>
        <v>4936800.959999999</v>
      </c>
      <c r="L286" s="224"/>
      <c r="M286" s="224"/>
      <c r="N286" s="38">
        <v>104</v>
      </c>
      <c r="O286" s="61">
        <v>1404</v>
      </c>
      <c r="P286" s="61" t="str">
        <f t="shared" si="34"/>
        <v>104,.., 1404</v>
      </c>
    </row>
    <row r="287" spans="1:16" s="54" customFormat="1" ht="15.75" customHeight="1" x14ac:dyDescent="0.35">
      <c r="A287" s="132" t="str">
        <f t="shared" si="31"/>
        <v>105,.., 1405</v>
      </c>
      <c r="B287" s="133"/>
      <c r="C287" s="64">
        <v>2</v>
      </c>
      <c r="D287" s="65">
        <f>(48.6+2.36)*(10.764)</f>
        <v>548.53343999999993</v>
      </c>
      <c r="E287" s="66">
        <v>0</v>
      </c>
      <c r="F287" s="66">
        <f t="shared" si="30"/>
        <v>822.80015999999989</v>
      </c>
      <c r="G287" s="138"/>
      <c r="H287" s="139"/>
      <c r="I287" s="38"/>
      <c r="K287" s="63">
        <f t="shared" si="33"/>
        <v>4936800.959999999</v>
      </c>
      <c r="L287" s="224"/>
      <c r="M287" s="224"/>
      <c r="N287" s="38">
        <v>105</v>
      </c>
      <c r="O287" s="61">
        <v>1405</v>
      </c>
      <c r="P287" s="61" t="str">
        <f t="shared" si="34"/>
        <v>105,.., 1405</v>
      </c>
    </row>
    <row r="288" spans="1:16" s="54" customFormat="1" ht="15.75" customHeight="1" x14ac:dyDescent="0.35">
      <c r="A288" s="132" t="str">
        <f t="shared" si="31"/>
        <v>106,.., 1406</v>
      </c>
      <c r="B288" s="133"/>
      <c r="C288" s="64">
        <v>2</v>
      </c>
      <c r="D288" s="65">
        <f>(45.47+2.05)*(10.764)</f>
        <v>511.50527999999991</v>
      </c>
      <c r="E288" s="66">
        <v>0</v>
      </c>
      <c r="F288" s="66">
        <f t="shared" si="30"/>
        <v>767.2579199999999</v>
      </c>
      <c r="G288" s="138"/>
      <c r="H288" s="139"/>
      <c r="I288" s="38">
        <f>4500000/F287</f>
        <v>5469.1287371650496</v>
      </c>
      <c r="K288" s="63">
        <f t="shared" si="33"/>
        <v>4603547.5199999996</v>
      </c>
      <c r="L288" s="224"/>
      <c r="M288" s="224"/>
      <c r="N288" s="38">
        <v>106</v>
      </c>
      <c r="O288" s="61">
        <v>1406</v>
      </c>
      <c r="P288" s="61" t="str">
        <f t="shared" si="34"/>
        <v>106,.., 1406</v>
      </c>
    </row>
    <row r="289" spans="1:16" s="54" customFormat="1" ht="15.75" customHeight="1" x14ac:dyDescent="0.35">
      <c r="A289" s="132" t="str">
        <f t="shared" si="31"/>
        <v>107,.., 1407</v>
      </c>
      <c r="B289" s="133"/>
      <c r="C289" s="64">
        <v>2</v>
      </c>
      <c r="D289" s="65">
        <f>(45.47+2.05)*(10.764)</f>
        <v>511.50527999999991</v>
      </c>
      <c r="E289" s="66">
        <v>0</v>
      </c>
      <c r="F289" s="66">
        <f t="shared" si="30"/>
        <v>767.2579199999999</v>
      </c>
      <c r="G289" s="138"/>
      <c r="H289" s="139"/>
      <c r="I289" s="38">
        <f t="shared" ref="I289:I290" si="35">4500000/F288</f>
        <v>5865.0420969261559</v>
      </c>
      <c r="K289" s="63">
        <f t="shared" si="33"/>
        <v>4603547.5199999996</v>
      </c>
      <c r="L289" s="224"/>
      <c r="M289" s="224"/>
      <c r="N289" s="38">
        <v>107</v>
      </c>
      <c r="O289" s="61">
        <v>1407</v>
      </c>
      <c r="P289" s="61" t="str">
        <f t="shared" si="34"/>
        <v>107,.., 1407</v>
      </c>
    </row>
    <row r="290" spans="1:16" s="54" customFormat="1" ht="15.75" customHeight="1" x14ac:dyDescent="0.35">
      <c r="A290" s="132" t="str">
        <f t="shared" si="31"/>
        <v>108,.., 1408</v>
      </c>
      <c r="B290" s="133"/>
      <c r="C290" s="64">
        <v>2</v>
      </c>
      <c r="D290" s="65">
        <f>(48.6+2.36)*(10.764)</f>
        <v>548.53343999999993</v>
      </c>
      <c r="E290" s="66">
        <v>0</v>
      </c>
      <c r="F290" s="66">
        <f t="shared" si="30"/>
        <v>822.80015999999989</v>
      </c>
      <c r="G290" s="140"/>
      <c r="H290" s="141"/>
      <c r="I290" s="38">
        <f t="shared" si="35"/>
        <v>5865.0420969261559</v>
      </c>
      <c r="K290" s="63">
        <f t="shared" si="33"/>
        <v>4936800.959999999</v>
      </c>
      <c r="L290" s="224"/>
      <c r="M290" s="224"/>
      <c r="N290" s="38">
        <v>108</v>
      </c>
      <c r="O290" s="61">
        <v>1408</v>
      </c>
      <c r="P290" s="61" t="str">
        <f t="shared" si="34"/>
        <v>108,.., 1408</v>
      </c>
    </row>
    <row r="291" spans="1:16" s="54" customFormat="1" x14ac:dyDescent="0.35">
      <c r="A291" s="129" t="s">
        <v>192</v>
      </c>
      <c r="B291" s="130"/>
      <c r="C291" s="130"/>
      <c r="D291" s="130"/>
      <c r="E291" s="130"/>
      <c r="F291" s="130"/>
      <c r="G291" s="130"/>
      <c r="H291" s="131"/>
      <c r="J291" s="38"/>
    </row>
    <row r="292" spans="1:16" s="54" customFormat="1" ht="15.75" customHeight="1" x14ac:dyDescent="0.35">
      <c r="A292" s="132" t="str">
        <f>P292</f>
        <v>801 &amp; 1301</v>
      </c>
      <c r="B292" s="133"/>
      <c r="C292" s="64">
        <v>2</v>
      </c>
      <c r="D292" s="65">
        <f>(48.6+2.36)*(10.764)</f>
        <v>548.53343999999993</v>
      </c>
      <c r="E292" s="66">
        <v>0</v>
      </c>
      <c r="F292" s="66">
        <f t="shared" ref="F292:F298" si="36">D292*(($F$218)+1)+(IF(E292&lt;101,E292,IF(E292&lt;201,E292/2,IF(E292&lt;=301,E292/3,E292/4))))</f>
        <v>822.80015999999989</v>
      </c>
      <c r="G292" s="136" t="str">
        <f>A291</f>
        <v>8th &amp; 13th Floor (Part Refuge Area)</v>
      </c>
      <c r="H292" s="137"/>
      <c r="I292" s="38">
        <f>4817000/F292</f>
        <v>5854.3984726497874</v>
      </c>
      <c r="J292" s="54">
        <f>5000*F292</f>
        <v>4114000.7999999993</v>
      </c>
      <c r="K292" s="54">
        <f>4600*F292</f>
        <v>3784880.7359999996</v>
      </c>
      <c r="L292" s="224"/>
      <c r="M292" s="224"/>
      <c r="N292" s="38">
        <v>801</v>
      </c>
      <c r="O292" s="54">
        <v>1301</v>
      </c>
      <c r="P292" s="61" t="str">
        <f>N292&amp;""&amp;" &amp; "&amp;""&amp;O292</f>
        <v>801 &amp; 1301</v>
      </c>
    </row>
    <row r="293" spans="1:16" s="54" customFormat="1" ht="15.75" customHeight="1" x14ac:dyDescent="0.35">
      <c r="A293" s="132" t="str">
        <f t="shared" ref="A293:A299" si="37">P293</f>
        <v>802 &amp; 1302</v>
      </c>
      <c r="B293" s="133"/>
      <c r="C293" s="64">
        <v>2</v>
      </c>
      <c r="D293" s="65">
        <f>(45.47+2.05)*(10.764)</f>
        <v>511.50527999999991</v>
      </c>
      <c r="E293" s="66">
        <v>0</v>
      </c>
      <c r="F293" s="66">
        <f t="shared" si="36"/>
        <v>767.2579199999999</v>
      </c>
      <c r="G293" s="138"/>
      <c r="H293" s="139"/>
      <c r="I293" s="38">
        <f>4500000/F293</f>
        <v>5865.0420969261559</v>
      </c>
      <c r="J293" s="61">
        <f t="shared" ref="J293:J298" si="38">5000*F293</f>
        <v>3836289.5999999996</v>
      </c>
      <c r="K293" s="61">
        <f t="shared" ref="K293:K298" si="39">4600*F293</f>
        <v>3529386.4319999996</v>
      </c>
      <c r="L293" s="224"/>
      <c r="M293" s="224"/>
      <c r="N293" s="38">
        <v>802</v>
      </c>
      <c r="O293" s="54">
        <v>1302</v>
      </c>
      <c r="P293" s="68" t="str">
        <f t="shared" ref="P293:P299" si="40">N293&amp;""&amp;" &amp; "&amp;""&amp;O293</f>
        <v>802 &amp; 1302</v>
      </c>
    </row>
    <row r="294" spans="1:16" s="54" customFormat="1" ht="15.75" customHeight="1" x14ac:dyDescent="0.35">
      <c r="A294" s="132" t="str">
        <f t="shared" si="37"/>
        <v>803 &amp; 1303</v>
      </c>
      <c r="B294" s="133"/>
      <c r="C294" s="64">
        <v>2</v>
      </c>
      <c r="D294" s="65">
        <f>(45.47+2.05)*(10.764)</f>
        <v>511.50527999999991</v>
      </c>
      <c r="E294" s="66">
        <v>0</v>
      </c>
      <c r="F294" s="66">
        <f t="shared" si="36"/>
        <v>767.2579199999999</v>
      </c>
      <c r="G294" s="138"/>
      <c r="H294" s="139"/>
      <c r="I294" s="38"/>
      <c r="J294" s="61">
        <f t="shared" si="38"/>
        <v>3836289.5999999996</v>
      </c>
      <c r="K294" s="61">
        <f t="shared" si="39"/>
        <v>3529386.4319999996</v>
      </c>
      <c r="L294" s="224"/>
      <c r="M294" s="224"/>
      <c r="N294" s="38">
        <v>803</v>
      </c>
      <c r="O294" s="61">
        <v>1303</v>
      </c>
      <c r="P294" s="68" t="str">
        <f t="shared" si="40"/>
        <v>803 &amp; 1303</v>
      </c>
    </row>
    <row r="295" spans="1:16" s="54" customFormat="1" ht="15.75" customHeight="1" x14ac:dyDescent="0.35">
      <c r="A295" s="132" t="str">
        <f t="shared" si="37"/>
        <v>804 &amp; 1304</v>
      </c>
      <c r="B295" s="133"/>
      <c r="C295" s="64">
        <v>2</v>
      </c>
      <c r="D295" s="65">
        <f>(48.6+2.36)*(10.764)</f>
        <v>548.53343999999993</v>
      </c>
      <c r="E295" s="66">
        <v>0</v>
      </c>
      <c r="F295" s="66">
        <f t="shared" si="36"/>
        <v>822.80015999999989</v>
      </c>
      <c r="G295" s="138"/>
      <c r="H295" s="139"/>
      <c r="I295" s="38">
        <f>4000000/F295</f>
        <v>4861.4477663689331</v>
      </c>
      <c r="J295" s="61">
        <f t="shared" si="38"/>
        <v>4114000.7999999993</v>
      </c>
      <c r="K295" s="61">
        <f t="shared" si="39"/>
        <v>3784880.7359999996</v>
      </c>
      <c r="L295" s="224"/>
      <c r="M295" s="224"/>
      <c r="N295" s="38">
        <v>804</v>
      </c>
      <c r="O295" s="61">
        <v>1304</v>
      </c>
      <c r="P295" s="68" t="str">
        <f t="shared" si="40"/>
        <v>804 &amp; 1304</v>
      </c>
    </row>
    <row r="296" spans="1:16" s="54" customFormat="1" ht="15.75" customHeight="1" x14ac:dyDescent="0.35">
      <c r="A296" s="132" t="str">
        <f t="shared" si="37"/>
        <v>805 &amp; 1305</v>
      </c>
      <c r="B296" s="133"/>
      <c r="C296" s="64">
        <v>2</v>
      </c>
      <c r="D296" s="65">
        <f>(48.6+2.36)*(10.764)</f>
        <v>548.53343999999993</v>
      </c>
      <c r="E296" s="66">
        <v>0</v>
      </c>
      <c r="F296" s="66">
        <f t="shared" si="36"/>
        <v>822.80015999999989</v>
      </c>
      <c r="G296" s="138"/>
      <c r="H296" s="139"/>
      <c r="I296" s="38">
        <f t="shared" ref="I296:I299" si="41">4000000/F296</f>
        <v>4861.4477663689331</v>
      </c>
      <c r="J296" s="61">
        <f t="shared" si="38"/>
        <v>4114000.7999999993</v>
      </c>
      <c r="K296" s="61">
        <f t="shared" si="39"/>
        <v>3784880.7359999996</v>
      </c>
      <c r="L296" s="224"/>
      <c r="M296" s="224"/>
      <c r="N296" s="38">
        <v>805</v>
      </c>
      <c r="O296" s="61">
        <v>1305</v>
      </c>
      <c r="P296" s="68" t="str">
        <f t="shared" si="40"/>
        <v>805 &amp; 1305</v>
      </c>
    </row>
    <row r="297" spans="1:16" s="54" customFormat="1" ht="15.75" customHeight="1" x14ac:dyDescent="0.35">
      <c r="A297" s="132" t="str">
        <f t="shared" si="37"/>
        <v>806 &amp; 1306</v>
      </c>
      <c r="B297" s="133"/>
      <c r="C297" s="64">
        <v>2</v>
      </c>
      <c r="D297" s="65">
        <f>(45.47+2.05)*(10.764)</f>
        <v>511.50527999999991</v>
      </c>
      <c r="E297" s="66">
        <v>0</v>
      </c>
      <c r="F297" s="66">
        <f t="shared" si="36"/>
        <v>767.2579199999999</v>
      </c>
      <c r="G297" s="138"/>
      <c r="H297" s="139"/>
      <c r="I297" s="38">
        <f t="shared" si="41"/>
        <v>5213.3707528232499</v>
      </c>
      <c r="J297" s="61">
        <f t="shared" si="38"/>
        <v>3836289.5999999996</v>
      </c>
      <c r="K297" s="61">
        <f t="shared" si="39"/>
        <v>3529386.4319999996</v>
      </c>
      <c r="L297" s="224"/>
      <c r="M297" s="224"/>
      <c r="N297" s="38">
        <v>806</v>
      </c>
      <c r="O297" s="61">
        <v>1306</v>
      </c>
      <c r="P297" s="68" t="str">
        <f t="shared" si="40"/>
        <v>806 &amp; 1306</v>
      </c>
    </row>
    <row r="298" spans="1:16" s="54" customFormat="1" ht="15.75" customHeight="1" x14ac:dyDescent="0.35">
      <c r="A298" s="132" t="str">
        <f t="shared" si="37"/>
        <v>807 &amp; 1307</v>
      </c>
      <c r="B298" s="133"/>
      <c r="C298" s="64">
        <v>2</v>
      </c>
      <c r="D298" s="65">
        <f>(45.47+2.05)*(10.764)</f>
        <v>511.50527999999991</v>
      </c>
      <c r="E298" s="66">
        <v>0</v>
      </c>
      <c r="F298" s="66">
        <f t="shared" si="36"/>
        <v>767.2579199999999</v>
      </c>
      <c r="G298" s="138"/>
      <c r="H298" s="139"/>
      <c r="I298" s="38">
        <f t="shared" si="41"/>
        <v>5213.3707528232499</v>
      </c>
      <c r="J298" s="61">
        <f t="shared" si="38"/>
        <v>3836289.5999999996</v>
      </c>
      <c r="K298" s="61">
        <f t="shared" si="39"/>
        <v>3529386.4319999996</v>
      </c>
      <c r="L298" s="224"/>
      <c r="M298" s="224"/>
      <c r="N298" s="38">
        <v>807</v>
      </c>
      <c r="O298" s="61">
        <v>1307</v>
      </c>
      <c r="P298" s="68" t="str">
        <f t="shared" si="40"/>
        <v>807 &amp; 1307</v>
      </c>
    </row>
    <row r="299" spans="1:16" s="54" customFormat="1" ht="15.75" customHeight="1" x14ac:dyDescent="0.35">
      <c r="A299" s="132" t="str">
        <f t="shared" si="37"/>
        <v>808 &amp; 1308</v>
      </c>
      <c r="B299" s="133"/>
      <c r="C299" s="237" t="s">
        <v>193</v>
      </c>
      <c r="D299" s="238"/>
      <c r="E299" s="238"/>
      <c r="F299" s="239"/>
      <c r="G299" s="140"/>
      <c r="H299" s="141"/>
      <c r="I299" s="38" t="e">
        <f t="shared" si="41"/>
        <v>#DIV/0!</v>
      </c>
      <c r="L299" s="224"/>
      <c r="M299" s="224"/>
      <c r="N299" s="38">
        <v>808</v>
      </c>
      <c r="O299" s="61">
        <v>1308</v>
      </c>
      <c r="P299" s="68" t="str">
        <f t="shared" si="40"/>
        <v>808 &amp; 1308</v>
      </c>
    </row>
    <row r="300" spans="1:16" s="68" customFormat="1" x14ac:dyDescent="0.35">
      <c r="A300" s="169" t="s">
        <v>215</v>
      </c>
      <c r="B300" s="170"/>
      <c r="C300" s="170"/>
      <c r="D300" s="170"/>
      <c r="E300" s="170"/>
      <c r="F300" s="170"/>
      <c r="G300" s="170"/>
      <c r="H300" s="171"/>
      <c r="J300" s="38"/>
    </row>
    <row r="301" spans="1:16" s="68" customFormat="1" x14ac:dyDescent="0.35">
      <c r="A301" s="175" t="s">
        <v>213</v>
      </c>
      <c r="B301" s="175"/>
      <c r="C301" s="175"/>
      <c r="D301" s="175"/>
      <c r="E301" s="175"/>
      <c r="F301" s="175"/>
      <c r="G301" s="175"/>
      <c r="H301" s="175"/>
      <c r="J301" s="38"/>
      <c r="P301" s="68" t="str">
        <f t="shared" ref="P301" si="42">N301&amp;""&amp;" to "&amp;""&amp;O301</f>
        <v xml:space="preserve"> to </v>
      </c>
    </row>
    <row r="302" spans="1:16" s="68" customFormat="1" ht="15.75" customHeight="1" x14ac:dyDescent="0.35">
      <c r="A302" s="175" t="s">
        <v>224</v>
      </c>
      <c r="B302" s="175"/>
      <c r="C302" s="175"/>
      <c r="D302" s="175"/>
      <c r="E302" s="175"/>
      <c r="F302" s="175"/>
      <c r="G302" s="175"/>
      <c r="H302" s="175"/>
      <c r="J302" s="38"/>
      <c r="P302" s="68" t="str">
        <f t="shared" ref="P302:P309" si="43">N302&amp;""&amp;" to "&amp;""&amp;O302</f>
        <v xml:space="preserve"> to </v>
      </c>
    </row>
    <row r="303" spans="1:16" s="68" customFormat="1" ht="15.75" customHeight="1" x14ac:dyDescent="0.35">
      <c r="A303" s="175" t="s">
        <v>191</v>
      </c>
      <c r="B303" s="175"/>
      <c r="C303" s="175"/>
      <c r="D303" s="175"/>
      <c r="E303" s="175"/>
      <c r="F303" s="175"/>
      <c r="G303" s="175"/>
      <c r="H303" s="175"/>
      <c r="J303" s="38"/>
      <c r="P303" s="68" t="str">
        <f t="shared" si="43"/>
        <v xml:space="preserve"> to </v>
      </c>
    </row>
    <row r="304" spans="1:16" s="68" customFormat="1" ht="15.75" customHeight="1" x14ac:dyDescent="0.35">
      <c r="A304" s="125" t="str">
        <f>P283</f>
        <v>101,.., 1401</v>
      </c>
      <c r="B304" s="125"/>
      <c r="C304" s="90" t="s">
        <v>218</v>
      </c>
      <c r="D304" s="62">
        <f>(45.47+2.05)*(10.764)</f>
        <v>511.50527999999991</v>
      </c>
      <c r="E304" s="83">
        <v>0</v>
      </c>
      <c r="F304" s="83">
        <f t="shared" ref="F304:F309" si="44">D304*(($F$218)+1)+(IF(E304&lt;101,E304,IF(E304&lt;201,E304/2,IF(E304&lt;=301,E304/3,E304/4))))</f>
        <v>767.2579199999999</v>
      </c>
      <c r="G304" s="125" t="str">
        <f>A303</f>
        <v>1st to 7th, 9th to 12th &amp; 14th Floor For Residential</v>
      </c>
      <c r="H304" s="125"/>
      <c r="I304" s="38"/>
      <c r="L304" s="224"/>
      <c r="M304" s="224"/>
      <c r="N304" s="38"/>
      <c r="P304" s="68" t="str">
        <f t="shared" si="43"/>
        <v xml:space="preserve"> to </v>
      </c>
    </row>
    <row r="305" spans="1:16" s="68" customFormat="1" ht="15.75" customHeight="1" x14ac:dyDescent="0.35">
      <c r="A305" s="125" t="str">
        <f t="shared" ref="A305:A309" si="45">P284</f>
        <v>102,.., 1402</v>
      </c>
      <c r="B305" s="125"/>
      <c r="C305" s="90" t="s">
        <v>218</v>
      </c>
      <c r="D305" s="62">
        <f>(45.47+2.05)*(10.764)</f>
        <v>511.50527999999991</v>
      </c>
      <c r="E305" s="83">
        <v>0</v>
      </c>
      <c r="F305" s="83">
        <f t="shared" si="44"/>
        <v>767.2579199999999</v>
      </c>
      <c r="G305" s="125"/>
      <c r="H305" s="125"/>
      <c r="I305" s="38"/>
      <c r="L305" s="224"/>
      <c r="M305" s="224"/>
      <c r="N305" s="38"/>
      <c r="P305" s="68" t="str">
        <f t="shared" si="43"/>
        <v xml:space="preserve"> to </v>
      </c>
    </row>
    <row r="306" spans="1:16" s="68" customFormat="1" ht="15.75" customHeight="1" x14ac:dyDescent="0.35">
      <c r="A306" s="125" t="str">
        <f t="shared" si="45"/>
        <v>103,.., 1403</v>
      </c>
      <c r="B306" s="125"/>
      <c r="C306" s="90" t="s">
        <v>218</v>
      </c>
      <c r="D306" s="62">
        <f>(45.47+2.05)*(10.764)</f>
        <v>511.50527999999991</v>
      </c>
      <c r="E306" s="83">
        <v>0</v>
      </c>
      <c r="F306" s="83">
        <f t="shared" si="44"/>
        <v>767.2579199999999</v>
      </c>
      <c r="G306" s="125"/>
      <c r="H306" s="125"/>
      <c r="I306" s="38"/>
      <c r="L306" s="224"/>
      <c r="M306" s="224"/>
      <c r="N306" s="38"/>
      <c r="P306" s="68" t="str">
        <f t="shared" si="43"/>
        <v xml:space="preserve"> to </v>
      </c>
    </row>
    <row r="307" spans="1:16" s="68" customFormat="1" ht="15.75" customHeight="1" x14ac:dyDescent="0.35">
      <c r="A307" s="125" t="str">
        <f t="shared" si="45"/>
        <v>104,.., 1404</v>
      </c>
      <c r="B307" s="125"/>
      <c r="C307" s="90" t="s">
        <v>218</v>
      </c>
      <c r="D307" s="62">
        <f>(45.47+2.05)*(10.764)</f>
        <v>511.50527999999991</v>
      </c>
      <c r="E307" s="83">
        <v>0</v>
      </c>
      <c r="F307" s="83">
        <f t="shared" si="44"/>
        <v>767.2579199999999</v>
      </c>
      <c r="G307" s="125"/>
      <c r="H307" s="125"/>
      <c r="I307" s="38"/>
      <c r="L307" s="224"/>
      <c r="M307" s="224"/>
      <c r="N307" s="38"/>
      <c r="P307" s="68" t="str">
        <f t="shared" si="43"/>
        <v xml:space="preserve"> to </v>
      </c>
    </row>
    <row r="308" spans="1:16" s="68" customFormat="1" ht="15.75" customHeight="1" x14ac:dyDescent="0.35">
      <c r="A308" s="125" t="str">
        <f t="shared" si="45"/>
        <v>105,.., 1405</v>
      </c>
      <c r="B308" s="125"/>
      <c r="C308" s="90" t="s">
        <v>218</v>
      </c>
      <c r="D308" s="62">
        <f>(48.61+2.36)*(10.764)</f>
        <v>548.64107999999999</v>
      </c>
      <c r="E308" s="83">
        <v>0</v>
      </c>
      <c r="F308" s="83">
        <f t="shared" si="44"/>
        <v>822.96162000000004</v>
      </c>
      <c r="G308" s="125"/>
      <c r="H308" s="125"/>
      <c r="I308" s="38"/>
      <c r="L308" s="224"/>
      <c r="M308" s="224"/>
      <c r="N308" s="38"/>
      <c r="P308" s="68" t="str">
        <f t="shared" si="43"/>
        <v xml:space="preserve"> to </v>
      </c>
    </row>
    <row r="309" spans="1:16" s="68" customFormat="1" ht="15.75" customHeight="1" x14ac:dyDescent="0.35">
      <c r="A309" s="125" t="str">
        <f t="shared" si="45"/>
        <v>106,.., 1406</v>
      </c>
      <c r="B309" s="125"/>
      <c r="C309" s="90" t="s">
        <v>218</v>
      </c>
      <c r="D309" s="62">
        <f>(48.61+2.36)*(10.764)</f>
        <v>548.64107999999999</v>
      </c>
      <c r="E309" s="83">
        <v>0</v>
      </c>
      <c r="F309" s="83">
        <f t="shared" si="44"/>
        <v>822.96162000000004</v>
      </c>
      <c r="G309" s="125"/>
      <c r="H309" s="125"/>
      <c r="I309" s="38"/>
      <c r="L309" s="224"/>
      <c r="M309" s="224"/>
      <c r="N309" s="38"/>
      <c r="P309" s="68" t="str">
        <f t="shared" si="43"/>
        <v xml:space="preserve"> to </v>
      </c>
    </row>
    <row r="310" spans="1:16" s="68" customFormat="1" x14ac:dyDescent="0.35">
      <c r="A310" s="129" t="s">
        <v>192</v>
      </c>
      <c r="B310" s="130"/>
      <c r="C310" s="130"/>
      <c r="D310" s="130"/>
      <c r="E310" s="130"/>
      <c r="F310" s="130"/>
      <c r="G310" s="130"/>
      <c r="H310" s="131"/>
      <c r="J310" s="38"/>
      <c r="P310" s="68" t="str">
        <f t="shared" ref="P310:P316" si="46">N310&amp;""&amp;" to "&amp;""&amp;O310</f>
        <v xml:space="preserve"> to </v>
      </c>
    </row>
    <row r="311" spans="1:16" s="68" customFormat="1" ht="15.75" customHeight="1" x14ac:dyDescent="0.35">
      <c r="A311" s="132" t="str">
        <f>P292</f>
        <v>801 &amp; 1301</v>
      </c>
      <c r="B311" s="133"/>
      <c r="C311" s="64" t="s">
        <v>218</v>
      </c>
      <c r="D311" s="62">
        <f>(45.47+2.05)*(10.764)</f>
        <v>511.50527999999991</v>
      </c>
      <c r="E311" s="71">
        <v>0</v>
      </c>
      <c r="F311" s="71">
        <f t="shared" ref="F311:F316" si="47">D311*(($F$218)+1)+(IF(E311&lt;101,E311,IF(E311&lt;201,E311/2,IF(E311&lt;=301,E311/3,E311/4))))</f>
        <v>767.2579199999999</v>
      </c>
      <c r="G311" s="136" t="str">
        <f>A310</f>
        <v>8th &amp; 13th Floor (Part Refuge Area)</v>
      </c>
      <c r="H311" s="137"/>
      <c r="I311" s="38"/>
      <c r="L311" s="224"/>
      <c r="M311" s="224"/>
      <c r="N311" s="38"/>
      <c r="P311" s="68" t="str">
        <f t="shared" si="46"/>
        <v xml:space="preserve"> to </v>
      </c>
    </row>
    <row r="312" spans="1:16" s="68" customFormat="1" ht="15.75" customHeight="1" x14ac:dyDescent="0.35">
      <c r="A312" s="132" t="str">
        <f t="shared" ref="A312:A316" si="48">P293</f>
        <v>802 &amp; 1302</v>
      </c>
      <c r="B312" s="133"/>
      <c r="C312" s="64" t="s">
        <v>218</v>
      </c>
      <c r="D312" s="62">
        <f>(45.47+2.05)*(10.764)</f>
        <v>511.50527999999991</v>
      </c>
      <c r="E312" s="71">
        <v>0</v>
      </c>
      <c r="F312" s="71">
        <f t="shared" si="47"/>
        <v>767.2579199999999</v>
      </c>
      <c r="G312" s="138"/>
      <c r="H312" s="139"/>
      <c r="I312" s="38"/>
      <c r="L312" s="224"/>
      <c r="M312" s="224"/>
      <c r="N312" s="38"/>
      <c r="P312" s="68" t="str">
        <f t="shared" si="46"/>
        <v xml:space="preserve"> to </v>
      </c>
    </row>
    <row r="313" spans="1:16" s="68" customFormat="1" ht="15.75" customHeight="1" x14ac:dyDescent="0.35">
      <c r="A313" s="132" t="str">
        <f t="shared" si="48"/>
        <v>803 &amp; 1303</v>
      </c>
      <c r="B313" s="133"/>
      <c r="C313" s="64" t="s">
        <v>218</v>
      </c>
      <c r="D313" s="62">
        <f>(45.47+2.05)*(10.764)</f>
        <v>511.50527999999991</v>
      </c>
      <c r="E313" s="71">
        <v>0</v>
      </c>
      <c r="F313" s="71">
        <f t="shared" si="47"/>
        <v>767.2579199999999</v>
      </c>
      <c r="G313" s="138"/>
      <c r="H313" s="139"/>
      <c r="I313" s="38"/>
      <c r="L313" s="224"/>
      <c r="M313" s="224"/>
      <c r="N313" s="38"/>
      <c r="P313" s="68" t="str">
        <f t="shared" si="46"/>
        <v xml:space="preserve"> to </v>
      </c>
    </row>
    <row r="314" spans="1:16" s="68" customFormat="1" ht="15.75" customHeight="1" x14ac:dyDescent="0.35">
      <c r="A314" s="132" t="str">
        <f t="shared" si="48"/>
        <v>804 &amp; 1304</v>
      </c>
      <c r="B314" s="133"/>
      <c r="C314" s="64" t="s">
        <v>218</v>
      </c>
      <c r="D314" s="62">
        <f>(45.47+2.05)*(10.764)</f>
        <v>511.50527999999991</v>
      </c>
      <c r="E314" s="71">
        <v>0</v>
      </c>
      <c r="F314" s="71">
        <f t="shared" si="47"/>
        <v>767.2579199999999</v>
      </c>
      <c r="G314" s="138"/>
      <c r="H314" s="139"/>
      <c r="I314" s="38"/>
      <c r="L314" s="224"/>
      <c r="M314" s="224"/>
      <c r="N314" s="38"/>
      <c r="P314" s="68" t="str">
        <f t="shared" si="46"/>
        <v xml:space="preserve"> to </v>
      </c>
    </row>
    <row r="315" spans="1:16" s="68" customFormat="1" ht="15.75" customHeight="1" x14ac:dyDescent="0.35">
      <c r="A315" s="132" t="str">
        <f t="shared" si="48"/>
        <v>805 &amp; 1305</v>
      </c>
      <c r="B315" s="133"/>
      <c r="C315" s="132" t="s">
        <v>193</v>
      </c>
      <c r="D315" s="243"/>
      <c r="E315" s="243"/>
      <c r="F315" s="133"/>
      <c r="G315" s="138"/>
      <c r="H315" s="139"/>
      <c r="I315" s="38"/>
      <c r="L315" s="224"/>
      <c r="M315" s="224"/>
      <c r="N315" s="38"/>
      <c r="P315" s="68" t="str">
        <f t="shared" si="46"/>
        <v xml:space="preserve"> to </v>
      </c>
    </row>
    <row r="316" spans="1:16" s="68" customFormat="1" ht="15.75" customHeight="1" x14ac:dyDescent="0.35">
      <c r="A316" s="132" t="str">
        <f t="shared" si="48"/>
        <v>806 &amp; 1306</v>
      </c>
      <c r="B316" s="133"/>
      <c r="C316" s="64" t="s">
        <v>218</v>
      </c>
      <c r="D316" s="62">
        <f>(48.61+2.36)*(10.764)</f>
        <v>548.64107999999999</v>
      </c>
      <c r="E316" s="71">
        <v>0</v>
      </c>
      <c r="F316" s="71">
        <f t="shared" si="47"/>
        <v>822.96162000000004</v>
      </c>
      <c r="G316" s="138"/>
      <c r="H316" s="139"/>
      <c r="I316" s="38"/>
      <c r="L316" s="224"/>
      <c r="M316" s="224"/>
      <c r="N316" s="38"/>
      <c r="P316" s="68" t="str">
        <f t="shared" si="46"/>
        <v xml:space="preserve"> to </v>
      </c>
    </row>
    <row r="317" spans="1:16" s="45" customFormat="1" x14ac:dyDescent="0.35">
      <c r="A317" s="129" t="s">
        <v>210</v>
      </c>
      <c r="B317" s="130"/>
      <c r="C317" s="130"/>
      <c r="D317" s="130"/>
      <c r="E317" s="130"/>
      <c r="F317" s="130"/>
      <c r="G317" s="130"/>
      <c r="H317" s="131"/>
      <c r="J317" s="38"/>
      <c r="P317" s="61" t="str">
        <f t="shared" ref="P317:P409" si="49">N317&amp;""&amp;" to "&amp;""&amp;O317</f>
        <v xml:space="preserve"> to </v>
      </c>
    </row>
    <row r="318" spans="1:16" s="68" customFormat="1" x14ac:dyDescent="0.35">
      <c r="A318" s="129" t="s">
        <v>217</v>
      </c>
      <c r="B318" s="130"/>
      <c r="C318" s="130"/>
      <c r="D318" s="130"/>
      <c r="E318" s="130"/>
      <c r="F318" s="130"/>
      <c r="G318" s="130"/>
      <c r="H318" s="131"/>
      <c r="J318" s="38"/>
      <c r="P318" s="68" t="str">
        <f t="shared" ref="P318" si="50">N318&amp;""&amp;" to "&amp;""&amp;O318</f>
        <v xml:space="preserve"> to </v>
      </c>
    </row>
    <row r="319" spans="1:16" s="68" customFormat="1" x14ac:dyDescent="0.35">
      <c r="A319" s="129" t="s">
        <v>191</v>
      </c>
      <c r="B319" s="130"/>
      <c r="C319" s="130"/>
      <c r="D319" s="130"/>
      <c r="E319" s="130"/>
      <c r="F319" s="130"/>
      <c r="G319" s="130"/>
      <c r="H319" s="131"/>
      <c r="I319" s="68">
        <f>7+4+1</f>
        <v>12</v>
      </c>
      <c r="J319" s="38"/>
      <c r="P319" s="68" t="str">
        <f t="shared" ref="P319" si="51">N319&amp;""&amp;" to "&amp;""&amp;O319</f>
        <v xml:space="preserve"> to </v>
      </c>
    </row>
    <row r="320" spans="1:16" s="45" customFormat="1" ht="15.75" customHeight="1" x14ac:dyDescent="0.35">
      <c r="A320" s="132" t="str">
        <f>P283</f>
        <v>101,.., 1401</v>
      </c>
      <c r="B320" s="133"/>
      <c r="C320" s="64" t="s">
        <v>218</v>
      </c>
      <c r="D320" s="62">
        <f>(48.61+2.36)*(10.764)</f>
        <v>548.64107999999999</v>
      </c>
      <c r="E320" s="66">
        <v>0</v>
      </c>
      <c r="F320" s="66">
        <f t="shared" ref="F320:F327" si="52">D320*(($F$218)+1)+(IF(E320&lt;101,E320,IF(E320&lt;201,E320/2,IF(E320&lt;=301,E320/3,E320/4))))</f>
        <v>822.96162000000004</v>
      </c>
      <c r="G320" s="136" t="str">
        <f>A319</f>
        <v>1st to 7th, 9th to 12th &amp; 14th Floor For Residential</v>
      </c>
      <c r="H320" s="137"/>
      <c r="I320" s="38">
        <f>4.05*3.05+2.75*2.1+2.75*3.35+3.05*3.65+1.2*(2.05+2.1)+3.1*0.9+1.95*0.9</f>
        <v>47.997500000000002</v>
      </c>
      <c r="L320" s="224"/>
      <c r="M320" s="224"/>
      <c r="N320" s="38"/>
      <c r="P320" s="61" t="str">
        <f t="shared" si="49"/>
        <v xml:space="preserve"> to </v>
      </c>
    </row>
    <row r="321" spans="1:16" s="45" customFormat="1" ht="15.75" customHeight="1" x14ac:dyDescent="0.35">
      <c r="A321" s="132" t="str">
        <f t="shared" ref="A321:A327" si="53">P284</f>
        <v>102,.., 1402</v>
      </c>
      <c r="B321" s="133"/>
      <c r="C321" s="64" t="s">
        <v>218</v>
      </c>
      <c r="D321" s="62">
        <f>(45.47+2.05)*(10.764)</f>
        <v>511.50527999999991</v>
      </c>
      <c r="E321" s="66">
        <v>0</v>
      </c>
      <c r="F321" s="66">
        <f t="shared" si="52"/>
        <v>767.2579199999999</v>
      </c>
      <c r="G321" s="138"/>
      <c r="H321" s="139"/>
      <c r="I321" s="38"/>
      <c r="L321" s="224"/>
      <c r="M321" s="224"/>
      <c r="N321" s="38"/>
      <c r="P321" s="61" t="str">
        <f t="shared" si="49"/>
        <v xml:space="preserve"> to </v>
      </c>
    </row>
    <row r="322" spans="1:16" s="45" customFormat="1" ht="15.75" customHeight="1" x14ac:dyDescent="0.35">
      <c r="A322" s="132" t="str">
        <f t="shared" si="53"/>
        <v>103,.., 1403</v>
      </c>
      <c r="B322" s="133"/>
      <c r="C322" s="64" t="s">
        <v>218</v>
      </c>
      <c r="D322" s="62">
        <f>(45.47+2.05)*(10.764)</f>
        <v>511.50527999999991</v>
      </c>
      <c r="E322" s="66">
        <v>0</v>
      </c>
      <c r="F322" s="66">
        <f t="shared" si="52"/>
        <v>767.2579199999999</v>
      </c>
      <c r="G322" s="138"/>
      <c r="H322" s="139"/>
      <c r="I322" s="38">
        <f>3.95*3.05+2.45*2.1+2.75*(3.35+3.35)+1.2*(2.05+2.1)+3.05*0.9+1.65*0.9</f>
        <v>44.827499999999993</v>
      </c>
      <c r="L322" s="224"/>
      <c r="M322" s="224"/>
      <c r="N322" s="38"/>
      <c r="P322" s="61" t="str">
        <f t="shared" si="49"/>
        <v xml:space="preserve"> to </v>
      </c>
    </row>
    <row r="323" spans="1:16" s="45" customFormat="1" ht="15.75" customHeight="1" x14ac:dyDescent="0.35">
      <c r="A323" s="132" t="str">
        <f t="shared" si="53"/>
        <v>104,.., 1404</v>
      </c>
      <c r="B323" s="133"/>
      <c r="C323" s="64" t="s">
        <v>218</v>
      </c>
      <c r="D323" s="62">
        <f>(48.61+2.36)*(10.764)</f>
        <v>548.64107999999999</v>
      </c>
      <c r="E323" s="66">
        <v>0</v>
      </c>
      <c r="F323" s="66">
        <f t="shared" si="52"/>
        <v>822.96162000000004</v>
      </c>
      <c r="G323" s="138"/>
      <c r="H323" s="139"/>
      <c r="I323" s="38"/>
      <c r="L323" s="224"/>
      <c r="M323" s="224"/>
      <c r="N323" s="38"/>
      <c r="P323" s="61" t="str">
        <f t="shared" si="49"/>
        <v xml:space="preserve"> to </v>
      </c>
    </row>
    <row r="324" spans="1:16" s="54" customFormat="1" ht="15.75" customHeight="1" x14ac:dyDescent="0.35">
      <c r="A324" s="132" t="str">
        <f t="shared" si="53"/>
        <v>105,.., 1405</v>
      </c>
      <c r="B324" s="133"/>
      <c r="C324" s="64" t="s">
        <v>218</v>
      </c>
      <c r="D324" s="62">
        <f>(48.61+2.36)*(10.764)</f>
        <v>548.64107999999999</v>
      </c>
      <c r="E324" s="66">
        <v>0</v>
      </c>
      <c r="F324" s="66">
        <f t="shared" si="52"/>
        <v>822.96162000000004</v>
      </c>
      <c r="G324" s="138"/>
      <c r="H324" s="139"/>
      <c r="I324" s="38"/>
      <c r="L324" s="224"/>
      <c r="M324" s="224"/>
      <c r="N324" s="38"/>
      <c r="P324" s="61" t="str">
        <f t="shared" si="49"/>
        <v xml:space="preserve"> to </v>
      </c>
    </row>
    <row r="325" spans="1:16" s="54" customFormat="1" ht="15.75" customHeight="1" x14ac:dyDescent="0.35">
      <c r="A325" s="132" t="str">
        <f t="shared" si="53"/>
        <v>106,.., 1406</v>
      </c>
      <c r="B325" s="133"/>
      <c r="C325" s="64" t="s">
        <v>218</v>
      </c>
      <c r="D325" s="62">
        <f>(45.47+2.05)*(10.764)</f>
        <v>511.50527999999991</v>
      </c>
      <c r="E325" s="66">
        <v>0</v>
      </c>
      <c r="F325" s="66">
        <f t="shared" si="52"/>
        <v>767.2579199999999</v>
      </c>
      <c r="G325" s="138"/>
      <c r="H325" s="139"/>
      <c r="I325" s="38"/>
      <c r="L325" s="224"/>
      <c r="M325" s="224"/>
      <c r="N325" s="38"/>
      <c r="P325" s="61" t="str">
        <f t="shared" si="49"/>
        <v xml:space="preserve"> to </v>
      </c>
    </row>
    <row r="326" spans="1:16" s="54" customFormat="1" ht="15.75" customHeight="1" x14ac:dyDescent="0.35">
      <c r="A326" s="132" t="str">
        <f t="shared" si="53"/>
        <v>107,.., 1407</v>
      </c>
      <c r="B326" s="133"/>
      <c r="C326" s="64" t="s">
        <v>218</v>
      </c>
      <c r="D326" s="62">
        <f>(45.47+2.05)*(10.764)</f>
        <v>511.50527999999991</v>
      </c>
      <c r="E326" s="66">
        <v>0</v>
      </c>
      <c r="F326" s="66">
        <f t="shared" si="52"/>
        <v>767.2579199999999</v>
      </c>
      <c r="G326" s="138"/>
      <c r="H326" s="139"/>
      <c r="I326" s="38"/>
      <c r="L326" s="224"/>
      <c r="M326" s="224"/>
      <c r="N326" s="38"/>
      <c r="P326" s="61" t="str">
        <f t="shared" si="49"/>
        <v xml:space="preserve"> to </v>
      </c>
    </row>
    <row r="327" spans="1:16" s="54" customFormat="1" ht="15.75" customHeight="1" x14ac:dyDescent="0.35">
      <c r="A327" s="132" t="str">
        <f t="shared" si="53"/>
        <v>108,.., 1408</v>
      </c>
      <c r="B327" s="133"/>
      <c r="C327" s="64" t="s">
        <v>218</v>
      </c>
      <c r="D327" s="62">
        <f>(48.61+2.36)*(10.764)</f>
        <v>548.64107999999999</v>
      </c>
      <c r="E327" s="66">
        <v>0</v>
      </c>
      <c r="F327" s="66">
        <f t="shared" si="52"/>
        <v>822.96162000000004</v>
      </c>
      <c r="G327" s="140"/>
      <c r="H327" s="141"/>
      <c r="I327" s="38"/>
      <c r="L327" s="224"/>
      <c r="M327" s="224"/>
      <c r="N327" s="38"/>
      <c r="P327" s="61" t="str">
        <f t="shared" si="49"/>
        <v xml:space="preserve"> to </v>
      </c>
    </row>
    <row r="328" spans="1:16" s="68" customFormat="1" x14ac:dyDescent="0.35">
      <c r="A328" s="129" t="s">
        <v>192</v>
      </c>
      <c r="B328" s="130"/>
      <c r="C328" s="130"/>
      <c r="D328" s="130"/>
      <c r="E328" s="130"/>
      <c r="F328" s="130"/>
      <c r="G328" s="130"/>
      <c r="H328" s="131"/>
      <c r="I328" s="68">
        <v>2</v>
      </c>
      <c r="J328" s="38"/>
      <c r="P328" s="68" t="str">
        <f t="shared" ref="P328:P367" si="54">N328&amp;""&amp;" to "&amp;""&amp;O328</f>
        <v xml:space="preserve"> to </v>
      </c>
    </row>
    <row r="329" spans="1:16" s="68" customFormat="1" ht="15.75" customHeight="1" x14ac:dyDescent="0.35">
      <c r="A329" s="132" t="str">
        <f>P292</f>
        <v>801 &amp; 1301</v>
      </c>
      <c r="B329" s="133"/>
      <c r="C329" s="64" t="s">
        <v>218</v>
      </c>
      <c r="D329" s="62">
        <f>(48.61+2.36)*(10.764)</f>
        <v>548.64107999999999</v>
      </c>
      <c r="E329" s="71">
        <v>0</v>
      </c>
      <c r="F329" s="71">
        <f t="shared" ref="F329:F335" si="55">D329*(($F$218)+1)+(IF(E329&lt;101,E329,IF(E329&lt;201,E329/2,IF(E329&lt;=301,E329/3,E329/4))))</f>
        <v>822.96162000000004</v>
      </c>
      <c r="G329" s="136" t="str">
        <f>A328</f>
        <v>8th &amp; 13th Floor (Part Refuge Area)</v>
      </c>
      <c r="H329" s="137"/>
      <c r="I329" s="38"/>
      <c r="L329" s="224"/>
      <c r="M329" s="224"/>
      <c r="N329" s="38"/>
      <c r="P329" s="68" t="str">
        <f t="shared" si="54"/>
        <v xml:space="preserve"> to </v>
      </c>
    </row>
    <row r="330" spans="1:16" s="68" customFormat="1" ht="15.75" customHeight="1" x14ac:dyDescent="0.35">
      <c r="A330" s="132" t="str">
        <f t="shared" ref="A330:A336" si="56">P293</f>
        <v>802 &amp; 1302</v>
      </c>
      <c r="B330" s="133"/>
      <c r="C330" s="64" t="s">
        <v>218</v>
      </c>
      <c r="D330" s="62">
        <f t="shared" ref="D330:D331" si="57">(45.47+2.05)*(10.764)</f>
        <v>511.50527999999991</v>
      </c>
      <c r="E330" s="71">
        <v>0</v>
      </c>
      <c r="F330" s="71">
        <f t="shared" si="55"/>
        <v>767.2579199999999</v>
      </c>
      <c r="G330" s="138"/>
      <c r="H330" s="139"/>
      <c r="I330" s="38"/>
      <c r="L330" s="224"/>
      <c r="M330" s="224"/>
      <c r="N330" s="38"/>
      <c r="P330" s="68" t="str">
        <f t="shared" si="54"/>
        <v xml:space="preserve"> to </v>
      </c>
    </row>
    <row r="331" spans="1:16" s="68" customFormat="1" ht="15.75" customHeight="1" x14ac:dyDescent="0.35">
      <c r="A331" s="132" t="str">
        <f t="shared" si="56"/>
        <v>803 &amp; 1303</v>
      </c>
      <c r="B331" s="133"/>
      <c r="C331" s="64" t="s">
        <v>218</v>
      </c>
      <c r="D331" s="62">
        <f t="shared" si="57"/>
        <v>511.50527999999991</v>
      </c>
      <c r="E331" s="71">
        <v>0</v>
      </c>
      <c r="F331" s="71">
        <f t="shared" si="55"/>
        <v>767.2579199999999</v>
      </c>
      <c r="G331" s="138"/>
      <c r="H331" s="139"/>
      <c r="I331" s="38"/>
      <c r="L331" s="224"/>
      <c r="M331" s="224"/>
      <c r="N331" s="38"/>
      <c r="P331" s="68" t="str">
        <f t="shared" si="54"/>
        <v xml:space="preserve"> to </v>
      </c>
    </row>
    <row r="332" spans="1:16" s="68" customFormat="1" ht="15.75" customHeight="1" x14ac:dyDescent="0.35">
      <c r="A332" s="132" t="str">
        <f t="shared" si="56"/>
        <v>804 &amp; 1304</v>
      </c>
      <c r="B332" s="133"/>
      <c r="C332" s="64" t="s">
        <v>218</v>
      </c>
      <c r="D332" s="62">
        <f>(48.61+2.36)*(10.764)</f>
        <v>548.64107999999999</v>
      </c>
      <c r="E332" s="71">
        <v>0</v>
      </c>
      <c r="F332" s="71">
        <f t="shared" si="55"/>
        <v>822.96162000000004</v>
      </c>
      <c r="G332" s="138"/>
      <c r="H332" s="139"/>
      <c r="I332" s="38"/>
      <c r="L332" s="224"/>
      <c r="M332" s="224"/>
      <c r="N332" s="38"/>
      <c r="P332" s="68" t="str">
        <f t="shared" si="54"/>
        <v xml:space="preserve"> to </v>
      </c>
    </row>
    <row r="333" spans="1:16" s="68" customFormat="1" ht="15.75" customHeight="1" x14ac:dyDescent="0.35">
      <c r="A333" s="132" t="str">
        <f t="shared" si="56"/>
        <v>805 &amp; 1305</v>
      </c>
      <c r="B333" s="133"/>
      <c r="C333" s="64" t="s">
        <v>218</v>
      </c>
      <c r="D333" s="62">
        <f>(48.61+1.96*0.9)*(10.764)</f>
        <v>542.22573599999998</v>
      </c>
      <c r="E333" s="71">
        <v>0</v>
      </c>
      <c r="F333" s="71">
        <f t="shared" si="55"/>
        <v>813.33860400000003</v>
      </c>
      <c r="G333" s="138"/>
      <c r="H333" s="139"/>
      <c r="I333" s="38"/>
      <c r="L333" s="224"/>
      <c r="M333" s="224"/>
      <c r="N333" s="38"/>
      <c r="P333" s="68" t="str">
        <f t="shared" si="54"/>
        <v xml:space="preserve"> to </v>
      </c>
    </row>
    <row r="334" spans="1:16" s="68" customFormat="1" ht="15.75" customHeight="1" x14ac:dyDescent="0.35">
      <c r="A334" s="132" t="str">
        <f t="shared" si="56"/>
        <v>806 &amp; 1306</v>
      </c>
      <c r="B334" s="133"/>
      <c r="C334" s="64" t="s">
        <v>218</v>
      </c>
      <c r="D334" s="62">
        <f t="shared" ref="D334:D335" si="58">(45.47+2.05)*(10.764)</f>
        <v>511.50527999999991</v>
      </c>
      <c r="E334" s="71">
        <v>0</v>
      </c>
      <c r="F334" s="71">
        <f t="shared" si="55"/>
        <v>767.2579199999999</v>
      </c>
      <c r="G334" s="138"/>
      <c r="H334" s="139"/>
      <c r="I334" s="38"/>
      <c r="L334" s="224"/>
      <c r="M334" s="224"/>
      <c r="N334" s="38"/>
      <c r="P334" s="68" t="str">
        <f t="shared" si="54"/>
        <v xml:space="preserve"> to </v>
      </c>
    </row>
    <row r="335" spans="1:16" s="68" customFormat="1" ht="15.75" customHeight="1" x14ac:dyDescent="0.35">
      <c r="A335" s="132" t="str">
        <f t="shared" si="56"/>
        <v>807 &amp; 1307</v>
      </c>
      <c r="B335" s="133"/>
      <c r="C335" s="64" t="s">
        <v>218</v>
      </c>
      <c r="D335" s="62">
        <f t="shared" si="58"/>
        <v>511.50527999999991</v>
      </c>
      <c r="E335" s="71">
        <v>0</v>
      </c>
      <c r="F335" s="71">
        <f t="shared" si="55"/>
        <v>767.2579199999999</v>
      </c>
      <c r="G335" s="138"/>
      <c r="H335" s="139"/>
      <c r="I335" s="38"/>
      <c r="L335" s="224"/>
      <c r="M335" s="224"/>
      <c r="N335" s="38"/>
      <c r="P335" s="68" t="str">
        <f t="shared" si="54"/>
        <v xml:space="preserve"> to </v>
      </c>
    </row>
    <row r="336" spans="1:16" s="68" customFormat="1" ht="15.75" customHeight="1" x14ac:dyDescent="0.35">
      <c r="A336" s="132" t="str">
        <f t="shared" si="56"/>
        <v>808 &amp; 1308</v>
      </c>
      <c r="B336" s="133"/>
      <c r="C336" s="237" t="s">
        <v>193</v>
      </c>
      <c r="D336" s="238"/>
      <c r="E336" s="238"/>
      <c r="F336" s="239"/>
      <c r="G336" s="140"/>
      <c r="H336" s="141"/>
      <c r="I336" s="38"/>
      <c r="L336" s="224"/>
      <c r="M336" s="224"/>
      <c r="N336" s="38"/>
      <c r="P336" s="68" t="str">
        <f t="shared" si="54"/>
        <v xml:space="preserve"> to </v>
      </c>
    </row>
    <row r="337" spans="1:16" s="68" customFormat="1" x14ac:dyDescent="0.35">
      <c r="A337" s="129" t="s">
        <v>212</v>
      </c>
      <c r="B337" s="130"/>
      <c r="C337" s="130"/>
      <c r="D337" s="130"/>
      <c r="E337" s="130"/>
      <c r="F337" s="130"/>
      <c r="G337" s="130"/>
      <c r="H337" s="131"/>
      <c r="J337" s="38"/>
      <c r="P337" s="68" t="str">
        <f>N337&amp;""&amp;" to "&amp;""&amp;O337</f>
        <v xml:space="preserve"> to </v>
      </c>
    </row>
    <row r="338" spans="1:16" s="68" customFormat="1" x14ac:dyDescent="0.35">
      <c r="A338" s="129" t="s">
        <v>217</v>
      </c>
      <c r="B338" s="130"/>
      <c r="C338" s="130"/>
      <c r="D338" s="130"/>
      <c r="E338" s="130"/>
      <c r="F338" s="130"/>
      <c r="G338" s="130"/>
      <c r="H338" s="131"/>
      <c r="J338" s="38"/>
      <c r="P338" s="68" t="str">
        <f>N338&amp;""&amp;" to "&amp;""&amp;O338</f>
        <v xml:space="preserve"> to </v>
      </c>
    </row>
    <row r="339" spans="1:16" s="68" customFormat="1" ht="15.75" customHeight="1" x14ac:dyDescent="0.35">
      <c r="A339" s="129" t="s">
        <v>191</v>
      </c>
      <c r="B339" s="130"/>
      <c r="C339" s="130"/>
      <c r="D339" s="130"/>
      <c r="E339" s="130"/>
      <c r="F339" s="130"/>
      <c r="G339" s="130"/>
      <c r="H339" s="131"/>
      <c r="J339" s="38"/>
      <c r="P339" s="68" t="str">
        <f>N339&amp;""&amp;" to "&amp;""&amp;O339</f>
        <v xml:space="preserve"> to </v>
      </c>
    </row>
    <row r="340" spans="1:16" s="68" customFormat="1" ht="15.75" customHeight="1" x14ac:dyDescent="0.35">
      <c r="A340" s="125" t="str">
        <f t="shared" ref="A340:A347" si="59">P283</f>
        <v>101,.., 1401</v>
      </c>
      <c r="B340" s="125"/>
      <c r="C340" s="90" t="s">
        <v>223</v>
      </c>
      <c r="D340" s="65">
        <f>(33.03+2.36)*(10.764)</f>
        <v>380.93795999999998</v>
      </c>
      <c r="E340" s="83">
        <v>0</v>
      </c>
      <c r="F340" s="83">
        <f t="shared" ref="F340:F347" si="60">D340*(($F$218)+1)+(IF(E340&lt;101,E340,IF(E340&lt;201,E340/2,IF(E340&lt;=301,E340/3,E340/4))))</f>
        <v>571.40693999999996</v>
      </c>
      <c r="G340" s="125" t="str">
        <f>A339</f>
        <v>1st to 7th, 9th to 12th &amp; 14th Floor For Residential</v>
      </c>
      <c r="H340" s="125"/>
      <c r="I340" s="38"/>
      <c r="L340" s="224"/>
      <c r="M340" s="224"/>
      <c r="N340" s="38"/>
      <c r="P340" s="68" t="str">
        <f t="shared" ref="P340:P347" si="61">N340&amp;""&amp;" to "&amp;""&amp;O340</f>
        <v xml:space="preserve"> to </v>
      </c>
    </row>
    <row r="341" spans="1:16" s="68" customFormat="1" ht="15.75" customHeight="1" x14ac:dyDescent="0.35">
      <c r="A341" s="125" t="str">
        <f t="shared" si="59"/>
        <v>102,.., 1402</v>
      </c>
      <c r="B341" s="125"/>
      <c r="C341" s="90" t="s">
        <v>223</v>
      </c>
      <c r="D341" s="65">
        <f>(31.67+2.2)*(10.764)</f>
        <v>364.57668000000001</v>
      </c>
      <c r="E341" s="83">
        <v>0</v>
      </c>
      <c r="F341" s="83">
        <f t="shared" si="60"/>
        <v>546.86501999999996</v>
      </c>
      <c r="G341" s="125"/>
      <c r="H341" s="125"/>
      <c r="I341" s="38"/>
      <c r="L341" s="224"/>
      <c r="M341" s="224"/>
      <c r="N341" s="38"/>
      <c r="P341" s="68" t="str">
        <f t="shared" si="61"/>
        <v xml:space="preserve"> to </v>
      </c>
    </row>
    <row r="342" spans="1:16" s="68" customFormat="1" ht="15.75" customHeight="1" x14ac:dyDescent="0.35">
      <c r="A342" s="125" t="str">
        <f t="shared" si="59"/>
        <v>103,.., 1403</v>
      </c>
      <c r="B342" s="125"/>
      <c r="C342" s="90" t="s">
        <v>223</v>
      </c>
      <c r="D342" s="65">
        <f>(31.67+2.2)*(10.764)</f>
        <v>364.57668000000001</v>
      </c>
      <c r="E342" s="83">
        <v>0</v>
      </c>
      <c r="F342" s="83">
        <f t="shared" si="60"/>
        <v>546.86501999999996</v>
      </c>
      <c r="G342" s="125"/>
      <c r="H342" s="125"/>
      <c r="I342" s="38"/>
      <c r="L342" s="224"/>
      <c r="M342" s="224"/>
      <c r="N342" s="38"/>
      <c r="P342" s="68" t="str">
        <f t="shared" si="61"/>
        <v xml:space="preserve"> to </v>
      </c>
    </row>
    <row r="343" spans="1:16" s="68" customFormat="1" ht="15.75" customHeight="1" x14ac:dyDescent="0.35">
      <c r="A343" s="125" t="str">
        <f t="shared" si="59"/>
        <v>104,.., 1404</v>
      </c>
      <c r="B343" s="125"/>
      <c r="C343" s="90" t="s">
        <v>223</v>
      </c>
      <c r="D343" s="65">
        <f>(33.03+2.36)*(10.764)</f>
        <v>380.93795999999998</v>
      </c>
      <c r="E343" s="83">
        <v>0</v>
      </c>
      <c r="F343" s="83">
        <f t="shared" si="60"/>
        <v>571.40693999999996</v>
      </c>
      <c r="G343" s="125"/>
      <c r="H343" s="125"/>
      <c r="I343" s="38"/>
      <c r="L343" s="224"/>
      <c r="M343" s="224"/>
      <c r="N343" s="38"/>
      <c r="P343" s="68" t="str">
        <f t="shared" si="61"/>
        <v xml:space="preserve"> to </v>
      </c>
    </row>
    <row r="344" spans="1:16" s="68" customFormat="1" ht="15.75" customHeight="1" x14ac:dyDescent="0.35">
      <c r="A344" s="125" t="str">
        <f t="shared" si="59"/>
        <v>105,.., 1405</v>
      </c>
      <c r="B344" s="125"/>
      <c r="C344" s="90" t="s">
        <v>223</v>
      </c>
      <c r="D344" s="65">
        <f>(33.03+2.36)*(10.764)</f>
        <v>380.93795999999998</v>
      </c>
      <c r="E344" s="83">
        <v>0</v>
      </c>
      <c r="F344" s="83">
        <f t="shared" si="60"/>
        <v>571.40693999999996</v>
      </c>
      <c r="G344" s="125"/>
      <c r="H344" s="125"/>
      <c r="I344" s="38"/>
      <c r="L344" s="224"/>
      <c r="M344" s="224"/>
      <c r="N344" s="38"/>
      <c r="P344" s="68" t="str">
        <f t="shared" si="61"/>
        <v xml:space="preserve"> to </v>
      </c>
    </row>
    <row r="345" spans="1:16" s="68" customFormat="1" ht="15.75" customHeight="1" x14ac:dyDescent="0.35">
      <c r="A345" s="125" t="str">
        <f t="shared" si="59"/>
        <v>106,.., 1406</v>
      </c>
      <c r="B345" s="125"/>
      <c r="C345" s="90" t="s">
        <v>223</v>
      </c>
      <c r="D345" s="65">
        <f>(31.67+2.2)*(10.764)</f>
        <v>364.57668000000001</v>
      </c>
      <c r="E345" s="83">
        <v>0</v>
      </c>
      <c r="F345" s="83">
        <f t="shared" si="60"/>
        <v>546.86501999999996</v>
      </c>
      <c r="G345" s="125"/>
      <c r="H345" s="125"/>
      <c r="I345" s="38"/>
      <c r="L345" s="224"/>
      <c r="M345" s="224"/>
      <c r="N345" s="38"/>
      <c r="P345" s="68" t="str">
        <f t="shared" si="61"/>
        <v xml:space="preserve"> to </v>
      </c>
    </row>
    <row r="346" spans="1:16" s="68" customFormat="1" ht="15.75" customHeight="1" x14ac:dyDescent="0.35">
      <c r="A346" s="125" t="str">
        <f t="shared" si="59"/>
        <v>107,.., 1407</v>
      </c>
      <c r="B346" s="125"/>
      <c r="C346" s="90" t="s">
        <v>223</v>
      </c>
      <c r="D346" s="65">
        <f>(31.67+2.2)*(10.764)</f>
        <v>364.57668000000001</v>
      </c>
      <c r="E346" s="83">
        <v>0</v>
      </c>
      <c r="F346" s="83">
        <f t="shared" si="60"/>
        <v>546.86501999999996</v>
      </c>
      <c r="G346" s="125"/>
      <c r="H346" s="125"/>
      <c r="I346" s="38"/>
      <c r="L346" s="224"/>
      <c r="M346" s="224"/>
      <c r="N346" s="38"/>
      <c r="P346" s="68" t="str">
        <f t="shared" si="61"/>
        <v xml:space="preserve"> to </v>
      </c>
    </row>
    <row r="347" spans="1:16" s="68" customFormat="1" ht="15.75" customHeight="1" x14ac:dyDescent="0.35">
      <c r="A347" s="125" t="str">
        <f t="shared" si="59"/>
        <v>108,.., 1408</v>
      </c>
      <c r="B347" s="125"/>
      <c r="C347" s="90" t="s">
        <v>223</v>
      </c>
      <c r="D347" s="65">
        <f>(33.03+2.36)*(10.764)</f>
        <v>380.93795999999998</v>
      </c>
      <c r="E347" s="83">
        <v>0</v>
      </c>
      <c r="F347" s="83">
        <f t="shared" si="60"/>
        <v>571.40693999999996</v>
      </c>
      <c r="G347" s="125"/>
      <c r="H347" s="125"/>
      <c r="I347" s="38"/>
      <c r="L347" s="224"/>
      <c r="M347" s="224"/>
      <c r="N347" s="38"/>
      <c r="P347" s="68" t="str">
        <f t="shared" si="61"/>
        <v xml:space="preserve"> to </v>
      </c>
    </row>
    <row r="348" spans="1:16" s="68" customFormat="1" x14ac:dyDescent="0.35">
      <c r="A348" s="175" t="s">
        <v>192</v>
      </c>
      <c r="B348" s="175"/>
      <c r="C348" s="175"/>
      <c r="D348" s="175"/>
      <c r="E348" s="175"/>
      <c r="F348" s="175"/>
      <c r="G348" s="175"/>
      <c r="H348" s="175"/>
      <c r="J348" s="38"/>
      <c r="P348" s="68" t="str">
        <f t="shared" ref="P348:P356" si="62">N348&amp;""&amp;" to "&amp;""&amp;O348</f>
        <v xml:space="preserve"> to </v>
      </c>
    </row>
    <row r="349" spans="1:16" s="68" customFormat="1" ht="15.75" customHeight="1" x14ac:dyDescent="0.35">
      <c r="A349" s="125" t="str">
        <f t="shared" ref="A349:A356" si="63">P292</f>
        <v>801 &amp; 1301</v>
      </c>
      <c r="B349" s="125"/>
      <c r="C349" s="90">
        <v>1</v>
      </c>
      <c r="D349" s="65">
        <f>(33.03+2.36)*(10.764)</f>
        <v>380.93795999999998</v>
      </c>
      <c r="E349" s="83">
        <v>0</v>
      </c>
      <c r="F349" s="83">
        <f t="shared" ref="F349:F355" si="64">D349*(($F$218)+1)+(IF(E349&lt;101,E349,IF(E349&lt;201,E349/2,IF(E349&lt;=301,E349/3,E349/4))))</f>
        <v>571.40693999999996</v>
      </c>
      <c r="G349" s="125" t="str">
        <f>A348</f>
        <v>8th &amp; 13th Floor (Part Refuge Area)</v>
      </c>
      <c r="H349" s="125"/>
      <c r="I349" s="38"/>
      <c r="L349" s="224"/>
      <c r="M349" s="224"/>
      <c r="N349" s="38"/>
      <c r="P349" s="68" t="str">
        <f t="shared" si="62"/>
        <v xml:space="preserve"> to </v>
      </c>
    </row>
    <row r="350" spans="1:16" s="68" customFormat="1" ht="15.75" customHeight="1" x14ac:dyDescent="0.35">
      <c r="A350" s="125" t="str">
        <f t="shared" si="63"/>
        <v>802 &amp; 1302</v>
      </c>
      <c r="B350" s="125"/>
      <c r="C350" s="90">
        <v>1</v>
      </c>
      <c r="D350" s="65">
        <f>(31.67+2.2)*(10.764)</f>
        <v>364.57668000000001</v>
      </c>
      <c r="E350" s="83">
        <v>0</v>
      </c>
      <c r="F350" s="83">
        <f t="shared" si="64"/>
        <v>546.86501999999996</v>
      </c>
      <c r="G350" s="125"/>
      <c r="H350" s="125"/>
      <c r="I350" s="38"/>
      <c r="L350" s="224"/>
      <c r="M350" s="224"/>
      <c r="N350" s="38"/>
      <c r="P350" s="68" t="str">
        <f t="shared" si="62"/>
        <v xml:space="preserve"> to </v>
      </c>
    </row>
    <row r="351" spans="1:16" s="68" customFormat="1" ht="15.75" customHeight="1" x14ac:dyDescent="0.35">
      <c r="A351" s="125" t="str">
        <f t="shared" si="63"/>
        <v>803 &amp; 1303</v>
      </c>
      <c r="B351" s="125"/>
      <c r="C351" s="90">
        <v>1</v>
      </c>
      <c r="D351" s="65">
        <f>(31.67+2.2)*(10.764)</f>
        <v>364.57668000000001</v>
      </c>
      <c r="E351" s="83">
        <v>0</v>
      </c>
      <c r="F351" s="83">
        <f t="shared" si="64"/>
        <v>546.86501999999996</v>
      </c>
      <c r="G351" s="125"/>
      <c r="H351" s="125"/>
      <c r="I351" s="38"/>
      <c r="L351" s="224"/>
      <c r="M351" s="224"/>
      <c r="N351" s="38"/>
      <c r="P351" s="68" t="str">
        <f t="shared" si="62"/>
        <v xml:space="preserve"> to </v>
      </c>
    </row>
    <row r="352" spans="1:16" s="68" customFormat="1" ht="15.75" customHeight="1" x14ac:dyDescent="0.35">
      <c r="A352" s="125" t="str">
        <f t="shared" si="63"/>
        <v>804 &amp; 1304</v>
      </c>
      <c r="B352" s="125"/>
      <c r="C352" s="90">
        <v>1</v>
      </c>
      <c r="D352" s="65">
        <f>(33.03+2.36)*(10.764)</f>
        <v>380.93795999999998</v>
      </c>
      <c r="E352" s="83">
        <v>0</v>
      </c>
      <c r="F352" s="83">
        <f t="shared" si="64"/>
        <v>571.40693999999996</v>
      </c>
      <c r="G352" s="125"/>
      <c r="H352" s="125"/>
      <c r="I352" s="38"/>
      <c r="L352" s="224"/>
      <c r="M352" s="224"/>
      <c r="N352" s="38"/>
      <c r="P352" s="68" t="str">
        <f t="shared" si="62"/>
        <v xml:space="preserve"> to </v>
      </c>
    </row>
    <row r="353" spans="1:16" s="68" customFormat="1" ht="15.75" customHeight="1" x14ac:dyDescent="0.35">
      <c r="A353" s="125" t="str">
        <f t="shared" si="63"/>
        <v>805 &amp; 1305</v>
      </c>
      <c r="B353" s="125"/>
      <c r="C353" s="90">
        <v>1</v>
      </c>
      <c r="D353" s="65">
        <f>(33.03+2.36)*(10.764)</f>
        <v>380.93795999999998</v>
      </c>
      <c r="E353" s="83">
        <v>0</v>
      </c>
      <c r="F353" s="83">
        <f t="shared" si="64"/>
        <v>571.40693999999996</v>
      </c>
      <c r="G353" s="125"/>
      <c r="H353" s="125"/>
      <c r="I353" s="38"/>
      <c r="L353" s="224"/>
      <c r="M353" s="224"/>
      <c r="N353" s="38"/>
      <c r="P353" s="68" t="str">
        <f t="shared" si="62"/>
        <v xml:space="preserve"> to </v>
      </c>
    </row>
    <row r="354" spans="1:16" s="68" customFormat="1" ht="15.75" customHeight="1" x14ac:dyDescent="0.35">
      <c r="A354" s="125" t="str">
        <f t="shared" si="63"/>
        <v>806 &amp; 1306</v>
      </c>
      <c r="B354" s="125"/>
      <c r="C354" s="90">
        <v>1</v>
      </c>
      <c r="D354" s="65">
        <f>(31.67+2.2)*(10.764)</f>
        <v>364.57668000000001</v>
      </c>
      <c r="E354" s="83">
        <v>0</v>
      </c>
      <c r="F354" s="83">
        <f t="shared" si="64"/>
        <v>546.86501999999996</v>
      </c>
      <c r="G354" s="125"/>
      <c r="H354" s="125"/>
      <c r="I354" s="38"/>
      <c r="L354" s="224"/>
      <c r="M354" s="224"/>
      <c r="N354" s="38"/>
      <c r="P354" s="68" t="str">
        <f t="shared" si="62"/>
        <v xml:space="preserve"> to </v>
      </c>
    </row>
    <row r="355" spans="1:16" s="68" customFormat="1" ht="15.75" customHeight="1" x14ac:dyDescent="0.35">
      <c r="A355" s="125" t="str">
        <f t="shared" si="63"/>
        <v>807 &amp; 1307</v>
      </c>
      <c r="B355" s="125"/>
      <c r="C355" s="90">
        <v>1</v>
      </c>
      <c r="D355" s="65">
        <f>(31.67+2.2)*(10.764)</f>
        <v>364.57668000000001</v>
      </c>
      <c r="E355" s="83">
        <v>0</v>
      </c>
      <c r="F355" s="83">
        <f t="shared" si="64"/>
        <v>546.86501999999996</v>
      </c>
      <c r="G355" s="125"/>
      <c r="H355" s="125"/>
      <c r="I355" s="38"/>
      <c r="L355" s="224"/>
      <c r="M355" s="224"/>
      <c r="N355" s="38"/>
      <c r="P355" s="68" t="str">
        <f t="shared" si="62"/>
        <v xml:space="preserve"> to </v>
      </c>
    </row>
    <row r="356" spans="1:16" s="68" customFormat="1" ht="15.75" customHeight="1" x14ac:dyDescent="0.35">
      <c r="A356" s="125" t="str">
        <f t="shared" si="63"/>
        <v>808 &amp; 1308</v>
      </c>
      <c r="B356" s="125"/>
      <c r="C356" s="240" t="s">
        <v>193</v>
      </c>
      <c r="D356" s="240"/>
      <c r="E356" s="240"/>
      <c r="F356" s="240"/>
      <c r="G356" s="125"/>
      <c r="H356" s="125"/>
      <c r="I356" s="38"/>
      <c r="L356" s="224"/>
      <c r="M356" s="224"/>
      <c r="N356" s="38"/>
      <c r="P356" s="68" t="str">
        <f t="shared" si="62"/>
        <v xml:space="preserve"> to </v>
      </c>
    </row>
    <row r="357" spans="1:16" s="68" customFormat="1" x14ac:dyDescent="0.35">
      <c r="A357" s="129" t="s">
        <v>211</v>
      </c>
      <c r="B357" s="130"/>
      <c r="C357" s="130"/>
      <c r="D357" s="130"/>
      <c r="E357" s="130"/>
      <c r="F357" s="130"/>
      <c r="G357" s="130"/>
      <c r="H357" s="131"/>
      <c r="J357" s="38"/>
      <c r="P357" s="68" t="str">
        <f t="shared" si="54"/>
        <v xml:space="preserve"> to </v>
      </c>
    </row>
    <row r="358" spans="1:16" s="68" customFormat="1" x14ac:dyDescent="0.35">
      <c r="A358" s="129" t="s">
        <v>217</v>
      </c>
      <c r="B358" s="130"/>
      <c r="C358" s="130"/>
      <c r="D358" s="130"/>
      <c r="E358" s="130"/>
      <c r="F358" s="130"/>
      <c r="G358" s="130"/>
      <c r="H358" s="131"/>
      <c r="J358" s="38"/>
      <c r="P358" s="68" t="str">
        <f t="shared" si="54"/>
        <v xml:space="preserve"> to </v>
      </c>
    </row>
    <row r="359" spans="1:16" s="68" customFormat="1" x14ac:dyDescent="0.35">
      <c r="A359" s="129" t="s">
        <v>191</v>
      </c>
      <c r="B359" s="130"/>
      <c r="C359" s="130"/>
      <c r="D359" s="130"/>
      <c r="E359" s="130"/>
      <c r="F359" s="130"/>
      <c r="G359" s="130"/>
      <c r="H359" s="131"/>
      <c r="I359" s="68">
        <f>7+4+1</f>
        <v>12</v>
      </c>
      <c r="J359" s="38"/>
      <c r="P359" s="68" t="str">
        <f t="shared" si="54"/>
        <v xml:space="preserve"> to </v>
      </c>
    </row>
    <row r="360" spans="1:16" s="68" customFormat="1" ht="15.75" customHeight="1" x14ac:dyDescent="0.35">
      <c r="A360" s="132" t="str">
        <f>P283</f>
        <v>101,.., 1401</v>
      </c>
      <c r="B360" s="133"/>
      <c r="C360" s="64" t="s">
        <v>218</v>
      </c>
      <c r="D360" s="62">
        <f>(48.61+2.36)*(10.764)</f>
        <v>548.64107999999999</v>
      </c>
      <c r="E360" s="71">
        <v>0</v>
      </c>
      <c r="F360" s="71">
        <f t="shared" ref="F360:F367" si="65">D360*(($F$218)+1)+(IF(E360&lt;101,E360,IF(E360&lt;201,E360/2,IF(E360&lt;=301,E360/3,E360/4))))</f>
        <v>822.96162000000004</v>
      </c>
      <c r="G360" s="136" t="str">
        <f>A359</f>
        <v>1st to 7th, 9th to 12th &amp; 14th Floor For Residential</v>
      </c>
      <c r="H360" s="137"/>
      <c r="I360" s="38"/>
      <c r="L360" s="224"/>
      <c r="M360" s="224"/>
      <c r="N360" s="38"/>
      <c r="P360" s="68" t="str">
        <f t="shared" si="54"/>
        <v xml:space="preserve"> to </v>
      </c>
    </row>
    <row r="361" spans="1:16" s="68" customFormat="1" ht="15.75" customHeight="1" x14ac:dyDescent="0.35">
      <c r="A361" s="132" t="str">
        <f t="shared" ref="A361:A367" si="66">P284</f>
        <v>102,.., 1402</v>
      </c>
      <c r="B361" s="133"/>
      <c r="C361" s="64" t="s">
        <v>218</v>
      </c>
      <c r="D361" s="62">
        <f>(45.47+2.05)*(10.764)</f>
        <v>511.50527999999991</v>
      </c>
      <c r="E361" s="71">
        <v>0</v>
      </c>
      <c r="F361" s="71">
        <f t="shared" si="65"/>
        <v>767.2579199999999</v>
      </c>
      <c r="G361" s="138"/>
      <c r="H361" s="139"/>
      <c r="I361" s="38"/>
      <c r="L361" s="224"/>
      <c r="M361" s="224"/>
      <c r="N361" s="38"/>
      <c r="P361" s="68" t="str">
        <f t="shared" si="54"/>
        <v xml:space="preserve"> to </v>
      </c>
    </row>
    <row r="362" spans="1:16" s="68" customFormat="1" ht="15.75" customHeight="1" x14ac:dyDescent="0.35">
      <c r="A362" s="132" t="str">
        <f t="shared" si="66"/>
        <v>103,.., 1403</v>
      </c>
      <c r="B362" s="133"/>
      <c r="C362" s="64" t="s">
        <v>218</v>
      </c>
      <c r="D362" s="62">
        <f>(45.47+2.05)*(10.764)</f>
        <v>511.50527999999991</v>
      </c>
      <c r="E362" s="71">
        <v>0</v>
      </c>
      <c r="F362" s="71">
        <f t="shared" si="65"/>
        <v>767.2579199999999</v>
      </c>
      <c r="G362" s="138"/>
      <c r="H362" s="139"/>
      <c r="I362" s="38"/>
      <c r="L362" s="224"/>
      <c r="M362" s="224"/>
      <c r="N362" s="38"/>
      <c r="P362" s="68" t="str">
        <f t="shared" si="54"/>
        <v xml:space="preserve"> to </v>
      </c>
    </row>
    <row r="363" spans="1:16" s="68" customFormat="1" ht="15.75" customHeight="1" x14ac:dyDescent="0.35">
      <c r="A363" s="132" t="str">
        <f t="shared" si="66"/>
        <v>104,.., 1404</v>
      </c>
      <c r="B363" s="133"/>
      <c r="C363" s="64" t="s">
        <v>218</v>
      </c>
      <c r="D363" s="62">
        <f>(48.61+2.36)*(10.764)</f>
        <v>548.64107999999999</v>
      </c>
      <c r="E363" s="71">
        <v>0</v>
      </c>
      <c r="F363" s="71">
        <f t="shared" si="65"/>
        <v>822.96162000000004</v>
      </c>
      <c r="G363" s="138"/>
      <c r="H363" s="139"/>
      <c r="I363" s="38"/>
      <c r="L363" s="224"/>
      <c r="M363" s="224"/>
      <c r="N363" s="38"/>
      <c r="P363" s="68" t="str">
        <f t="shared" si="54"/>
        <v xml:space="preserve"> to </v>
      </c>
    </row>
    <row r="364" spans="1:16" s="68" customFormat="1" ht="15.75" customHeight="1" x14ac:dyDescent="0.35">
      <c r="A364" s="132" t="str">
        <f t="shared" si="66"/>
        <v>105,.., 1405</v>
      </c>
      <c r="B364" s="133"/>
      <c r="C364" s="64" t="s">
        <v>218</v>
      </c>
      <c r="D364" s="62">
        <f>(48.61+2.36)*(10.764)</f>
        <v>548.64107999999999</v>
      </c>
      <c r="E364" s="71">
        <v>0</v>
      </c>
      <c r="F364" s="71">
        <f t="shared" si="65"/>
        <v>822.96162000000004</v>
      </c>
      <c r="G364" s="138"/>
      <c r="H364" s="139"/>
      <c r="I364" s="38"/>
      <c r="L364" s="224"/>
      <c r="M364" s="224"/>
      <c r="N364" s="38"/>
      <c r="P364" s="68" t="str">
        <f t="shared" si="54"/>
        <v xml:space="preserve"> to </v>
      </c>
    </row>
    <row r="365" spans="1:16" s="68" customFormat="1" ht="15.75" customHeight="1" x14ac:dyDescent="0.35">
      <c r="A365" s="132" t="str">
        <f t="shared" si="66"/>
        <v>106,.., 1406</v>
      </c>
      <c r="B365" s="133"/>
      <c r="C365" s="64" t="s">
        <v>218</v>
      </c>
      <c r="D365" s="62">
        <f>(45.47+2.05)*(10.764)</f>
        <v>511.50527999999991</v>
      </c>
      <c r="E365" s="71">
        <v>0</v>
      </c>
      <c r="F365" s="71">
        <f t="shared" si="65"/>
        <v>767.2579199999999</v>
      </c>
      <c r="G365" s="138"/>
      <c r="H365" s="139"/>
      <c r="I365" s="38"/>
      <c r="L365" s="224"/>
      <c r="M365" s="224"/>
      <c r="N365" s="38"/>
      <c r="P365" s="68" t="str">
        <f t="shared" si="54"/>
        <v xml:space="preserve"> to </v>
      </c>
    </row>
    <row r="366" spans="1:16" s="68" customFormat="1" ht="15.75" customHeight="1" x14ac:dyDescent="0.35">
      <c r="A366" s="132" t="str">
        <f t="shared" si="66"/>
        <v>107,.., 1407</v>
      </c>
      <c r="B366" s="133"/>
      <c r="C366" s="64" t="s">
        <v>218</v>
      </c>
      <c r="D366" s="62">
        <f>(45.47+2.05)*(10.764)</f>
        <v>511.50527999999991</v>
      </c>
      <c r="E366" s="71">
        <v>0</v>
      </c>
      <c r="F366" s="71">
        <f t="shared" si="65"/>
        <v>767.2579199999999</v>
      </c>
      <c r="G366" s="138"/>
      <c r="H366" s="139"/>
      <c r="I366" s="38"/>
      <c r="L366" s="224"/>
      <c r="M366" s="224"/>
      <c r="N366" s="38"/>
      <c r="P366" s="68" t="str">
        <f t="shared" si="54"/>
        <v xml:space="preserve"> to </v>
      </c>
    </row>
    <row r="367" spans="1:16" s="68" customFormat="1" ht="15.75" customHeight="1" x14ac:dyDescent="0.35">
      <c r="A367" s="132" t="str">
        <f t="shared" si="66"/>
        <v>108,.., 1408</v>
      </c>
      <c r="B367" s="133"/>
      <c r="C367" s="64" t="s">
        <v>218</v>
      </c>
      <c r="D367" s="62">
        <f>(48.61+2.36)*(10.764)</f>
        <v>548.64107999999999</v>
      </c>
      <c r="E367" s="71">
        <v>0</v>
      </c>
      <c r="F367" s="71">
        <f t="shared" si="65"/>
        <v>822.96162000000004</v>
      </c>
      <c r="G367" s="140"/>
      <c r="H367" s="141"/>
      <c r="I367" s="38"/>
      <c r="L367" s="224"/>
      <c r="M367" s="224"/>
      <c r="N367" s="38"/>
      <c r="P367" s="68" t="str">
        <f t="shared" si="54"/>
        <v xml:space="preserve"> to </v>
      </c>
    </row>
    <row r="368" spans="1:16" s="68" customFormat="1" x14ac:dyDescent="0.35">
      <c r="A368" s="129" t="s">
        <v>192</v>
      </c>
      <c r="B368" s="130"/>
      <c r="C368" s="130"/>
      <c r="D368" s="130"/>
      <c r="E368" s="130"/>
      <c r="F368" s="130"/>
      <c r="G368" s="130"/>
      <c r="H368" s="131"/>
      <c r="I368" s="68">
        <v>2</v>
      </c>
      <c r="J368" s="38"/>
      <c r="P368" s="68" t="str">
        <f t="shared" ref="P368:P376" si="67">N368&amp;""&amp;" to "&amp;""&amp;O368</f>
        <v xml:space="preserve"> to </v>
      </c>
    </row>
    <row r="369" spans="1:16" s="68" customFormat="1" ht="15.75" customHeight="1" x14ac:dyDescent="0.35">
      <c r="A369" s="132" t="str">
        <f>P292</f>
        <v>801 &amp; 1301</v>
      </c>
      <c r="B369" s="133"/>
      <c r="C369" s="64" t="s">
        <v>218</v>
      </c>
      <c r="D369" s="62">
        <f>(48.61+2.36)*(10.764)</f>
        <v>548.64107999999999</v>
      </c>
      <c r="E369" s="71">
        <v>0</v>
      </c>
      <c r="F369" s="71">
        <f t="shared" ref="F369:F375" si="68">D369*(($F$218)+1)+(IF(E369&lt;101,E369,IF(E369&lt;201,E369/2,IF(E369&lt;=301,E369/3,E369/4))))</f>
        <v>822.96162000000004</v>
      </c>
      <c r="G369" s="136" t="str">
        <f>A368</f>
        <v>8th &amp; 13th Floor (Part Refuge Area)</v>
      </c>
      <c r="H369" s="137"/>
      <c r="I369" s="38"/>
      <c r="L369" s="224"/>
      <c r="M369" s="224"/>
      <c r="N369" s="38"/>
      <c r="P369" s="68" t="str">
        <f t="shared" si="67"/>
        <v xml:space="preserve"> to </v>
      </c>
    </row>
    <row r="370" spans="1:16" s="68" customFormat="1" ht="15.75" customHeight="1" x14ac:dyDescent="0.35">
      <c r="A370" s="132" t="str">
        <f t="shared" ref="A370:A376" si="69">P293</f>
        <v>802 &amp; 1302</v>
      </c>
      <c r="B370" s="133"/>
      <c r="C370" s="64" t="s">
        <v>218</v>
      </c>
      <c r="D370" s="62">
        <f t="shared" ref="D370:D371" si="70">(45.47+2.05)*(10.764)</f>
        <v>511.50527999999991</v>
      </c>
      <c r="E370" s="71">
        <v>0</v>
      </c>
      <c r="F370" s="71">
        <f t="shared" si="68"/>
        <v>767.2579199999999</v>
      </c>
      <c r="G370" s="138"/>
      <c r="H370" s="139"/>
      <c r="I370" s="38"/>
      <c r="L370" s="224"/>
      <c r="M370" s="224"/>
      <c r="N370" s="38"/>
      <c r="P370" s="68" t="str">
        <f t="shared" si="67"/>
        <v xml:space="preserve"> to </v>
      </c>
    </row>
    <row r="371" spans="1:16" s="68" customFormat="1" ht="15.75" customHeight="1" x14ac:dyDescent="0.35">
      <c r="A371" s="132" t="str">
        <f t="shared" si="69"/>
        <v>803 &amp; 1303</v>
      </c>
      <c r="B371" s="133"/>
      <c r="C371" s="64" t="s">
        <v>218</v>
      </c>
      <c r="D371" s="62">
        <f t="shared" si="70"/>
        <v>511.50527999999991</v>
      </c>
      <c r="E371" s="71">
        <v>0</v>
      </c>
      <c r="F371" s="71">
        <f t="shared" si="68"/>
        <v>767.2579199999999</v>
      </c>
      <c r="G371" s="138"/>
      <c r="H371" s="139"/>
      <c r="I371" s="38"/>
      <c r="L371" s="224"/>
      <c r="M371" s="224"/>
      <c r="N371" s="38"/>
      <c r="P371" s="68" t="str">
        <f t="shared" si="67"/>
        <v xml:space="preserve"> to </v>
      </c>
    </row>
    <row r="372" spans="1:16" s="68" customFormat="1" ht="15.75" customHeight="1" x14ac:dyDescent="0.35">
      <c r="A372" s="132" t="str">
        <f t="shared" si="69"/>
        <v>804 &amp; 1304</v>
      </c>
      <c r="B372" s="133"/>
      <c r="C372" s="64" t="s">
        <v>218</v>
      </c>
      <c r="D372" s="62">
        <f>(48.61+2.36)*(10.764)</f>
        <v>548.64107999999999</v>
      </c>
      <c r="E372" s="71">
        <v>0</v>
      </c>
      <c r="F372" s="71">
        <f t="shared" si="68"/>
        <v>822.96162000000004</v>
      </c>
      <c r="G372" s="138"/>
      <c r="H372" s="139"/>
      <c r="I372" s="38"/>
      <c r="L372" s="224"/>
      <c r="M372" s="224"/>
      <c r="N372" s="38"/>
      <c r="P372" s="68" t="str">
        <f t="shared" si="67"/>
        <v xml:space="preserve"> to </v>
      </c>
    </row>
    <row r="373" spans="1:16" s="68" customFormat="1" ht="15.75" customHeight="1" x14ac:dyDescent="0.35">
      <c r="A373" s="132" t="str">
        <f t="shared" si="69"/>
        <v>805 &amp; 1305</v>
      </c>
      <c r="B373" s="133"/>
      <c r="C373" s="64" t="s">
        <v>218</v>
      </c>
      <c r="D373" s="62">
        <f>(48.61+1.96*0.9)*(10.764)</f>
        <v>542.22573599999998</v>
      </c>
      <c r="E373" s="71">
        <v>0</v>
      </c>
      <c r="F373" s="71">
        <f t="shared" si="68"/>
        <v>813.33860400000003</v>
      </c>
      <c r="G373" s="138"/>
      <c r="H373" s="139"/>
      <c r="I373" s="38"/>
      <c r="L373" s="224"/>
      <c r="M373" s="224"/>
      <c r="N373" s="38"/>
      <c r="P373" s="68" t="str">
        <f t="shared" si="67"/>
        <v xml:space="preserve"> to </v>
      </c>
    </row>
    <row r="374" spans="1:16" s="68" customFormat="1" ht="15.75" customHeight="1" x14ac:dyDescent="0.35">
      <c r="A374" s="132" t="str">
        <f t="shared" si="69"/>
        <v>806 &amp; 1306</v>
      </c>
      <c r="B374" s="133"/>
      <c r="C374" s="64" t="s">
        <v>218</v>
      </c>
      <c r="D374" s="62">
        <f t="shared" ref="D374:D375" si="71">(45.47+2.05)*(10.764)</f>
        <v>511.50527999999991</v>
      </c>
      <c r="E374" s="71">
        <v>0</v>
      </c>
      <c r="F374" s="71">
        <f t="shared" si="68"/>
        <v>767.2579199999999</v>
      </c>
      <c r="G374" s="138"/>
      <c r="H374" s="139"/>
      <c r="I374" s="38"/>
      <c r="L374" s="224"/>
      <c r="M374" s="224"/>
      <c r="N374" s="38"/>
      <c r="P374" s="68" t="str">
        <f t="shared" si="67"/>
        <v xml:space="preserve"> to </v>
      </c>
    </row>
    <row r="375" spans="1:16" s="68" customFormat="1" ht="15.75" customHeight="1" x14ac:dyDescent="0.35">
      <c r="A375" s="132" t="str">
        <f t="shared" si="69"/>
        <v>807 &amp; 1307</v>
      </c>
      <c r="B375" s="133"/>
      <c r="C375" s="64" t="s">
        <v>218</v>
      </c>
      <c r="D375" s="62">
        <f t="shared" si="71"/>
        <v>511.50527999999991</v>
      </c>
      <c r="E375" s="71">
        <v>0</v>
      </c>
      <c r="F375" s="71">
        <f t="shared" si="68"/>
        <v>767.2579199999999</v>
      </c>
      <c r="G375" s="138"/>
      <c r="H375" s="139"/>
      <c r="I375" s="38"/>
      <c r="L375" s="224"/>
      <c r="M375" s="224"/>
      <c r="N375" s="38"/>
      <c r="P375" s="68" t="str">
        <f t="shared" si="67"/>
        <v xml:space="preserve"> to </v>
      </c>
    </row>
    <row r="376" spans="1:16" s="68" customFormat="1" ht="15.75" customHeight="1" x14ac:dyDescent="0.35">
      <c r="A376" s="132" t="str">
        <f t="shared" si="69"/>
        <v>808 &amp; 1308</v>
      </c>
      <c r="B376" s="133"/>
      <c r="C376" s="237" t="s">
        <v>193</v>
      </c>
      <c r="D376" s="238"/>
      <c r="E376" s="238"/>
      <c r="F376" s="239"/>
      <c r="G376" s="140"/>
      <c r="H376" s="141"/>
      <c r="I376" s="38"/>
      <c r="L376" s="224"/>
      <c r="M376" s="224"/>
      <c r="N376" s="38"/>
      <c r="P376" s="68" t="str">
        <f t="shared" si="67"/>
        <v xml:space="preserve"> to </v>
      </c>
    </row>
    <row r="377" spans="1:16" s="68" customFormat="1" hidden="1" x14ac:dyDescent="0.35">
      <c r="A377" s="129" t="s">
        <v>117</v>
      </c>
      <c r="B377" s="130"/>
      <c r="C377" s="130"/>
      <c r="D377" s="130"/>
      <c r="E377" s="130"/>
      <c r="F377" s="130"/>
      <c r="G377" s="130"/>
      <c r="H377" s="131"/>
      <c r="J377" s="38"/>
      <c r="P377" s="68" t="str">
        <f t="shared" ref="P377" si="72">N377&amp;""&amp;" to "&amp;""&amp;O377</f>
        <v xml:space="preserve"> to </v>
      </c>
    </row>
    <row r="378" spans="1:16" s="68" customFormat="1" ht="15.75" hidden="1" customHeight="1" x14ac:dyDescent="0.35">
      <c r="A378" s="132">
        <v>1</v>
      </c>
      <c r="B378" s="133"/>
      <c r="C378" s="64"/>
      <c r="D378" s="71"/>
      <c r="E378" s="71">
        <v>0</v>
      </c>
      <c r="F378" s="71">
        <f t="shared" ref="F378:F385" si="73">D378*(($F$218)+1)+(IF(E378&lt;101,E378,IF(E378&lt;201,E378/2,IF(E378&lt;=301,E378/3,E378/4))))</f>
        <v>0</v>
      </c>
      <c r="G378" s="136" t="str">
        <f>A377</f>
        <v>Ground Floor</v>
      </c>
      <c r="H378" s="137"/>
      <c r="I378" s="38"/>
      <c r="L378" s="224"/>
      <c r="M378" s="224"/>
      <c r="N378" s="38"/>
      <c r="P378" s="68" t="str">
        <f t="shared" ref="P378:P385" si="74">N378&amp;""&amp;" to "&amp;""&amp;O378</f>
        <v xml:space="preserve"> to </v>
      </c>
    </row>
    <row r="379" spans="1:16" s="68" customFormat="1" ht="15.75" hidden="1" customHeight="1" x14ac:dyDescent="0.35">
      <c r="A379" s="132">
        <f t="shared" ref="A379:A385" si="75">A378+1</f>
        <v>2</v>
      </c>
      <c r="B379" s="133"/>
      <c r="C379" s="64"/>
      <c r="D379" s="71"/>
      <c r="E379" s="71">
        <v>0</v>
      </c>
      <c r="F379" s="71">
        <f t="shared" si="73"/>
        <v>0</v>
      </c>
      <c r="G379" s="138"/>
      <c r="H379" s="139"/>
      <c r="I379" s="38"/>
      <c r="L379" s="224"/>
      <c r="M379" s="224"/>
      <c r="N379" s="38"/>
      <c r="P379" s="68" t="str">
        <f t="shared" si="74"/>
        <v xml:space="preserve"> to </v>
      </c>
    </row>
    <row r="380" spans="1:16" s="68" customFormat="1" ht="15.75" hidden="1" customHeight="1" x14ac:dyDescent="0.35">
      <c r="A380" s="132">
        <f t="shared" si="75"/>
        <v>3</v>
      </c>
      <c r="B380" s="133"/>
      <c r="C380" s="64"/>
      <c r="D380" s="71"/>
      <c r="E380" s="71">
        <v>0</v>
      </c>
      <c r="F380" s="71">
        <f t="shared" si="73"/>
        <v>0</v>
      </c>
      <c r="G380" s="138"/>
      <c r="H380" s="139"/>
      <c r="I380" s="38"/>
      <c r="L380" s="224"/>
      <c r="M380" s="224"/>
      <c r="N380" s="38"/>
      <c r="P380" s="68" t="str">
        <f t="shared" si="74"/>
        <v xml:space="preserve"> to </v>
      </c>
    </row>
    <row r="381" spans="1:16" s="68" customFormat="1" ht="15.75" hidden="1" customHeight="1" x14ac:dyDescent="0.35">
      <c r="A381" s="132">
        <f t="shared" si="75"/>
        <v>4</v>
      </c>
      <c r="B381" s="133"/>
      <c r="C381" s="64"/>
      <c r="D381" s="71"/>
      <c r="E381" s="71">
        <v>0</v>
      </c>
      <c r="F381" s="71">
        <f t="shared" si="73"/>
        <v>0</v>
      </c>
      <c r="G381" s="138"/>
      <c r="H381" s="139"/>
      <c r="I381" s="38"/>
      <c r="L381" s="224"/>
      <c r="M381" s="224"/>
      <c r="N381" s="38"/>
      <c r="P381" s="68" t="str">
        <f t="shared" si="74"/>
        <v xml:space="preserve"> to </v>
      </c>
    </row>
    <row r="382" spans="1:16" s="68" customFormat="1" ht="15.75" hidden="1" customHeight="1" x14ac:dyDescent="0.35">
      <c r="A382" s="132">
        <f t="shared" si="75"/>
        <v>5</v>
      </c>
      <c r="B382" s="133"/>
      <c r="C382" s="64"/>
      <c r="D382" s="71"/>
      <c r="E382" s="71">
        <v>0</v>
      </c>
      <c r="F382" s="71">
        <f t="shared" si="73"/>
        <v>0</v>
      </c>
      <c r="G382" s="138"/>
      <c r="H382" s="139"/>
      <c r="I382" s="38"/>
      <c r="L382" s="224"/>
      <c r="M382" s="224"/>
      <c r="N382" s="38"/>
      <c r="P382" s="68" t="str">
        <f t="shared" si="74"/>
        <v xml:space="preserve"> to </v>
      </c>
    </row>
    <row r="383" spans="1:16" s="68" customFormat="1" ht="15.75" hidden="1" customHeight="1" x14ac:dyDescent="0.35">
      <c r="A383" s="132">
        <f t="shared" si="75"/>
        <v>6</v>
      </c>
      <c r="B383" s="133"/>
      <c r="C383" s="64"/>
      <c r="D383" s="71"/>
      <c r="E383" s="71">
        <v>0</v>
      </c>
      <c r="F383" s="71">
        <f t="shared" si="73"/>
        <v>0</v>
      </c>
      <c r="G383" s="138"/>
      <c r="H383" s="139"/>
      <c r="I383" s="38"/>
      <c r="L383" s="224"/>
      <c r="M383" s="224"/>
      <c r="N383" s="38"/>
      <c r="P383" s="68" t="str">
        <f t="shared" si="74"/>
        <v xml:space="preserve"> to </v>
      </c>
    </row>
    <row r="384" spans="1:16" s="68" customFormat="1" ht="15.75" hidden="1" customHeight="1" x14ac:dyDescent="0.35">
      <c r="A384" s="132">
        <f t="shared" si="75"/>
        <v>7</v>
      </c>
      <c r="B384" s="133"/>
      <c r="C384" s="64"/>
      <c r="D384" s="71"/>
      <c r="E384" s="71">
        <v>0</v>
      </c>
      <c r="F384" s="71">
        <f t="shared" si="73"/>
        <v>0</v>
      </c>
      <c r="G384" s="138"/>
      <c r="H384" s="139"/>
      <c r="I384" s="38"/>
      <c r="L384" s="224"/>
      <c r="M384" s="224"/>
      <c r="N384" s="38"/>
      <c r="P384" s="68" t="str">
        <f t="shared" si="74"/>
        <v xml:space="preserve"> to </v>
      </c>
    </row>
    <row r="385" spans="1:16" s="68" customFormat="1" ht="15.75" hidden="1" customHeight="1" x14ac:dyDescent="0.35">
      <c r="A385" s="132">
        <f t="shared" si="75"/>
        <v>8</v>
      </c>
      <c r="B385" s="133"/>
      <c r="C385" s="64"/>
      <c r="D385" s="71"/>
      <c r="E385" s="71">
        <v>0</v>
      </c>
      <c r="F385" s="71">
        <f t="shared" si="73"/>
        <v>0</v>
      </c>
      <c r="G385" s="140"/>
      <c r="H385" s="141"/>
      <c r="I385" s="38"/>
      <c r="L385" s="224"/>
      <c r="M385" s="224"/>
      <c r="N385" s="38"/>
      <c r="P385" s="68" t="str">
        <f t="shared" si="74"/>
        <v xml:space="preserve"> to </v>
      </c>
    </row>
    <row r="386" spans="1:16" s="45" customFormat="1" hidden="1" x14ac:dyDescent="0.35">
      <c r="A386" s="175" t="s">
        <v>118</v>
      </c>
      <c r="B386" s="175"/>
      <c r="C386" s="175"/>
      <c r="D386" s="175"/>
      <c r="E386" s="175"/>
      <c r="F386" s="175"/>
      <c r="G386" s="175"/>
      <c r="H386" s="175"/>
      <c r="I386" s="38"/>
      <c r="L386" s="224"/>
      <c r="M386" s="224"/>
      <c r="P386" s="61" t="str">
        <f t="shared" si="49"/>
        <v xml:space="preserve"> to </v>
      </c>
    </row>
    <row r="387" spans="1:16" s="45" customFormat="1" hidden="1" x14ac:dyDescent="0.35">
      <c r="A387" s="125">
        <f>LEFT(A386,SUM(LEN(A386)-LEN(SUBSTITUTE(A386,{"0","1","2","3","4","5","6","7","8","9"},""))))*100+1</f>
        <v>201</v>
      </c>
      <c r="B387" s="125"/>
      <c r="C387" s="64"/>
      <c r="D387" s="66"/>
      <c r="E387" s="66">
        <v>0</v>
      </c>
      <c r="F387" s="66">
        <f t="shared" ref="F387:F388" si="76">D387*(($F$218)+1)+(IF(E387&lt;101,E387,IF(E387&lt;201,E387/2,IF(E387&lt;=301,E387/3,E387/4))))</f>
        <v>0</v>
      </c>
      <c r="G387" s="136" t="str">
        <f>A386</f>
        <v>2nd Floor</v>
      </c>
      <c r="H387" s="137"/>
      <c r="I387" s="38"/>
      <c r="N387" s="38"/>
      <c r="P387" s="61" t="str">
        <f t="shared" si="49"/>
        <v xml:space="preserve"> to </v>
      </c>
    </row>
    <row r="388" spans="1:16" s="45" customFormat="1" hidden="1" x14ac:dyDescent="0.35">
      <c r="A388" s="125">
        <f>A387+1</f>
        <v>202</v>
      </c>
      <c r="B388" s="125"/>
      <c r="C388" s="64"/>
      <c r="D388" s="66"/>
      <c r="E388" s="66">
        <v>0</v>
      </c>
      <c r="F388" s="66">
        <f t="shared" si="76"/>
        <v>0</v>
      </c>
      <c r="G388" s="138"/>
      <c r="H388" s="139"/>
      <c r="I388" s="38"/>
      <c r="N388" s="38"/>
      <c r="P388" s="61" t="str">
        <f t="shared" si="49"/>
        <v xml:space="preserve"> to </v>
      </c>
    </row>
    <row r="389" spans="1:16" s="45" customFormat="1" hidden="1" x14ac:dyDescent="0.35">
      <c r="A389" s="125">
        <f>A388+1</f>
        <v>203</v>
      </c>
      <c r="B389" s="125"/>
      <c r="C389" s="64"/>
      <c r="D389" s="66"/>
      <c r="E389" s="66">
        <v>0</v>
      </c>
      <c r="F389" s="66">
        <f>D389*(($F$218)+1)+(IF(E389&lt;101,E389,IF(E389&lt;201,E389/2,IF(E389&lt;=301,E389/3,E389/4))))</f>
        <v>0</v>
      </c>
      <c r="G389" s="138"/>
      <c r="H389" s="139"/>
      <c r="I389" s="38"/>
      <c r="N389" s="38"/>
      <c r="P389" s="61" t="str">
        <f t="shared" si="49"/>
        <v xml:space="preserve"> to </v>
      </c>
    </row>
    <row r="390" spans="1:16" s="45" customFormat="1" hidden="1" x14ac:dyDescent="0.35">
      <c r="A390" s="125">
        <f>A389+1</f>
        <v>204</v>
      </c>
      <c r="B390" s="125"/>
      <c r="C390" s="64"/>
      <c r="D390" s="66"/>
      <c r="E390" s="66">
        <v>0</v>
      </c>
      <c r="F390" s="66">
        <f>D390*(($F$218)+1)+(IF(E390&lt;101,E390,IF(E390&lt;201,E390/2,IF(E390&lt;=301,E390/3,E390/4))))</f>
        <v>0</v>
      </c>
      <c r="G390" s="138"/>
      <c r="H390" s="139"/>
      <c r="I390" s="38"/>
      <c r="N390" s="38"/>
      <c r="P390" s="61" t="str">
        <f t="shared" si="49"/>
        <v xml:space="preserve"> to </v>
      </c>
    </row>
    <row r="391" spans="1:16" s="45" customFormat="1" hidden="1" x14ac:dyDescent="0.35">
      <c r="A391" s="125">
        <f>A390+1</f>
        <v>205</v>
      </c>
      <c r="B391" s="125"/>
      <c r="C391" s="64"/>
      <c r="D391" s="66"/>
      <c r="E391" s="66">
        <v>0</v>
      </c>
      <c r="F391" s="66">
        <f>D391*(($F$218)+1)+(IF(E391&lt;101,E391,IF(E391&lt;201,E391/2,IF(E391&lt;=301,E391/3,E391/4))))</f>
        <v>0</v>
      </c>
      <c r="G391" s="140"/>
      <c r="H391" s="141"/>
      <c r="I391" s="38"/>
      <c r="N391" s="38"/>
      <c r="P391" s="61" t="str">
        <f t="shared" si="49"/>
        <v xml:space="preserve"> to </v>
      </c>
    </row>
    <row r="392" spans="1:16" s="45" customFormat="1" ht="15.75" hidden="1" customHeight="1" x14ac:dyDescent="0.35">
      <c r="A392" s="129" t="s">
        <v>153</v>
      </c>
      <c r="B392" s="130"/>
      <c r="C392" s="130"/>
      <c r="D392" s="130"/>
      <c r="E392" s="130"/>
      <c r="F392" s="130"/>
      <c r="G392" s="130"/>
      <c r="H392" s="131"/>
      <c r="I392" s="38"/>
      <c r="P392" s="61" t="str">
        <f t="shared" si="49"/>
        <v xml:space="preserve"> to </v>
      </c>
    </row>
    <row r="393" spans="1:16" s="45" customFormat="1" ht="15.75" hidden="1" customHeight="1" x14ac:dyDescent="0.35">
      <c r="A393" s="132" t="str">
        <f ca="1">(SUMPRODUCT(MID(0&amp;(LEFT(A392,SUM(LEN(A392)-LEN(SUBSTITUTE(A392,{"0","1","2"},""))))), LARGE(INDEX(ISNUMBER(--MID((LEFT(A392,SUM(LEN(A392)-LEN(SUBSTITUTE(A392,{"0","1","2"},""))))), ROW(INDIRECT("1:"&amp;LEN((LEFT(A392,SUM(LEN(A392)-LEN(SUBSTITUTE(A392,{"0","1","2"},"")))))))), 1)) * ROW(INDIRECT("1:"&amp;LEN((LEFT(A392,SUM(LEN(A392)-LEN(SUBSTITUTE(A392,{"0","1","2"},"")))))))), 0), ROW(INDIRECT("1:"&amp;LEN((LEFT(A392,SUM(LEN(A392)-LEN(SUBSTITUTE(A392,{"0","1","2"},"")))))))))+1, 1) * 10^ROW(INDIRECT("1:"&amp;LEN((LEFT(A392,SUM(LEN(A392)-LEN(SUBSTITUTE(A392,{"0","1","2"},""))))))))/10))*100+1&amp;""&amp;" ,.., "&amp;""&amp;(SUMPRODUCT(MID(0&amp;(--TRIM(RIGHT(SUBSTITUTE(LEFT(A392,_xlfn.AGGREGATE(16,6,FIND({0,1,2,3,4,5,6,7,8,9},A392,ROW(INDIRECT("1:"&amp;LEN(A392)))),1))," ",REPT(" ",LEN(A392))),LEN(A392)))), LARGE(INDEX(ISNUMBER(--MID((--TRIM(RIGHT(SUBSTITUTE(LEFT(A392,_xlfn.AGGREGATE(16,6,FIND({0,1,2,3,4,5,6,7,8,9},A392,ROW(INDIRECT("1:"&amp;LEN(A392)))),1))," ",REPT(" ",LEN(A392))),LEN(A392)))), ROW(INDIRECT("1:"&amp;LEN((--TRIM(RIGHT(SUBSTITUTE(LEFT(A392,_xlfn.AGGREGATE(16,6,FIND({0,1,2,3,4,5,6,7,8,9},A392,ROW(INDIRECT("1:"&amp;LEN(A392)))),1))," ",REPT(" ",LEN(A392))),LEN(A392))))))), 1)) * ROW(INDIRECT("1:"&amp;LEN((--TRIM(RIGHT(SUBSTITUTE(LEFT(A392,_xlfn.AGGREGATE(16,6,FIND({0,1,2,3,4,5,6,7,8,9},A392,ROW(INDIRECT("1:"&amp;LEN(A392)))),1))," ",REPT(" ",LEN(A392))),LEN(A392))))))), 0), ROW(INDIRECT("1:"&amp;LEN((--TRIM(RIGHT(SUBSTITUTE(LEFT(A392,_xlfn.AGGREGATE(16,6,FIND({0,1,2,3,4,5,6,7,8,9},A392,ROW(INDIRECT("1:"&amp;LEN(A392)))),1))," ",REPT(" ",LEN(A392))),LEN(A392))))))))+1, 1) * 10^ROW(INDIRECT("1:"&amp;LEN((--TRIM(RIGHT(SUBSTITUTE(LEFT(A392,_xlfn.AGGREGATE(16,6,FIND({0,1,2,3,4,5,6,7,8,9},A392,ROW(INDIRECT("1:"&amp;LEN(A392)))),1))," ",REPT(" ",LEN(A392))),LEN(A392)))))))/10))*100+1</f>
        <v>301 ,.., 1501</v>
      </c>
      <c r="B393" s="133"/>
      <c r="C393" s="64"/>
      <c r="D393" s="66"/>
      <c r="E393" s="66">
        <v>0</v>
      </c>
      <c r="F393" s="66">
        <f>D393*(($F$218)+1)+(IF(E393&lt;101,E393,IF(E393&lt;201,E393/2,IF(E393&lt;=301,E393/3,E393/4))))</f>
        <v>0</v>
      </c>
      <c r="G393" s="136" t="str">
        <f>A392</f>
        <v>3rd, 5th, 7th, 9th, 11th, 13th, 15th Floor</v>
      </c>
      <c r="H393" s="137"/>
      <c r="I393" s="38"/>
      <c r="P393" s="61" t="str">
        <f t="shared" si="49"/>
        <v xml:space="preserve"> to </v>
      </c>
    </row>
    <row r="394" spans="1:16" s="45" customFormat="1" ht="15.75" hidden="1" customHeight="1" x14ac:dyDescent="0.35">
      <c r="A394" s="132" t="str">
        <f ca="1">(SUMPRODUCT(MID(0&amp;(LEFT(A393,SUM(LEN(A393)-LEN(SUBSTITUTE(A393,{"0","1","2"},""))))), LARGE(INDEX(ISNUMBER(--MID((LEFT(A393,SUM(LEN(A393)-LEN(SUBSTITUTE(A393,{"0","1","2"},""))))), ROW(INDIRECT("1:"&amp;LEN((LEFT(A393,SUM(LEN(A393)-LEN(SUBSTITUTE(A393,{"0","1","2"},"")))))))), 1)) * ROW(INDIRECT("1:"&amp;LEN((LEFT(A393,SUM(LEN(A393)-LEN(SUBSTITUTE(A393,{"0","1","2"},"")))))))), 0), ROW(INDIRECT("1:"&amp;LEN((LEFT(A393,SUM(LEN(A393)-LEN(SUBSTITUTE(A393,{"0","1","2"},"")))))))))+1, 1) * 10^ROW(INDIRECT("1:"&amp;LEN((LEFT(A393,SUM(LEN(A393)-LEN(SUBSTITUTE(A393,{"0","1","2"},""))))))))/10))*1+1&amp;""&amp;" ,.., "&amp;""&amp;(SUMPRODUCT(MID(0&amp;(--TRIM(RIGHT(SUBSTITUTE(LEFT(A393,_xlfn.AGGREGATE(16,6,FIND({0,1,2,3,4,5,6,7,8,9},A393,ROW(INDIRECT("1:"&amp;LEN(A393)))),1))," ",REPT(" ",LEN(A393))),LEN(A393)))), LARGE(INDEX(ISNUMBER(--MID((--TRIM(RIGHT(SUBSTITUTE(LEFT(A393,_xlfn.AGGREGATE(16,6,FIND({0,1,2,3,4,5,6,7,8,9},A393,ROW(INDIRECT("1:"&amp;LEN(A393)))),1))," ",REPT(" ",LEN(A393))),LEN(A393)))), ROW(INDIRECT("1:"&amp;LEN((--TRIM(RIGHT(SUBSTITUTE(LEFT(A393,_xlfn.AGGREGATE(16,6,FIND({0,1,2,3,4,5,6,7,8,9},A393,ROW(INDIRECT("1:"&amp;LEN(A393)))),1))," ",REPT(" ",LEN(A393))),LEN(A393))))))), 1)) * ROW(INDIRECT("1:"&amp;LEN((--TRIM(RIGHT(SUBSTITUTE(LEFT(A393,_xlfn.AGGREGATE(16,6,FIND({0,1,2,3,4,5,6,7,8,9},A393,ROW(INDIRECT("1:"&amp;LEN(A393)))),1))," ",REPT(" ",LEN(A393))),LEN(A393))))))), 0), ROW(INDIRECT("1:"&amp;LEN((--TRIM(RIGHT(SUBSTITUTE(LEFT(A393,_xlfn.AGGREGATE(16,6,FIND({0,1,2,3,4,5,6,7,8,9},A393,ROW(INDIRECT("1:"&amp;LEN(A393)))),1))," ",REPT(" ",LEN(A393))),LEN(A393))))))))+1, 1) * 10^ROW(INDIRECT("1:"&amp;LEN((--TRIM(RIGHT(SUBSTITUTE(LEFT(A393,_xlfn.AGGREGATE(16,6,FIND({0,1,2,3,4,5,6,7,8,9},A393,ROW(INDIRECT("1:"&amp;LEN(A393)))),1))," ",REPT(" ",LEN(A393))),LEN(A393)))))))/10))*1+1</f>
        <v>302 ,.., 1502</v>
      </c>
      <c r="B394" s="133"/>
      <c r="C394" s="64"/>
      <c r="D394" s="66"/>
      <c r="E394" s="66">
        <v>0</v>
      </c>
      <c r="F394" s="66">
        <f>D394*(($F$218)+1)+(IF(E394&lt;101,E394,IF(E394&lt;201,E394/2,IF(E394&lt;=301,E394/3,E394/4))))</f>
        <v>0</v>
      </c>
      <c r="G394" s="138"/>
      <c r="H394" s="139"/>
      <c r="I394" s="38"/>
      <c r="P394" s="61" t="str">
        <f t="shared" si="49"/>
        <v xml:space="preserve"> to </v>
      </c>
    </row>
    <row r="395" spans="1:16" s="45" customFormat="1" ht="15.75" hidden="1" customHeight="1" x14ac:dyDescent="0.35">
      <c r="A395" s="132" t="str">
        <f ca="1">(SUMPRODUCT(MID(0&amp;(LEFT(A394,SUM(LEN(A394)-LEN(SUBSTITUTE(A394,{"0","1","2"},""))))), LARGE(INDEX(ISNUMBER(--MID((LEFT(A394,SUM(LEN(A394)-LEN(SUBSTITUTE(A394,{"0","1","2"},""))))), ROW(INDIRECT("1:"&amp;LEN((LEFT(A394,SUM(LEN(A394)-LEN(SUBSTITUTE(A394,{"0","1","2"},"")))))))), 1)) * ROW(INDIRECT("1:"&amp;LEN((LEFT(A394,SUM(LEN(A394)-LEN(SUBSTITUTE(A394,{"0","1","2"},"")))))))), 0), ROW(INDIRECT("1:"&amp;LEN((LEFT(A394,SUM(LEN(A394)-LEN(SUBSTITUTE(A394,{"0","1","2"},"")))))))))+1, 1) * 10^ROW(INDIRECT("1:"&amp;LEN((LEFT(A394,SUM(LEN(A394)-LEN(SUBSTITUTE(A394,{"0","1","2"},""))))))))/10))*1+1&amp;""&amp;" ,.., "&amp;""&amp;(SUMPRODUCT(MID(0&amp;(--TRIM(RIGHT(SUBSTITUTE(LEFT(A394,_xlfn.AGGREGATE(16,6,FIND({0,1,2,3,4,5,6,7,8,9},A394,ROW(INDIRECT("1:"&amp;LEN(A394)))),1))," ",REPT(" ",LEN(A394))),LEN(A394)))), LARGE(INDEX(ISNUMBER(--MID((--TRIM(RIGHT(SUBSTITUTE(LEFT(A394,_xlfn.AGGREGATE(16,6,FIND({0,1,2,3,4,5,6,7,8,9},A394,ROW(INDIRECT("1:"&amp;LEN(A394)))),1))," ",REPT(" ",LEN(A394))),LEN(A394)))), ROW(INDIRECT("1:"&amp;LEN((--TRIM(RIGHT(SUBSTITUTE(LEFT(A394,_xlfn.AGGREGATE(16,6,FIND({0,1,2,3,4,5,6,7,8,9},A394,ROW(INDIRECT("1:"&amp;LEN(A394)))),1))," ",REPT(" ",LEN(A394))),LEN(A394))))))), 1)) * ROW(INDIRECT("1:"&amp;LEN((--TRIM(RIGHT(SUBSTITUTE(LEFT(A394,_xlfn.AGGREGATE(16,6,FIND({0,1,2,3,4,5,6,7,8,9},A394,ROW(INDIRECT("1:"&amp;LEN(A394)))),1))," ",REPT(" ",LEN(A394))),LEN(A394))))))), 0), ROW(INDIRECT("1:"&amp;LEN((--TRIM(RIGHT(SUBSTITUTE(LEFT(A394,_xlfn.AGGREGATE(16,6,FIND({0,1,2,3,4,5,6,7,8,9},A394,ROW(INDIRECT("1:"&amp;LEN(A394)))),1))," ",REPT(" ",LEN(A394))),LEN(A394))))))))+1, 1) * 10^ROW(INDIRECT("1:"&amp;LEN((--TRIM(RIGHT(SUBSTITUTE(LEFT(A394,_xlfn.AGGREGATE(16,6,FIND({0,1,2,3,4,5,6,7,8,9},A394,ROW(INDIRECT("1:"&amp;LEN(A394)))),1))," ",REPT(" ",LEN(A394))),LEN(A394)))))))/10))*1+1</f>
        <v>303 ,.., 1503</v>
      </c>
      <c r="B395" s="133"/>
      <c r="C395" s="64"/>
      <c r="D395" s="66"/>
      <c r="E395" s="66">
        <v>0</v>
      </c>
      <c r="F395" s="66">
        <f>D395*(($F$218)+1)+(IF(E395&lt;101,E395,IF(E395&lt;201,E395/2,IF(E395&lt;=301,E395/3,E395/4))))</f>
        <v>0</v>
      </c>
      <c r="G395" s="138"/>
      <c r="H395" s="139"/>
      <c r="I395" s="38"/>
      <c r="P395" s="61" t="str">
        <f t="shared" si="49"/>
        <v xml:space="preserve"> to </v>
      </c>
    </row>
    <row r="396" spans="1:16" s="45" customFormat="1" ht="15.75" hidden="1" customHeight="1" x14ac:dyDescent="0.35">
      <c r="A396" s="132" t="str">
        <f ca="1">(SUMPRODUCT(MID(0&amp;(LEFT(A395,SUM(LEN(A395)-LEN(SUBSTITUTE(A395,{"0","1","2"},""))))), LARGE(INDEX(ISNUMBER(--MID((LEFT(A395,SUM(LEN(A395)-LEN(SUBSTITUTE(A395,{"0","1","2"},""))))), ROW(INDIRECT("1:"&amp;LEN((LEFT(A395,SUM(LEN(A395)-LEN(SUBSTITUTE(A395,{"0","1","2"},"")))))))), 1)) * ROW(INDIRECT("1:"&amp;LEN((LEFT(A395,SUM(LEN(A395)-LEN(SUBSTITUTE(A395,{"0","1","2"},"")))))))), 0), ROW(INDIRECT("1:"&amp;LEN((LEFT(A395,SUM(LEN(A395)-LEN(SUBSTITUTE(A395,{"0","1","2"},"")))))))))+1, 1) * 10^ROW(INDIRECT("1:"&amp;LEN((LEFT(A395,SUM(LEN(A395)-LEN(SUBSTITUTE(A395,{"0","1","2"},""))))))))/10))*1+1&amp;""&amp;" ,.., "&amp;""&amp;(SUMPRODUCT(MID(0&amp;(--TRIM(RIGHT(SUBSTITUTE(LEFT(A395,_xlfn.AGGREGATE(16,6,FIND({0,1,2,3,4,5,6,7,8,9},A395,ROW(INDIRECT("1:"&amp;LEN(A395)))),1))," ",REPT(" ",LEN(A395))),LEN(A395)))), LARGE(INDEX(ISNUMBER(--MID((--TRIM(RIGHT(SUBSTITUTE(LEFT(A395,_xlfn.AGGREGATE(16,6,FIND({0,1,2,3,4,5,6,7,8,9},A395,ROW(INDIRECT("1:"&amp;LEN(A395)))),1))," ",REPT(" ",LEN(A395))),LEN(A395)))), ROW(INDIRECT("1:"&amp;LEN((--TRIM(RIGHT(SUBSTITUTE(LEFT(A395,_xlfn.AGGREGATE(16,6,FIND({0,1,2,3,4,5,6,7,8,9},A395,ROW(INDIRECT("1:"&amp;LEN(A395)))),1))," ",REPT(" ",LEN(A395))),LEN(A395))))))), 1)) * ROW(INDIRECT("1:"&amp;LEN((--TRIM(RIGHT(SUBSTITUTE(LEFT(A395,_xlfn.AGGREGATE(16,6,FIND({0,1,2,3,4,5,6,7,8,9},A395,ROW(INDIRECT("1:"&amp;LEN(A395)))),1))," ",REPT(" ",LEN(A395))),LEN(A395))))))), 0), ROW(INDIRECT("1:"&amp;LEN((--TRIM(RIGHT(SUBSTITUTE(LEFT(A395,_xlfn.AGGREGATE(16,6,FIND({0,1,2,3,4,5,6,7,8,9},A395,ROW(INDIRECT("1:"&amp;LEN(A395)))),1))," ",REPT(" ",LEN(A395))),LEN(A395))))))))+1, 1) * 10^ROW(INDIRECT("1:"&amp;LEN((--TRIM(RIGHT(SUBSTITUTE(LEFT(A395,_xlfn.AGGREGATE(16,6,FIND({0,1,2,3,4,5,6,7,8,9},A395,ROW(INDIRECT("1:"&amp;LEN(A395)))),1))," ",REPT(" ",LEN(A395))),LEN(A395)))))))/10))*1+1</f>
        <v>304 ,.., 1504</v>
      </c>
      <c r="B396" s="133"/>
      <c r="C396" s="64"/>
      <c r="D396" s="66"/>
      <c r="E396" s="66">
        <v>0</v>
      </c>
      <c r="F396" s="66">
        <f>D396*(($F$218)+1)+(IF(E396&lt;101,E396,IF(E396&lt;201,E396/2,IF(E396&lt;=301,E396/3,E396/4))))</f>
        <v>0</v>
      </c>
      <c r="G396" s="138"/>
      <c r="H396" s="139"/>
      <c r="I396" s="38"/>
      <c r="P396" s="61" t="str">
        <f t="shared" si="49"/>
        <v xml:space="preserve"> to </v>
      </c>
    </row>
    <row r="397" spans="1:16" s="45" customFormat="1" ht="15.75" hidden="1" customHeight="1" x14ac:dyDescent="0.35">
      <c r="A397" s="132" t="str">
        <f ca="1">(SUMPRODUCT(MID(0&amp;(LEFT(A396,SUM(LEN(A396)-LEN(SUBSTITUTE(A396,{"0","1","2"},""))))), LARGE(INDEX(ISNUMBER(--MID((LEFT(A396,SUM(LEN(A396)-LEN(SUBSTITUTE(A396,{"0","1","2"},""))))), ROW(INDIRECT("1:"&amp;LEN((LEFT(A396,SUM(LEN(A396)-LEN(SUBSTITUTE(A396,{"0","1","2"},"")))))))), 1)) * ROW(INDIRECT("1:"&amp;LEN((LEFT(A396,SUM(LEN(A396)-LEN(SUBSTITUTE(A396,{"0","1","2"},"")))))))), 0), ROW(INDIRECT("1:"&amp;LEN((LEFT(A396,SUM(LEN(A396)-LEN(SUBSTITUTE(A396,{"0","1","2"},"")))))))))+1, 1) * 10^ROW(INDIRECT("1:"&amp;LEN((LEFT(A396,SUM(LEN(A396)-LEN(SUBSTITUTE(A396,{"0","1","2"},""))))))))/10))*1+1&amp;""&amp;" ,.., "&amp;""&amp;(SUMPRODUCT(MID(0&amp;(--TRIM(RIGHT(SUBSTITUTE(LEFT(A396,_xlfn.AGGREGATE(16,6,FIND({0,1,2,3,4,5,6,7,8,9},A396,ROW(INDIRECT("1:"&amp;LEN(A396)))),1))," ",REPT(" ",LEN(A396))),LEN(A396)))), LARGE(INDEX(ISNUMBER(--MID((--TRIM(RIGHT(SUBSTITUTE(LEFT(A396,_xlfn.AGGREGATE(16,6,FIND({0,1,2,3,4,5,6,7,8,9},A396,ROW(INDIRECT("1:"&amp;LEN(A396)))),1))," ",REPT(" ",LEN(A396))),LEN(A396)))), ROW(INDIRECT("1:"&amp;LEN((--TRIM(RIGHT(SUBSTITUTE(LEFT(A396,_xlfn.AGGREGATE(16,6,FIND({0,1,2,3,4,5,6,7,8,9},A396,ROW(INDIRECT("1:"&amp;LEN(A396)))),1))," ",REPT(" ",LEN(A396))),LEN(A396))))))), 1)) * ROW(INDIRECT("1:"&amp;LEN((--TRIM(RIGHT(SUBSTITUTE(LEFT(A396,_xlfn.AGGREGATE(16,6,FIND({0,1,2,3,4,5,6,7,8,9},A396,ROW(INDIRECT("1:"&amp;LEN(A396)))),1))," ",REPT(" ",LEN(A396))),LEN(A396))))))), 0), ROW(INDIRECT("1:"&amp;LEN((--TRIM(RIGHT(SUBSTITUTE(LEFT(A396,_xlfn.AGGREGATE(16,6,FIND({0,1,2,3,4,5,6,7,8,9},A396,ROW(INDIRECT("1:"&amp;LEN(A396)))),1))," ",REPT(" ",LEN(A396))),LEN(A396))))))))+1, 1) * 10^ROW(INDIRECT("1:"&amp;LEN((--TRIM(RIGHT(SUBSTITUTE(LEFT(A396,_xlfn.AGGREGATE(16,6,FIND({0,1,2,3,4,5,6,7,8,9},A396,ROW(INDIRECT("1:"&amp;LEN(A396)))),1))," ",REPT(" ",LEN(A396))),LEN(A396)))))))/10))*1+1</f>
        <v>305 ,.., 1505</v>
      </c>
      <c r="B397" s="133"/>
      <c r="C397" s="64"/>
      <c r="D397" s="66"/>
      <c r="E397" s="66">
        <v>0</v>
      </c>
      <c r="F397" s="66">
        <f>D397*(($F$218)+1)+(IF(E397&lt;101,E397,IF(E397&lt;201,E397/2,IF(E397&lt;=301,E397/3,E397/4))))</f>
        <v>0</v>
      </c>
      <c r="G397" s="140"/>
      <c r="H397" s="141"/>
      <c r="I397" s="38"/>
      <c r="P397" s="61" t="str">
        <f t="shared" si="49"/>
        <v xml:space="preserve"> to </v>
      </c>
    </row>
    <row r="398" spans="1:16" s="45" customFormat="1" hidden="1" x14ac:dyDescent="0.35">
      <c r="A398" s="129" t="s">
        <v>147</v>
      </c>
      <c r="B398" s="130"/>
      <c r="C398" s="130"/>
      <c r="D398" s="130"/>
      <c r="E398" s="130"/>
      <c r="F398" s="130"/>
      <c r="G398" s="130"/>
      <c r="H398" s="131"/>
      <c r="I398" s="38"/>
      <c r="P398" s="61" t="str">
        <f t="shared" si="49"/>
        <v xml:space="preserve"> to </v>
      </c>
    </row>
    <row r="399" spans="1:16" s="45" customFormat="1" ht="15.75" hidden="1" customHeight="1" x14ac:dyDescent="0.35">
      <c r="A399" s="132" t="str">
        <f ca="1">(SUMPRODUCT(MID(0&amp;(LEFT(A398,SUM(LEN(A398)-LEN(SUBSTITUTE(A398,{"0","1","2"},""))))), LARGE(INDEX(ISNUMBER(--MID((LEFT(A398,SUM(LEN(A398)-LEN(SUBSTITUTE(A398,{"0","1","2"},""))))), ROW(INDIRECT("1:"&amp;LEN((LEFT(A398,SUM(LEN(A398)-LEN(SUBSTITUTE(A398,{"0","1","2"},"")))))))), 1)) * ROW(INDIRECT("1:"&amp;LEN((LEFT(A398,SUM(LEN(A398)-LEN(SUBSTITUTE(A398,{"0","1","2"},"")))))))), 0), ROW(INDIRECT("1:"&amp;LEN((LEFT(A398,SUM(LEN(A398)-LEN(SUBSTITUTE(A398,{"0","1","2"},"")))))))))+1, 1) * 10^ROW(INDIRECT("1:"&amp;LEN((LEFT(A398,SUM(LEN(A398)-LEN(SUBSTITUTE(A398,{"0","1","2"},""))))))))/10))*100+1&amp;""&amp;" to "&amp;""&amp;(SUMPRODUCT(MID(0&amp;(--TRIM(RIGHT(SUBSTITUTE(LEFT(A398,_xlfn.AGGREGATE(16,6,FIND({0,1,2,3,4,5,6,7,8,9},A398,ROW(INDIRECT("1:"&amp;LEN(A398)))),1))," ",REPT(" ",LEN(A398))),LEN(A398)))), LARGE(INDEX(ISNUMBER(--MID((--TRIM(RIGHT(SUBSTITUTE(LEFT(A398,_xlfn.AGGREGATE(16,6,FIND({0,1,2,3,4,5,6,7,8,9},A398,ROW(INDIRECT("1:"&amp;LEN(A398)))),1))," ",REPT(" ",LEN(A398))),LEN(A398)))), ROW(INDIRECT("1:"&amp;LEN((--TRIM(RIGHT(SUBSTITUTE(LEFT(A398,_xlfn.AGGREGATE(16,6,FIND({0,1,2,3,4,5,6,7,8,9},A398,ROW(INDIRECT("1:"&amp;LEN(A398)))),1))," ",REPT(" ",LEN(A398))),LEN(A398))))))), 1)) * ROW(INDIRECT("1:"&amp;LEN((--TRIM(RIGHT(SUBSTITUTE(LEFT(A398,_xlfn.AGGREGATE(16,6,FIND({0,1,2,3,4,5,6,7,8,9},A398,ROW(INDIRECT("1:"&amp;LEN(A398)))),1))," ",REPT(" ",LEN(A398))),LEN(A398))))))), 0), ROW(INDIRECT("1:"&amp;LEN((--TRIM(RIGHT(SUBSTITUTE(LEFT(A398,_xlfn.AGGREGATE(16,6,FIND({0,1,2,3,4,5,6,7,8,9},A398,ROW(INDIRECT("1:"&amp;LEN(A398)))),1))," ",REPT(" ",LEN(A398))),LEN(A398))))))))+1, 1) * 10^ROW(INDIRECT("1:"&amp;LEN((--TRIM(RIGHT(SUBSTITUTE(LEFT(A398,_xlfn.AGGREGATE(16,6,FIND({0,1,2,3,4,5,6,7,8,9},A398,ROW(INDIRECT("1:"&amp;LEN(A398)))),1))," ",REPT(" ",LEN(A398))),LEN(A398)))))))/10))*100+1</f>
        <v>201 to 501</v>
      </c>
      <c r="B399" s="133"/>
      <c r="C399" s="64"/>
      <c r="D399" s="66"/>
      <c r="E399" s="66">
        <v>0</v>
      </c>
      <c r="F399" s="66">
        <f>D399*(($F$218)+1)+(IF(E399&lt;101,E399,IF(E399&lt;201,E399/2,IF(E399&lt;=301,E399/3,E399/4))))</f>
        <v>0</v>
      </c>
      <c r="G399" s="136" t="str">
        <f>A398</f>
        <v>2nd to 5th Floor</v>
      </c>
      <c r="H399" s="137"/>
      <c r="I399" s="38"/>
      <c r="P399" s="61" t="str">
        <f t="shared" si="49"/>
        <v xml:space="preserve"> to </v>
      </c>
    </row>
    <row r="400" spans="1:16" s="45" customFormat="1" ht="15.75" hidden="1" customHeight="1" x14ac:dyDescent="0.35">
      <c r="A400" s="132" t="str">
        <f ca="1">(SUMPRODUCT(MID(0&amp;(LEFT(A399,SUM(LEN(A399)-LEN(SUBSTITUTE(A399,{"0","1","2"},""))))), LARGE(INDEX(ISNUMBER(--MID((LEFT(A399,SUM(LEN(A399)-LEN(SUBSTITUTE(A399,{"0","1","2"},""))))), ROW(INDIRECT("1:"&amp;LEN((LEFT(A399,SUM(LEN(A399)-LEN(SUBSTITUTE(A399,{"0","1","2"},"")))))))), 1)) * ROW(INDIRECT("1:"&amp;LEN((LEFT(A399,SUM(LEN(A399)-LEN(SUBSTITUTE(A399,{"0","1","2"},"")))))))), 0), ROW(INDIRECT("1:"&amp;LEN((LEFT(A399,SUM(LEN(A399)-LEN(SUBSTITUTE(A399,{"0","1","2"},"")))))))))+1, 1) * 10^ROW(INDIRECT("1:"&amp;LEN((LEFT(A399,SUM(LEN(A399)-LEN(SUBSTITUTE(A399,{"0","1","2"},""))))))))/10))*1+1&amp;""&amp;" to "&amp;""&amp;(SUMPRODUCT(MID(0&amp;(--TRIM(RIGHT(SUBSTITUTE(LEFT(A399,_xlfn.AGGREGATE(16,6,FIND({0,1,2,3,4,5,6,7,8,9},A399,ROW(INDIRECT("1:"&amp;LEN(A399)))),1))," ",REPT(" ",LEN(A399))),LEN(A399)))), LARGE(INDEX(ISNUMBER(--MID((--TRIM(RIGHT(SUBSTITUTE(LEFT(A399,_xlfn.AGGREGATE(16,6,FIND({0,1,2,3,4,5,6,7,8,9},A399,ROW(INDIRECT("1:"&amp;LEN(A399)))),1))," ",REPT(" ",LEN(A399))),LEN(A399)))), ROW(INDIRECT("1:"&amp;LEN((--TRIM(RIGHT(SUBSTITUTE(LEFT(A399,_xlfn.AGGREGATE(16,6,FIND({0,1,2,3,4,5,6,7,8,9},A399,ROW(INDIRECT("1:"&amp;LEN(A399)))),1))," ",REPT(" ",LEN(A399))),LEN(A399))))))), 1)) * ROW(INDIRECT("1:"&amp;LEN((--TRIM(RIGHT(SUBSTITUTE(LEFT(A399,_xlfn.AGGREGATE(16,6,FIND({0,1,2,3,4,5,6,7,8,9},A399,ROW(INDIRECT("1:"&amp;LEN(A399)))),1))," ",REPT(" ",LEN(A399))),LEN(A399))))))), 0), ROW(INDIRECT("1:"&amp;LEN((--TRIM(RIGHT(SUBSTITUTE(LEFT(A399,_xlfn.AGGREGATE(16,6,FIND({0,1,2,3,4,5,6,7,8,9},A399,ROW(INDIRECT("1:"&amp;LEN(A399)))),1))," ",REPT(" ",LEN(A399))),LEN(A399))))))))+1, 1) * 10^ROW(INDIRECT("1:"&amp;LEN((--TRIM(RIGHT(SUBSTITUTE(LEFT(A399,_xlfn.AGGREGATE(16,6,FIND({0,1,2,3,4,5,6,7,8,9},A399,ROW(INDIRECT("1:"&amp;LEN(A399)))),1))," ",REPT(" ",LEN(A399))),LEN(A399)))))))/10))*1+1</f>
        <v>202 to 502</v>
      </c>
      <c r="B400" s="133"/>
      <c r="C400" s="64"/>
      <c r="D400" s="66"/>
      <c r="E400" s="66">
        <v>0</v>
      </c>
      <c r="F400" s="66">
        <f>D400*(($F$218)+1)+(IF(E400&lt;101,E400,IF(E400&lt;201,E400/2,IF(E400&lt;=301,E400/3,E400/4))))</f>
        <v>0</v>
      </c>
      <c r="G400" s="138"/>
      <c r="H400" s="139"/>
      <c r="I400" s="38"/>
      <c r="P400" s="61" t="str">
        <f t="shared" si="49"/>
        <v xml:space="preserve"> to </v>
      </c>
    </row>
    <row r="401" spans="1:16" s="45" customFormat="1" ht="15.75" hidden="1" customHeight="1" x14ac:dyDescent="0.35">
      <c r="A401" s="132" t="str">
        <f ca="1">(SUMPRODUCT(MID(0&amp;(LEFT(A400,SUM(LEN(A400)-LEN(SUBSTITUTE(A400,{"0","1","2"},""))))), LARGE(INDEX(ISNUMBER(--MID((LEFT(A400,SUM(LEN(A400)-LEN(SUBSTITUTE(A400,{"0","1","2"},""))))), ROW(INDIRECT("1:"&amp;LEN((LEFT(A400,SUM(LEN(A400)-LEN(SUBSTITUTE(A400,{"0","1","2"},"")))))))), 1)) * ROW(INDIRECT("1:"&amp;LEN((LEFT(A400,SUM(LEN(A400)-LEN(SUBSTITUTE(A400,{"0","1","2"},"")))))))), 0), ROW(INDIRECT("1:"&amp;LEN((LEFT(A400,SUM(LEN(A400)-LEN(SUBSTITUTE(A400,{"0","1","2"},"")))))))))+1, 1) * 10^ROW(INDIRECT("1:"&amp;LEN((LEFT(A400,SUM(LEN(A400)-LEN(SUBSTITUTE(A400,{"0","1","2"},""))))))))/10))*1+1&amp;""&amp;" to "&amp;""&amp;(SUMPRODUCT(MID(0&amp;(--TRIM(RIGHT(SUBSTITUTE(LEFT(A400,_xlfn.AGGREGATE(16,6,FIND({0,1,2,3,4,5,6,7,8,9},A400,ROW(INDIRECT("1:"&amp;LEN(A400)))),1))," ",REPT(" ",LEN(A400))),LEN(A400)))), LARGE(INDEX(ISNUMBER(--MID((--TRIM(RIGHT(SUBSTITUTE(LEFT(A400,_xlfn.AGGREGATE(16,6,FIND({0,1,2,3,4,5,6,7,8,9},A400,ROW(INDIRECT("1:"&amp;LEN(A400)))),1))," ",REPT(" ",LEN(A400))),LEN(A400)))), ROW(INDIRECT("1:"&amp;LEN((--TRIM(RIGHT(SUBSTITUTE(LEFT(A400,_xlfn.AGGREGATE(16,6,FIND({0,1,2,3,4,5,6,7,8,9},A400,ROW(INDIRECT("1:"&amp;LEN(A400)))),1))," ",REPT(" ",LEN(A400))),LEN(A400))))))), 1)) * ROW(INDIRECT("1:"&amp;LEN((--TRIM(RIGHT(SUBSTITUTE(LEFT(A400,_xlfn.AGGREGATE(16,6,FIND({0,1,2,3,4,5,6,7,8,9},A400,ROW(INDIRECT("1:"&amp;LEN(A400)))),1))," ",REPT(" ",LEN(A400))),LEN(A400))))))), 0), ROW(INDIRECT("1:"&amp;LEN((--TRIM(RIGHT(SUBSTITUTE(LEFT(A400,_xlfn.AGGREGATE(16,6,FIND({0,1,2,3,4,5,6,7,8,9},A400,ROW(INDIRECT("1:"&amp;LEN(A400)))),1))," ",REPT(" ",LEN(A400))),LEN(A400))))))))+1, 1) * 10^ROW(INDIRECT("1:"&amp;LEN((--TRIM(RIGHT(SUBSTITUTE(LEFT(A400,_xlfn.AGGREGATE(16,6,FIND({0,1,2,3,4,5,6,7,8,9},A400,ROW(INDIRECT("1:"&amp;LEN(A400)))),1))," ",REPT(" ",LEN(A400))),LEN(A400)))))))/10))*1+1</f>
        <v>203 to 503</v>
      </c>
      <c r="B401" s="133"/>
      <c r="C401" s="64"/>
      <c r="D401" s="66"/>
      <c r="E401" s="66">
        <v>0</v>
      </c>
      <c r="F401" s="66">
        <f>D401*(($F$218)+1)+(IF(E401&lt;101,E401,IF(E401&lt;201,E401/2,IF(E401&lt;=301,E401/3,E401/4))))</f>
        <v>0</v>
      </c>
      <c r="G401" s="138"/>
      <c r="H401" s="139"/>
      <c r="I401" s="38"/>
      <c r="P401" s="61" t="str">
        <f t="shared" si="49"/>
        <v xml:space="preserve"> to </v>
      </c>
    </row>
    <row r="402" spans="1:16" s="45" customFormat="1" ht="15.75" hidden="1" customHeight="1" x14ac:dyDescent="0.35">
      <c r="A402" s="132" t="str">
        <f ca="1">(SUMPRODUCT(MID(0&amp;(LEFT(A401,SUM(LEN(A401)-LEN(SUBSTITUTE(A401,{"0","1","2"},""))))), LARGE(INDEX(ISNUMBER(--MID((LEFT(A401,SUM(LEN(A401)-LEN(SUBSTITUTE(A401,{"0","1","2"},""))))), ROW(INDIRECT("1:"&amp;LEN((LEFT(A401,SUM(LEN(A401)-LEN(SUBSTITUTE(A401,{"0","1","2"},"")))))))), 1)) * ROW(INDIRECT("1:"&amp;LEN((LEFT(A401,SUM(LEN(A401)-LEN(SUBSTITUTE(A401,{"0","1","2"},"")))))))), 0), ROW(INDIRECT("1:"&amp;LEN((LEFT(A401,SUM(LEN(A401)-LEN(SUBSTITUTE(A401,{"0","1","2"},"")))))))))+1, 1) * 10^ROW(INDIRECT("1:"&amp;LEN((LEFT(A401,SUM(LEN(A401)-LEN(SUBSTITUTE(A401,{"0","1","2"},""))))))))/10))*1+1&amp;""&amp;" to "&amp;""&amp;(SUMPRODUCT(MID(0&amp;(--TRIM(RIGHT(SUBSTITUTE(LEFT(A401,_xlfn.AGGREGATE(16,6,FIND({0,1,2,3,4,5,6,7,8,9},A401,ROW(INDIRECT("1:"&amp;LEN(A401)))),1))," ",REPT(" ",LEN(A401))),LEN(A401)))), LARGE(INDEX(ISNUMBER(--MID((--TRIM(RIGHT(SUBSTITUTE(LEFT(A401,_xlfn.AGGREGATE(16,6,FIND({0,1,2,3,4,5,6,7,8,9},A401,ROW(INDIRECT("1:"&amp;LEN(A401)))),1))," ",REPT(" ",LEN(A401))),LEN(A401)))), ROW(INDIRECT("1:"&amp;LEN((--TRIM(RIGHT(SUBSTITUTE(LEFT(A401,_xlfn.AGGREGATE(16,6,FIND({0,1,2,3,4,5,6,7,8,9},A401,ROW(INDIRECT("1:"&amp;LEN(A401)))),1))," ",REPT(" ",LEN(A401))),LEN(A401))))))), 1)) * ROW(INDIRECT("1:"&amp;LEN((--TRIM(RIGHT(SUBSTITUTE(LEFT(A401,_xlfn.AGGREGATE(16,6,FIND({0,1,2,3,4,5,6,7,8,9},A401,ROW(INDIRECT("1:"&amp;LEN(A401)))),1))," ",REPT(" ",LEN(A401))),LEN(A401))))))), 0), ROW(INDIRECT("1:"&amp;LEN((--TRIM(RIGHT(SUBSTITUTE(LEFT(A401,_xlfn.AGGREGATE(16,6,FIND({0,1,2,3,4,5,6,7,8,9},A401,ROW(INDIRECT("1:"&amp;LEN(A401)))),1))," ",REPT(" ",LEN(A401))),LEN(A401))))))))+1, 1) * 10^ROW(INDIRECT("1:"&amp;LEN((--TRIM(RIGHT(SUBSTITUTE(LEFT(A401,_xlfn.AGGREGATE(16,6,FIND({0,1,2,3,4,5,6,7,8,9},A401,ROW(INDIRECT("1:"&amp;LEN(A401)))),1))," ",REPT(" ",LEN(A401))),LEN(A401)))))))/10))*1+1</f>
        <v>204 to 504</v>
      </c>
      <c r="B402" s="133"/>
      <c r="C402" s="64"/>
      <c r="D402" s="66"/>
      <c r="E402" s="66">
        <v>0</v>
      </c>
      <c r="F402" s="66">
        <f>D402*(($F$218)+1)+(IF(E402&lt;101,E402,IF(E402&lt;201,E402/2,IF(E402&lt;=301,E402/3,E402/4))))</f>
        <v>0</v>
      </c>
      <c r="G402" s="138"/>
      <c r="H402" s="139"/>
      <c r="I402" s="38"/>
      <c r="P402" s="61" t="str">
        <f t="shared" si="49"/>
        <v xml:space="preserve"> to </v>
      </c>
    </row>
    <row r="403" spans="1:16" s="45" customFormat="1" ht="15.75" hidden="1" customHeight="1" x14ac:dyDescent="0.35">
      <c r="A403" s="132" t="str">
        <f ca="1">(SUMPRODUCT(MID(0&amp;(LEFT(A402,SUM(LEN(A402)-LEN(SUBSTITUTE(A402,{"0","1","2"},""))))), LARGE(INDEX(ISNUMBER(--MID((LEFT(A402,SUM(LEN(A402)-LEN(SUBSTITUTE(A402,{"0","1","2"},""))))), ROW(INDIRECT("1:"&amp;LEN((LEFT(A402,SUM(LEN(A402)-LEN(SUBSTITUTE(A402,{"0","1","2"},"")))))))), 1)) * ROW(INDIRECT("1:"&amp;LEN((LEFT(A402,SUM(LEN(A402)-LEN(SUBSTITUTE(A402,{"0","1","2"},"")))))))), 0), ROW(INDIRECT("1:"&amp;LEN((LEFT(A402,SUM(LEN(A402)-LEN(SUBSTITUTE(A402,{"0","1","2"},"")))))))))+1, 1) * 10^ROW(INDIRECT("1:"&amp;LEN((LEFT(A402,SUM(LEN(A402)-LEN(SUBSTITUTE(A402,{"0","1","2"},""))))))))/10))*1+1&amp;""&amp;" to "&amp;""&amp;(SUMPRODUCT(MID(0&amp;(--TRIM(RIGHT(SUBSTITUTE(LEFT(A402,_xlfn.AGGREGATE(16,6,FIND({0,1,2,3,4,5,6,7,8,9},A402,ROW(INDIRECT("1:"&amp;LEN(A402)))),1))," ",REPT(" ",LEN(A402))),LEN(A402)))), LARGE(INDEX(ISNUMBER(--MID((--TRIM(RIGHT(SUBSTITUTE(LEFT(A402,_xlfn.AGGREGATE(16,6,FIND({0,1,2,3,4,5,6,7,8,9},A402,ROW(INDIRECT("1:"&amp;LEN(A402)))),1))," ",REPT(" ",LEN(A402))),LEN(A402)))), ROW(INDIRECT("1:"&amp;LEN((--TRIM(RIGHT(SUBSTITUTE(LEFT(A402,_xlfn.AGGREGATE(16,6,FIND({0,1,2,3,4,5,6,7,8,9},A402,ROW(INDIRECT("1:"&amp;LEN(A402)))),1))," ",REPT(" ",LEN(A402))),LEN(A402))))))), 1)) * ROW(INDIRECT("1:"&amp;LEN((--TRIM(RIGHT(SUBSTITUTE(LEFT(A402,_xlfn.AGGREGATE(16,6,FIND({0,1,2,3,4,5,6,7,8,9},A402,ROW(INDIRECT("1:"&amp;LEN(A402)))),1))," ",REPT(" ",LEN(A402))),LEN(A402))))))), 0), ROW(INDIRECT("1:"&amp;LEN((--TRIM(RIGHT(SUBSTITUTE(LEFT(A402,_xlfn.AGGREGATE(16,6,FIND({0,1,2,3,4,5,6,7,8,9},A402,ROW(INDIRECT("1:"&amp;LEN(A402)))),1))," ",REPT(" ",LEN(A402))),LEN(A402))))))))+1, 1) * 10^ROW(INDIRECT("1:"&amp;LEN((--TRIM(RIGHT(SUBSTITUTE(LEFT(A402,_xlfn.AGGREGATE(16,6,FIND({0,1,2,3,4,5,6,7,8,9},A402,ROW(INDIRECT("1:"&amp;LEN(A402)))),1))," ",REPT(" ",LEN(A402))),LEN(A402)))))))/10))*1+1</f>
        <v>205 to 505</v>
      </c>
      <c r="B403" s="133"/>
      <c r="C403" s="64"/>
      <c r="D403" s="66"/>
      <c r="E403" s="66">
        <v>0</v>
      </c>
      <c r="F403" s="66">
        <f>D403*(($F$218)+1)+(IF(E403&lt;101,E403,IF(E403&lt;201,E403/2,IF(E403&lt;=301,E403/3,E403/4))))</f>
        <v>0</v>
      </c>
      <c r="G403" s="140"/>
      <c r="H403" s="141"/>
      <c r="I403" s="38"/>
      <c r="P403" s="61" t="str">
        <f t="shared" si="49"/>
        <v xml:space="preserve"> to </v>
      </c>
    </row>
    <row r="404" spans="1:16" s="45" customFormat="1" hidden="1" x14ac:dyDescent="0.35">
      <c r="A404" s="129" t="s">
        <v>148</v>
      </c>
      <c r="B404" s="130"/>
      <c r="C404" s="130"/>
      <c r="D404" s="130"/>
      <c r="E404" s="130"/>
      <c r="F404" s="130"/>
      <c r="G404" s="130"/>
      <c r="H404" s="131"/>
      <c r="I404" s="38"/>
      <c r="P404" s="61" t="str">
        <f t="shared" si="49"/>
        <v xml:space="preserve"> to </v>
      </c>
    </row>
    <row r="405" spans="1:16" s="45" customFormat="1" ht="15.75" hidden="1" customHeight="1" x14ac:dyDescent="0.35">
      <c r="A405" s="132" t="str">
        <f ca="1">(SUMPRODUCT(MID(0&amp;(LEFT(A404,SUM(LEN(A404)-LEN(SUBSTITUTE(A404,{"0","1","2"},""))))), LARGE(INDEX(ISNUMBER(--MID((LEFT(A404,SUM(LEN(A404)-LEN(SUBSTITUTE(A404,{"0","1","2"},""))))), ROW(INDIRECT("1:"&amp;LEN((LEFT(A404,SUM(LEN(A404)-LEN(SUBSTITUTE(A404,{"0","1","2"},"")))))))), 1)) * ROW(INDIRECT("1:"&amp;LEN((LEFT(A404,SUM(LEN(A404)-LEN(SUBSTITUTE(A404,{"0","1","2"},"")))))))), 0), ROW(INDIRECT("1:"&amp;LEN((LEFT(A404,SUM(LEN(A404)-LEN(SUBSTITUTE(A404,{"0","1","2"},"")))))))))+1, 1) * 10^ROW(INDIRECT("1:"&amp;LEN((LEFT(A404,SUM(LEN(A404)-LEN(SUBSTITUTE(A404,{"0","1","2"},""))))))))/10))*100+1&amp;""&amp;" &amp; "&amp;""&amp;(SUMPRODUCT(MID(0&amp;(--TRIM(RIGHT(SUBSTITUTE(LEFT(A404,_xlfn.AGGREGATE(16,6,FIND({0,1,2,3,4,5,6,7,8,9},A404,ROW(INDIRECT("1:"&amp;LEN(A404)))),1))," ",REPT(" ",LEN(A404))),LEN(A404)))), LARGE(INDEX(ISNUMBER(--MID((--TRIM(RIGHT(SUBSTITUTE(LEFT(A404,_xlfn.AGGREGATE(16,6,FIND({0,1,2,3,4,5,6,7,8,9},A404,ROW(INDIRECT("1:"&amp;LEN(A404)))),1))," ",REPT(" ",LEN(A404))),LEN(A404)))), ROW(INDIRECT("1:"&amp;LEN((--TRIM(RIGHT(SUBSTITUTE(LEFT(A404,_xlfn.AGGREGATE(16,6,FIND({0,1,2,3,4,5,6,7,8,9},A404,ROW(INDIRECT("1:"&amp;LEN(A404)))),1))," ",REPT(" ",LEN(A404))),LEN(A404))))))), 1)) * ROW(INDIRECT("1:"&amp;LEN((--TRIM(RIGHT(SUBSTITUTE(LEFT(A404,_xlfn.AGGREGATE(16,6,FIND({0,1,2,3,4,5,6,7,8,9},A404,ROW(INDIRECT("1:"&amp;LEN(A404)))),1))," ",REPT(" ",LEN(A404))),LEN(A404))))))), 0), ROW(INDIRECT("1:"&amp;LEN((--TRIM(RIGHT(SUBSTITUTE(LEFT(A404,_xlfn.AGGREGATE(16,6,FIND({0,1,2,3,4,5,6,7,8,9},A404,ROW(INDIRECT("1:"&amp;LEN(A404)))),1))," ",REPT(" ",LEN(A404))),LEN(A404))))))))+1, 1) * 10^ROW(INDIRECT("1:"&amp;LEN((--TRIM(RIGHT(SUBSTITUTE(LEFT(A404,_xlfn.AGGREGATE(16,6,FIND({0,1,2,3,4,5,6,7,8,9},A404,ROW(INDIRECT("1:"&amp;LEN(A404)))),1))," ",REPT(" ",LEN(A404))),LEN(A404)))))))/10))*100+1</f>
        <v>201 &amp; 501</v>
      </c>
      <c r="B405" s="133"/>
      <c r="C405" s="64"/>
      <c r="D405" s="66"/>
      <c r="E405" s="66">
        <v>0</v>
      </c>
      <c r="F405" s="66">
        <f>D405*(($F$218)+1)+(IF(E405&lt;101,E405,IF(E405&lt;201,E405/2,IF(E405&lt;=301,E405/3,E405/4))))</f>
        <v>0</v>
      </c>
      <c r="G405" s="136" t="str">
        <f>A404</f>
        <v>2nd &amp; 5th Floor</v>
      </c>
      <c r="H405" s="137"/>
      <c r="I405" s="38"/>
      <c r="P405" s="61" t="str">
        <f t="shared" si="49"/>
        <v xml:space="preserve"> to </v>
      </c>
    </row>
    <row r="406" spans="1:16" s="45" customFormat="1" ht="15.75" hidden="1" customHeight="1" x14ac:dyDescent="0.35">
      <c r="A406" s="132" t="str">
        <f ca="1">(SUMPRODUCT(MID(0&amp;(LEFT(A405,SUM(LEN(A405)-LEN(SUBSTITUTE(A405,{"0","1","2"},""))))), LARGE(INDEX(ISNUMBER(--MID((LEFT(A405,SUM(LEN(A405)-LEN(SUBSTITUTE(A405,{"0","1","2"},""))))), ROW(INDIRECT("1:"&amp;LEN((LEFT(A405,SUM(LEN(A405)-LEN(SUBSTITUTE(A405,{"0","1","2"},"")))))))), 1)) * ROW(INDIRECT("1:"&amp;LEN((LEFT(A405,SUM(LEN(A405)-LEN(SUBSTITUTE(A405,{"0","1","2"},"")))))))), 0), ROW(INDIRECT("1:"&amp;LEN((LEFT(A405,SUM(LEN(A405)-LEN(SUBSTITUTE(A405,{"0","1","2"},"")))))))))+1, 1) * 10^ROW(INDIRECT("1:"&amp;LEN((LEFT(A405,SUM(LEN(A405)-LEN(SUBSTITUTE(A405,{"0","1","2"},""))))))))/10))*1+1&amp;""&amp;" &amp; "&amp;""&amp;(SUMPRODUCT(MID(0&amp;(--TRIM(RIGHT(SUBSTITUTE(LEFT(A405,_xlfn.AGGREGATE(16,6,FIND({0,1,2,3,4,5,6,7,8,9},A405,ROW(INDIRECT("1:"&amp;LEN(A405)))),1))," ",REPT(" ",LEN(A405))),LEN(A405)))), LARGE(INDEX(ISNUMBER(--MID((--TRIM(RIGHT(SUBSTITUTE(LEFT(A405,_xlfn.AGGREGATE(16,6,FIND({0,1,2,3,4,5,6,7,8,9},A405,ROW(INDIRECT("1:"&amp;LEN(A405)))),1))," ",REPT(" ",LEN(A405))),LEN(A405)))), ROW(INDIRECT("1:"&amp;LEN((--TRIM(RIGHT(SUBSTITUTE(LEFT(A405,_xlfn.AGGREGATE(16,6,FIND({0,1,2,3,4,5,6,7,8,9},A405,ROW(INDIRECT("1:"&amp;LEN(A405)))),1))," ",REPT(" ",LEN(A405))),LEN(A405))))))), 1)) * ROW(INDIRECT("1:"&amp;LEN((--TRIM(RIGHT(SUBSTITUTE(LEFT(A405,_xlfn.AGGREGATE(16,6,FIND({0,1,2,3,4,5,6,7,8,9},A405,ROW(INDIRECT("1:"&amp;LEN(A405)))),1))," ",REPT(" ",LEN(A405))),LEN(A405))))))), 0), ROW(INDIRECT("1:"&amp;LEN((--TRIM(RIGHT(SUBSTITUTE(LEFT(A405,_xlfn.AGGREGATE(16,6,FIND({0,1,2,3,4,5,6,7,8,9},A405,ROW(INDIRECT("1:"&amp;LEN(A405)))),1))," ",REPT(" ",LEN(A405))),LEN(A405))))))))+1, 1) * 10^ROW(INDIRECT("1:"&amp;LEN((--TRIM(RIGHT(SUBSTITUTE(LEFT(A405,_xlfn.AGGREGATE(16,6,FIND({0,1,2,3,4,5,6,7,8,9},A405,ROW(INDIRECT("1:"&amp;LEN(A405)))),1))," ",REPT(" ",LEN(A405))),LEN(A405)))))))/10))*1+1</f>
        <v>202 &amp; 502</v>
      </c>
      <c r="B406" s="133"/>
      <c r="C406" s="64"/>
      <c r="D406" s="66"/>
      <c r="E406" s="66">
        <v>0</v>
      </c>
      <c r="F406" s="66">
        <f>D406*(($F$218)+1)+(IF(E406&lt;101,E406,IF(E406&lt;201,E406/2,IF(E406&lt;=301,E406/3,E406/4))))</f>
        <v>0</v>
      </c>
      <c r="G406" s="138"/>
      <c r="H406" s="139"/>
      <c r="I406" s="38"/>
      <c r="P406" s="61" t="str">
        <f t="shared" si="49"/>
        <v xml:space="preserve"> to </v>
      </c>
    </row>
    <row r="407" spans="1:16" s="45" customFormat="1" ht="15.75" hidden="1" customHeight="1" x14ac:dyDescent="0.35">
      <c r="A407" s="132" t="str">
        <f ca="1">(SUMPRODUCT(MID(0&amp;(LEFT(A406,SUM(LEN(A406)-LEN(SUBSTITUTE(A406,{"0","1","2"},""))))), LARGE(INDEX(ISNUMBER(--MID((LEFT(A406,SUM(LEN(A406)-LEN(SUBSTITUTE(A406,{"0","1","2"},""))))), ROW(INDIRECT("1:"&amp;LEN((LEFT(A406,SUM(LEN(A406)-LEN(SUBSTITUTE(A406,{"0","1","2"},"")))))))), 1)) * ROW(INDIRECT("1:"&amp;LEN((LEFT(A406,SUM(LEN(A406)-LEN(SUBSTITUTE(A406,{"0","1","2"},"")))))))), 0), ROW(INDIRECT("1:"&amp;LEN((LEFT(A406,SUM(LEN(A406)-LEN(SUBSTITUTE(A406,{"0","1","2"},"")))))))))+1, 1) * 10^ROW(INDIRECT("1:"&amp;LEN((LEFT(A406,SUM(LEN(A406)-LEN(SUBSTITUTE(A406,{"0","1","2"},""))))))))/10))*1+1&amp;""&amp;" &amp; "&amp;""&amp;(SUMPRODUCT(MID(0&amp;(--TRIM(RIGHT(SUBSTITUTE(LEFT(A406,_xlfn.AGGREGATE(16,6,FIND({0,1,2,3,4,5,6,7,8,9},A406,ROW(INDIRECT("1:"&amp;LEN(A406)))),1))," ",REPT(" ",LEN(A406))),LEN(A406)))), LARGE(INDEX(ISNUMBER(--MID((--TRIM(RIGHT(SUBSTITUTE(LEFT(A406,_xlfn.AGGREGATE(16,6,FIND({0,1,2,3,4,5,6,7,8,9},A406,ROW(INDIRECT("1:"&amp;LEN(A406)))),1))," ",REPT(" ",LEN(A406))),LEN(A406)))), ROW(INDIRECT("1:"&amp;LEN((--TRIM(RIGHT(SUBSTITUTE(LEFT(A406,_xlfn.AGGREGATE(16,6,FIND({0,1,2,3,4,5,6,7,8,9},A406,ROW(INDIRECT("1:"&amp;LEN(A406)))),1))," ",REPT(" ",LEN(A406))),LEN(A406))))))), 1)) * ROW(INDIRECT("1:"&amp;LEN((--TRIM(RIGHT(SUBSTITUTE(LEFT(A406,_xlfn.AGGREGATE(16,6,FIND({0,1,2,3,4,5,6,7,8,9},A406,ROW(INDIRECT("1:"&amp;LEN(A406)))),1))," ",REPT(" ",LEN(A406))),LEN(A406))))))), 0), ROW(INDIRECT("1:"&amp;LEN((--TRIM(RIGHT(SUBSTITUTE(LEFT(A406,_xlfn.AGGREGATE(16,6,FIND({0,1,2,3,4,5,6,7,8,9},A406,ROW(INDIRECT("1:"&amp;LEN(A406)))),1))," ",REPT(" ",LEN(A406))),LEN(A406))))))))+1, 1) * 10^ROW(INDIRECT("1:"&amp;LEN((--TRIM(RIGHT(SUBSTITUTE(LEFT(A406,_xlfn.AGGREGATE(16,6,FIND({0,1,2,3,4,5,6,7,8,9},A406,ROW(INDIRECT("1:"&amp;LEN(A406)))),1))," ",REPT(" ",LEN(A406))),LEN(A406)))))))/10))*1+1</f>
        <v>203 &amp; 503</v>
      </c>
      <c r="B407" s="133"/>
      <c r="C407" s="64"/>
      <c r="D407" s="66"/>
      <c r="E407" s="66">
        <v>0</v>
      </c>
      <c r="F407" s="66">
        <f>D407*(($F$218)+1)+(IF(E407&lt;101,E407,IF(E407&lt;201,E407/2,IF(E407&lt;=301,E407/3,E407/4))))</f>
        <v>0</v>
      </c>
      <c r="G407" s="138"/>
      <c r="H407" s="139"/>
      <c r="I407" s="38"/>
      <c r="P407" s="61" t="str">
        <f t="shared" si="49"/>
        <v xml:space="preserve"> to </v>
      </c>
    </row>
    <row r="408" spans="1:16" s="45" customFormat="1" ht="15.75" hidden="1" customHeight="1" x14ac:dyDescent="0.35">
      <c r="A408" s="132" t="str">
        <f ca="1">(SUMPRODUCT(MID(0&amp;(LEFT(A407,SUM(LEN(A407)-LEN(SUBSTITUTE(A407,{"0","1","2"},""))))), LARGE(INDEX(ISNUMBER(--MID((LEFT(A407,SUM(LEN(A407)-LEN(SUBSTITUTE(A407,{"0","1","2"},""))))), ROW(INDIRECT("1:"&amp;LEN((LEFT(A407,SUM(LEN(A407)-LEN(SUBSTITUTE(A407,{"0","1","2"},"")))))))), 1)) * ROW(INDIRECT("1:"&amp;LEN((LEFT(A407,SUM(LEN(A407)-LEN(SUBSTITUTE(A407,{"0","1","2"},"")))))))), 0), ROW(INDIRECT("1:"&amp;LEN((LEFT(A407,SUM(LEN(A407)-LEN(SUBSTITUTE(A407,{"0","1","2"},"")))))))))+1, 1) * 10^ROW(INDIRECT("1:"&amp;LEN((LEFT(A407,SUM(LEN(A407)-LEN(SUBSTITUTE(A407,{"0","1","2"},""))))))))/10))*1+1&amp;""&amp;" &amp; "&amp;""&amp;(SUMPRODUCT(MID(0&amp;(--TRIM(RIGHT(SUBSTITUTE(LEFT(A407,_xlfn.AGGREGATE(16,6,FIND({0,1,2,3,4,5,6,7,8,9},A407,ROW(INDIRECT("1:"&amp;LEN(A407)))),1))," ",REPT(" ",LEN(A407))),LEN(A407)))), LARGE(INDEX(ISNUMBER(--MID((--TRIM(RIGHT(SUBSTITUTE(LEFT(A407,_xlfn.AGGREGATE(16,6,FIND({0,1,2,3,4,5,6,7,8,9},A407,ROW(INDIRECT("1:"&amp;LEN(A407)))),1))," ",REPT(" ",LEN(A407))),LEN(A407)))), ROW(INDIRECT("1:"&amp;LEN((--TRIM(RIGHT(SUBSTITUTE(LEFT(A407,_xlfn.AGGREGATE(16,6,FIND({0,1,2,3,4,5,6,7,8,9},A407,ROW(INDIRECT("1:"&amp;LEN(A407)))),1))," ",REPT(" ",LEN(A407))),LEN(A407))))))), 1)) * ROW(INDIRECT("1:"&amp;LEN((--TRIM(RIGHT(SUBSTITUTE(LEFT(A407,_xlfn.AGGREGATE(16,6,FIND({0,1,2,3,4,5,6,7,8,9},A407,ROW(INDIRECT("1:"&amp;LEN(A407)))),1))," ",REPT(" ",LEN(A407))),LEN(A407))))))), 0), ROW(INDIRECT("1:"&amp;LEN((--TRIM(RIGHT(SUBSTITUTE(LEFT(A407,_xlfn.AGGREGATE(16,6,FIND({0,1,2,3,4,5,6,7,8,9},A407,ROW(INDIRECT("1:"&amp;LEN(A407)))),1))," ",REPT(" ",LEN(A407))),LEN(A407))))))))+1, 1) * 10^ROW(INDIRECT("1:"&amp;LEN((--TRIM(RIGHT(SUBSTITUTE(LEFT(A407,_xlfn.AGGREGATE(16,6,FIND({0,1,2,3,4,5,6,7,8,9},A407,ROW(INDIRECT("1:"&amp;LEN(A407)))),1))," ",REPT(" ",LEN(A407))),LEN(A407)))))))/10))*1+1</f>
        <v>204 &amp; 504</v>
      </c>
      <c r="B408" s="133"/>
      <c r="C408" s="64"/>
      <c r="D408" s="66"/>
      <c r="E408" s="66">
        <v>0</v>
      </c>
      <c r="F408" s="66">
        <f>D408*(($F$218)+1)+(IF(E408&lt;101,E408,IF(E408&lt;201,E408/2,IF(E408&lt;=301,E408/3,E408/4))))</f>
        <v>0</v>
      </c>
      <c r="G408" s="138"/>
      <c r="H408" s="139"/>
      <c r="I408" s="38"/>
      <c r="P408" s="61" t="str">
        <f t="shared" si="49"/>
        <v xml:space="preserve"> to </v>
      </c>
    </row>
    <row r="409" spans="1:16" s="45" customFormat="1" ht="15.75" hidden="1" customHeight="1" x14ac:dyDescent="0.35">
      <c r="A409" s="132" t="str">
        <f ca="1">(SUMPRODUCT(MID(0&amp;(LEFT(A408,SUM(LEN(A408)-LEN(SUBSTITUTE(A408,{"0","1","2"},""))))), LARGE(INDEX(ISNUMBER(--MID((LEFT(A408,SUM(LEN(A408)-LEN(SUBSTITUTE(A408,{"0","1","2"},""))))), ROW(INDIRECT("1:"&amp;LEN((LEFT(A408,SUM(LEN(A408)-LEN(SUBSTITUTE(A408,{"0","1","2"},"")))))))), 1)) * ROW(INDIRECT("1:"&amp;LEN((LEFT(A408,SUM(LEN(A408)-LEN(SUBSTITUTE(A408,{"0","1","2"},"")))))))), 0), ROW(INDIRECT("1:"&amp;LEN((LEFT(A408,SUM(LEN(A408)-LEN(SUBSTITUTE(A408,{"0","1","2"},"")))))))))+1, 1) * 10^ROW(INDIRECT("1:"&amp;LEN((LEFT(A408,SUM(LEN(A408)-LEN(SUBSTITUTE(A408,{"0","1","2"},""))))))))/10))*1+1&amp;""&amp;" &amp; "&amp;""&amp;(SUMPRODUCT(MID(0&amp;(--TRIM(RIGHT(SUBSTITUTE(LEFT(A408,_xlfn.AGGREGATE(16,6,FIND({0,1,2,3,4,5,6,7,8,9},A408,ROW(INDIRECT("1:"&amp;LEN(A408)))),1))," ",REPT(" ",LEN(A408))),LEN(A408)))), LARGE(INDEX(ISNUMBER(--MID((--TRIM(RIGHT(SUBSTITUTE(LEFT(A408,_xlfn.AGGREGATE(16,6,FIND({0,1,2,3,4,5,6,7,8,9},A408,ROW(INDIRECT("1:"&amp;LEN(A408)))),1))," ",REPT(" ",LEN(A408))),LEN(A408)))), ROW(INDIRECT("1:"&amp;LEN((--TRIM(RIGHT(SUBSTITUTE(LEFT(A408,_xlfn.AGGREGATE(16,6,FIND({0,1,2,3,4,5,6,7,8,9},A408,ROW(INDIRECT("1:"&amp;LEN(A408)))),1))," ",REPT(" ",LEN(A408))),LEN(A408))))))), 1)) * ROW(INDIRECT("1:"&amp;LEN((--TRIM(RIGHT(SUBSTITUTE(LEFT(A408,_xlfn.AGGREGATE(16,6,FIND({0,1,2,3,4,5,6,7,8,9},A408,ROW(INDIRECT("1:"&amp;LEN(A408)))),1))," ",REPT(" ",LEN(A408))),LEN(A408))))))), 0), ROW(INDIRECT("1:"&amp;LEN((--TRIM(RIGHT(SUBSTITUTE(LEFT(A408,_xlfn.AGGREGATE(16,6,FIND({0,1,2,3,4,5,6,7,8,9},A408,ROW(INDIRECT("1:"&amp;LEN(A408)))),1))," ",REPT(" ",LEN(A408))),LEN(A408))))))))+1, 1) * 10^ROW(INDIRECT("1:"&amp;LEN((--TRIM(RIGHT(SUBSTITUTE(LEFT(A408,_xlfn.AGGREGATE(16,6,FIND({0,1,2,3,4,5,6,7,8,9},A408,ROW(INDIRECT("1:"&amp;LEN(A408)))),1))," ",REPT(" ",LEN(A408))),LEN(A408)))))))/10))*1+1</f>
        <v>205 &amp; 505</v>
      </c>
      <c r="B409" s="133"/>
      <c r="C409" s="64"/>
      <c r="D409" s="66"/>
      <c r="E409" s="66">
        <v>0</v>
      </c>
      <c r="F409" s="66">
        <f>D409*(($F$218)+1)+(IF(E409&lt;101,E409,IF(E409&lt;201,E409/2,IF(E409&lt;=301,E409/3,E409/4))))</f>
        <v>0</v>
      </c>
      <c r="G409" s="140"/>
      <c r="H409" s="141"/>
      <c r="I409" s="38"/>
      <c r="P409" s="61" t="str">
        <f t="shared" si="49"/>
        <v xml:space="preserve"> to </v>
      </c>
    </row>
    <row r="410" spans="1:16" s="37" customFormat="1" x14ac:dyDescent="0.35">
      <c r="A410" s="232" t="s">
        <v>69</v>
      </c>
      <c r="B410" s="232"/>
      <c r="C410" s="232"/>
      <c r="D410" s="232"/>
      <c r="E410" s="232"/>
      <c r="F410" s="232"/>
      <c r="G410" s="232"/>
      <c r="H410" s="232"/>
    </row>
    <row r="411" spans="1:16" s="37" customFormat="1" ht="49" customHeight="1" x14ac:dyDescent="0.35">
      <c r="A411" s="44" t="s">
        <v>157</v>
      </c>
      <c r="B411" s="172" t="s">
        <v>253</v>
      </c>
      <c r="C411" s="173"/>
      <c r="D411" s="173"/>
      <c r="E411" s="173"/>
      <c r="F411" s="173"/>
      <c r="G411" s="173"/>
      <c r="H411" s="174"/>
    </row>
    <row r="412" spans="1:16" s="37" customFormat="1" x14ac:dyDescent="0.35">
      <c r="A412" s="44" t="s">
        <v>157</v>
      </c>
      <c r="B412" s="172" t="str">
        <f>(IF(F217="Saleable area Loading :","We have considered Saleable area of Flats as per our Calculation.","We considered Saleable area of Flat as per Builder area Sheet."))</f>
        <v>We have considered Saleable area of Flats as per our Calculation.</v>
      </c>
      <c r="C412" s="173"/>
      <c r="D412" s="173"/>
      <c r="E412" s="173"/>
      <c r="F412" s="173"/>
      <c r="G412" s="173"/>
      <c r="H412" s="174"/>
    </row>
    <row r="413" spans="1:16" s="37" customFormat="1" hidden="1" x14ac:dyDescent="0.35">
      <c r="A413" s="44" t="s">
        <v>157</v>
      </c>
      <c r="B413" s="172" t="str">
        <f>(IF(F209="Saleable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13" s="173"/>
      <c r="D413" s="173"/>
      <c r="E413" s="173"/>
      <c r="F413" s="173"/>
      <c r="G413" s="173"/>
      <c r="H413" s="174"/>
    </row>
    <row r="414" spans="1:16" s="37" customFormat="1" x14ac:dyDescent="0.35">
      <c r="A414" s="44" t="s">
        <v>157</v>
      </c>
      <c r="B414" s="181" t="s">
        <v>124</v>
      </c>
      <c r="C414" s="182"/>
      <c r="D414" s="182"/>
      <c r="E414" s="182"/>
      <c r="F414" s="182"/>
      <c r="G414" s="182"/>
      <c r="H414" s="183"/>
    </row>
    <row r="415" spans="1:16" s="37" customFormat="1" x14ac:dyDescent="0.35">
      <c r="A415" s="44" t="s">
        <v>157</v>
      </c>
      <c r="B415" s="181" t="s">
        <v>200</v>
      </c>
      <c r="C415" s="182"/>
      <c r="D415" s="182"/>
      <c r="E415" s="182"/>
      <c r="F415" s="182"/>
      <c r="G415" s="182"/>
      <c r="H415" s="183"/>
    </row>
    <row r="416" spans="1:16" s="37" customFormat="1" x14ac:dyDescent="0.35">
      <c r="A416" s="44" t="s">
        <v>157</v>
      </c>
      <c r="B416" s="181" t="s">
        <v>156</v>
      </c>
      <c r="C416" s="182"/>
      <c r="D416" s="182"/>
      <c r="E416" s="182"/>
      <c r="F416" s="182"/>
      <c r="G416" s="182"/>
      <c r="H416" s="183"/>
    </row>
    <row r="417" spans="1:8" s="37" customFormat="1" x14ac:dyDescent="0.35">
      <c r="A417" s="44" t="s">
        <v>157</v>
      </c>
      <c r="B417" s="181" t="s">
        <v>125</v>
      </c>
      <c r="C417" s="182"/>
      <c r="D417" s="182"/>
      <c r="E417" s="182"/>
      <c r="F417" s="182"/>
      <c r="G417" s="182"/>
      <c r="H417" s="183"/>
    </row>
    <row r="418" spans="1:8" s="37" customFormat="1" ht="34.5" customHeight="1" x14ac:dyDescent="0.35">
      <c r="A418" s="44" t="s">
        <v>157</v>
      </c>
      <c r="B418" s="181" t="s">
        <v>158</v>
      </c>
      <c r="C418" s="182"/>
      <c r="D418" s="182"/>
      <c r="E418" s="182"/>
      <c r="F418" s="182"/>
      <c r="G418" s="182"/>
      <c r="H418" s="183"/>
    </row>
    <row r="419" spans="1:8" s="37" customFormat="1" x14ac:dyDescent="0.35">
      <c r="A419" s="44" t="s">
        <v>157</v>
      </c>
      <c r="B419" s="181" t="s">
        <v>126</v>
      </c>
      <c r="C419" s="182"/>
      <c r="D419" s="182"/>
      <c r="E419" s="182"/>
      <c r="F419" s="182"/>
      <c r="G419" s="182"/>
      <c r="H419" s="183"/>
    </row>
    <row r="420" spans="1:8" s="37" customFormat="1" x14ac:dyDescent="0.35">
      <c r="A420" s="78" t="s">
        <v>157</v>
      </c>
      <c r="B420" s="172" t="s">
        <v>244</v>
      </c>
      <c r="C420" s="173"/>
      <c r="D420" s="173"/>
      <c r="E420" s="173"/>
      <c r="F420" s="173"/>
      <c r="G420" s="173"/>
      <c r="H420" s="174"/>
    </row>
    <row r="421" spans="1:8" s="37" customFormat="1" ht="34.5" customHeight="1" x14ac:dyDescent="0.35">
      <c r="A421" s="93" t="s">
        <v>157</v>
      </c>
      <c r="B421" s="244" t="s">
        <v>242</v>
      </c>
      <c r="C421" s="244"/>
      <c r="D421" s="244"/>
      <c r="E421" s="244"/>
      <c r="F421" s="244"/>
      <c r="G421" s="244"/>
      <c r="H421" s="244"/>
    </row>
    <row r="422" spans="1:8" s="37" customFormat="1" x14ac:dyDescent="0.35">
      <c r="A422" s="93" t="s">
        <v>157</v>
      </c>
      <c r="B422" s="244" t="s">
        <v>230</v>
      </c>
      <c r="C422" s="244"/>
      <c r="D422" s="244"/>
      <c r="E422" s="244"/>
      <c r="F422" s="244"/>
      <c r="G422" s="244"/>
      <c r="H422" s="244"/>
    </row>
    <row r="423" spans="1:8" s="37" customFormat="1" x14ac:dyDescent="0.35">
      <c r="A423" s="93" t="s">
        <v>157</v>
      </c>
      <c r="B423" s="244" t="s">
        <v>231</v>
      </c>
      <c r="C423" s="244"/>
      <c r="D423" s="244"/>
      <c r="E423" s="244"/>
      <c r="F423" s="244"/>
      <c r="G423" s="244"/>
      <c r="H423" s="244"/>
    </row>
    <row r="424" spans="1:8" s="37" customFormat="1" x14ac:dyDescent="0.35">
      <c r="A424" s="93" t="s">
        <v>157</v>
      </c>
      <c r="B424" s="244" t="s">
        <v>245</v>
      </c>
      <c r="C424" s="244"/>
      <c r="D424" s="244"/>
      <c r="E424" s="244"/>
      <c r="F424" s="244"/>
      <c r="G424" s="244"/>
      <c r="H424" s="244"/>
    </row>
    <row r="425" spans="1:8" x14ac:dyDescent="0.35">
      <c r="A425" s="154" t="s">
        <v>62</v>
      </c>
      <c r="B425" s="154"/>
      <c r="C425" s="154"/>
      <c r="D425" s="154"/>
      <c r="E425" s="154"/>
      <c r="F425" s="154"/>
      <c r="G425" s="154"/>
      <c r="H425" s="154"/>
    </row>
    <row r="426" spans="1:8" x14ac:dyDescent="0.35">
      <c r="A426" s="111" t="s">
        <v>63</v>
      </c>
      <c r="B426" s="111"/>
      <c r="C426" s="111"/>
      <c r="D426" s="111"/>
      <c r="E426" s="111"/>
      <c r="F426" s="111"/>
      <c r="G426" s="111"/>
      <c r="H426" s="111"/>
    </row>
    <row r="427" spans="1:8" ht="15.75" customHeight="1" x14ac:dyDescent="0.35">
      <c r="A427" s="124" t="s">
        <v>64</v>
      </c>
      <c r="B427" s="124"/>
      <c r="C427" s="124"/>
      <c r="D427" s="124"/>
      <c r="E427" s="124"/>
      <c r="F427" s="124"/>
      <c r="G427" s="124"/>
      <c r="H427" s="124"/>
    </row>
    <row r="428" spans="1:8" x14ac:dyDescent="0.35">
      <c r="A428" s="111" t="s">
        <v>65</v>
      </c>
      <c r="B428" s="111"/>
      <c r="C428" s="111"/>
      <c r="D428" s="111"/>
      <c r="E428" s="111"/>
      <c r="F428" s="111"/>
      <c r="G428" s="111"/>
      <c r="H428" s="111"/>
    </row>
    <row r="429" spans="1:8" x14ac:dyDescent="0.35">
      <c r="A429" s="111" t="s">
        <v>66</v>
      </c>
      <c r="B429" s="111"/>
      <c r="C429" s="111"/>
      <c r="D429" s="111"/>
      <c r="E429" s="111"/>
      <c r="F429" s="111"/>
      <c r="G429" s="111"/>
      <c r="H429" s="111"/>
    </row>
    <row r="430" spans="1:8" x14ac:dyDescent="0.35">
      <c r="A430" s="111" t="s">
        <v>127</v>
      </c>
      <c r="B430" s="111"/>
      <c r="C430" s="111"/>
      <c r="D430" s="111"/>
      <c r="E430" s="111"/>
      <c r="F430" s="111"/>
      <c r="G430" s="111"/>
      <c r="H430" s="111"/>
    </row>
    <row r="431" spans="1:8" x14ac:dyDescent="0.35">
      <c r="A431" s="112" t="s">
        <v>128</v>
      </c>
      <c r="B431" s="112"/>
      <c r="C431" s="112"/>
      <c r="D431" s="112"/>
      <c r="E431" s="112"/>
      <c r="F431" s="112"/>
      <c r="G431" s="112"/>
      <c r="H431" s="112"/>
    </row>
    <row r="432" spans="1:8" x14ac:dyDescent="0.35">
      <c r="A432" s="178" t="s">
        <v>79</v>
      </c>
      <c r="B432" s="178"/>
      <c r="C432" s="178" t="s">
        <v>206</v>
      </c>
      <c r="D432" s="178"/>
      <c r="E432" s="178" t="s">
        <v>104</v>
      </c>
      <c r="F432" s="178"/>
      <c r="G432" s="178" t="s">
        <v>250</v>
      </c>
      <c r="H432" s="178"/>
    </row>
    <row r="433" spans="1:8" x14ac:dyDescent="0.35">
      <c r="A433" s="177" t="s">
        <v>81</v>
      </c>
      <c r="B433" s="177"/>
      <c r="C433" s="177"/>
      <c r="D433" s="177"/>
      <c r="E433" s="177"/>
      <c r="F433" s="177"/>
      <c r="G433" s="177"/>
      <c r="H433" s="177"/>
    </row>
    <row r="434" spans="1:8" x14ac:dyDescent="0.35">
      <c r="A434" s="177"/>
      <c r="B434" s="177"/>
      <c r="C434" s="177"/>
      <c r="D434" s="177"/>
      <c r="E434" s="177"/>
      <c r="F434" s="177"/>
      <c r="G434" s="177"/>
      <c r="H434" s="177"/>
    </row>
    <row r="435" spans="1:8" x14ac:dyDescent="0.35">
      <c r="A435" s="177"/>
      <c r="B435" s="177"/>
      <c r="C435" s="177"/>
      <c r="D435" s="177"/>
      <c r="E435" s="177"/>
      <c r="F435" s="177"/>
      <c r="G435" s="177"/>
      <c r="H435" s="177"/>
    </row>
    <row r="436" spans="1:8" x14ac:dyDescent="0.35">
      <c r="A436" s="177"/>
      <c r="B436" s="177"/>
      <c r="C436" s="177"/>
      <c r="D436" s="177"/>
      <c r="E436" s="177"/>
      <c r="F436" s="177"/>
      <c r="G436" s="177"/>
      <c r="H436" s="177"/>
    </row>
    <row r="437" spans="1:8" x14ac:dyDescent="0.35">
      <c r="A437" s="39" t="s">
        <v>67</v>
      </c>
      <c r="B437" s="40"/>
      <c r="C437" s="40"/>
      <c r="D437" s="39" t="str">
        <f>E8</f>
        <v>Arihant Aaradhya Phase I &amp; II</v>
      </c>
      <c r="F437" s="40"/>
      <c r="G437" s="40"/>
      <c r="H437" s="40"/>
    </row>
    <row r="438" spans="1:8" x14ac:dyDescent="0.35">
      <c r="A438" s="40"/>
      <c r="B438" s="40"/>
      <c r="C438" s="40"/>
      <c r="D438" s="40"/>
      <c r="E438" s="40"/>
      <c r="F438" s="40"/>
      <c r="G438" s="40"/>
      <c r="H438" s="40"/>
    </row>
    <row r="439" spans="1:8" x14ac:dyDescent="0.35">
      <c r="A439" s="40"/>
      <c r="B439" s="40"/>
      <c r="C439" s="40"/>
      <c r="D439" s="40"/>
      <c r="E439" s="40"/>
      <c r="F439" s="40"/>
      <c r="G439" s="40"/>
      <c r="H439" s="40"/>
    </row>
    <row r="440" spans="1:8" ht="15" customHeight="1" x14ac:dyDescent="0.35"/>
    <row r="481" spans="1:1" x14ac:dyDescent="0.35">
      <c r="A481" s="42" t="s">
        <v>201</v>
      </c>
    </row>
    <row r="525" spans="1:1" x14ac:dyDescent="0.35">
      <c r="A525" s="42" t="s">
        <v>68</v>
      </c>
    </row>
  </sheetData>
  <mergeCells count="767">
    <mergeCell ref="B420:H420"/>
    <mergeCell ref="B424:H424"/>
    <mergeCell ref="B422:H422"/>
    <mergeCell ref="B423:H423"/>
    <mergeCell ref="B421:H421"/>
    <mergeCell ref="A314:B314"/>
    <mergeCell ref="L314:M314"/>
    <mergeCell ref="A315:B315"/>
    <mergeCell ref="L315:M315"/>
    <mergeCell ref="A316:B316"/>
    <mergeCell ref="L316:M316"/>
    <mergeCell ref="L385:M385"/>
    <mergeCell ref="A348:H348"/>
    <mergeCell ref="A349:B349"/>
    <mergeCell ref="G349:H356"/>
    <mergeCell ref="L349:M349"/>
    <mergeCell ref="A350:B350"/>
    <mergeCell ref="A337:H337"/>
    <mergeCell ref="A369:B369"/>
    <mergeCell ref="G369:H376"/>
    <mergeCell ref="L369:M369"/>
    <mergeCell ref="A370:B370"/>
    <mergeCell ref="L370:M370"/>
    <mergeCell ref="A371:B371"/>
    <mergeCell ref="A378:B378"/>
    <mergeCell ref="G378:H385"/>
    <mergeCell ref="L378:M378"/>
    <mergeCell ref="A379:B379"/>
    <mergeCell ref="L379:M379"/>
    <mergeCell ref="A380:B380"/>
    <mergeCell ref="L380:M380"/>
    <mergeCell ref="A381:B381"/>
    <mergeCell ref="L381:M381"/>
    <mergeCell ref="A382:B382"/>
    <mergeCell ref="L382:M382"/>
    <mergeCell ref="A383:B383"/>
    <mergeCell ref="L383:M383"/>
    <mergeCell ref="A384:B384"/>
    <mergeCell ref="L384:M384"/>
    <mergeCell ref="A385:B385"/>
    <mergeCell ref="A355:B355"/>
    <mergeCell ref="L355:M355"/>
    <mergeCell ref="A356:B356"/>
    <mergeCell ref="L356:M356"/>
    <mergeCell ref="C356:F356"/>
    <mergeCell ref="A377:H377"/>
    <mergeCell ref="A310:H310"/>
    <mergeCell ref="A311:B311"/>
    <mergeCell ref="L311:M311"/>
    <mergeCell ref="A312:B312"/>
    <mergeCell ref="L312:M312"/>
    <mergeCell ref="A313:B313"/>
    <mergeCell ref="L313:M313"/>
    <mergeCell ref="G311:H316"/>
    <mergeCell ref="C315:F315"/>
    <mergeCell ref="L371:M371"/>
    <mergeCell ref="A372:B372"/>
    <mergeCell ref="L372:M372"/>
    <mergeCell ref="A373:B373"/>
    <mergeCell ref="L373:M373"/>
    <mergeCell ref="A374:B374"/>
    <mergeCell ref="L374:M374"/>
    <mergeCell ref="A375:B375"/>
    <mergeCell ref="L350:M350"/>
    <mergeCell ref="A351:B351"/>
    <mergeCell ref="L351:M351"/>
    <mergeCell ref="A352:B352"/>
    <mergeCell ref="L352:M352"/>
    <mergeCell ref="A353:B353"/>
    <mergeCell ref="L353:M353"/>
    <mergeCell ref="L340:M340"/>
    <mergeCell ref="A341:B341"/>
    <mergeCell ref="L341:M341"/>
    <mergeCell ref="A342:B342"/>
    <mergeCell ref="L342:M342"/>
    <mergeCell ref="A343:B343"/>
    <mergeCell ref="L343:M343"/>
    <mergeCell ref="L344:M344"/>
    <mergeCell ref="A345:B345"/>
    <mergeCell ref="L345:M345"/>
    <mergeCell ref="A346:B346"/>
    <mergeCell ref="L346:M346"/>
    <mergeCell ref="A347:B347"/>
    <mergeCell ref="L347:M347"/>
    <mergeCell ref="L354:M354"/>
    <mergeCell ref="A169:B169"/>
    <mergeCell ref="C169:H169"/>
    <mergeCell ref="A171:B171"/>
    <mergeCell ref="C171:H171"/>
    <mergeCell ref="A172:B172"/>
    <mergeCell ref="E172:F172"/>
    <mergeCell ref="G172:H172"/>
    <mergeCell ref="A173:B173"/>
    <mergeCell ref="E173:F182"/>
    <mergeCell ref="G173:H182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L334:M334"/>
    <mergeCell ref="L335:M335"/>
    <mergeCell ref="L336:M336"/>
    <mergeCell ref="L307:M307"/>
    <mergeCell ref="C157:H157"/>
    <mergeCell ref="A158:B158"/>
    <mergeCell ref="E158:F158"/>
    <mergeCell ref="G158:H158"/>
    <mergeCell ref="A159:B159"/>
    <mergeCell ref="E159:F168"/>
    <mergeCell ref="G159:H168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01:B101"/>
    <mergeCell ref="C101:H101"/>
    <mergeCell ref="A102:B102"/>
    <mergeCell ref="E102:F102"/>
    <mergeCell ref="A103:B103"/>
    <mergeCell ref="E103:F112"/>
    <mergeCell ref="A109:B109"/>
    <mergeCell ref="E144:F144"/>
    <mergeCell ref="G144:H144"/>
    <mergeCell ref="A354:B354"/>
    <mergeCell ref="A308:B308"/>
    <mergeCell ref="A301:H301"/>
    <mergeCell ref="A106:B106"/>
    <mergeCell ref="A107:B107"/>
    <mergeCell ref="A108:B108"/>
    <mergeCell ref="A110:B110"/>
    <mergeCell ref="A111:B111"/>
    <mergeCell ref="G102:H102"/>
    <mergeCell ref="A145:B145"/>
    <mergeCell ref="E145:F154"/>
    <mergeCell ref="G145:H154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C155:H155"/>
    <mergeCell ref="A157:B157"/>
    <mergeCell ref="A368:H368"/>
    <mergeCell ref="A360:B360"/>
    <mergeCell ref="G360:H367"/>
    <mergeCell ref="A365:B365"/>
    <mergeCell ref="A344:B344"/>
    <mergeCell ref="A318:H318"/>
    <mergeCell ref="F186:H186"/>
    <mergeCell ref="A186:E186"/>
    <mergeCell ref="A183:E183"/>
    <mergeCell ref="A227:B227"/>
    <mergeCell ref="A302:H302"/>
    <mergeCell ref="A338:H338"/>
    <mergeCell ref="A303:H303"/>
    <mergeCell ref="A304:B304"/>
    <mergeCell ref="A309:B309"/>
    <mergeCell ref="A335:B335"/>
    <mergeCell ref="A336:B336"/>
    <mergeCell ref="C336:F336"/>
    <mergeCell ref="A357:H357"/>
    <mergeCell ref="A358:H358"/>
    <mergeCell ref="A359:H359"/>
    <mergeCell ref="A339:H339"/>
    <mergeCell ref="A340:B340"/>
    <mergeCell ref="G340:H347"/>
    <mergeCell ref="L290:M290"/>
    <mergeCell ref="A282:H282"/>
    <mergeCell ref="A283:B283"/>
    <mergeCell ref="L331:M331"/>
    <mergeCell ref="A332:B332"/>
    <mergeCell ref="L332:M332"/>
    <mergeCell ref="L375:M375"/>
    <mergeCell ref="A376:B376"/>
    <mergeCell ref="C376:F376"/>
    <mergeCell ref="L376:M376"/>
    <mergeCell ref="L360:M360"/>
    <mergeCell ref="A361:B361"/>
    <mergeCell ref="L361:M361"/>
    <mergeCell ref="A362:B362"/>
    <mergeCell ref="L362:M362"/>
    <mergeCell ref="A363:B363"/>
    <mergeCell ref="L363:M363"/>
    <mergeCell ref="A364:B364"/>
    <mergeCell ref="L364:M364"/>
    <mergeCell ref="L365:M365"/>
    <mergeCell ref="A366:B366"/>
    <mergeCell ref="L366:M366"/>
    <mergeCell ref="A367:B367"/>
    <mergeCell ref="L367:M367"/>
    <mergeCell ref="L329:M329"/>
    <mergeCell ref="A330:B330"/>
    <mergeCell ref="L330:M330"/>
    <mergeCell ref="L308:M308"/>
    <mergeCell ref="L309:M309"/>
    <mergeCell ref="G304:H309"/>
    <mergeCell ref="L304:M304"/>
    <mergeCell ref="A305:B305"/>
    <mergeCell ref="L305:M305"/>
    <mergeCell ref="A306:B306"/>
    <mergeCell ref="L306:M306"/>
    <mergeCell ref="A307:B307"/>
    <mergeCell ref="L333:M333"/>
    <mergeCell ref="C37:H37"/>
    <mergeCell ref="A291:H291"/>
    <mergeCell ref="A292:B292"/>
    <mergeCell ref="G292:H299"/>
    <mergeCell ref="L292:M292"/>
    <mergeCell ref="A293:B293"/>
    <mergeCell ref="L293:M293"/>
    <mergeCell ref="A294:B294"/>
    <mergeCell ref="L294:M294"/>
    <mergeCell ref="A295:B295"/>
    <mergeCell ref="L295:M295"/>
    <mergeCell ref="A296:B296"/>
    <mergeCell ref="L296:M296"/>
    <mergeCell ref="A297:B297"/>
    <mergeCell ref="L297:M297"/>
    <mergeCell ref="A298:B298"/>
    <mergeCell ref="L298:M298"/>
    <mergeCell ref="A299:B299"/>
    <mergeCell ref="C299:F299"/>
    <mergeCell ref="L275:M275"/>
    <mergeCell ref="A276:B276"/>
    <mergeCell ref="L276:M276"/>
    <mergeCell ref="L299:M299"/>
    <mergeCell ref="L277:M277"/>
    <mergeCell ref="A278:B278"/>
    <mergeCell ref="L278:M278"/>
    <mergeCell ref="A279:B279"/>
    <mergeCell ref="C279:F279"/>
    <mergeCell ref="L279:M279"/>
    <mergeCell ref="G283:H290"/>
    <mergeCell ref="L283:M283"/>
    <mergeCell ref="A284:B284"/>
    <mergeCell ref="L284:M284"/>
    <mergeCell ref="A285:B285"/>
    <mergeCell ref="L285:M285"/>
    <mergeCell ref="A286:B286"/>
    <mergeCell ref="L286:M286"/>
    <mergeCell ref="A287:B287"/>
    <mergeCell ref="L287:M287"/>
    <mergeCell ref="A288:B288"/>
    <mergeCell ref="L288:M288"/>
    <mergeCell ref="A289:B289"/>
    <mergeCell ref="A277:B277"/>
    <mergeCell ref="A280:H280"/>
    <mergeCell ref="A281:H281"/>
    <mergeCell ref="L289:M289"/>
    <mergeCell ref="A290:B290"/>
    <mergeCell ref="L269:M269"/>
    <mergeCell ref="A270:B270"/>
    <mergeCell ref="L270:M270"/>
    <mergeCell ref="A268:B268"/>
    <mergeCell ref="L272:M272"/>
    <mergeCell ref="A273:B273"/>
    <mergeCell ref="L273:M273"/>
    <mergeCell ref="A274:B274"/>
    <mergeCell ref="L274:M274"/>
    <mergeCell ref="L263:M263"/>
    <mergeCell ref="A264:B264"/>
    <mergeCell ref="L264:M264"/>
    <mergeCell ref="L265:M265"/>
    <mergeCell ref="A266:B266"/>
    <mergeCell ref="L266:M266"/>
    <mergeCell ref="A267:B267"/>
    <mergeCell ref="L267:M267"/>
    <mergeCell ref="L268:M268"/>
    <mergeCell ref="L254:M254"/>
    <mergeCell ref="A255:B255"/>
    <mergeCell ref="L255:M255"/>
    <mergeCell ref="A256:B256"/>
    <mergeCell ref="L256:M256"/>
    <mergeCell ref="L257:M257"/>
    <mergeCell ref="A258:B258"/>
    <mergeCell ref="L258:M258"/>
    <mergeCell ref="A259:B259"/>
    <mergeCell ref="C259:F259"/>
    <mergeCell ref="L259:M259"/>
    <mergeCell ref="L248:M248"/>
    <mergeCell ref="A249:B249"/>
    <mergeCell ref="L249:M249"/>
    <mergeCell ref="A250:B250"/>
    <mergeCell ref="L250:M250"/>
    <mergeCell ref="A251:H251"/>
    <mergeCell ref="L252:M252"/>
    <mergeCell ref="A253:B253"/>
    <mergeCell ref="L253:M253"/>
    <mergeCell ref="L243:M243"/>
    <mergeCell ref="A244:B244"/>
    <mergeCell ref="L244:M244"/>
    <mergeCell ref="A245:B245"/>
    <mergeCell ref="L245:M245"/>
    <mergeCell ref="A239:B239"/>
    <mergeCell ref="L246:M246"/>
    <mergeCell ref="A247:B247"/>
    <mergeCell ref="L247:M247"/>
    <mergeCell ref="L235:M235"/>
    <mergeCell ref="A236:B236"/>
    <mergeCell ref="L236:M236"/>
    <mergeCell ref="L237:M237"/>
    <mergeCell ref="A238:B238"/>
    <mergeCell ref="L238:M238"/>
    <mergeCell ref="L239:M239"/>
    <mergeCell ref="C239:F239"/>
    <mergeCell ref="A240:H240"/>
    <mergeCell ref="B418:H418"/>
    <mergeCell ref="A47:B47"/>
    <mergeCell ref="C47:H47"/>
    <mergeCell ref="B416:H416"/>
    <mergeCell ref="A104:B104"/>
    <mergeCell ref="A105:B105"/>
    <mergeCell ref="F185:H185"/>
    <mergeCell ref="A185:E185"/>
    <mergeCell ref="D209:D210"/>
    <mergeCell ref="A187:E187"/>
    <mergeCell ref="A212:B212"/>
    <mergeCell ref="A213:B213"/>
    <mergeCell ref="A214:B214"/>
    <mergeCell ref="A215:B215"/>
    <mergeCell ref="A188:E188"/>
    <mergeCell ref="G206:H206"/>
    <mergeCell ref="C194:D194"/>
    <mergeCell ref="A233:B233"/>
    <mergeCell ref="G103:H112"/>
    <mergeCell ref="A99:B99"/>
    <mergeCell ref="C99:H99"/>
    <mergeCell ref="G117:H126"/>
    <mergeCell ref="A118:B118"/>
    <mergeCell ref="A119:B119"/>
    <mergeCell ref="B415:H415"/>
    <mergeCell ref="A410:H410"/>
    <mergeCell ref="A402:B402"/>
    <mergeCell ref="A403:B403"/>
    <mergeCell ref="C209:C210"/>
    <mergeCell ref="B217:B218"/>
    <mergeCell ref="A398:H398"/>
    <mergeCell ref="A392:H392"/>
    <mergeCell ref="A323:B323"/>
    <mergeCell ref="A320:B320"/>
    <mergeCell ref="G212:H215"/>
    <mergeCell ref="G387:H391"/>
    <mergeCell ref="G393:H397"/>
    <mergeCell ref="G399:H403"/>
    <mergeCell ref="G405:H409"/>
    <mergeCell ref="A399:B399"/>
    <mergeCell ref="A407:B407"/>
    <mergeCell ref="A404:H404"/>
    <mergeCell ref="A405:B405"/>
    <mergeCell ref="A324:B324"/>
    <mergeCell ref="A406:B406"/>
    <mergeCell ref="A230:B230"/>
    <mergeCell ref="A235:B235"/>
    <mergeCell ref="A241:H241"/>
    <mergeCell ref="L215:M215"/>
    <mergeCell ref="A216:H216"/>
    <mergeCell ref="A217:A218"/>
    <mergeCell ref="A391:B391"/>
    <mergeCell ref="A388:B388"/>
    <mergeCell ref="A389:B389"/>
    <mergeCell ref="A390:B390"/>
    <mergeCell ref="L323:M323"/>
    <mergeCell ref="L320:M320"/>
    <mergeCell ref="A321:B321"/>
    <mergeCell ref="L321:M321"/>
    <mergeCell ref="A322:B322"/>
    <mergeCell ref="L322:M322"/>
    <mergeCell ref="L225:M225"/>
    <mergeCell ref="A226:B226"/>
    <mergeCell ref="L226:M226"/>
    <mergeCell ref="L233:M233"/>
    <mergeCell ref="A234:B234"/>
    <mergeCell ref="L234:M234"/>
    <mergeCell ref="L227:M227"/>
    <mergeCell ref="A228:B228"/>
    <mergeCell ref="L228:M228"/>
    <mergeCell ref="A229:B229"/>
    <mergeCell ref="L229:M229"/>
    <mergeCell ref="L212:M212"/>
    <mergeCell ref="E199:F199"/>
    <mergeCell ref="G192:H192"/>
    <mergeCell ref="C193:D193"/>
    <mergeCell ref="B414:H414"/>
    <mergeCell ref="L324:M324"/>
    <mergeCell ref="A325:B325"/>
    <mergeCell ref="L325:M325"/>
    <mergeCell ref="A326:B326"/>
    <mergeCell ref="L326:M326"/>
    <mergeCell ref="A327:B327"/>
    <mergeCell ref="L327:M327"/>
    <mergeCell ref="G320:H327"/>
    <mergeCell ref="A222:H222"/>
    <mergeCell ref="A223:B223"/>
    <mergeCell ref="G223:H230"/>
    <mergeCell ref="L223:M223"/>
    <mergeCell ref="A224:B224"/>
    <mergeCell ref="L224:M224"/>
    <mergeCell ref="A225:B225"/>
    <mergeCell ref="L232:M232"/>
    <mergeCell ref="L386:M386"/>
    <mergeCell ref="A400:B400"/>
    <mergeCell ref="A401:B401"/>
    <mergeCell ref="L230:M230"/>
    <mergeCell ref="C192:D192"/>
    <mergeCell ref="A209:A210"/>
    <mergeCell ref="G201:H201"/>
    <mergeCell ref="A198:A201"/>
    <mergeCell ref="C201:D201"/>
    <mergeCell ref="E201:F201"/>
    <mergeCell ref="A202:A205"/>
    <mergeCell ref="C202:D202"/>
    <mergeCell ref="E202:F202"/>
    <mergeCell ref="G202:H202"/>
    <mergeCell ref="C203:D203"/>
    <mergeCell ref="E203:F203"/>
    <mergeCell ref="G203:H203"/>
    <mergeCell ref="C204:D204"/>
    <mergeCell ref="E204:F204"/>
    <mergeCell ref="L214:M214"/>
    <mergeCell ref="L213:M213"/>
    <mergeCell ref="A194:B194"/>
    <mergeCell ref="E194:F194"/>
    <mergeCell ref="G194:H194"/>
    <mergeCell ref="A195:B195"/>
    <mergeCell ref="C195:D195"/>
    <mergeCell ref="E195:F195"/>
    <mergeCell ref="E193:F193"/>
    <mergeCell ref="A184:E184"/>
    <mergeCell ref="E117:F126"/>
    <mergeCell ref="E200:F200"/>
    <mergeCell ref="G200:H200"/>
    <mergeCell ref="E198:F198"/>
    <mergeCell ref="G198:H198"/>
    <mergeCell ref="A131:B131"/>
    <mergeCell ref="E131:F140"/>
    <mergeCell ref="G131:H140"/>
    <mergeCell ref="A132:B132"/>
    <mergeCell ref="A133:B133"/>
    <mergeCell ref="A134:B134"/>
    <mergeCell ref="A135:B135"/>
    <mergeCell ref="A136:B136"/>
    <mergeCell ref="A127:B127"/>
    <mergeCell ref="C127:H127"/>
    <mergeCell ref="A129:B129"/>
    <mergeCell ref="C129:H129"/>
    <mergeCell ref="A130:B130"/>
    <mergeCell ref="E130:F130"/>
    <mergeCell ref="G130:H130"/>
    <mergeCell ref="A120:B120"/>
    <mergeCell ref="A121:B121"/>
    <mergeCell ref="F188:H188"/>
    <mergeCell ref="A122:B122"/>
    <mergeCell ref="A123:B123"/>
    <mergeCell ref="A124:B124"/>
    <mergeCell ref="A125:B125"/>
    <mergeCell ref="A126:B126"/>
    <mergeCell ref="A113:B113"/>
    <mergeCell ref="C113:H113"/>
    <mergeCell ref="A115:B115"/>
    <mergeCell ref="C115:H115"/>
    <mergeCell ref="A116:B116"/>
    <mergeCell ref="E116:F116"/>
    <mergeCell ref="G116:H116"/>
    <mergeCell ref="A137:B137"/>
    <mergeCell ref="A138:B138"/>
    <mergeCell ref="A139:B139"/>
    <mergeCell ref="A117:B117"/>
    <mergeCell ref="F187:H187"/>
    <mergeCell ref="A140:B140"/>
    <mergeCell ref="A141:B141"/>
    <mergeCell ref="C141:H141"/>
    <mergeCell ref="A143:B143"/>
    <mergeCell ref="C143:H143"/>
    <mergeCell ref="A144:B144"/>
    <mergeCell ref="A42:D42"/>
    <mergeCell ref="E42:H42"/>
    <mergeCell ref="E43:H43"/>
    <mergeCell ref="E44:H44"/>
    <mergeCell ref="E45:H45"/>
    <mergeCell ref="A43:D43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G50:H50"/>
    <mergeCell ref="D54:H54"/>
    <mergeCell ref="D69:H69"/>
    <mergeCell ref="A75:B75"/>
    <mergeCell ref="D59:H59"/>
    <mergeCell ref="A78:B78"/>
    <mergeCell ref="E74:F74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D64:H64"/>
    <mergeCell ref="C50:E50"/>
    <mergeCell ref="D57:H57"/>
    <mergeCell ref="D58:H5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33:H436"/>
    <mergeCell ref="A432:B432"/>
    <mergeCell ref="E432:F432"/>
    <mergeCell ref="C432:D432"/>
    <mergeCell ref="G432:H432"/>
    <mergeCell ref="A191:H191"/>
    <mergeCell ref="A189:E189"/>
    <mergeCell ref="F189:H189"/>
    <mergeCell ref="A190:E190"/>
    <mergeCell ref="F190:H190"/>
    <mergeCell ref="A386:H386"/>
    <mergeCell ref="A395:B395"/>
    <mergeCell ref="A193:B193"/>
    <mergeCell ref="A428:H428"/>
    <mergeCell ref="A196:H196"/>
    <mergeCell ref="A431:H431"/>
    <mergeCell ref="A429:H429"/>
    <mergeCell ref="A425:H425"/>
    <mergeCell ref="A426:H426"/>
    <mergeCell ref="E197:F197"/>
    <mergeCell ref="B419:H419"/>
    <mergeCell ref="B417:H417"/>
    <mergeCell ref="B413:H413"/>
    <mergeCell ref="C198:D198"/>
    <mergeCell ref="A397:B397"/>
    <mergeCell ref="B411:H411"/>
    <mergeCell ref="B412:H412"/>
    <mergeCell ref="A394:B394"/>
    <mergeCell ref="A208:H208"/>
    <mergeCell ref="A396:B396"/>
    <mergeCell ref="A393:B393"/>
    <mergeCell ref="A220:H220"/>
    <mergeCell ref="A221:H221"/>
    <mergeCell ref="A231:H231"/>
    <mergeCell ref="A232:B232"/>
    <mergeCell ref="G232:H239"/>
    <mergeCell ref="A237:B237"/>
    <mergeCell ref="A243:B243"/>
    <mergeCell ref="G243:H250"/>
    <mergeCell ref="A248:B248"/>
    <mergeCell ref="A260:H260"/>
    <mergeCell ref="A261:H261"/>
    <mergeCell ref="A262:H262"/>
    <mergeCell ref="A263:B263"/>
    <mergeCell ref="G263:H270"/>
    <mergeCell ref="B209:B210"/>
    <mergeCell ref="A211:H211"/>
    <mergeCell ref="E209:E210"/>
    <mergeCell ref="G204:H204"/>
    <mergeCell ref="C205:D205"/>
    <mergeCell ref="E205:F205"/>
    <mergeCell ref="G205:H205"/>
    <mergeCell ref="A219:H219"/>
    <mergeCell ref="A300:H300"/>
    <mergeCell ref="G329:H336"/>
    <mergeCell ref="A334:B334"/>
    <mergeCell ref="G209:H210"/>
    <mergeCell ref="A242:H242"/>
    <mergeCell ref="A254:B254"/>
    <mergeCell ref="A269:B269"/>
    <mergeCell ref="A275:B275"/>
    <mergeCell ref="A331:B331"/>
    <mergeCell ref="A333:B333"/>
    <mergeCell ref="A319:H319"/>
    <mergeCell ref="A328:H328"/>
    <mergeCell ref="A329:B329"/>
    <mergeCell ref="F184:H184"/>
    <mergeCell ref="G193:H193"/>
    <mergeCell ref="A112:B112"/>
    <mergeCell ref="A48:B48"/>
    <mergeCell ref="C48:E48"/>
    <mergeCell ref="G48:H4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E192:F192"/>
    <mergeCell ref="A192:B192"/>
    <mergeCell ref="G75:H84"/>
    <mergeCell ref="A83:B83"/>
    <mergeCell ref="A85:B85"/>
    <mergeCell ref="C85:H85"/>
    <mergeCell ref="A87:B87"/>
    <mergeCell ref="F183:H183"/>
    <mergeCell ref="A430:H430"/>
    <mergeCell ref="A427:H427"/>
    <mergeCell ref="A387:B387"/>
    <mergeCell ref="A197:B197"/>
    <mergeCell ref="D217:D218"/>
    <mergeCell ref="E217:E218"/>
    <mergeCell ref="G217:H218"/>
    <mergeCell ref="C217:C218"/>
    <mergeCell ref="C206:D206"/>
    <mergeCell ref="A317:H317"/>
    <mergeCell ref="A409:B409"/>
    <mergeCell ref="A408:B408"/>
    <mergeCell ref="A207:H207"/>
    <mergeCell ref="A206:B206"/>
    <mergeCell ref="E206:F206"/>
    <mergeCell ref="C199:D199"/>
    <mergeCell ref="A246:B246"/>
    <mergeCell ref="A252:B252"/>
    <mergeCell ref="G252:H259"/>
    <mergeCell ref="A257:B257"/>
    <mergeCell ref="A265:B265"/>
    <mergeCell ref="A271:H271"/>
    <mergeCell ref="A272:B272"/>
    <mergeCell ref="G272:H279"/>
    <mergeCell ref="G195:H195"/>
    <mergeCell ref="G199:H199"/>
    <mergeCell ref="C197:D197"/>
    <mergeCell ref="G197:H197"/>
    <mergeCell ref="C200:D200"/>
    <mergeCell ref="A16:B16"/>
    <mergeCell ref="C16:H16"/>
    <mergeCell ref="E41:H41"/>
    <mergeCell ref="A41:D41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75:F84"/>
    <mergeCell ref="D60:H60"/>
    <mergeCell ref="A84:B84"/>
    <mergeCell ref="D65:H65"/>
    <mergeCell ref="A82:B82"/>
    <mergeCell ref="A67:C67"/>
    <mergeCell ref="D67:H67"/>
    <mergeCell ref="A70:C70"/>
    <mergeCell ref="D70:H70"/>
    <mergeCell ref="A68:C68"/>
    <mergeCell ref="D68:H68"/>
    <mergeCell ref="A69:C69"/>
    <mergeCell ref="G74:H74"/>
    <mergeCell ref="A65:C65"/>
    <mergeCell ref="D62:H62"/>
    <mergeCell ref="D63:H63"/>
    <mergeCell ref="D61:H61"/>
    <mergeCell ref="A57:C63"/>
    <mergeCell ref="A80:B80"/>
    <mergeCell ref="C87:H87"/>
    <mergeCell ref="A88:B88"/>
    <mergeCell ref="E88:F88"/>
    <mergeCell ref="G88:H88"/>
    <mergeCell ref="A89:B89"/>
    <mergeCell ref="E89:F98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36" max="16383" man="1"/>
    <brk id="480" max="16383" man="1"/>
    <brk id="52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8" zoomScale="85" zoomScaleNormal="85" workbookViewId="0">
      <selection activeCell="B16" sqref="B16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45" t="s">
        <v>105</v>
      </c>
      <c r="C3" s="245"/>
      <c r="D3" s="245"/>
      <c r="E3" s="245"/>
      <c r="F3" s="245"/>
      <c r="G3" s="245"/>
      <c r="H3" s="245"/>
    </row>
    <row r="4" spans="1:9" x14ac:dyDescent="0.35">
      <c r="A4" s="3"/>
      <c r="B4" s="4" t="s">
        <v>106</v>
      </c>
      <c r="C4" s="4" t="s">
        <v>107</v>
      </c>
      <c r="D4" s="4" t="s">
        <v>70</v>
      </c>
      <c r="E4" s="4" t="s">
        <v>108</v>
      </c>
      <c r="F4" s="4" t="s">
        <v>114</v>
      </c>
      <c r="G4" s="4" t="s">
        <v>115</v>
      </c>
      <c r="H4" s="4" t="s">
        <v>109</v>
      </c>
    </row>
    <row r="5" spans="1:9" ht="15" customHeight="1" x14ac:dyDescent="0.35">
      <c r="A5" s="3"/>
      <c r="B5" s="6" t="s">
        <v>110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110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110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110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110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111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111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112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113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2025-07-29T07:49:34Z</cp:lastPrinted>
  <dcterms:created xsi:type="dcterms:W3CDTF">2019-07-16T09:29:46Z</dcterms:created>
  <dcterms:modified xsi:type="dcterms:W3CDTF">2025-07-29T07:51:35Z</dcterms:modified>
</cp:coreProperties>
</file>