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Vsjadon\common drive\APF\25-26\July 2025\AXIS\New\Saurav\15825 - Raghav Vista\"/>
    </mc:Choice>
  </mc:AlternateContent>
  <bookViews>
    <workbookView xWindow="0" yWindow="0" windowWidth="13155" windowHeight="7455" tabRatio="725"/>
  </bookViews>
  <sheets>
    <sheet name="Report" sheetId="1" r:id="rId1"/>
    <sheet name="valuation" sheetId="5" r:id="rId2"/>
    <sheet name="Research" sheetId="4" r:id="rId3"/>
    <sheet name="Remarks" sheetId="6" r:id="rId4"/>
    <sheet name="Area Calculation" sheetId="7" r:id="rId5"/>
  </sheets>
  <definedNames>
    <definedName name="_xlnm.Print_Area" localSheetId="0">Report!$A$1:$H$313</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2" i="1" l="1"/>
  <c r="C75" i="1" l="1"/>
  <c r="F118" i="1" l="1"/>
  <c r="B38" i="6"/>
  <c r="B39" i="6" s="1"/>
  <c r="B40" i="6" s="1"/>
  <c r="B41" i="6" s="1"/>
  <c r="B42" i="6" s="1"/>
  <c r="B43" i="6" s="1"/>
  <c r="B44" i="6" s="1"/>
  <c r="B45" i="6" s="1"/>
  <c r="B46" i="6" s="1"/>
  <c r="B47" i="6" s="1"/>
  <c r="B48" i="6" s="1"/>
  <c r="B49" i="6" s="1"/>
  <c r="B50" i="6" s="1"/>
  <c r="B51" i="6" s="1"/>
  <c r="B52" i="6" s="1"/>
  <c r="B53" i="6" s="1"/>
  <c r="B54" i="6" s="1"/>
  <c r="H118" i="1" l="1"/>
  <c r="L41" i="7" l="1"/>
  <c r="I41" i="7"/>
  <c r="E41" i="7"/>
  <c r="L40" i="7"/>
  <c r="I40" i="7"/>
  <c r="E40" i="7"/>
  <c r="L39" i="7"/>
  <c r="I39" i="7"/>
  <c r="E39" i="7"/>
  <c r="L38" i="7"/>
  <c r="I38" i="7"/>
  <c r="E38" i="7"/>
  <c r="L37" i="7"/>
  <c r="I37" i="7"/>
  <c r="E37" i="7"/>
  <c r="L36" i="7"/>
  <c r="I36" i="7"/>
  <c r="E36" i="7"/>
  <c r="L35" i="7"/>
  <c r="I35" i="7"/>
  <c r="E35" i="7"/>
  <c r="L34" i="7"/>
  <c r="I34" i="7"/>
  <c r="E34" i="7"/>
  <c r="L33" i="7"/>
  <c r="I33" i="7"/>
  <c r="E33" i="7"/>
  <c r="L32" i="7"/>
  <c r="I32" i="7"/>
  <c r="E32" i="7"/>
  <c r="L31" i="7"/>
  <c r="I31" i="7"/>
  <c r="E31" i="7"/>
  <c r="L30" i="7"/>
  <c r="I30" i="7"/>
  <c r="E30" i="7"/>
  <c r="L29" i="7"/>
  <c r="I29" i="7"/>
  <c r="E29" i="7"/>
  <c r="L28" i="7"/>
  <c r="I28" i="7"/>
  <c r="E28" i="7"/>
  <c r="L27" i="7"/>
  <c r="I27" i="7"/>
  <c r="E27" i="7"/>
  <c r="L26" i="7"/>
  <c r="I26" i="7"/>
  <c r="E26" i="7"/>
  <c r="L25" i="7"/>
  <c r="I25" i="7"/>
  <c r="E25"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F11" i="5"/>
  <c r="G11" i="5" s="1"/>
  <c r="F10" i="5"/>
  <c r="G10" i="5" s="1"/>
  <c r="F9" i="5"/>
  <c r="G9" i="5" s="1"/>
  <c r="F8" i="5"/>
  <c r="G8" i="5" s="1"/>
  <c r="F7" i="5"/>
  <c r="G7" i="5" s="1"/>
  <c r="F6" i="5"/>
  <c r="G6" i="5" s="1"/>
  <c r="F5" i="5"/>
  <c r="G5" i="5" s="1"/>
  <c r="G12" i="5" s="1"/>
  <c r="D182" i="1"/>
  <c r="B158" i="1"/>
  <c r="B157" i="1"/>
  <c r="F154" i="1"/>
  <c r="H154" i="1" s="1"/>
  <c r="F153" i="1"/>
  <c r="H153" i="1" s="1"/>
  <c r="F152" i="1"/>
  <c r="H152" i="1" s="1"/>
  <c r="F151" i="1"/>
  <c r="H151" i="1" s="1"/>
  <c r="F150" i="1"/>
  <c r="H150" i="1" s="1"/>
  <c r="F148" i="1"/>
  <c r="H148" i="1" s="1"/>
  <c r="F147" i="1"/>
  <c r="H147" i="1" s="1"/>
  <c r="F146" i="1"/>
  <c r="H146" i="1" s="1"/>
  <c r="F145" i="1"/>
  <c r="H145" i="1" s="1"/>
  <c r="F144" i="1"/>
  <c r="H144" i="1" s="1"/>
  <c r="F142" i="1"/>
  <c r="H142" i="1" s="1"/>
  <c r="F141" i="1"/>
  <c r="H141" i="1" s="1"/>
  <c r="F140" i="1"/>
  <c r="H140" i="1" s="1"/>
  <c r="F139" i="1"/>
  <c r="H139" i="1" s="1"/>
  <c r="F138" i="1"/>
  <c r="H138" i="1" s="1"/>
  <c r="F136" i="1"/>
  <c r="H136" i="1" s="1"/>
  <c r="F135" i="1"/>
  <c r="H135" i="1" s="1"/>
  <c r="F134" i="1"/>
  <c r="H134" i="1" s="1"/>
  <c r="F133" i="1"/>
  <c r="H133" i="1" s="1"/>
  <c r="F132" i="1"/>
  <c r="H132" i="1" s="1"/>
  <c r="A132" i="1"/>
  <c r="A133" i="1" s="1"/>
  <c r="A134" i="1" s="1"/>
  <c r="A135" i="1" s="1"/>
  <c r="A136" i="1" s="1"/>
  <c r="F130" i="1"/>
  <c r="H130" i="1" s="1"/>
  <c r="F129" i="1"/>
  <c r="H129" i="1" s="1"/>
  <c r="F128" i="1"/>
  <c r="H128" i="1" s="1"/>
  <c r="A128" i="1"/>
  <c r="A129" i="1" s="1"/>
  <c r="A130" i="1" s="1"/>
  <c r="F127" i="1"/>
  <c r="H127" i="1" s="1"/>
  <c r="F121" i="1"/>
  <c r="H121" i="1" s="1"/>
  <c r="F120" i="1"/>
  <c r="H120" i="1" s="1"/>
  <c r="F119" i="1"/>
  <c r="H119" i="1" s="1"/>
  <c r="A119" i="1"/>
  <c r="A120" i="1" s="1"/>
  <c r="A121" i="1" s="1"/>
  <c r="G112" i="1"/>
  <c r="E112" i="1"/>
  <c r="C112" i="1"/>
  <c r="F101" i="1"/>
  <c r="B76" i="1"/>
  <c r="D69" i="1"/>
  <c r="D64" i="1"/>
  <c r="G57" i="1"/>
  <c r="C57" i="1"/>
  <c r="K55" i="1"/>
  <c r="C55" i="1"/>
  <c r="G51" i="1"/>
  <c r="C51" i="1"/>
  <c r="E44" i="1"/>
  <c r="E45" i="1" s="1"/>
  <c r="S33" i="1"/>
  <c r="E31" i="1"/>
  <c r="E28" i="1"/>
  <c r="E26" i="1"/>
  <c r="C16" i="1"/>
  <c r="I15" i="1"/>
  <c r="Z13" i="1"/>
  <c r="E8" i="1"/>
  <c r="E3" i="1"/>
  <c r="B168" i="1" s="1"/>
  <c r="A138" i="1"/>
  <c r="A144" i="1"/>
  <c r="A150" i="1"/>
  <c r="E42" i="7" l="1"/>
  <c r="J83" i="1"/>
  <c r="J84" i="1"/>
  <c r="I42" i="7"/>
  <c r="H42" i="7" s="1"/>
  <c r="L42" i="7"/>
  <c r="K42" i="7" s="1"/>
  <c r="D42" i="7"/>
  <c r="L55" i="1"/>
  <c r="J85" i="1"/>
  <c r="J86" i="1"/>
  <c r="I52" i="1"/>
  <c r="A151" i="1"/>
  <c r="A145" i="1"/>
  <c r="H76" i="1"/>
  <c r="A139" i="1"/>
  <c r="D87" i="1" l="1"/>
  <c r="D81" i="1"/>
  <c r="J81" i="1"/>
  <c r="J82" i="1" s="1"/>
  <c r="J80" i="1"/>
  <c r="C79" i="1" s="1"/>
  <c r="D79" i="1" s="1"/>
  <c r="D86" i="1"/>
  <c r="D85" i="1"/>
  <c r="J75" i="1"/>
  <c r="J77" i="1" s="1"/>
  <c r="D84" i="1"/>
  <c r="D88" i="1"/>
  <c r="D82" i="1"/>
  <c r="J79" i="1"/>
  <c r="J78" i="1"/>
  <c r="D83" i="1"/>
  <c r="D44" i="7"/>
  <c r="E44" i="7"/>
  <c r="A140" i="1"/>
  <c r="A152" i="1"/>
  <c r="A146" i="1"/>
  <c r="J87" i="1" l="1"/>
  <c r="J88" i="1" s="1"/>
  <c r="C80" i="1"/>
  <c r="G79" i="1" s="1"/>
  <c r="D73" i="1" s="1"/>
  <c r="D74" i="1" s="1"/>
  <c r="A147" i="1"/>
  <c r="A141" i="1"/>
  <c r="A153" i="1"/>
  <c r="J76" i="1" l="1"/>
  <c r="E79" i="1"/>
  <c r="D80" i="1"/>
  <c r="I76" i="1" s="1"/>
  <c r="I77" i="1" s="1"/>
  <c r="F74" i="1"/>
  <c r="A154" i="1"/>
  <c r="A142" i="1"/>
  <c r="A148" i="1"/>
  <c r="I75" i="1" l="1"/>
  <c r="C77" i="1" s="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6" authorId="1" shapeId="0">
      <text>
        <r>
          <rPr>
            <b/>
            <sz val="9"/>
            <color indexed="81"/>
            <rFont val="Tahoma"/>
            <family val="2"/>
          </rPr>
          <t>SACHIN:</t>
        </r>
        <r>
          <rPr>
            <sz val="9"/>
            <color indexed="81"/>
            <rFont val="Tahoma"/>
            <family val="2"/>
          </rPr>
          <t xml:space="preserve">
Floor with height</t>
        </r>
      </text>
    </comment>
    <comment ref="C58" authorId="1" shapeId="0">
      <text>
        <r>
          <rPr>
            <b/>
            <sz val="9"/>
            <color indexed="81"/>
            <rFont val="Tahoma"/>
            <family val="2"/>
          </rPr>
          <t>SACHIN:</t>
        </r>
        <r>
          <rPr>
            <sz val="9"/>
            <color indexed="81"/>
            <rFont val="Tahoma"/>
            <family val="2"/>
          </rPr>
          <t xml:space="preserve">
Survey Nos.</t>
        </r>
      </text>
    </comment>
    <comment ref="D64"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94"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24"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<sst xmlns="http://schemas.openxmlformats.org/spreadsheetml/2006/main" count="624" uniqueCount="432">
  <si>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</si>
  <si>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</si>
  <si>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</si>
  <si>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</si>
  <si>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</si>
  <si>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</si>
  <si>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</si>
  <si>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</si>
  <si>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</si>
  <si>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</si>
  <si>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</si>
  <si>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</si>
  <si>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</si>
  <si>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</si>
  <si>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</si>
  <si>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</si>
  <si>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</si>
  <si>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</si>
  <si>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</si>
  <si>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</si>
  <si>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</si>
  <si>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</si>
  <si>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</si>
  <si>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</si>
  <si>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</si>
  <si>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</si>
  <si>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</si>
  <si>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</si>
  <si>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</si>
  <si>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</si>
  <si>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</si>
  <si>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</si>
  <si>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</si>
  <si>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</si>
  <si>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</si>
  <si>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</si>
  <si>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</si>
  <si>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</si>
  <si>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</si>
  <si>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</si>
  <si>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</si>
  <si>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</si>
  <si>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</si>
  <si>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</si>
  <si>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</si>
  <si>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</si>
  <si>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</si>
  <si>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</si>
  <si>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</si>
  <si>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</si>
  <si>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</si>
  <si>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</si>
  <si>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</si>
  <si>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</si>
  <si>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</si>
  <si>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</si>
  <si>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</si>
  <si>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</si>
  <si>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</si>
  <si>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</si>
  <si>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</si>
  <si>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</si>
  <si>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</si>
  <si>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</si>
  <si>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</si>
  <si>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</si>
  <si>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</si>
  <si>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</si>
  <si>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</si>
  <si>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</si>
  <si>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</si>
  <si>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</si>
  <si>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</si>
  <si>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</si>
  <si>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</si>
  <si>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</si>
  <si>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</si>
  <si>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</si>
  <si>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</si>
  <si>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</si>
  <si>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</si>
  <si>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</si>
  <si>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</si>
  <si>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</si>
  <si>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</si>
  <si>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</si>
  <si>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</si>
  <si>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</si>
  <si>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</si>
  <si>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</si>
  <si>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</si>
  <si>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</si>
  <si>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</si>
  <si>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</si>
  <si>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</si>
  <si>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</si>
  <si>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</si>
  <si>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</si>
  <si>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</si>
  <si>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</si>
  <si>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</si>
  <si>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</si>
  <si>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</si>
  <si>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</si>
  <si>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</si>
  <si>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</si>
  <si>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</si>
  <si>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</si>
  <si>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</si>
  <si>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</si>
  <si>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</si>
  <si>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</si>
  <si>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</si>
  <si>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</si>
  <si>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</si>
  <si>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</si>
  <si>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</si>
  <si>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</si>
  <si>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r>
      <t xml:space="preserve">Shop No.
</t>
    </r>
    <r>
      <rPr>
        <b/>
        <sz val="11"/>
        <color rgb="FF000000"/>
        <rFont val="Times New Roman"/>
        <family val="1"/>
      </rPr>
      <t>(Approved Plan)</t>
    </r>
  </si>
  <si>
    <t>01 Building</t>
  </si>
  <si>
    <t>Valid Upto 
Date</t>
  </si>
  <si>
    <t>Nearby Landmark</t>
  </si>
  <si>
    <t>We considered Carpet area as per Approved Plan.</t>
  </si>
  <si>
    <t>We considered Gross carpet area = Net carpet + Enclose balcony + D.B Area + F.B Area.</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</si>
  <si>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</si>
  <si>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</si>
  <si>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</si>
  <si>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</si>
  <si>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</si>
  <si>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</si>
  <si>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</si>
  <si>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</si>
  <si>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</si>
  <si>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</si>
  <si>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</si>
  <si>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</si>
  <si>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</si>
  <si>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</si>
  <si>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</si>
  <si>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</si>
  <si>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</si>
  <si>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</si>
  <si>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</si>
  <si>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</si>
  <si>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</si>
  <si>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</si>
  <si>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</si>
  <si>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</si>
  <si>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</si>
  <si>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</si>
  <si>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</si>
  <si>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</si>
  <si>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Flats -, Shops -, Offices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</si>
  <si>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</si>
  <si>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</si>
  <si>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</si>
  <si>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</si>
  <si>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</si>
  <si>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</si>
  <si>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</si>
  <si>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</si>
  <si>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</si>
  <si>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</si>
  <si>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</si>
  <si>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</si>
  <si>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</si>
  <si>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</si>
  <si>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</si>
  <si>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</si>
  <si>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</si>
  <si>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</si>
  <si>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</si>
  <si>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</si>
  <si>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</si>
  <si>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</si>
  <si>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</si>
  <si>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</si>
  <si>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</si>
  <si>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Floor Rise Rate from    Floor</t>
  </si>
  <si>
    <t>CTS No</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</si>
  <si>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</si>
  <si>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</si>
  <si>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</si>
  <si>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</si>
  <si>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</si>
  <si>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</si>
  <si>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</si>
  <si>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</si>
  <si>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</si>
  <si>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</si>
  <si>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</si>
  <si>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</si>
  <si>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</si>
  <si>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</si>
  <si>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</si>
  <si>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</si>
  <si>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</si>
  <si>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</si>
  <si>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</si>
  <si>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</si>
  <si>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</si>
  <si>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</si>
  <si>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</si>
  <si>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</si>
  <si>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</si>
  <si>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</si>
  <si>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</si>
  <si>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</si>
  <si>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</si>
  <si>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</si>
  <si>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</si>
  <si>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</si>
  <si>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</si>
  <si>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</si>
  <si>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</si>
  <si>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</si>
  <si>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</si>
  <si>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</si>
  <si>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</si>
  <si>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</si>
  <si>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</si>
  <si>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</si>
  <si>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</si>
  <si>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</si>
  <si>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</si>
  <si>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</si>
  <si>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</si>
  <si>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</si>
  <si>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</si>
  <si>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</si>
  <si>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</si>
  <si>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</si>
  <si>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</si>
  <si>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</si>
  <si>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</si>
  <si>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</si>
  <si>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Fungible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</si>
  <si>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</si>
  <si>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</si>
  <si>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</si>
  <si>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</si>
  <si>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</si>
  <si>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</si>
  <si>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</si>
  <si>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</si>
  <si>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</si>
  <si>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</si>
  <si>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</si>
  <si>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</si>
  <si>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</si>
  <si>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</si>
  <si>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</si>
  <si>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</si>
  <si>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</si>
  <si>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</si>
  <si>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</si>
  <si>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</si>
  <si>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</si>
  <si>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</si>
  <si>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</si>
  <si>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</si>
  <si>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</si>
  <si>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</si>
  <si>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</si>
  <si>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</si>
  <si>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</si>
  <si>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</si>
  <si>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</si>
  <si>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</si>
  <si>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</si>
  <si>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</si>
  <si>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</si>
  <si>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</si>
  <si>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</si>
  <si>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</si>
  <si>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</si>
  <si>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</si>
  <si>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</si>
  <si>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</si>
  <si>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</si>
  <si>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</si>
  <si>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</si>
  <si>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</si>
  <si>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</si>
  <si>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</si>
  <si>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</si>
  <si>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</si>
  <si>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</si>
  <si>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</si>
  <si>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</si>
  <si>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</si>
  <si>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</si>
  <si>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</si>
  <si>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</si>
  <si>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</si>
  <si>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</si>
  <si>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</si>
  <si>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</si>
  <si>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</si>
  <si>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</si>
  <si>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</si>
  <si>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</si>
  <si>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</si>
  <si>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</si>
  <si>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</si>
  <si>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</si>
  <si>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</si>
  <si>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</si>
  <si>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</si>
  <si>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</si>
  <si>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</si>
  <si>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</si>
  <si>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</si>
  <si>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</si>
  <si>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</si>
  <si>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</si>
  <si>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</si>
  <si>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</si>
  <si>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</si>
  <si>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</si>
  <si>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</si>
  <si>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</si>
  <si>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</si>
  <si>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</si>
  <si>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</si>
  <si>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</si>
  <si>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</si>
  <si>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</si>
  <si>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</si>
  <si>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</si>
  <si>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</si>
  <si>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</si>
  <si>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</si>
  <si>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</si>
  <si>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</si>
  <si>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</si>
  <si>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</si>
  <si>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</si>
  <si>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</si>
  <si>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</si>
  <si>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</si>
  <si>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</si>
  <si>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</si>
  <si>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</si>
  <si>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</si>
  <si>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</si>
  <si>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SCL Kalyan</t>
  </si>
  <si>
    <t>SCL Badlapur</t>
  </si>
  <si>
    <t>SCL Vashi</t>
  </si>
  <si>
    <t>SCL Thane</t>
  </si>
  <si>
    <t>SCL Andheri</t>
  </si>
  <si>
    <t>SCL Borivali</t>
  </si>
  <si>
    <t>SCL Virar</t>
  </si>
  <si>
    <t>As per Approved Floor Plan, In C to E wing on Ground floor Shop No. 19 &amp; 20 are merged into single shop.</t>
  </si>
  <si>
    <t xml:space="preserve">Please check for Environment Clearance Certificate, Fire NOC, Airport NOC, CRZ NOC, Railway Noc.
</t>
  </si>
  <si>
    <t>Palghar Muncipal Council</t>
  </si>
  <si>
    <t xml:space="preserve">We have given Valuation for Sale Flats and Shops only.
</t>
  </si>
  <si>
    <t>There are guest houses, villas, resorts, etc. in a range of 200 to 300 meters.
There are few residential buildings available in the surrounding areas. (within 500 meters)
There are inadequate transportation options to get to the project and the area is not
developed</t>
  </si>
  <si>
    <t xml:space="preserve">Airport Noc No
Valid Up for: 
</t>
  </si>
  <si>
    <t xml:space="preserve">Valid upto Dated </t>
  </si>
  <si>
    <t>PNB Panvel</t>
  </si>
  <si>
    <t>Building Details Floor Wise</t>
  </si>
  <si>
    <t>Sammaan Capital Limited</t>
  </si>
  <si>
    <t>Thane Municipal Corporation (TMC)</t>
  </si>
  <si>
    <t>Construction stage is reduced due to revision in proposed structure of project.</t>
  </si>
  <si>
    <t>Construction percentage has been reduced due to the construction work being processed in two parts.</t>
  </si>
  <si>
    <t xml:space="preserve">The project has received CC on 07/06/2019, But construction work is not yet Completed. </t>
  </si>
  <si>
    <t>Some flats are occupied by tenants but finishing work is in process at the time of visit.</t>
  </si>
  <si>
    <t>The       project is not registered on RERA site, Beacause land area of project is less than 500 Sq.Mt</t>
  </si>
  <si>
    <t>As per site visit dtd.23/01/2025 we have observed that the construction work is not done as per approved floor plan. (Extra Terrace Area are Constructed for flats)
According to the approved 1st floor plan, terrace area is not attached to Flat No.3, 4 &amp; 5, But on site terrace area is already constructed.</t>
  </si>
  <si>
    <t>Remark No. 42 is resolved by corrigendum (i.e. correction letter) provided by authority regarding survey nos. letter attached below.</t>
  </si>
  <si>
    <t>As per approved Floor plans does not consist of Unit Numbering, We have considered unit numbering from sale plan provided by site meet person during site visit.</t>
  </si>
  <si>
    <t>As per New version of RERA portal project consist of single building - Hasha Heights
As per Old version of RERA portal project consist of Two buildings- Hasha Heights &amp; Kunti Heights</t>
  </si>
  <si>
    <t>Remark No.11 is solved. we were asked to follow the old version of RERA by the bank official builder letter provided on the mail is attached below.</t>
  </si>
  <si>
    <t xml:space="preserve">As per approved plan &amp; CC,  project consists of Survey No.40, H.No.2A, Plot No.3 &amp; 4.  
But as per RERA, project consists of Survey No.40/B, Plot No.3 &amp; 4.  </t>
  </si>
  <si>
    <t>Vishw apartment</t>
  </si>
  <si>
    <t>The approved large land parcel layout plan does not consist of survey number, therefore we have referred Survey No. from Title Certificate.</t>
  </si>
  <si>
    <t>As per the discussion with the bank official, Builder provided approved EC on whatsapp for a large land parcel.</t>
  </si>
  <si>
    <t>Mahindra Vista Phase 1 &amp; 2</t>
  </si>
  <si>
    <t>As per the approved floor plan, out of 1199 flats, there are 132 flats that are "I to R" flats. Please check from your end.</t>
  </si>
  <si>
    <t>As per the approved plans &amp; RERA in the project Shikara Heights Phase I consist of " Wing A, B, C " for Sale &amp; " Wing D " for Rehab
Therefore we have not considered Rehab Wing D in APF Report.</t>
  </si>
  <si>
    <t xml:space="preserve">Site Elevation (AMSL) = 
Permissible Top Elevation (AMSL) = </t>
  </si>
  <si>
    <t>Carpet Area</t>
  </si>
  <si>
    <t>As per Google Maps, we have observed that some plants or trees are surrounding of theproject (it plants might be mangroves also).</t>
  </si>
  <si>
    <t>The Royal Bay</t>
  </si>
  <si>
    <t>Office No. 1031, Wing J, Akshar Business Park, Plot No. 03 Sector 25, Near APMC Market, Vashi, Navi Mumbai, Maharashtra 400703 TEL: 022-46090378/79/80
E mail : vsjcapf@gmail.com. Web site : www.vsjadon.com</t>
  </si>
  <si>
    <t xml:space="preserve">As per the revised approved plan dated 08/09/2022, the approved structure of Wing A is reduced to Gr + 1st to 14th Floor (earlier it was Wing A = Gr + 1st to 15th Floor) </t>
  </si>
  <si>
    <t>Balaji Govind</t>
  </si>
  <si>
    <t>Jio Finance</t>
  </si>
  <si>
    <t>JFL Koparkhairane</t>
  </si>
  <si>
    <t>The Domus Prive</t>
  </si>
  <si>
    <t>As per the approved floor plan dtd.22/07/2024, the building height is 61.55 Mtrs (Upto OHT), which is reached up to his maximum height limit of 61.73 Mtrs with reference to the airport
NOC.</t>
  </si>
  <si>
    <t>M/s. Raghav Raj Builders &amp; Developers LLP</t>
  </si>
  <si>
    <t>Raghav Vista</t>
  </si>
  <si>
    <t>P51800078491</t>
  </si>
  <si>
    <t>Sahakar Nagar</t>
  </si>
  <si>
    <t>Proposed 9.00 M Wide Road</t>
  </si>
  <si>
    <t>Other Plot</t>
  </si>
  <si>
    <t>This C.C. granted for work upto top of Plinth level as per approved Zero FSI IOA plan dtd. 13.09.2024.</t>
  </si>
  <si>
    <t>As per RERA - 31/12/2028</t>
  </si>
  <si>
    <t>https://raghavgroup.in/raghav-vista</t>
  </si>
  <si>
    <r>
      <t xml:space="preserve">Proposed Amenities :                                                                                                                                                                                                                         </t>
    </r>
    <r>
      <rPr>
        <b/>
        <sz val="12"/>
        <rFont val="Times New Roman"/>
        <family val="1"/>
      </rPr>
      <t xml:space="preserve">                                               </t>
    </r>
  </si>
  <si>
    <t>Fitness center, Open Air Yoga Studio, Multi Purpose Room, Senior Citizen Area, Kids Play Area, Terrace Skywalk etc.</t>
  </si>
  <si>
    <r>
      <t xml:space="preserve">Flat No.
</t>
    </r>
    <r>
      <rPr>
        <b/>
        <sz val="11"/>
        <rFont val="Times New Roman"/>
        <family val="1"/>
      </rPr>
      <t>(Approved Plan)</t>
    </r>
  </si>
  <si>
    <t>Ground Floor For Parking</t>
  </si>
  <si>
    <t>Saurav Panse</t>
  </si>
  <si>
    <t>Mr. Akash Kadam</t>
  </si>
  <si>
    <t xml:space="preserve">Details of Residential in Building   </t>
  </si>
  <si>
    <t>Construction work is in process at the time of Visit (labour found).</t>
  </si>
  <si>
    <t>B + Gr + 1st to 15th Floor</t>
  </si>
  <si>
    <t>https://maps.app.goo.gl/X6eiDCgTGVwWS4ua9</t>
  </si>
  <si>
    <t>19.064160,72.890332</t>
  </si>
  <si>
    <t>Internal Road</t>
  </si>
  <si>
    <t>Open Plot</t>
  </si>
  <si>
    <t>Road No. 5</t>
  </si>
  <si>
    <t>Mohite Mrugank</t>
  </si>
  <si>
    <t>0.16 KM from Tilaknagar Railway Station</t>
  </si>
  <si>
    <t>Building No. 9 (Sahakar Nagar Shravasti CHS LTD)</t>
  </si>
  <si>
    <t>49 (Pt), Redevelopment of "Building No. 9 (Sahakar Nagar Shravasti CHS LTD)"</t>
  </si>
  <si>
    <t>Chembur</t>
  </si>
  <si>
    <t>Tilaknagar East</t>
  </si>
  <si>
    <t>Play Ground</t>
  </si>
  <si>
    <t>Water Trunk Main/Acquaduct/Other Plot</t>
  </si>
  <si>
    <t>Dadasahib  LS Rokade Ground</t>
  </si>
  <si>
    <t>MH/EE/(BP)/GM/MHADA-27/1961/ 2024/IOA/1</t>
  </si>
  <si>
    <t>MH/EE/(BP)/GM/MHADA-27/1961/ 2024/CC/1/New</t>
  </si>
  <si>
    <t>Basement + Ground Floor</t>
  </si>
  <si>
    <t>Basement Floor For Building Surveillance Room, Laundry Room, Pump Room, 
UG Tank &amp; AHU</t>
  </si>
  <si>
    <t>Ms. Bhakti Surve 8657094000</t>
  </si>
  <si>
    <t>Raghav Avenue</t>
  </si>
  <si>
    <t>on 50% loading</t>
  </si>
  <si>
    <t>minimum rate is given</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</si>
</sst>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3"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color rgb="FFFF0000"/>
      <name val="Times New Roman"/>
      <family val="1"/>
    </font>
    <font>
      <b/>
      <sz val="11"/>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1" fillId="0" borderId="0"/>
    <xf numFmtId="9" fontId="22" fillId="0" borderId="0" applyFont="0" applyFill="0" applyBorder="0" applyAlignment="0" applyProtection="0"/>
    <xf numFmtId="43" fontId="22" fillId="0" borderId="0" applyFont="0" applyFill="0" applyBorder="0" applyAlignment="0" applyProtection="0"/>
    <xf numFmtId="0" fontId="27" fillId="0" borderId="0" applyNumberFormat="0" applyFill="0" applyBorder="0" applyAlignment="0" applyProtection="0"/>
  </cellStyleXfs>
  <cellXfs count="264">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5" fillId="0" borderId="1" xfId="4" applyBorder="1" applyAlignment="1">
      <alignment horizontal="center" vertical="center"/>
    </xf>
    <xf numFmtId="0" fontId="18" fillId="0" borderId="0" xfId="0" applyFont="1" applyProtection="1">
      <protection hidden="1"/>
    </xf>
    <xf numFmtId="0" fontId="18" fillId="0" borderId="11" xfId="0" applyFont="1" applyBorder="1" applyProtection="1">
      <protection hidden="1"/>
    </xf>
    <xf numFmtId="0" fontId="12" fillId="0" borderId="4" xfId="1" applyFont="1" applyBorder="1" applyAlignment="1" applyProtection="1">
      <alignment horizontal="center" vertical="top"/>
      <protection locked="0"/>
    </xf>
    <xf numFmtId="0" fontId="12" fillId="0" borderId="5"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9" fontId="7" fillId="0" borderId="7"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4" fillId="0" borderId="0" xfId="1" applyFont="1"/>
    <xf numFmtId="0" fontId="7" fillId="0" borderId="10" xfId="1" applyFont="1" applyBorder="1"/>
    <xf numFmtId="0" fontId="18"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horizontal="center" vertical="top"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12" fillId="0" borderId="1" xfId="1" applyFont="1" applyBorder="1" applyAlignment="1" applyProtection="1">
      <alignment horizontal="center" vertical="top"/>
      <protection locked="0"/>
    </xf>
    <xf numFmtId="0" fontId="6" fillId="0" borderId="1" xfId="1" applyFont="1" applyBorder="1" applyAlignment="1" applyProtection="1">
      <alignment horizontal="center" vertical="top"/>
      <protection locked="0"/>
    </xf>
    <xf numFmtId="0" fontId="25" fillId="2" borderId="30" xfId="0" applyFont="1" applyFill="1" applyBorder="1"/>
    <xf numFmtId="0" fontId="26" fillId="0" borderId="31" xfId="0" applyFont="1" applyBorder="1"/>
    <xf numFmtId="0" fontId="26" fillId="0" borderId="1" xfId="0" applyFont="1" applyBorder="1"/>
    <xf numFmtId="0" fontId="26" fillId="0" borderId="5" xfId="0" applyFont="1" applyBorder="1"/>
    <xf numFmtId="0" fontId="0" fillId="0" borderId="0" xfId="0" applyAlignment="1">
      <alignment horizontal="center" vertical="center"/>
    </xf>
    <xf numFmtId="0" fontId="0" fillId="0" borderId="1" xfId="0" applyBorder="1" applyAlignment="1">
      <alignment horizontal="center" vertical="center"/>
    </xf>
    <xf numFmtId="9" fontId="17" fillId="0" borderId="16" xfId="8" applyFont="1" applyFill="1" applyBorder="1" applyAlignment="1" applyProtection="1">
      <alignment horizontal="center" vertical="top"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alignment horizontal="left" vertical="top" wrapText="1"/>
    </xf>
    <xf numFmtId="0" fontId="0" fillId="0" borderId="25" xfId="0" applyBorder="1"/>
    <xf numFmtId="0" fontId="0" fillId="0" borderId="8" xfId="0" applyBorder="1"/>
    <xf numFmtId="0" fontId="0" fillId="0" borderId="1" xfId="0" applyBorder="1" applyAlignment="1">
      <alignment vertical="top" wrapText="1"/>
    </xf>
    <xf numFmtId="1" fontId="17" fillId="0" borderId="3" xfId="1" applyNumberFormat="1" applyFont="1" applyBorder="1" applyAlignment="1" applyProtection="1">
      <alignment horizontal="center" vertical="top" wrapText="1"/>
      <protection locked="0"/>
    </xf>
    <xf numFmtId="0" fontId="0" fillId="2" borderId="1" xfId="0" applyFill="1" applyBorder="1" applyAlignment="1">
      <alignment horizontal="center" vertical="center"/>
    </xf>
    <xf numFmtId="0" fontId="0" fillId="0" borderId="2" xfId="0" applyBorder="1" applyAlignment="1">
      <alignment horizontal="center" vertical="center"/>
    </xf>
    <xf numFmtId="0" fontId="9"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0" fontId="12" fillId="0" borderId="1" xfId="1" applyFont="1" applyBorder="1"/>
    <xf numFmtId="0" fontId="7" fillId="0" borderId="1" xfId="1" applyFont="1" applyBorder="1"/>
    <xf numFmtId="0" fontId="0" fillId="0" borderId="8" xfId="0" applyBorder="1" applyAlignment="1">
      <alignment vertical="top"/>
    </xf>
    <xf numFmtId="0" fontId="0" fillId="0" borderId="25" xfId="0" applyBorder="1" applyAlignment="1">
      <alignment horizontal="center" vertical="top"/>
    </xf>
    <xf numFmtId="0" fontId="15" fillId="2" borderId="0" xfId="1" applyFont="1" applyFill="1"/>
    <xf numFmtId="14" fontId="12" fillId="0" borderId="0" xfId="1" applyNumberFormat="1" applyFont="1"/>
    <xf numFmtId="0" fontId="0" fillId="0" borderId="3" xfId="0" applyBorder="1" applyAlignment="1">
      <alignment vertical="top"/>
    </xf>
    <xf numFmtId="0" fontId="0" fillId="0" borderId="3" xfId="0" applyBorder="1" applyAlignment="1">
      <alignment wrapText="1"/>
    </xf>
    <xf numFmtId="0" fontId="0" fillId="0" borderId="25" xfId="0" applyBorder="1" applyAlignment="1">
      <alignment vertical="top"/>
    </xf>
    <xf numFmtId="0" fontId="0" fillId="0" borderId="26" xfId="0" applyBorder="1" applyAlignment="1">
      <alignment vertical="top" wrapText="1"/>
    </xf>
    <xf numFmtId="0" fontId="0" fillId="0" borderId="35" xfId="0" applyBorder="1" applyAlignment="1">
      <alignment vertical="top"/>
    </xf>
    <xf numFmtId="0" fontId="0" fillId="0" borderId="36" xfId="0" applyBorder="1" applyAlignment="1">
      <alignment vertical="top" wrapText="1"/>
    </xf>
    <xf numFmtId="0" fontId="0" fillId="0" borderId="37" xfId="0" applyBorder="1" applyAlignment="1">
      <alignment vertical="top"/>
    </xf>
    <xf numFmtId="0" fontId="0" fillId="0" borderId="12" xfId="0" applyBorder="1" applyAlignment="1">
      <alignment vertical="top" wrapText="1"/>
    </xf>
    <xf numFmtId="0" fontId="0" fillId="0" borderId="12" xfId="0" applyBorder="1" applyAlignment="1">
      <alignment vertical="top"/>
    </xf>
    <xf numFmtId="0" fontId="0" fillId="0" borderId="36" xfId="0" applyBorder="1" applyAlignment="1">
      <alignment horizontal="left" wrapText="1"/>
    </xf>
    <xf numFmtId="0" fontId="0" fillId="0" borderId="16" xfId="0" applyBorder="1" applyAlignment="1">
      <alignment vertical="top"/>
    </xf>
    <xf numFmtId="0" fontId="0" fillId="0" borderId="16" xfId="0" applyBorder="1" applyAlignment="1">
      <alignment vertical="top" wrapText="1"/>
    </xf>
    <xf numFmtId="0" fontId="0" fillId="0" borderId="1" xfId="0" applyBorder="1" applyAlignment="1">
      <alignment vertical="top"/>
    </xf>
    <xf numFmtId="0" fontId="0" fillId="0" borderId="9" xfId="0" applyBorder="1" applyAlignment="1">
      <alignment wrapText="1"/>
    </xf>
    <xf numFmtId="0" fontId="0" fillId="0" borderId="9" xfId="0" applyBorder="1" applyAlignment="1">
      <alignment vertical="top" wrapText="1"/>
    </xf>
    <xf numFmtId="16" fontId="7" fillId="0" borderId="0" xfId="1" applyNumberFormat="1" applyFont="1"/>
    <xf numFmtId="0" fontId="7" fillId="0" borderId="0" xfId="1" applyFont="1" applyAlignment="1">
      <alignment horizontal="center" vertical="center"/>
    </xf>
    <xf numFmtId="0" fontId="27" fillId="0" borderId="0" xfId="10"/>
    <xf numFmtId="1" fontId="13" fillId="0" borderId="3" xfId="1" applyNumberFormat="1" applyFont="1" applyBorder="1" applyAlignment="1" applyProtection="1">
      <alignment horizontal="center" vertical="top" wrapText="1"/>
      <protection locked="0"/>
    </xf>
    <xf numFmtId="9" fontId="13" fillId="0" borderId="16" xfId="8" applyFont="1" applyFill="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1" fontId="12" fillId="0" borderId="1" xfId="1" applyNumberFormat="1" applyFont="1" applyBorder="1" applyAlignment="1" applyProtection="1">
      <alignment horizontal="center" vertical="top" wrapText="1"/>
      <protection locked="0"/>
    </xf>
    <xf numFmtId="0" fontId="12" fillId="0" borderId="7" xfId="1" applyFont="1" applyBorder="1" applyAlignment="1" applyProtection="1">
      <alignment horizontal="center" vertical="top" wrapText="1"/>
      <protection locked="0"/>
    </xf>
    <xf numFmtId="0" fontId="7" fillId="0" borderId="4"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6" fillId="0" borderId="8" xfId="1" applyFont="1" applyBorder="1" applyAlignment="1" applyProtection="1">
      <alignment horizontal="left" vertical="top" wrapText="1"/>
      <protection locked="0"/>
    </xf>
    <xf numFmtId="0" fontId="6" fillId="0" borderId="9" xfId="1" applyFont="1" applyBorder="1" applyAlignment="1" applyProtection="1">
      <alignment horizontal="left" vertical="top" wrapText="1"/>
      <protection locked="0"/>
    </xf>
    <xf numFmtId="1" fontId="6" fillId="0" borderId="8" xfId="1" applyNumberFormat="1" applyFont="1" applyBorder="1" applyAlignment="1" applyProtection="1">
      <alignment horizontal="left" vertical="top" wrapText="1"/>
      <protection locked="0"/>
    </xf>
    <xf numFmtId="1" fontId="6" fillId="0" borderId="21" xfId="1" applyNumberFormat="1" applyFont="1" applyBorder="1" applyAlignment="1" applyProtection="1">
      <alignment horizontal="left" vertical="top" wrapText="1"/>
      <protection locked="0"/>
    </xf>
    <xf numFmtId="1" fontId="6" fillId="0" borderId="9" xfId="1" applyNumberFormat="1" applyFont="1" applyBorder="1" applyAlignment="1" applyProtection="1">
      <alignment horizontal="left" vertical="top" wrapText="1"/>
      <protection locked="0"/>
    </xf>
    <xf numFmtId="1" fontId="8" fillId="0" borderId="1" xfId="0" applyNumberFormat="1" applyFont="1" applyBorder="1" applyAlignment="1" applyProtection="1">
      <alignment horizontal="left" vertical="top" wrapText="1"/>
      <protection locked="0"/>
    </xf>
    <xf numFmtId="1" fontId="6" fillId="0" borderId="8" xfId="1" applyNumberFormat="1" applyFont="1" applyBorder="1" applyAlignment="1" applyProtection="1">
      <alignment horizontal="center" vertical="center" wrapText="1"/>
      <protection locked="0"/>
    </xf>
    <xf numFmtId="1" fontId="6" fillId="0" borderId="9" xfId="1" applyNumberFormat="1" applyFont="1" applyBorder="1" applyAlignment="1" applyProtection="1">
      <alignment horizontal="center" vertical="center" wrapText="1"/>
      <protection locked="0"/>
    </xf>
    <xf numFmtId="1" fontId="8" fillId="0" borderId="8" xfId="1" applyNumberFormat="1" applyFont="1" applyBorder="1" applyAlignment="1" applyProtection="1">
      <alignment horizontal="center" vertical="center" wrapText="1"/>
      <protection locked="0"/>
    </xf>
    <xf numFmtId="1" fontId="8" fillId="0" borderId="21" xfId="1" applyNumberFormat="1" applyFont="1" applyBorder="1" applyAlignment="1" applyProtection="1">
      <alignment horizontal="center" vertical="center" wrapText="1"/>
      <protection locked="0"/>
    </xf>
    <xf numFmtId="1" fontId="8" fillId="0" borderId="9" xfId="1" applyNumberFormat="1" applyFont="1" applyBorder="1" applyAlignment="1" applyProtection="1">
      <alignment horizontal="center" vertical="center" wrapText="1"/>
      <protection locked="0"/>
    </xf>
    <xf numFmtId="0" fontId="6" fillId="0" borderId="1" xfId="1" applyFont="1" applyBorder="1" applyAlignment="1" applyProtection="1">
      <alignment horizontal="left" vertical="top" wrapText="1"/>
      <protection locked="0"/>
    </xf>
    <xf numFmtId="0" fontId="12" fillId="0" borderId="3" xfId="1" applyFont="1" applyBorder="1" applyAlignment="1" applyProtection="1">
      <alignment horizontal="left" vertical="top" wrapText="1"/>
      <protection locked="0"/>
    </xf>
    <xf numFmtId="0" fontId="7" fillId="0" borderId="5" xfId="1" applyFont="1" applyBorder="1" applyAlignment="1" applyProtection="1">
      <alignment horizontal="center" vertical="top" wrapText="1"/>
      <protection locked="0"/>
    </xf>
    <xf numFmtId="0" fontId="7" fillId="0" borderId="6"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0" fontId="10" fillId="0" borderId="1" xfId="0" applyFont="1" applyBorder="1" applyAlignment="1" applyProtection="1">
      <alignment horizontal="center" vertical="top" wrapText="1"/>
      <protection locked="0"/>
    </xf>
    <xf numFmtId="0" fontId="8" fillId="0" borderId="16" xfId="1" applyFont="1" applyBorder="1" applyAlignment="1" applyProtection="1">
      <alignment horizontal="center" vertical="top"/>
      <protection locked="0"/>
    </xf>
    <xf numFmtId="1" fontId="13" fillId="0" borderId="17" xfId="1" applyNumberFormat="1" applyFont="1" applyBorder="1" applyAlignment="1" applyProtection="1">
      <alignment horizontal="center" vertical="top" wrapText="1"/>
      <protection locked="0"/>
    </xf>
    <xf numFmtId="1" fontId="13" fillId="0" borderId="19" xfId="1" applyNumberFormat="1" applyFont="1" applyBorder="1" applyAlignment="1" applyProtection="1">
      <alignment horizontal="center" vertical="top" wrapText="1"/>
      <protection locked="0"/>
    </xf>
    <xf numFmtId="0" fontId="6" fillId="0" borderId="1" xfId="1" applyFont="1" applyBorder="1" applyAlignment="1" applyProtection="1">
      <alignment horizontal="left" vertical="top"/>
      <protection locked="0"/>
    </xf>
    <xf numFmtId="0" fontId="7" fillId="0" borderId="25" xfId="1" applyFont="1" applyBorder="1" applyAlignment="1">
      <alignment horizontal="center"/>
    </xf>
    <xf numFmtId="0" fontId="7" fillId="0" borderId="0" xfId="1" applyFont="1" applyAlignment="1">
      <alignment horizontal="center"/>
    </xf>
    <xf numFmtId="167" fontId="12" fillId="0" borderId="1" xfId="9" applyNumberFormat="1" applyFont="1" applyFill="1" applyBorder="1" applyAlignment="1" applyProtection="1">
      <alignment horizontal="left" vertical="top"/>
      <protection locked="0"/>
    </xf>
    <xf numFmtId="0" fontId="13" fillId="0" borderId="1" xfId="1" applyFont="1" applyBorder="1" applyAlignment="1" applyProtection="1">
      <alignment horizontal="center" vertical="top"/>
      <protection locked="0"/>
    </xf>
    <xf numFmtId="1" fontId="8" fillId="0" borderId="1" xfId="0" applyNumberFormat="1" applyFont="1" applyBorder="1" applyAlignment="1" applyProtection="1">
      <alignment horizontal="center" vertical="top" wrapText="1"/>
      <protection locked="0"/>
    </xf>
    <xf numFmtId="0" fontId="8" fillId="0" borderId="8" xfId="1" applyFont="1" applyBorder="1" applyAlignment="1" applyProtection="1">
      <alignment horizontal="left" vertical="top" wrapText="1"/>
      <protection locked="0"/>
    </xf>
    <xf numFmtId="0" fontId="8" fillId="0" borderId="9" xfId="1" applyFont="1" applyBorder="1" applyAlignment="1" applyProtection="1">
      <alignment horizontal="left" vertical="top" wrapText="1"/>
      <protection locked="0"/>
    </xf>
    <xf numFmtId="0" fontId="8" fillId="0" borderId="21" xfId="1" applyFont="1" applyBorder="1" applyAlignment="1" applyProtection="1">
      <alignment horizontal="left" vertical="top" wrapText="1"/>
      <protection locked="0"/>
    </xf>
    <xf numFmtId="1" fontId="6" fillId="0" borderId="1"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center"/>
      <protection locked="0"/>
    </xf>
    <xf numFmtId="0" fontId="12" fillId="0" borderId="1" xfId="1" applyFont="1" applyBorder="1" applyAlignment="1" applyProtection="1">
      <alignment horizontal="left" vertical="top"/>
      <protection locked="0"/>
    </xf>
    <xf numFmtId="14" fontId="8" fillId="0" borderId="8" xfId="1" applyNumberFormat="1" applyFont="1" applyBorder="1" applyAlignment="1" applyProtection="1">
      <alignment horizontal="left" vertical="top"/>
      <protection locked="0"/>
    </xf>
    <xf numFmtId="14" fontId="8" fillId="0" borderId="9" xfId="1" applyNumberFormat="1" applyFont="1" applyBorder="1" applyAlignment="1" applyProtection="1">
      <alignment horizontal="left" vertical="top"/>
      <protection locked="0"/>
    </xf>
    <xf numFmtId="0" fontId="15" fillId="0" borderId="17" xfId="1" applyFont="1" applyBorder="1" applyAlignment="1" applyProtection="1">
      <alignment horizontal="left" vertical="top" wrapText="1"/>
      <protection locked="0"/>
    </xf>
    <xf numFmtId="0" fontId="15" fillId="0" borderId="18" xfId="1" applyFont="1" applyBorder="1" applyAlignment="1" applyProtection="1">
      <alignment horizontal="left" vertical="top" wrapText="1"/>
      <protection locked="0"/>
    </xf>
    <xf numFmtId="0" fontId="15" fillId="0" borderId="19" xfId="1" applyFont="1" applyBorder="1" applyAlignment="1" applyProtection="1">
      <alignment horizontal="left" vertical="top" wrapText="1"/>
      <protection locked="0"/>
    </xf>
    <xf numFmtId="0" fontId="15" fillId="0" borderId="20" xfId="1" applyFont="1" applyBorder="1" applyAlignment="1" applyProtection="1">
      <alignment horizontal="left" vertical="top" wrapText="1"/>
      <protection locked="0"/>
    </xf>
    <xf numFmtId="0" fontId="6" fillId="0" borderId="1" xfId="1" applyFont="1" applyBorder="1" applyAlignment="1" applyProtection="1">
      <alignment vertical="top"/>
      <protection locked="0"/>
    </xf>
    <xf numFmtId="1" fontId="6" fillId="0" borderId="1" xfId="1" applyNumberFormat="1" applyFont="1" applyBorder="1" applyAlignment="1" applyProtection="1">
      <alignment horizontal="center" vertical="center" wrapText="1"/>
      <protection locked="0"/>
    </xf>
    <xf numFmtId="1" fontId="13" fillId="0" borderId="3" xfId="1" applyNumberFormat="1" applyFont="1" applyBorder="1" applyAlignment="1" applyProtection="1">
      <alignment horizontal="center" vertical="top" wrapText="1"/>
      <protection locked="0"/>
    </xf>
    <xf numFmtId="1" fontId="13" fillId="0" borderId="16" xfId="1" applyNumberFormat="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top" wrapText="1"/>
      <protection locked="0"/>
    </xf>
    <xf numFmtId="0" fontId="10" fillId="0" borderId="3" xfId="0" applyFont="1" applyBorder="1" applyAlignment="1" applyProtection="1">
      <alignment horizontal="center" vertical="center"/>
      <protection locked="0"/>
    </xf>
    <xf numFmtId="1" fontId="17" fillId="0" borderId="8" xfId="0" applyNumberFormat="1" applyFont="1" applyBorder="1" applyAlignment="1" applyProtection="1">
      <alignment vertical="top" wrapText="1"/>
      <protection locked="0"/>
    </xf>
    <xf numFmtId="1" fontId="17" fillId="0" borderId="21" xfId="0" applyNumberFormat="1" applyFont="1" applyBorder="1" applyAlignment="1" applyProtection="1">
      <alignment vertical="top" wrapText="1"/>
      <protection locked="0"/>
    </xf>
    <xf numFmtId="1" fontId="17" fillId="0" borderId="9" xfId="0" applyNumberFormat="1" applyFont="1" applyBorder="1" applyAlignment="1" applyProtection="1">
      <alignment vertical="top" wrapText="1"/>
      <protection locked="0"/>
    </xf>
    <xf numFmtId="1" fontId="17" fillId="0" borderId="3" xfId="1" applyNumberFormat="1" applyFont="1" applyBorder="1" applyAlignment="1" applyProtection="1">
      <alignment horizontal="center" vertical="top" wrapText="1"/>
      <protection locked="0"/>
    </xf>
    <xf numFmtId="1" fontId="17" fillId="0" borderId="16" xfId="1" applyNumberFormat="1" applyFont="1" applyBorder="1" applyAlignment="1" applyProtection="1">
      <alignment horizontal="center" vertical="top" wrapText="1"/>
      <protection locked="0"/>
    </xf>
    <xf numFmtId="1" fontId="13" fillId="0" borderId="8" xfId="0" applyNumberFormat="1" applyFont="1" applyBorder="1" applyAlignment="1" applyProtection="1">
      <alignment vertical="top" wrapText="1"/>
      <protection locked="0"/>
    </xf>
    <xf numFmtId="1" fontId="13" fillId="0" borderId="21" xfId="0" applyNumberFormat="1" applyFont="1" applyBorder="1" applyAlignment="1" applyProtection="1">
      <alignment vertical="top" wrapText="1"/>
      <protection locked="0"/>
    </xf>
    <xf numFmtId="1" fontId="13" fillId="0" borderId="9" xfId="0" applyNumberFormat="1" applyFont="1" applyBorder="1" applyAlignment="1" applyProtection="1">
      <alignment vertical="top" wrapText="1"/>
      <protection locked="0"/>
    </xf>
    <xf numFmtId="1" fontId="4" fillId="0" borderId="3" xfId="1" applyNumberFormat="1" applyFont="1" applyBorder="1" applyAlignment="1" applyProtection="1">
      <alignment horizontal="center" vertical="top" wrapText="1"/>
      <protection locked="0"/>
    </xf>
    <xf numFmtId="1" fontId="4" fillId="0" borderId="16" xfId="1" applyNumberFormat="1" applyFont="1" applyBorder="1" applyAlignment="1" applyProtection="1">
      <alignment horizontal="center" vertical="top" wrapText="1"/>
      <protection locked="0"/>
    </xf>
    <xf numFmtId="0" fontId="13" fillId="0" borderId="16" xfId="1" applyFont="1" applyBorder="1" applyAlignment="1" applyProtection="1">
      <alignment horizontal="center" vertical="top"/>
      <protection locked="0"/>
    </xf>
    <xf numFmtId="1" fontId="8" fillId="0" borderId="8" xfId="0" applyNumberFormat="1" applyFont="1" applyBorder="1" applyAlignment="1" applyProtection="1">
      <alignment vertical="top" wrapText="1"/>
      <protection locked="0"/>
    </xf>
    <xf numFmtId="1" fontId="8" fillId="0" borderId="21" xfId="0" applyNumberFormat="1" applyFont="1" applyBorder="1" applyAlignment="1" applyProtection="1">
      <alignment vertical="top" wrapText="1"/>
      <protection locked="0"/>
    </xf>
    <xf numFmtId="1" fontId="8" fillId="0" borderId="9" xfId="0" applyNumberFormat="1" applyFont="1" applyBorder="1" applyAlignment="1" applyProtection="1">
      <alignment vertical="top" wrapText="1"/>
      <protection locked="0"/>
    </xf>
    <xf numFmtId="1" fontId="6" fillId="0" borderId="21" xfId="1" applyNumberFormat="1" applyFont="1" applyBorder="1" applyAlignment="1" applyProtection="1">
      <alignment horizontal="center" vertical="center" wrapText="1"/>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0" fontId="8" fillId="0" borderId="1" xfId="1" applyFont="1" applyBorder="1" applyAlignment="1" applyProtection="1">
      <alignment horizontal="left" vertical="top"/>
      <protection locked="0"/>
    </xf>
    <xf numFmtId="1" fontId="8" fillId="0" borderId="1" xfId="1"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0" fontId="10" fillId="0" borderId="33" xfId="0" applyFont="1" applyBorder="1" applyAlignment="1" applyProtection="1">
      <alignment horizontal="center" vertical="center"/>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0" fontId="13" fillId="0" borderId="1" xfId="1" applyFont="1" applyBorder="1" applyAlignment="1" applyProtection="1">
      <alignment horizontal="left" vertical="top"/>
      <protection locked="0"/>
    </xf>
    <xf numFmtId="14" fontId="12" fillId="0" borderId="1" xfId="1" applyNumberFormat="1" applyFont="1" applyBorder="1" applyAlignment="1" applyProtection="1">
      <alignment horizontal="left" vertical="top"/>
      <protection locked="0"/>
    </xf>
    <xf numFmtId="0" fontId="12" fillId="0" borderId="1" xfId="1" applyFont="1" applyBorder="1" applyAlignment="1" applyProtection="1">
      <alignment horizontal="left" vertical="top" wrapText="1"/>
      <protection locked="0"/>
    </xf>
    <xf numFmtId="0" fontId="12" fillId="0" borderId="1" xfId="1" applyFont="1" applyFill="1" applyBorder="1" applyAlignment="1" applyProtection="1">
      <alignment horizontal="left" vertical="top"/>
      <protection locked="0"/>
    </xf>
    <xf numFmtId="0" fontId="12" fillId="0" borderId="8" xfId="1" applyFont="1" applyBorder="1" applyAlignment="1" applyProtection="1">
      <alignment horizontal="center" vertical="top"/>
      <protection locked="0"/>
    </xf>
    <xf numFmtId="0" fontId="12" fillId="0" borderId="21" xfId="1" applyFont="1" applyBorder="1" applyAlignment="1" applyProtection="1">
      <alignment horizontal="center" vertical="top"/>
      <protection locked="0"/>
    </xf>
    <xf numFmtId="0" fontId="12" fillId="0" borderId="9" xfId="1" applyFont="1" applyBorder="1" applyAlignment="1" applyProtection="1">
      <alignment horizontal="center" vertical="top"/>
      <protection locked="0"/>
    </xf>
    <xf numFmtId="0" fontId="12" fillId="0" borderId="1" xfId="1" applyFont="1" applyBorder="1" applyAlignment="1" applyProtection="1">
      <alignment horizontal="left"/>
      <protection locked="0"/>
    </xf>
    <xf numFmtId="0" fontId="12" fillId="0" borderId="1" xfId="1" applyFont="1" applyBorder="1" applyAlignment="1" applyProtection="1">
      <alignment horizontal="center"/>
      <protection locked="0"/>
    </xf>
    <xf numFmtId="0" fontId="13" fillId="0" borderId="8" xfId="1" applyFont="1" applyBorder="1" applyAlignment="1" applyProtection="1">
      <alignment horizontal="center" vertical="top"/>
      <protection locked="0"/>
    </xf>
    <xf numFmtId="0" fontId="13" fillId="0" borderId="21" xfId="1" applyFont="1" applyBorder="1" applyAlignment="1" applyProtection="1">
      <alignment horizontal="center" vertical="top"/>
      <protection locked="0"/>
    </xf>
    <xf numFmtId="0" fontId="13" fillId="0" borderId="9"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0" fontId="13" fillId="0" borderId="4" xfId="1" applyFont="1" applyBorder="1" applyAlignment="1" applyProtection="1">
      <alignment horizontal="left" vertical="top"/>
      <protection locked="0"/>
    </xf>
    <xf numFmtId="0" fontId="8" fillId="0" borderId="22" xfId="1" applyFont="1" applyBorder="1" applyAlignment="1" applyProtection="1">
      <alignment horizontal="left" vertical="top" wrapText="1"/>
      <protection locked="0"/>
    </xf>
    <xf numFmtId="0" fontId="8" fillId="0" borderId="15" xfId="1" applyFont="1" applyBorder="1" applyAlignment="1" applyProtection="1">
      <alignment horizontal="left" vertical="top" wrapText="1"/>
      <protection locked="0"/>
    </xf>
    <xf numFmtId="0" fontId="8" fillId="0" borderId="13" xfId="1" applyFont="1" applyBorder="1" applyAlignment="1" applyProtection="1">
      <alignment horizontal="left" vertical="top" wrapText="1"/>
      <protection locked="0"/>
    </xf>
    <xf numFmtId="0" fontId="8" fillId="0" borderId="14" xfId="1" applyFont="1" applyBorder="1" applyAlignment="1" applyProtection="1">
      <alignment horizontal="left" vertical="top" wrapText="1"/>
      <protection locked="0"/>
    </xf>
    <xf numFmtId="0" fontId="8" fillId="0" borderId="23" xfId="1" applyFont="1" applyBorder="1" applyAlignment="1" applyProtection="1">
      <alignment horizontal="left" vertical="top" wrapText="1"/>
      <protection locked="0"/>
    </xf>
    <xf numFmtId="0" fontId="13" fillId="0" borderId="1" xfId="1" applyFont="1" applyBorder="1" applyAlignment="1" applyProtection="1">
      <alignment horizontal="left" vertical="top" wrapText="1"/>
      <protection locked="0"/>
    </xf>
    <xf numFmtId="0" fontId="13" fillId="0" borderId="5" xfId="1" applyFont="1" applyBorder="1" applyAlignment="1" applyProtection="1">
      <alignment horizontal="left" vertical="top" wrapText="1"/>
      <protection locked="0"/>
    </xf>
    <xf numFmtId="0" fontId="6" fillId="0" borderId="3" xfId="1" applyFont="1" applyBorder="1" applyAlignment="1" applyProtection="1">
      <alignment horizontal="left" vertical="top" wrapText="1"/>
      <protection locked="0"/>
    </xf>
    <xf numFmtId="0" fontId="6" fillId="0" borderId="3" xfId="1" applyFont="1" applyBorder="1" applyAlignment="1" applyProtection="1">
      <alignment horizontal="left" vertical="top"/>
      <protection locked="0"/>
    </xf>
    <xf numFmtId="14" fontId="6" fillId="0" borderId="8" xfId="1" applyNumberFormat="1" applyFont="1" applyBorder="1" applyAlignment="1" applyProtection="1">
      <alignment horizontal="left" vertical="top" wrapText="1"/>
      <protection locked="0"/>
    </xf>
    <xf numFmtId="14" fontId="6" fillId="0" borderId="9" xfId="1" applyNumberFormat="1" applyFont="1" applyBorder="1" applyAlignment="1" applyProtection="1">
      <alignment horizontal="left" vertical="top" wrapText="1"/>
      <protection locked="0"/>
    </xf>
    <xf numFmtId="2" fontId="6" fillId="0" borderId="1" xfId="1" applyNumberFormat="1" applyFont="1" applyBorder="1" applyAlignment="1" applyProtection="1">
      <alignment horizontal="left" vertical="top" wrapText="1"/>
      <protection locked="0"/>
    </xf>
    <xf numFmtId="164" fontId="6" fillId="0" borderId="1" xfId="1" applyNumberFormat="1" applyFont="1" applyBorder="1" applyAlignment="1" applyProtection="1">
      <alignment horizontal="left" vertical="top"/>
      <protection locked="0"/>
    </xf>
    <xf numFmtId="2" fontId="6" fillId="0" borderId="1" xfId="1" applyNumberFormat="1" applyFont="1" applyBorder="1" applyAlignment="1" applyProtection="1">
      <alignment horizontal="left" vertical="top"/>
      <protection locked="0"/>
    </xf>
    <xf numFmtId="0" fontId="6" fillId="0" borderId="21" xfId="1" applyFont="1" applyBorder="1" applyAlignment="1" applyProtection="1">
      <alignment horizontal="left" vertical="top" wrapText="1"/>
      <protection locked="0"/>
    </xf>
    <xf numFmtId="0" fontId="12" fillId="0" borderId="3" xfId="1" applyFont="1" applyBorder="1" applyAlignment="1" applyProtection="1">
      <alignment horizontal="left" vertical="top"/>
      <protection locked="0"/>
    </xf>
    <xf numFmtId="0" fontId="12" fillId="0" borderId="17" xfId="1" applyFont="1" applyBorder="1" applyAlignment="1" applyProtection="1">
      <alignment horizontal="left" vertical="top" wrapText="1"/>
      <protection locked="0"/>
    </xf>
    <xf numFmtId="0" fontId="12" fillId="0" borderId="24" xfId="1" applyFont="1" applyBorder="1" applyAlignment="1" applyProtection="1">
      <alignment horizontal="left" vertical="top" wrapText="1"/>
      <protection locked="0"/>
    </xf>
    <xf numFmtId="0" fontId="12" fillId="0" borderId="18" xfId="1" applyFont="1" applyBorder="1" applyAlignment="1" applyProtection="1">
      <alignment horizontal="left" vertical="top" wrapText="1"/>
      <protection locked="0"/>
    </xf>
    <xf numFmtId="0" fontId="13" fillId="0" borderId="8" xfId="1" applyFont="1" applyBorder="1" applyAlignment="1" applyProtection="1">
      <alignment horizontal="left" vertical="top"/>
      <protection locked="0"/>
    </xf>
    <xf numFmtId="0" fontId="13" fillId="0" borderId="21" xfId="1" applyFont="1" applyBorder="1" applyAlignment="1" applyProtection="1">
      <alignment horizontal="left" vertical="top"/>
      <protection locked="0"/>
    </xf>
    <xf numFmtId="0" fontId="13" fillId="0" borderId="9" xfId="1" applyFont="1" applyBorder="1" applyAlignment="1" applyProtection="1">
      <alignment horizontal="left" vertical="top"/>
      <protection locked="0"/>
    </xf>
    <xf numFmtId="0" fontId="12" fillId="0" borderId="17" xfId="1" applyFont="1" applyBorder="1" applyAlignment="1" applyProtection="1">
      <alignment horizontal="left" vertical="top"/>
      <protection locked="0"/>
    </xf>
    <xf numFmtId="0" fontId="12" fillId="0" borderId="24" xfId="1" applyFont="1" applyBorder="1" applyAlignment="1" applyProtection="1">
      <alignment horizontal="left" vertical="top"/>
      <protection locked="0"/>
    </xf>
    <xf numFmtId="0" fontId="12" fillId="0" borderId="18" xfId="1" applyFont="1" applyBorder="1" applyAlignment="1" applyProtection="1">
      <alignment horizontal="left" vertical="top"/>
      <protection locked="0"/>
    </xf>
    <xf numFmtId="0" fontId="6" fillId="0" borderId="8" xfId="1" applyFont="1" applyBorder="1" applyAlignment="1" applyProtection="1">
      <alignment vertical="top" wrapText="1"/>
      <protection locked="0"/>
    </xf>
    <xf numFmtId="0" fontId="6" fillId="0" borderId="21" xfId="1" applyFont="1" applyBorder="1" applyAlignment="1" applyProtection="1">
      <alignment vertical="top" wrapText="1"/>
      <protection locked="0"/>
    </xf>
    <xf numFmtId="0" fontId="6" fillId="0" borderId="9" xfId="1" applyFont="1" applyBorder="1" applyAlignment="1" applyProtection="1">
      <alignment vertical="top" wrapText="1"/>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25" xfId="1" applyFont="1" applyBorder="1" applyAlignment="1" applyProtection="1">
      <alignment horizontal="left" vertical="top" wrapText="1"/>
      <protection locked="0"/>
    </xf>
    <xf numFmtId="0" fontId="6" fillId="0" borderId="26"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0" fontId="6" fillId="0" borderId="24" xfId="1" applyFont="1" applyBorder="1" applyAlignment="1" applyProtection="1">
      <alignment horizontal="left" vertical="top" wrapText="1"/>
      <protection locked="0"/>
    </xf>
    <xf numFmtId="0" fontId="6" fillId="0" borderId="2" xfId="1" applyFont="1" applyBorder="1" applyAlignment="1" applyProtection="1">
      <alignment horizontal="left" vertical="top" wrapText="1"/>
      <protection locked="0"/>
    </xf>
    <xf numFmtId="0" fontId="15" fillId="0" borderId="25" xfId="1" applyFont="1" applyBorder="1" applyAlignment="1" applyProtection="1">
      <alignment horizontal="left" vertical="top" wrapText="1"/>
      <protection locked="0"/>
    </xf>
    <xf numFmtId="0" fontId="15" fillId="0" borderId="26" xfId="1" applyFont="1" applyBorder="1" applyAlignment="1" applyProtection="1">
      <alignment horizontal="left" vertical="top" wrapText="1"/>
      <protection locked="0"/>
    </xf>
    <xf numFmtId="0" fontId="6" fillId="0" borderId="17" xfId="1" applyFont="1" applyBorder="1" applyAlignment="1" applyProtection="1">
      <alignment horizontal="center" vertical="top" wrapText="1"/>
      <protection locked="0"/>
    </xf>
    <xf numFmtId="0" fontId="6" fillId="0" borderId="24" xfId="1" applyFont="1" applyBorder="1" applyAlignment="1" applyProtection="1">
      <alignment horizontal="center" vertical="top" wrapText="1"/>
      <protection locked="0"/>
    </xf>
    <xf numFmtId="0" fontId="6" fillId="0" borderId="18" xfId="1" applyFont="1" applyBorder="1" applyAlignment="1" applyProtection="1">
      <alignment horizontal="center" vertical="top" wrapText="1"/>
      <protection locked="0"/>
    </xf>
    <xf numFmtId="0" fontId="6" fillId="0" borderId="19" xfId="1" applyFont="1" applyBorder="1" applyAlignment="1" applyProtection="1">
      <alignment horizontal="center" vertical="top" wrapText="1"/>
      <protection locked="0"/>
    </xf>
    <xf numFmtId="0" fontId="6" fillId="0" borderId="2" xfId="1" applyFont="1" applyBorder="1" applyAlignment="1" applyProtection="1">
      <alignment horizontal="center" vertical="top" wrapText="1"/>
      <protection locked="0"/>
    </xf>
    <xf numFmtId="0" fontId="6" fillId="0" borderId="20" xfId="1" applyFont="1" applyBorder="1" applyAlignment="1" applyProtection="1">
      <alignment horizontal="center" vertical="top" wrapText="1"/>
      <protection locked="0"/>
    </xf>
    <xf numFmtId="0" fontId="7" fillId="0" borderId="0" xfId="1" applyFont="1" applyAlignment="1">
      <alignment horizontal="center" vertical="center"/>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top" wrapText="1"/>
      <protection locked="0"/>
    </xf>
    <xf numFmtId="1" fontId="31" fillId="0" borderId="3" xfId="1" applyNumberFormat="1" applyFont="1" applyBorder="1" applyAlignment="1" applyProtection="1">
      <alignment horizontal="center" vertical="top" wrapText="1"/>
      <protection locked="0"/>
    </xf>
    <xf numFmtId="1" fontId="31" fillId="0" borderId="16" xfId="1" applyNumberFormat="1" applyFont="1" applyBorder="1" applyAlignment="1" applyProtection="1">
      <alignment horizontal="center" vertical="top" wrapText="1"/>
      <protection locked="0"/>
    </xf>
    <xf numFmtId="0" fontId="10" fillId="0" borderId="33" xfId="0" applyFont="1" applyBorder="1" applyAlignment="1" applyProtection="1">
      <alignment horizontal="center" vertical="top" wrapText="1"/>
      <protection locked="0"/>
    </xf>
    <xf numFmtId="1" fontId="8" fillId="0" borderId="32" xfId="0" applyNumberFormat="1" applyFont="1" applyBorder="1" applyAlignment="1" applyProtection="1">
      <alignment horizontal="center" vertical="center" wrapText="1"/>
      <protection locked="0"/>
    </xf>
    <xf numFmtId="1" fontId="8" fillId="0" borderId="33" xfId="0" applyNumberFormat="1" applyFont="1" applyBorder="1" applyAlignment="1" applyProtection="1">
      <alignment horizontal="center" vertical="center" wrapText="1"/>
      <protection locked="0"/>
    </xf>
    <xf numFmtId="0" fontId="8" fillId="0" borderId="16" xfId="1" applyFont="1" applyBorder="1" applyAlignment="1" applyProtection="1">
      <alignment horizontal="left" vertical="top"/>
      <protection locked="0"/>
    </xf>
    <xf numFmtId="0" fontId="27" fillId="0" borderId="1" xfId="10" applyFill="1" applyBorder="1" applyAlignment="1" applyProtection="1">
      <alignment horizontal="left" vertical="top" wrapText="1"/>
      <protection locked="0"/>
    </xf>
    <xf numFmtId="1" fontId="8" fillId="0" borderId="3" xfId="1" applyNumberFormat="1" applyFont="1" applyBorder="1" applyAlignment="1" applyProtection="1">
      <alignment horizontal="center" vertical="top" wrapText="1"/>
      <protection locked="0"/>
    </xf>
    <xf numFmtId="1" fontId="8" fillId="0" borderId="16" xfId="1" applyNumberFormat="1" applyFont="1" applyBorder="1" applyAlignment="1" applyProtection="1">
      <alignment horizontal="center" vertical="top" wrapText="1"/>
      <protection locked="0"/>
    </xf>
    <xf numFmtId="1" fontId="32" fillId="0" borderId="3" xfId="1" applyNumberFormat="1" applyFont="1" applyBorder="1" applyAlignment="1" applyProtection="1">
      <alignment horizontal="center" vertical="top" wrapText="1"/>
      <protection locked="0"/>
    </xf>
    <xf numFmtId="1" fontId="32" fillId="0" borderId="16" xfId="1" applyNumberFormat="1" applyFont="1" applyBorder="1" applyAlignment="1" applyProtection="1">
      <alignment horizontal="center" vertical="top" wrapText="1"/>
      <protection locked="0"/>
    </xf>
    <xf numFmtId="1" fontId="8" fillId="0" borderId="33" xfId="0" applyNumberFormat="1" applyFont="1" applyBorder="1" applyAlignment="1" applyProtection="1">
      <alignment horizontal="center" vertical="top" wrapText="1"/>
      <protection locked="0"/>
    </xf>
    <xf numFmtId="1" fontId="8" fillId="0" borderId="34" xfId="0" applyNumberFormat="1" applyFont="1" applyBorder="1" applyAlignment="1" applyProtection="1">
      <alignment horizontal="center" vertical="top" wrapText="1"/>
      <protection locked="0"/>
    </xf>
    <xf numFmtId="9" fontId="7" fillId="0" borderId="17" xfId="8" applyFont="1" applyFill="1" applyBorder="1" applyAlignment="1" applyProtection="1">
      <alignment horizontal="center" vertical="center" wrapText="1"/>
      <protection locked="0"/>
    </xf>
    <xf numFmtId="9" fontId="7" fillId="0" borderId="18" xfId="8" applyFont="1" applyFill="1" applyBorder="1" applyAlignment="1" applyProtection="1">
      <alignment horizontal="center" vertical="center" wrapText="1"/>
      <protection locked="0"/>
    </xf>
    <xf numFmtId="9" fontId="7" fillId="0" borderId="25" xfId="8" applyFont="1" applyFill="1" applyBorder="1" applyAlignment="1" applyProtection="1">
      <alignment horizontal="center" vertical="center" wrapText="1"/>
      <protection locked="0"/>
    </xf>
    <xf numFmtId="9" fontId="7" fillId="0" borderId="26" xfId="8" applyFont="1" applyFill="1" applyBorder="1" applyAlignment="1" applyProtection="1">
      <alignment horizontal="center" vertical="center" wrapText="1"/>
      <protection locked="0"/>
    </xf>
    <xf numFmtId="9" fontId="7" fillId="0" borderId="28" xfId="8" applyFont="1" applyFill="1" applyBorder="1" applyAlignment="1" applyProtection="1">
      <alignment horizontal="center" vertical="center" wrapText="1"/>
      <protection locked="0"/>
    </xf>
    <xf numFmtId="9" fontId="7" fillId="0" borderId="29" xfId="8" applyFont="1" applyFill="1" applyBorder="1" applyAlignment="1" applyProtection="1">
      <alignment horizontal="center" vertical="center" wrapText="1"/>
      <protection locked="0"/>
    </xf>
    <xf numFmtId="9" fontId="7" fillId="0" borderId="27" xfId="8" applyFont="1" applyFill="1" applyBorder="1" applyAlignment="1" applyProtection="1">
      <alignment horizontal="center" vertical="center" wrapText="1"/>
      <protection locked="0"/>
    </xf>
    <xf numFmtId="9" fontId="7" fillId="0" borderId="10" xfId="8" applyFont="1" applyFill="1" applyBorder="1" applyAlignment="1" applyProtection="1">
      <alignment horizontal="center" vertical="center" wrapText="1"/>
      <protection locked="0"/>
    </xf>
    <xf numFmtId="9" fontId="7" fillId="0" borderId="12" xfId="8" applyFont="1" applyFill="1" applyBorder="1" applyAlignment="1" applyProtection="1">
      <alignment horizontal="center" vertical="center" wrapText="1"/>
      <protection locked="0"/>
    </xf>
    <xf numFmtId="1" fontId="8" fillId="0" borderId="3" xfId="0" applyNumberFormat="1" applyFont="1" applyBorder="1" applyAlignment="1" applyProtection="1">
      <alignment horizontal="center" vertical="center" wrapText="1"/>
      <protection locked="0"/>
    </xf>
    <xf numFmtId="0" fontId="10" fillId="0" borderId="3" xfId="0" applyFont="1" applyBorder="1" applyAlignment="1" applyProtection="1">
      <alignment horizontal="center" vertical="top" wrapText="1"/>
      <protection locked="0"/>
    </xf>
    <xf numFmtId="1" fontId="8" fillId="0" borderId="3" xfId="0" applyNumberFormat="1" applyFont="1" applyBorder="1" applyAlignment="1" applyProtection="1">
      <alignment horizontal="center" vertical="top" wrapText="1"/>
      <protection locked="0"/>
    </xf>
    <xf numFmtId="0" fontId="9" fillId="0" borderId="1" xfId="5" applyFont="1" applyBorder="1" applyAlignment="1">
      <alignment horizontal="left"/>
    </xf>
    <xf numFmtId="0" fontId="0" fillId="2" borderId="1" xfId="0" applyFill="1" applyBorder="1" applyAlignment="1">
      <alignment horizontal="center" vertical="center" wrapText="1"/>
    </xf>
    <xf numFmtId="0" fontId="9" fillId="4" borderId="1" xfId="0" applyFont="1" applyFill="1" applyBorder="1" applyAlignment="1">
      <alignment horizontal="center" vertical="center"/>
    </xf>
    <xf numFmtId="0" fontId="9" fillId="3" borderId="1" xfId="0" applyFont="1" applyFill="1" applyBorder="1" applyAlignment="1">
      <alignment horizontal="center" vertical="center"/>
    </xf>
    <xf numFmtId="0" fontId="9" fillId="5" borderId="1" xfId="0" applyFont="1" applyFill="1" applyBorder="1" applyAlignment="1">
      <alignment horizontal="center" vertical="center"/>
    </xf>
    <xf numFmtId="0" fontId="12" fillId="0" borderId="17" xfId="1" applyFont="1" applyFill="1" applyBorder="1" applyAlignment="1" applyProtection="1">
      <alignment horizontal="left" vertical="top" wrapText="1"/>
      <protection locked="0"/>
    </xf>
    <xf numFmtId="0" fontId="12" fillId="0" borderId="24" xfId="1" applyFont="1" applyFill="1" applyBorder="1" applyAlignment="1" applyProtection="1">
      <alignment horizontal="left" vertical="top" wrapText="1"/>
      <protection locked="0"/>
    </xf>
    <xf numFmtId="0" fontId="12" fillId="0" borderId="18" xfId="1" applyFont="1" applyFill="1" applyBorder="1" applyAlignment="1" applyProtection="1">
      <alignment horizontal="left" vertical="top" wrapText="1"/>
      <protection locked="0"/>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8</xdr:col>
      <xdr:colOff>123825</xdr:colOff>
      <xdr:row>14</xdr:row>
      <xdr:rowOff>95250</xdr:rowOff>
    </xdr:from>
    <xdr:to>
      <xdr:col>15</xdr:col>
      <xdr:colOff>75451</xdr:colOff>
      <xdr:row>16</xdr:row>
      <xdr:rowOff>180862</xdr:rowOff>
    </xdr:to>
    <xdr:pic>
      <xdr:nvPicPr>
        <xdr:cNvPr id="2" name="Picture 1"/>
        <xdr:cNvPicPr>
          <a:picLocks noChangeAspect="1"/>
        </xdr:cNvPicPr>
      </xdr:nvPicPr>
      <xdr:blipFill>
        <a:blip xmlns:r="http://schemas.openxmlformats.org/officeDocument/2006/relationships" r:embed="rId1"/>
        <a:stretch>
          <a:fillRect/>
        </a:stretch>
      </xdr:blipFill>
      <xdr:spPr>
        <a:xfrm>
          <a:off x="6438900" y="3686175"/>
          <a:ext cx="5990476" cy="904762"/>
        </a:xfrm>
        <a:prstGeom prst="rect">
          <a:avLst/>
        </a:prstGeom>
      </xdr:spPr>
    </xdr:pic>
    <xdr:clientData/>
  </xdr:twoCellAnchor>
  <xdr:twoCellAnchor>
    <xdr:from>
      <xdr:col>0</xdr:col>
      <xdr:colOff>452967</xdr:colOff>
      <xdr:row>226</xdr:row>
      <xdr:rowOff>127000</xdr:rowOff>
    </xdr:from>
    <xdr:to>
      <xdr:col>7</xdr:col>
      <xdr:colOff>462492</xdr:colOff>
      <xdr:row>268</xdr:row>
      <xdr:rowOff>8065</xdr:rowOff>
    </xdr:to>
    <xdr:grpSp>
      <xdr:nvGrpSpPr>
        <xdr:cNvPr id="3" name="Group 2"/>
        <xdr:cNvGrpSpPr/>
      </xdr:nvGrpSpPr>
      <xdr:grpSpPr>
        <a:xfrm>
          <a:off x="452967" y="33674050"/>
          <a:ext cx="5591175" cy="8282115"/>
          <a:chOff x="633413" y="504459"/>
          <a:chExt cx="5591175" cy="8282524"/>
        </a:xfrm>
      </xdr:grpSpPr>
      <xdr:pic>
        <xdr:nvPicPr>
          <xdr:cNvPr id="4" name="Picture 3"/>
          <xdr:cNvPicPr>
            <a:picLocks noChangeAspect="1"/>
          </xdr:cNvPicPr>
        </xdr:nvPicPr>
        <xdr:blipFill>
          <a:blip xmlns:r="http://schemas.openxmlformats.org/officeDocument/2006/relationships" r:embed="rId2"/>
          <a:stretch>
            <a:fillRect/>
          </a:stretch>
        </xdr:blipFill>
        <xdr:spPr>
          <a:xfrm>
            <a:off x="2096154" y="5682614"/>
            <a:ext cx="2892424" cy="3104369"/>
          </a:xfrm>
          <a:prstGeom prst="rect">
            <a:avLst/>
          </a:prstGeom>
          <a:ln>
            <a:solidFill>
              <a:schemeClr val="tx1"/>
            </a:solidFill>
          </a:ln>
        </xdr:spPr>
      </xdr:pic>
      <xdr:grpSp>
        <xdr:nvGrpSpPr>
          <xdr:cNvPr id="5" name="Group 4"/>
          <xdr:cNvGrpSpPr/>
        </xdr:nvGrpSpPr>
        <xdr:grpSpPr>
          <a:xfrm>
            <a:off x="633413" y="504459"/>
            <a:ext cx="5591175" cy="5084713"/>
            <a:chOff x="0" y="187935"/>
            <a:chExt cx="5591175" cy="5084713"/>
          </a:xfrm>
        </xdr:grpSpPr>
        <xdr:pic>
          <xdr:nvPicPr>
            <xdr:cNvPr id="6" name="Picture 5"/>
            <xdr:cNvPicPr>
              <a:picLocks noChangeAspect="1"/>
            </xdr:cNvPicPr>
          </xdr:nvPicPr>
          <xdr:blipFill>
            <a:blip xmlns:r="http://schemas.openxmlformats.org/officeDocument/2006/relationships" r:embed="rId3"/>
            <a:stretch>
              <a:fillRect/>
            </a:stretch>
          </xdr:blipFill>
          <xdr:spPr>
            <a:xfrm>
              <a:off x="0" y="187935"/>
              <a:ext cx="5591175" cy="5084713"/>
            </a:xfrm>
            <a:prstGeom prst="rect">
              <a:avLst/>
            </a:prstGeom>
            <a:ln>
              <a:solidFill>
                <a:schemeClr val="tx1"/>
              </a:solidFill>
            </a:ln>
          </xdr:spPr>
        </xdr:pic>
        <xdr:sp macro="" textlink="">
          <xdr:nvSpPr>
            <xdr:cNvPr id="7" name="Freeform 6"/>
            <xdr:cNvSpPr/>
          </xdr:nvSpPr>
          <xdr:spPr>
            <a:xfrm>
              <a:off x="1899047" y="1781174"/>
              <a:ext cx="3087290" cy="1469232"/>
            </a:xfrm>
            <a:custGeom>
              <a:avLst/>
              <a:gdLst>
                <a:gd name="connsiteX0" fmla="*/ 810816 w 3087290"/>
                <a:gd name="connsiteY0" fmla="*/ 0 h 1469232"/>
                <a:gd name="connsiteX1" fmla="*/ 1125141 w 3087290"/>
                <a:gd name="connsiteY1" fmla="*/ 0 h 1469232"/>
                <a:gd name="connsiteX2" fmla="*/ 3087290 w 3087290"/>
                <a:gd name="connsiteY2" fmla="*/ 0 h 1469232"/>
                <a:gd name="connsiteX3" fmla="*/ 3087290 w 3087290"/>
                <a:gd name="connsiteY3" fmla="*/ 1376363 h 1469232"/>
                <a:gd name="connsiteX4" fmla="*/ 1125141 w 3087290"/>
                <a:gd name="connsiteY4" fmla="*/ 1376363 h 1469232"/>
                <a:gd name="connsiteX5" fmla="*/ 1125141 w 3087290"/>
                <a:gd name="connsiteY5" fmla="*/ 1147763 h 1469232"/>
                <a:gd name="connsiteX6" fmla="*/ 810816 w 3087290"/>
                <a:gd name="connsiteY6" fmla="*/ 1147763 h 1469232"/>
                <a:gd name="connsiteX7" fmla="*/ 810816 w 3087290"/>
                <a:gd name="connsiteY7" fmla="*/ 1469232 h 1469232"/>
                <a:gd name="connsiteX8" fmla="*/ 479822 w 3087290"/>
                <a:gd name="connsiteY8" fmla="*/ 1469232 h 1469232"/>
                <a:gd name="connsiteX9" fmla="*/ 479822 w 3087290"/>
                <a:gd name="connsiteY9" fmla="*/ 1202530 h 1469232"/>
                <a:gd name="connsiteX10" fmla="*/ 0 w 3087290"/>
                <a:gd name="connsiteY10" fmla="*/ 1202530 h 1469232"/>
                <a:gd name="connsiteX11" fmla="*/ 0 w 3087290"/>
                <a:gd name="connsiteY11" fmla="*/ 490537 h 1469232"/>
                <a:gd name="connsiteX12" fmla="*/ 479822 w 3087290"/>
                <a:gd name="connsiteY12" fmla="*/ 490537 h 1469232"/>
                <a:gd name="connsiteX13" fmla="*/ 479822 w 3087290"/>
                <a:gd name="connsiteY13" fmla="*/ 166688 h 1469232"/>
                <a:gd name="connsiteX14" fmla="*/ 610791 w 3087290"/>
                <a:gd name="connsiteY14" fmla="*/ 166688 h 1469232"/>
                <a:gd name="connsiteX15" fmla="*/ 610791 w 3087290"/>
                <a:gd name="connsiteY15" fmla="*/ 1 h 1469232"/>
                <a:gd name="connsiteX16" fmla="*/ 810816 w 3087290"/>
                <a:gd name="connsiteY16" fmla="*/ 1 h 14692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3087290" h="1469232">
                  <a:moveTo>
                    <a:pt x="810816" y="0"/>
                  </a:moveTo>
                  <a:lnTo>
                    <a:pt x="1125141" y="0"/>
                  </a:lnTo>
                  <a:lnTo>
                    <a:pt x="3087290" y="0"/>
                  </a:lnTo>
                  <a:lnTo>
                    <a:pt x="3087290" y="1376363"/>
                  </a:lnTo>
                  <a:lnTo>
                    <a:pt x="1125141" y="1376363"/>
                  </a:lnTo>
                  <a:lnTo>
                    <a:pt x="1125141" y="1147763"/>
                  </a:lnTo>
                  <a:lnTo>
                    <a:pt x="810816" y="1147763"/>
                  </a:lnTo>
                  <a:lnTo>
                    <a:pt x="810816" y="1469232"/>
                  </a:lnTo>
                  <a:lnTo>
                    <a:pt x="479822" y="1469232"/>
                  </a:lnTo>
                  <a:lnTo>
                    <a:pt x="479822" y="1202530"/>
                  </a:lnTo>
                  <a:lnTo>
                    <a:pt x="0" y="1202530"/>
                  </a:lnTo>
                  <a:lnTo>
                    <a:pt x="0" y="490537"/>
                  </a:lnTo>
                  <a:lnTo>
                    <a:pt x="479822" y="490537"/>
                  </a:lnTo>
                  <a:lnTo>
                    <a:pt x="479822" y="166688"/>
                  </a:lnTo>
                  <a:lnTo>
                    <a:pt x="610791" y="166688"/>
                  </a:lnTo>
                  <a:lnTo>
                    <a:pt x="610791" y="1"/>
                  </a:lnTo>
                  <a:lnTo>
                    <a:pt x="810816" y="1"/>
                  </a:lnTo>
                  <a:close/>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grpSp>
    <xdr:clientData/>
  </xdr:twoCellAnchor>
  <xdr:twoCellAnchor>
    <xdr:from>
      <xdr:col>1</xdr:col>
      <xdr:colOff>161925</xdr:colOff>
      <xdr:row>270</xdr:row>
      <xdr:rowOff>38100</xdr:rowOff>
    </xdr:from>
    <xdr:to>
      <xdr:col>7</xdr:col>
      <xdr:colOff>22275</xdr:colOff>
      <xdr:row>310</xdr:row>
      <xdr:rowOff>116096</xdr:rowOff>
    </xdr:to>
    <xdr:grpSp>
      <xdr:nvGrpSpPr>
        <xdr:cNvPr id="8" name="Group 7"/>
        <xdr:cNvGrpSpPr/>
      </xdr:nvGrpSpPr>
      <xdr:grpSpPr>
        <a:xfrm>
          <a:off x="923925" y="42386250"/>
          <a:ext cx="4680000" cy="8078996"/>
          <a:chOff x="1089000" y="228600"/>
          <a:chExt cx="4680000" cy="8078996"/>
        </a:xfrm>
      </xdr:grpSpPr>
      <xdr:pic>
        <xdr:nvPicPr>
          <xdr:cNvPr id="9" name="Picture 8"/>
          <xdr:cNvPicPr>
            <a:picLocks noChangeAspect="1"/>
          </xdr:cNvPicPr>
        </xdr:nvPicPr>
        <xdr:blipFill rotWithShape="1">
          <a:blip xmlns:r="http://schemas.openxmlformats.org/officeDocument/2006/relationships" r:embed="rId4"/>
          <a:srcRect l="22474" t="29515" r="36530" b="27256"/>
          <a:stretch/>
        </xdr:blipFill>
        <xdr:spPr>
          <a:xfrm>
            <a:off x="1089000" y="228600"/>
            <a:ext cx="4680000" cy="3960000"/>
          </a:xfrm>
          <a:prstGeom prst="rect">
            <a:avLst/>
          </a:prstGeom>
          <a:ln>
            <a:solidFill>
              <a:schemeClr val="tx1"/>
            </a:solidFill>
          </a:ln>
        </xdr:spPr>
      </xdr:pic>
      <xdr:grpSp>
        <xdr:nvGrpSpPr>
          <xdr:cNvPr id="10" name="Group 9"/>
          <xdr:cNvGrpSpPr/>
        </xdr:nvGrpSpPr>
        <xdr:grpSpPr>
          <a:xfrm>
            <a:off x="1089000" y="4347596"/>
            <a:ext cx="4680000" cy="3960000"/>
            <a:chOff x="1314451" y="4347596"/>
            <a:chExt cx="4680000" cy="3960000"/>
          </a:xfrm>
        </xdr:grpSpPr>
        <xdr:pic>
          <xdr:nvPicPr>
            <xdr:cNvPr id="11" name="Picture 10"/>
            <xdr:cNvPicPr>
              <a:picLocks noChangeAspect="1"/>
            </xdr:cNvPicPr>
          </xdr:nvPicPr>
          <xdr:blipFill rotWithShape="1">
            <a:blip xmlns:r="http://schemas.openxmlformats.org/officeDocument/2006/relationships" r:embed="rId5"/>
            <a:srcRect l="22035" t="21095" r="23133" b="16145"/>
            <a:stretch/>
          </xdr:blipFill>
          <xdr:spPr>
            <a:xfrm>
              <a:off x="1314451" y="4347596"/>
              <a:ext cx="4680000" cy="3960000"/>
            </a:xfrm>
            <a:prstGeom prst="rect">
              <a:avLst/>
            </a:prstGeom>
            <a:ln>
              <a:solidFill>
                <a:schemeClr val="tx1"/>
              </a:solidFill>
            </a:ln>
          </xdr:spPr>
        </xdr:pic>
        <xdr:sp macro="" textlink="">
          <xdr:nvSpPr>
            <xdr:cNvPr id="12" name="Rectangle 11"/>
            <xdr:cNvSpPr/>
          </xdr:nvSpPr>
          <xdr:spPr>
            <a:xfrm rot="1789938">
              <a:off x="3215448" y="6401226"/>
              <a:ext cx="715108" cy="471697"/>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3" name="TextBox 4"/>
            <xdr:cNvSpPr txBox="1"/>
          </xdr:nvSpPr>
          <xdr:spPr>
            <a:xfrm>
              <a:off x="3086100" y="7143750"/>
              <a:ext cx="140609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Raghav Vista</a:t>
              </a:r>
              <a:endParaRPr lang="en-IN" b="1">
                <a:solidFill>
                  <a:srgbClr val="FFFF00"/>
                </a:solidFill>
              </a:endParaRPr>
            </a:p>
          </xdr:txBody>
        </xdr:sp>
      </xdr:grpSp>
    </xdr:grpSp>
    <xdr:clientData/>
  </xdr:twoCellAnchor>
  <xdr:twoCellAnchor>
    <xdr:from>
      <xdr:col>0</xdr:col>
      <xdr:colOff>170232</xdr:colOff>
      <xdr:row>183</xdr:row>
      <xdr:rowOff>38100</xdr:rowOff>
    </xdr:from>
    <xdr:to>
      <xdr:col>7</xdr:col>
      <xdr:colOff>644199</xdr:colOff>
      <xdr:row>217</xdr:row>
      <xdr:rowOff>161924</xdr:rowOff>
    </xdr:to>
    <xdr:grpSp>
      <xdr:nvGrpSpPr>
        <xdr:cNvPr id="14" name="Group 13"/>
        <xdr:cNvGrpSpPr/>
      </xdr:nvGrpSpPr>
      <xdr:grpSpPr>
        <a:xfrm>
          <a:off x="170232" y="24993600"/>
          <a:ext cx="6055617" cy="6915149"/>
          <a:chOff x="454400" y="1078197"/>
          <a:chExt cx="6055617" cy="6915149"/>
        </a:xfrm>
      </xdr:grpSpPr>
      <xdr:pic>
        <xdr:nvPicPr>
          <xdr:cNvPr id="15" name="Picture 14"/>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96149" y="1078197"/>
            <a:ext cx="5012267" cy="2819400"/>
          </a:xfrm>
          <a:prstGeom prst="rect">
            <a:avLst/>
          </a:prstGeom>
          <a:ln>
            <a:solidFill>
              <a:schemeClr val="tx1"/>
            </a:solidFill>
          </a:ln>
        </xdr:spPr>
      </xdr:pic>
      <xdr:grpSp>
        <xdr:nvGrpSpPr>
          <xdr:cNvPr id="16" name="Group 15"/>
          <xdr:cNvGrpSpPr/>
        </xdr:nvGrpSpPr>
        <xdr:grpSpPr>
          <a:xfrm>
            <a:off x="474668" y="6318127"/>
            <a:ext cx="6032489" cy="1675219"/>
            <a:chOff x="520234" y="8166898"/>
            <a:chExt cx="6032489" cy="1675219"/>
          </a:xfrm>
        </xdr:grpSpPr>
        <xdr:pic>
          <xdr:nvPicPr>
            <xdr:cNvPr id="20" name="Picture 19"/>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006259" y="8166898"/>
              <a:ext cx="1038225" cy="1656169"/>
            </a:xfrm>
            <a:prstGeom prst="rect">
              <a:avLst/>
            </a:prstGeom>
            <a:ln>
              <a:solidFill>
                <a:schemeClr val="tx1"/>
              </a:solidFill>
            </a:ln>
          </xdr:spPr>
        </xdr:pic>
        <xdr:pic>
          <xdr:nvPicPr>
            <xdr:cNvPr id="21" name="Picture 20"/>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20234" y="8176423"/>
              <a:ext cx="2419200" cy="1656169"/>
            </a:xfrm>
            <a:prstGeom prst="rect">
              <a:avLst/>
            </a:prstGeom>
            <a:ln>
              <a:solidFill>
                <a:schemeClr val="tx1"/>
              </a:solidFill>
            </a:ln>
          </xdr:spPr>
        </xdr:pic>
        <xdr:pic>
          <xdr:nvPicPr>
            <xdr:cNvPr id="22" name="Picture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133523" y="8185948"/>
              <a:ext cx="2419200" cy="1656169"/>
            </a:xfrm>
            <a:prstGeom prst="rect">
              <a:avLst/>
            </a:prstGeom>
            <a:ln>
              <a:solidFill>
                <a:schemeClr val="tx1"/>
              </a:solidFill>
            </a:ln>
          </xdr:spPr>
        </xdr:pic>
      </xdr:grpSp>
      <xdr:grpSp>
        <xdr:nvGrpSpPr>
          <xdr:cNvPr id="17" name="Group 16"/>
          <xdr:cNvGrpSpPr/>
        </xdr:nvGrpSpPr>
        <xdr:grpSpPr>
          <a:xfrm>
            <a:off x="454400" y="3974044"/>
            <a:ext cx="6055617" cy="2247652"/>
            <a:chOff x="452804" y="6406384"/>
            <a:chExt cx="6055617" cy="2247652"/>
          </a:xfrm>
        </xdr:grpSpPr>
        <xdr:pic>
          <xdr:nvPicPr>
            <xdr:cNvPr id="18" name="Picture 1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524252" y="6415909"/>
              <a:ext cx="2984169" cy="2238127"/>
            </a:xfrm>
            <a:prstGeom prst="rect">
              <a:avLst/>
            </a:prstGeom>
            <a:ln>
              <a:solidFill>
                <a:schemeClr val="tx1"/>
              </a:solidFill>
            </a:ln>
          </xdr:spPr>
        </xdr:pic>
        <xdr:pic>
          <xdr:nvPicPr>
            <xdr:cNvPr id="19" name="Picture 18"/>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52804" y="6406384"/>
              <a:ext cx="2984169" cy="2238127"/>
            </a:xfrm>
            <a:prstGeom prst="rect">
              <a:avLst/>
            </a:prstGeom>
            <a:ln>
              <a:solidFill>
                <a:schemeClr val="tx1"/>
              </a:solidFill>
            </a:ln>
          </xdr:spPr>
        </xdr:pic>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maps.app.goo.gl/X6eiDCgTGVwWS4ua9" TargetMode="External"/><Relationship Id="rId1" Type="http://schemas.openxmlformats.org/officeDocument/2006/relationships/hyperlink" Target="https://raghavgroup.in/raghav-vista" TargetMode="External"/><Relationship Id="rId6" Type="http://schemas.openxmlformats.org/officeDocument/2006/relationships/vmlDrawing" Target="../drawings/vmlDrawing2.v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Z270"/>
  <sheetViews>
    <sheetView tabSelected="1" view="pageBreakPreview" topLeftCell="A75" zoomScaleNormal="100" zoomScaleSheetLayoutView="100" zoomScalePageLayoutView="85" workbookViewId="0">
      <selection activeCell="K8" sqref="K8"/>
    </sheetView>
  </sheetViews>
  <sheetFormatPr defaultColWidth="9.140625" defaultRowHeight="15.75" x14ac:dyDescent="0.25"/>
  <cols>
    <col min="1" max="1" width="11.42578125" style="39" customWidth="1"/>
    <col min="2" max="2" width="12" style="39" customWidth="1"/>
    <col min="3" max="3" width="12.7109375" style="39" customWidth="1"/>
    <col min="4" max="4" width="13.7109375" style="39" customWidth="1"/>
    <col min="5" max="5" width="11.7109375" style="39" customWidth="1"/>
    <col min="6" max="6" width="11.140625" style="39" customWidth="1"/>
    <col min="7" max="8" width="11" style="39" customWidth="1"/>
    <col min="9" max="9" width="17.42578125" style="20" customWidth="1"/>
    <col min="10" max="10" width="11.42578125" style="20" customWidth="1"/>
    <col min="11" max="11" width="11.28515625" style="20" bestFit="1" customWidth="1"/>
    <col min="12" max="12" width="13.85546875" style="20" bestFit="1" customWidth="1"/>
    <col min="13" max="13" width="11.85546875" style="20" customWidth="1"/>
    <col min="14" max="14" width="12.5703125" style="20" customWidth="1"/>
    <col min="15" max="15" width="12.140625" style="20" customWidth="1"/>
    <col min="16" max="16" width="11.7109375" style="20" customWidth="1"/>
    <col min="17" max="18" width="9.140625" style="20"/>
    <col min="19" max="19" width="10.85546875" style="20" bestFit="1" customWidth="1"/>
    <col min="20" max="20" width="10.7109375" style="20" customWidth="1"/>
    <col min="21" max="247" width="9.140625" style="20"/>
    <col min="248" max="248" width="8.7109375" style="20" customWidth="1"/>
    <col min="249" max="249" width="9.85546875" style="20" customWidth="1"/>
    <col min="250" max="250" width="14.42578125" style="20" customWidth="1"/>
    <col min="251" max="251" width="7.28515625" style="20" customWidth="1"/>
    <col min="252" max="252" width="5.5703125" style="20" customWidth="1"/>
    <col min="253" max="253" width="9" style="20" customWidth="1"/>
    <col min="254" max="255" width="9.85546875" style="20" customWidth="1"/>
    <col min="256" max="256" width="11.140625" style="20" customWidth="1"/>
    <col min="257" max="257" width="2.85546875" style="20" customWidth="1"/>
    <col min="258" max="258" width="3.5703125" style="20" customWidth="1"/>
    <col min="259" max="503" width="9.140625" style="20"/>
    <col min="504" max="504" width="8.7109375" style="20" customWidth="1"/>
    <col min="505" max="505" width="9.85546875" style="20" customWidth="1"/>
    <col min="506" max="506" width="14.42578125" style="20" customWidth="1"/>
    <col min="507" max="507" width="7.28515625" style="20" customWidth="1"/>
    <col min="508" max="508" width="5.5703125" style="20" customWidth="1"/>
    <col min="509" max="509" width="9" style="20" customWidth="1"/>
    <col min="510" max="511" width="9.85546875" style="20" customWidth="1"/>
    <col min="512" max="512" width="11.140625" style="20" customWidth="1"/>
    <col min="513" max="513" width="2.85546875" style="20" customWidth="1"/>
    <col min="514" max="514" width="3.5703125" style="20" customWidth="1"/>
    <col min="515" max="759" width="9.140625" style="20"/>
    <col min="760" max="760" width="8.7109375" style="20" customWidth="1"/>
    <col min="761" max="761" width="9.85546875" style="20" customWidth="1"/>
    <col min="762" max="762" width="14.42578125" style="20" customWidth="1"/>
    <col min="763" max="763" width="7.28515625" style="20" customWidth="1"/>
    <col min="764" max="764" width="5.5703125" style="20" customWidth="1"/>
    <col min="765" max="765" width="9" style="20" customWidth="1"/>
    <col min="766" max="767" width="9.85546875" style="20" customWidth="1"/>
    <col min="768" max="768" width="11.140625" style="20" customWidth="1"/>
    <col min="769" max="769" width="2.85546875" style="20" customWidth="1"/>
    <col min="770" max="770" width="3.5703125" style="20" customWidth="1"/>
    <col min="771" max="1015" width="9.140625" style="20"/>
    <col min="1016" max="1016" width="8.7109375" style="20" customWidth="1"/>
    <col min="1017" max="1017" width="9.85546875" style="20" customWidth="1"/>
    <col min="1018" max="1018" width="14.42578125" style="20" customWidth="1"/>
    <col min="1019" max="1019" width="7.28515625" style="20" customWidth="1"/>
    <col min="1020" max="1020" width="5.5703125" style="20" customWidth="1"/>
    <col min="1021" max="1021" width="9" style="20" customWidth="1"/>
    <col min="1022" max="1023" width="9.85546875" style="20" customWidth="1"/>
    <col min="1024" max="1024" width="11.140625" style="20" customWidth="1"/>
    <col min="1025" max="1025" width="2.85546875" style="20" customWidth="1"/>
    <col min="1026" max="1026" width="3.5703125" style="20" customWidth="1"/>
    <col min="1027" max="1271" width="9.140625" style="20"/>
    <col min="1272" max="1272" width="8.7109375" style="20" customWidth="1"/>
    <col min="1273" max="1273" width="9.85546875" style="20" customWidth="1"/>
    <col min="1274" max="1274" width="14.42578125" style="20" customWidth="1"/>
    <col min="1275" max="1275" width="7.28515625" style="20" customWidth="1"/>
    <col min="1276" max="1276" width="5.5703125" style="20" customWidth="1"/>
    <col min="1277" max="1277" width="9" style="20" customWidth="1"/>
    <col min="1278" max="1279" width="9.85546875" style="20" customWidth="1"/>
    <col min="1280" max="1280" width="11.140625" style="20" customWidth="1"/>
    <col min="1281" max="1281" width="2.85546875" style="20" customWidth="1"/>
    <col min="1282" max="1282" width="3.5703125" style="20" customWidth="1"/>
    <col min="1283" max="1527" width="9.140625" style="20"/>
    <col min="1528" max="1528" width="8.7109375" style="20" customWidth="1"/>
    <col min="1529" max="1529" width="9.85546875" style="20" customWidth="1"/>
    <col min="1530" max="1530" width="14.42578125" style="20" customWidth="1"/>
    <col min="1531" max="1531" width="7.28515625" style="20" customWidth="1"/>
    <col min="1532" max="1532" width="5.5703125" style="20" customWidth="1"/>
    <col min="1533" max="1533" width="9" style="20" customWidth="1"/>
    <col min="1534" max="1535" width="9.85546875" style="20" customWidth="1"/>
    <col min="1536" max="1536" width="11.140625" style="20" customWidth="1"/>
    <col min="1537" max="1537" width="2.85546875" style="20" customWidth="1"/>
    <col min="1538" max="1538" width="3.5703125" style="20" customWidth="1"/>
    <col min="1539" max="1783" width="9.140625" style="20"/>
    <col min="1784" max="1784" width="8.7109375" style="20" customWidth="1"/>
    <col min="1785" max="1785" width="9.85546875" style="20" customWidth="1"/>
    <col min="1786" max="1786" width="14.42578125" style="20" customWidth="1"/>
    <col min="1787" max="1787" width="7.28515625" style="20" customWidth="1"/>
    <col min="1788" max="1788" width="5.5703125" style="20" customWidth="1"/>
    <col min="1789" max="1789" width="9" style="20" customWidth="1"/>
    <col min="1790" max="1791" width="9.85546875" style="20" customWidth="1"/>
    <col min="1792" max="1792" width="11.140625" style="20" customWidth="1"/>
    <col min="1793" max="1793" width="2.85546875" style="20" customWidth="1"/>
    <col min="1794" max="1794" width="3.5703125" style="20" customWidth="1"/>
    <col min="1795" max="2039" width="9.140625" style="20"/>
    <col min="2040" max="2040" width="8.7109375" style="20" customWidth="1"/>
    <col min="2041" max="2041" width="9.85546875" style="20" customWidth="1"/>
    <col min="2042" max="2042" width="14.42578125" style="20" customWidth="1"/>
    <col min="2043" max="2043" width="7.28515625" style="20" customWidth="1"/>
    <col min="2044" max="2044" width="5.5703125" style="20" customWidth="1"/>
    <col min="2045" max="2045" width="9" style="20" customWidth="1"/>
    <col min="2046" max="2047" width="9.85546875" style="20" customWidth="1"/>
    <col min="2048" max="2048" width="11.140625" style="20" customWidth="1"/>
    <col min="2049" max="2049" width="2.85546875" style="20" customWidth="1"/>
    <col min="2050" max="2050" width="3.5703125" style="20" customWidth="1"/>
    <col min="2051" max="2295" width="9.140625" style="20"/>
    <col min="2296" max="2296" width="8.7109375" style="20" customWidth="1"/>
    <col min="2297" max="2297" width="9.85546875" style="20" customWidth="1"/>
    <col min="2298" max="2298" width="14.42578125" style="20" customWidth="1"/>
    <col min="2299" max="2299" width="7.28515625" style="20" customWidth="1"/>
    <col min="2300" max="2300" width="5.5703125" style="20" customWidth="1"/>
    <col min="2301" max="2301" width="9" style="20" customWidth="1"/>
    <col min="2302" max="2303" width="9.85546875" style="20" customWidth="1"/>
    <col min="2304" max="2304" width="11.140625" style="20" customWidth="1"/>
    <col min="2305" max="2305" width="2.85546875" style="20" customWidth="1"/>
    <col min="2306" max="2306" width="3.5703125" style="20" customWidth="1"/>
    <col min="2307" max="2551" width="9.140625" style="20"/>
    <col min="2552" max="2552" width="8.7109375" style="20" customWidth="1"/>
    <col min="2553" max="2553" width="9.85546875" style="20" customWidth="1"/>
    <col min="2554" max="2554" width="14.42578125" style="20" customWidth="1"/>
    <col min="2555" max="2555" width="7.28515625" style="20" customWidth="1"/>
    <col min="2556" max="2556" width="5.5703125" style="20" customWidth="1"/>
    <col min="2557" max="2557" width="9" style="20" customWidth="1"/>
    <col min="2558" max="2559" width="9.85546875" style="20" customWidth="1"/>
    <col min="2560" max="2560" width="11.140625" style="20" customWidth="1"/>
    <col min="2561" max="2561" width="2.85546875" style="20" customWidth="1"/>
    <col min="2562" max="2562" width="3.5703125" style="20" customWidth="1"/>
    <col min="2563" max="2807" width="9.140625" style="20"/>
    <col min="2808" max="2808" width="8.7109375" style="20" customWidth="1"/>
    <col min="2809" max="2809" width="9.85546875" style="20" customWidth="1"/>
    <col min="2810" max="2810" width="14.42578125" style="20" customWidth="1"/>
    <col min="2811" max="2811" width="7.28515625" style="20" customWidth="1"/>
    <col min="2812" max="2812" width="5.5703125" style="20" customWidth="1"/>
    <col min="2813" max="2813" width="9" style="20" customWidth="1"/>
    <col min="2814" max="2815" width="9.85546875" style="20" customWidth="1"/>
    <col min="2816" max="2816" width="11.140625" style="20" customWidth="1"/>
    <col min="2817" max="2817" width="2.85546875" style="20" customWidth="1"/>
    <col min="2818" max="2818" width="3.5703125" style="20" customWidth="1"/>
    <col min="2819" max="3063" width="9.140625" style="20"/>
    <col min="3064" max="3064" width="8.7109375" style="20" customWidth="1"/>
    <col min="3065" max="3065" width="9.85546875" style="20" customWidth="1"/>
    <col min="3066" max="3066" width="14.42578125" style="20" customWidth="1"/>
    <col min="3067" max="3067" width="7.28515625" style="20" customWidth="1"/>
    <col min="3068" max="3068" width="5.5703125" style="20" customWidth="1"/>
    <col min="3069" max="3069" width="9" style="20" customWidth="1"/>
    <col min="3070" max="3071" width="9.85546875" style="20" customWidth="1"/>
    <col min="3072" max="3072" width="11.140625" style="20" customWidth="1"/>
    <col min="3073" max="3073" width="2.85546875" style="20" customWidth="1"/>
    <col min="3074" max="3074" width="3.5703125" style="20" customWidth="1"/>
    <col min="3075" max="3319" width="9.140625" style="20"/>
    <col min="3320" max="3320" width="8.7109375" style="20" customWidth="1"/>
    <col min="3321" max="3321" width="9.85546875" style="20" customWidth="1"/>
    <col min="3322" max="3322" width="14.42578125" style="20" customWidth="1"/>
    <col min="3323" max="3323" width="7.28515625" style="20" customWidth="1"/>
    <col min="3324" max="3324" width="5.5703125" style="20" customWidth="1"/>
    <col min="3325" max="3325" width="9" style="20" customWidth="1"/>
    <col min="3326" max="3327" width="9.85546875" style="20" customWidth="1"/>
    <col min="3328" max="3328" width="11.140625" style="20" customWidth="1"/>
    <col min="3329" max="3329" width="2.85546875" style="20" customWidth="1"/>
    <col min="3330" max="3330" width="3.5703125" style="20" customWidth="1"/>
    <col min="3331" max="3575" width="9.140625" style="20"/>
    <col min="3576" max="3576" width="8.7109375" style="20" customWidth="1"/>
    <col min="3577" max="3577" width="9.85546875" style="20" customWidth="1"/>
    <col min="3578" max="3578" width="14.42578125" style="20" customWidth="1"/>
    <col min="3579" max="3579" width="7.28515625" style="20" customWidth="1"/>
    <col min="3580" max="3580" width="5.5703125" style="20" customWidth="1"/>
    <col min="3581" max="3581" width="9" style="20" customWidth="1"/>
    <col min="3582" max="3583" width="9.85546875" style="20" customWidth="1"/>
    <col min="3584" max="3584" width="11.140625" style="20" customWidth="1"/>
    <col min="3585" max="3585" width="2.85546875" style="20" customWidth="1"/>
    <col min="3586" max="3586" width="3.5703125" style="20" customWidth="1"/>
    <col min="3587" max="3831" width="9.140625" style="20"/>
    <col min="3832" max="3832" width="8.7109375" style="20" customWidth="1"/>
    <col min="3833" max="3833" width="9.85546875" style="20" customWidth="1"/>
    <col min="3834" max="3834" width="14.42578125" style="20" customWidth="1"/>
    <col min="3835" max="3835" width="7.28515625" style="20" customWidth="1"/>
    <col min="3836" max="3836" width="5.5703125" style="20" customWidth="1"/>
    <col min="3837" max="3837" width="9" style="20" customWidth="1"/>
    <col min="3838" max="3839" width="9.85546875" style="20" customWidth="1"/>
    <col min="3840" max="3840" width="11.140625" style="20" customWidth="1"/>
    <col min="3841" max="3841" width="2.85546875" style="20" customWidth="1"/>
    <col min="3842" max="3842" width="3.5703125" style="20" customWidth="1"/>
    <col min="3843" max="4087" width="9.140625" style="20"/>
    <col min="4088" max="4088" width="8.7109375" style="20" customWidth="1"/>
    <col min="4089" max="4089" width="9.85546875" style="20" customWidth="1"/>
    <col min="4090" max="4090" width="14.42578125" style="20" customWidth="1"/>
    <col min="4091" max="4091" width="7.28515625" style="20" customWidth="1"/>
    <col min="4092" max="4092" width="5.5703125" style="20" customWidth="1"/>
    <col min="4093" max="4093" width="9" style="20" customWidth="1"/>
    <col min="4094" max="4095" width="9.85546875" style="20" customWidth="1"/>
    <col min="4096" max="4096" width="11.140625" style="20" customWidth="1"/>
    <col min="4097" max="4097" width="2.85546875" style="20" customWidth="1"/>
    <col min="4098" max="4098" width="3.5703125" style="20" customWidth="1"/>
    <col min="4099" max="4343" width="9.140625" style="20"/>
    <col min="4344" max="4344" width="8.7109375" style="20" customWidth="1"/>
    <col min="4345" max="4345" width="9.85546875" style="20" customWidth="1"/>
    <col min="4346" max="4346" width="14.42578125" style="20" customWidth="1"/>
    <col min="4347" max="4347" width="7.28515625" style="20" customWidth="1"/>
    <col min="4348" max="4348" width="5.5703125" style="20" customWidth="1"/>
    <col min="4349" max="4349" width="9" style="20" customWidth="1"/>
    <col min="4350" max="4351" width="9.85546875" style="20" customWidth="1"/>
    <col min="4352" max="4352" width="11.140625" style="20" customWidth="1"/>
    <col min="4353" max="4353" width="2.85546875" style="20" customWidth="1"/>
    <col min="4354" max="4354" width="3.5703125" style="20" customWidth="1"/>
    <col min="4355" max="4599" width="9.140625" style="20"/>
    <col min="4600" max="4600" width="8.7109375" style="20" customWidth="1"/>
    <col min="4601" max="4601" width="9.85546875" style="20" customWidth="1"/>
    <col min="4602" max="4602" width="14.42578125" style="20" customWidth="1"/>
    <col min="4603" max="4603" width="7.28515625" style="20" customWidth="1"/>
    <col min="4604" max="4604" width="5.5703125" style="20" customWidth="1"/>
    <col min="4605" max="4605" width="9" style="20" customWidth="1"/>
    <col min="4606" max="4607" width="9.85546875" style="20" customWidth="1"/>
    <col min="4608" max="4608" width="11.140625" style="20" customWidth="1"/>
    <col min="4609" max="4609" width="2.85546875" style="20" customWidth="1"/>
    <col min="4610" max="4610" width="3.5703125" style="20" customWidth="1"/>
    <col min="4611" max="4855" width="9.140625" style="20"/>
    <col min="4856" max="4856" width="8.7109375" style="20" customWidth="1"/>
    <col min="4857" max="4857" width="9.85546875" style="20" customWidth="1"/>
    <col min="4858" max="4858" width="14.42578125" style="20" customWidth="1"/>
    <col min="4859" max="4859" width="7.28515625" style="20" customWidth="1"/>
    <col min="4860" max="4860" width="5.5703125" style="20" customWidth="1"/>
    <col min="4861" max="4861" width="9" style="20" customWidth="1"/>
    <col min="4862" max="4863" width="9.85546875" style="20" customWidth="1"/>
    <col min="4864" max="4864" width="11.140625" style="20" customWidth="1"/>
    <col min="4865" max="4865" width="2.85546875" style="20" customWidth="1"/>
    <col min="4866" max="4866" width="3.5703125" style="20" customWidth="1"/>
    <col min="4867" max="5111" width="9.140625" style="20"/>
    <col min="5112" max="5112" width="8.7109375" style="20" customWidth="1"/>
    <col min="5113" max="5113" width="9.85546875" style="20" customWidth="1"/>
    <col min="5114" max="5114" width="14.42578125" style="20" customWidth="1"/>
    <col min="5115" max="5115" width="7.28515625" style="20" customWidth="1"/>
    <col min="5116" max="5116" width="5.5703125" style="20" customWidth="1"/>
    <col min="5117" max="5117" width="9" style="20" customWidth="1"/>
    <col min="5118" max="5119" width="9.85546875" style="20" customWidth="1"/>
    <col min="5120" max="5120" width="11.140625" style="20" customWidth="1"/>
    <col min="5121" max="5121" width="2.85546875" style="20" customWidth="1"/>
    <col min="5122" max="5122" width="3.5703125" style="20" customWidth="1"/>
    <col min="5123" max="5367" width="9.140625" style="20"/>
    <col min="5368" max="5368" width="8.7109375" style="20" customWidth="1"/>
    <col min="5369" max="5369" width="9.85546875" style="20" customWidth="1"/>
    <col min="5370" max="5370" width="14.42578125" style="20" customWidth="1"/>
    <col min="5371" max="5371" width="7.28515625" style="20" customWidth="1"/>
    <col min="5372" max="5372" width="5.5703125" style="20" customWidth="1"/>
    <col min="5373" max="5373" width="9" style="20" customWidth="1"/>
    <col min="5374" max="5375" width="9.85546875" style="20" customWidth="1"/>
    <col min="5376" max="5376" width="11.140625" style="20" customWidth="1"/>
    <col min="5377" max="5377" width="2.85546875" style="20" customWidth="1"/>
    <col min="5378" max="5378" width="3.5703125" style="20" customWidth="1"/>
    <col min="5379" max="5623" width="9.140625" style="20"/>
    <col min="5624" max="5624" width="8.7109375" style="20" customWidth="1"/>
    <col min="5625" max="5625" width="9.85546875" style="20" customWidth="1"/>
    <col min="5626" max="5626" width="14.42578125" style="20" customWidth="1"/>
    <col min="5627" max="5627" width="7.28515625" style="20" customWidth="1"/>
    <col min="5628" max="5628" width="5.5703125" style="20" customWidth="1"/>
    <col min="5629" max="5629" width="9" style="20" customWidth="1"/>
    <col min="5630" max="5631" width="9.85546875" style="20" customWidth="1"/>
    <col min="5632" max="5632" width="11.140625" style="20" customWidth="1"/>
    <col min="5633" max="5633" width="2.85546875" style="20" customWidth="1"/>
    <col min="5634" max="5634" width="3.5703125" style="20" customWidth="1"/>
    <col min="5635" max="5879" width="9.140625" style="20"/>
    <col min="5880" max="5880" width="8.7109375" style="20" customWidth="1"/>
    <col min="5881" max="5881" width="9.85546875" style="20" customWidth="1"/>
    <col min="5882" max="5882" width="14.42578125" style="20" customWidth="1"/>
    <col min="5883" max="5883" width="7.28515625" style="20" customWidth="1"/>
    <col min="5884" max="5884" width="5.5703125" style="20" customWidth="1"/>
    <col min="5885" max="5885" width="9" style="20" customWidth="1"/>
    <col min="5886" max="5887" width="9.85546875" style="20" customWidth="1"/>
    <col min="5888" max="5888" width="11.140625" style="20" customWidth="1"/>
    <col min="5889" max="5889" width="2.85546875" style="20" customWidth="1"/>
    <col min="5890" max="5890" width="3.5703125" style="20" customWidth="1"/>
    <col min="5891" max="6135" width="9.140625" style="20"/>
    <col min="6136" max="6136" width="8.7109375" style="20" customWidth="1"/>
    <col min="6137" max="6137" width="9.85546875" style="20" customWidth="1"/>
    <col min="6138" max="6138" width="14.42578125" style="20" customWidth="1"/>
    <col min="6139" max="6139" width="7.28515625" style="20" customWidth="1"/>
    <col min="6140" max="6140" width="5.5703125" style="20" customWidth="1"/>
    <col min="6141" max="6141" width="9" style="20" customWidth="1"/>
    <col min="6142" max="6143" width="9.85546875" style="20" customWidth="1"/>
    <col min="6144" max="6144" width="11.140625" style="20" customWidth="1"/>
    <col min="6145" max="6145" width="2.85546875" style="20" customWidth="1"/>
    <col min="6146" max="6146" width="3.5703125" style="20" customWidth="1"/>
    <col min="6147" max="6391" width="9.140625" style="20"/>
    <col min="6392" max="6392" width="8.7109375" style="20" customWidth="1"/>
    <col min="6393" max="6393" width="9.85546875" style="20" customWidth="1"/>
    <col min="6394" max="6394" width="14.42578125" style="20" customWidth="1"/>
    <col min="6395" max="6395" width="7.28515625" style="20" customWidth="1"/>
    <col min="6396" max="6396" width="5.5703125" style="20" customWidth="1"/>
    <col min="6397" max="6397" width="9" style="20" customWidth="1"/>
    <col min="6398" max="6399" width="9.85546875" style="20" customWidth="1"/>
    <col min="6400" max="6400" width="11.140625" style="20" customWidth="1"/>
    <col min="6401" max="6401" width="2.85546875" style="20" customWidth="1"/>
    <col min="6402" max="6402" width="3.5703125" style="20" customWidth="1"/>
    <col min="6403" max="6647" width="9.140625" style="20"/>
    <col min="6648" max="6648" width="8.7109375" style="20" customWidth="1"/>
    <col min="6649" max="6649" width="9.85546875" style="20" customWidth="1"/>
    <col min="6650" max="6650" width="14.42578125" style="20" customWidth="1"/>
    <col min="6651" max="6651" width="7.28515625" style="20" customWidth="1"/>
    <col min="6652" max="6652" width="5.5703125" style="20" customWidth="1"/>
    <col min="6653" max="6653" width="9" style="20" customWidth="1"/>
    <col min="6654" max="6655" width="9.85546875" style="20" customWidth="1"/>
    <col min="6656" max="6656" width="11.140625" style="20" customWidth="1"/>
    <col min="6657" max="6657" width="2.85546875" style="20" customWidth="1"/>
    <col min="6658" max="6658" width="3.5703125" style="20" customWidth="1"/>
    <col min="6659" max="6903" width="9.140625" style="20"/>
    <col min="6904" max="6904" width="8.7109375" style="20" customWidth="1"/>
    <col min="6905" max="6905" width="9.85546875" style="20" customWidth="1"/>
    <col min="6906" max="6906" width="14.42578125" style="20" customWidth="1"/>
    <col min="6907" max="6907" width="7.28515625" style="20" customWidth="1"/>
    <col min="6908" max="6908" width="5.5703125" style="20" customWidth="1"/>
    <col min="6909" max="6909" width="9" style="20" customWidth="1"/>
    <col min="6910" max="6911" width="9.85546875" style="20" customWidth="1"/>
    <col min="6912" max="6912" width="11.140625" style="20" customWidth="1"/>
    <col min="6913" max="6913" width="2.85546875" style="20" customWidth="1"/>
    <col min="6914" max="6914" width="3.5703125" style="20" customWidth="1"/>
    <col min="6915" max="7159" width="9.140625" style="20"/>
    <col min="7160" max="7160" width="8.7109375" style="20" customWidth="1"/>
    <col min="7161" max="7161" width="9.85546875" style="20" customWidth="1"/>
    <col min="7162" max="7162" width="14.42578125" style="20" customWidth="1"/>
    <col min="7163" max="7163" width="7.28515625" style="20" customWidth="1"/>
    <col min="7164" max="7164" width="5.5703125" style="20" customWidth="1"/>
    <col min="7165" max="7165" width="9" style="20" customWidth="1"/>
    <col min="7166" max="7167" width="9.85546875" style="20" customWidth="1"/>
    <col min="7168" max="7168" width="11.140625" style="20" customWidth="1"/>
    <col min="7169" max="7169" width="2.85546875" style="20" customWidth="1"/>
    <col min="7170" max="7170" width="3.5703125" style="20" customWidth="1"/>
    <col min="7171" max="7415" width="9.140625" style="20"/>
    <col min="7416" max="7416" width="8.7109375" style="20" customWidth="1"/>
    <col min="7417" max="7417" width="9.85546875" style="20" customWidth="1"/>
    <col min="7418" max="7418" width="14.42578125" style="20" customWidth="1"/>
    <col min="7419" max="7419" width="7.28515625" style="20" customWidth="1"/>
    <col min="7420" max="7420" width="5.5703125" style="20" customWidth="1"/>
    <col min="7421" max="7421" width="9" style="20" customWidth="1"/>
    <col min="7422" max="7423" width="9.85546875" style="20" customWidth="1"/>
    <col min="7424" max="7424" width="11.140625" style="20" customWidth="1"/>
    <col min="7425" max="7425" width="2.85546875" style="20" customWidth="1"/>
    <col min="7426" max="7426" width="3.5703125" style="20" customWidth="1"/>
    <col min="7427" max="7671" width="9.140625" style="20"/>
    <col min="7672" max="7672" width="8.7109375" style="20" customWidth="1"/>
    <col min="7673" max="7673" width="9.85546875" style="20" customWidth="1"/>
    <col min="7674" max="7674" width="14.42578125" style="20" customWidth="1"/>
    <col min="7675" max="7675" width="7.28515625" style="20" customWidth="1"/>
    <col min="7676" max="7676" width="5.5703125" style="20" customWidth="1"/>
    <col min="7677" max="7677" width="9" style="20" customWidth="1"/>
    <col min="7678" max="7679" width="9.85546875" style="20" customWidth="1"/>
    <col min="7680" max="7680" width="11.140625" style="20" customWidth="1"/>
    <col min="7681" max="7681" width="2.85546875" style="20" customWidth="1"/>
    <col min="7682" max="7682" width="3.5703125" style="20" customWidth="1"/>
    <col min="7683" max="7927" width="9.140625" style="20"/>
    <col min="7928" max="7928" width="8.7109375" style="20" customWidth="1"/>
    <col min="7929" max="7929" width="9.85546875" style="20" customWidth="1"/>
    <col min="7930" max="7930" width="14.42578125" style="20" customWidth="1"/>
    <col min="7931" max="7931" width="7.28515625" style="20" customWidth="1"/>
    <col min="7932" max="7932" width="5.5703125" style="20" customWidth="1"/>
    <col min="7933" max="7933" width="9" style="20" customWidth="1"/>
    <col min="7934" max="7935" width="9.85546875" style="20" customWidth="1"/>
    <col min="7936" max="7936" width="11.140625" style="20" customWidth="1"/>
    <col min="7937" max="7937" width="2.85546875" style="20" customWidth="1"/>
    <col min="7938" max="7938" width="3.5703125" style="20" customWidth="1"/>
    <col min="7939" max="8183" width="9.140625" style="20"/>
    <col min="8184" max="8184" width="8.7109375" style="20" customWidth="1"/>
    <col min="8185" max="8185" width="9.85546875" style="20" customWidth="1"/>
    <col min="8186" max="8186" width="14.42578125" style="20" customWidth="1"/>
    <col min="8187" max="8187" width="7.28515625" style="20" customWidth="1"/>
    <col min="8188" max="8188" width="5.5703125" style="20" customWidth="1"/>
    <col min="8189" max="8189" width="9" style="20" customWidth="1"/>
    <col min="8190" max="8191" width="9.85546875" style="20" customWidth="1"/>
    <col min="8192" max="8192" width="11.140625" style="20" customWidth="1"/>
    <col min="8193" max="8193" width="2.85546875" style="20" customWidth="1"/>
    <col min="8194" max="8194" width="3.5703125" style="20" customWidth="1"/>
    <col min="8195" max="8439" width="9.140625" style="20"/>
    <col min="8440" max="8440" width="8.7109375" style="20" customWidth="1"/>
    <col min="8441" max="8441" width="9.85546875" style="20" customWidth="1"/>
    <col min="8442" max="8442" width="14.42578125" style="20" customWidth="1"/>
    <col min="8443" max="8443" width="7.28515625" style="20" customWidth="1"/>
    <col min="8444" max="8444" width="5.5703125" style="20" customWidth="1"/>
    <col min="8445" max="8445" width="9" style="20" customWidth="1"/>
    <col min="8446" max="8447" width="9.85546875" style="20" customWidth="1"/>
    <col min="8448" max="8448" width="11.140625" style="20" customWidth="1"/>
    <col min="8449" max="8449" width="2.85546875" style="20" customWidth="1"/>
    <col min="8450" max="8450" width="3.5703125" style="20" customWidth="1"/>
    <col min="8451" max="8695" width="9.140625" style="20"/>
    <col min="8696" max="8696" width="8.7109375" style="20" customWidth="1"/>
    <col min="8697" max="8697" width="9.85546875" style="20" customWidth="1"/>
    <col min="8698" max="8698" width="14.42578125" style="20" customWidth="1"/>
    <col min="8699" max="8699" width="7.28515625" style="20" customWidth="1"/>
    <col min="8700" max="8700" width="5.5703125" style="20" customWidth="1"/>
    <col min="8701" max="8701" width="9" style="20" customWidth="1"/>
    <col min="8702" max="8703" width="9.85546875" style="20" customWidth="1"/>
    <col min="8704" max="8704" width="11.140625" style="20" customWidth="1"/>
    <col min="8705" max="8705" width="2.85546875" style="20" customWidth="1"/>
    <col min="8706" max="8706" width="3.5703125" style="20" customWidth="1"/>
    <col min="8707" max="8951" width="9.140625" style="20"/>
    <col min="8952" max="8952" width="8.7109375" style="20" customWidth="1"/>
    <col min="8953" max="8953" width="9.85546875" style="20" customWidth="1"/>
    <col min="8954" max="8954" width="14.42578125" style="20" customWidth="1"/>
    <col min="8955" max="8955" width="7.28515625" style="20" customWidth="1"/>
    <col min="8956" max="8956" width="5.5703125" style="20" customWidth="1"/>
    <col min="8957" max="8957" width="9" style="20" customWidth="1"/>
    <col min="8958" max="8959" width="9.85546875" style="20" customWidth="1"/>
    <col min="8960" max="8960" width="11.140625" style="20" customWidth="1"/>
    <col min="8961" max="8961" width="2.85546875" style="20" customWidth="1"/>
    <col min="8962" max="8962" width="3.5703125" style="20" customWidth="1"/>
    <col min="8963" max="9207" width="9.140625" style="20"/>
    <col min="9208" max="9208" width="8.7109375" style="20" customWidth="1"/>
    <col min="9209" max="9209" width="9.85546875" style="20" customWidth="1"/>
    <col min="9210" max="9210" width="14.42578125" style="20" customWidth="1"/>
    <col min="9211" max="9211" width="7.28515625" style="20" customWidth="1"/>
    <col min="9212" max="9212" width="5.5703125" style="20" customWidth="1"/>
    <col min="9213" max="9213" width="9" style="20" customWidth="1"/>
    <col min="9214" max="9215" width="9.85546875" style="20" customWidth="1"/>
    <col min="9216" max="9216" width="11.140625" style="20" customWidth="1"/>
    <col min="9217" max="9217" width="2.85546875" style="20" customWidth="1"/>
    <col min="9218" max="9218" width="3.5703125" style="20" customWidth="1"/>
    <col min="9219" max="9463" width="9.140625" style="20"/>
    <col min="9464" max="9464" width="8.7109375" style="20" customWidth="1"/>
    <col min="9465" max="9465" width="9.85546875" style="20" customWidth="1"/>
    <col min="9466" max="9466" width="14.42578125" style="20" customWidth="1"/>
    <col min="9467" max="9467" width="7.28515625" style="20" customWidth="1"/>
    <col min="9468" max="9468" width="5.5703125" style="20" customWidth="1"/>
    <col min="9469" max="9469" width="9" style="20" customWidth="1"/>
    <col min="9470" max="9471" width="9.85546875" style="20" customWidth="1"/>
    <col min="9472" max="9472" width="11.140625" style="20" customWidth="1"/>
    <col min="9473" max="9473" width="2.85546875" style="20" customWidth="1"/>
    <col min="9474" max="9474" width="3.5703125" style="20" customWidth="1"/>
    <col min="9475" max="9719" width="9.140625" style="20"/>
    <col min="9720" max="9720" width="8.7109375" style="20" customWidth="1"/>
    <col min="9721" max="9721" width="9.85546875" style="20" customWidth="1"/>
    <col min="9722" max="9722" width="14.42578125" style="20" customWidth="1"/>
    <col min="9723" max="9723" width="7.28515625" style="20" customWidth="1"/>
    <col min="9724" max="9724" width="5.5703125" style="20" customWidth="1"/>
    <col min="9725" max="9725" width="9" style="20" customWidth="1"/>
    <col min="9726" max="9727" width="9.85546875" style="20" customWidth="1"/>
    <col min="9728" max="9728" width="11.140625" style="20" customWidth="1"/>
    <col min="9729" max="9729" width="2.85546875" style="20" customWidth="1"/>
    <col min="9730" max="9730" width="3.5703125" style="20" customWidth="1"/>
    <col min="9731" max="9975" width="9.140625" style="20"/>
    <col min="9976" max="9976" width="8.7109375" style="20" customWidth="1"/>
    <col min="9977" max="9977" width="9.85546875" style="20" customWidth="1"/>
    <col min="9978" max="9978" width="14.42578125" style="20" customWidth="1"/>
    <col min="9979" max="9979" width="7.28515625" style="20" customWidth="1"/>
    <col min="9980" max="9980" width="5.5703125" style="20" customWidth="1"/>
    <col min="9981" max="9981" width="9" style="20" customWidth="1"/>
    <col min="9982" max="9983" width="9.85546875" style="20" customWidth="1"/>
    <col min="9984" max="9984" width="11.140625" style="20" customWidth="1"/>
    <col min="9985" max="9985" width="2.85546875" style="20" customWidth="1"/>
    <col min="9986" max="9986" width="3.5703125" style="20" customWidth="1"/>
    <col min="9987" max="10231" width="9.140625" style="20"/>
    <col min="10232" max="10232" width="8.7109375" style="20" customWidth="1"/>
    <col min="10233" max="10233" width="9.85546875" style="20" customWidth="1"/>
    <col min="10234" max="10234" width="14.42578125" style="20" customWidth="1"/>
    <col min="10235" max="10235" width="7.28515625" style="20" customWidth="1"/>
    <col min="10236" max="10236" width="5.5703125" style="20" customWidth="1"/>
    <col min="10237" max="10237" width="9" style="20" customWidth="1"/>
    <col min="10238" max="10239" width="9.85546875" style="20" customWidth="1"/>
    <col min="10240" max="10240" width="11.140625" style="20" customWidth="1"/>
    <col min="10241" max="10241" width="2.85546875" style="20" customWidth="1"/>
    <col min="10242" max="10242" width="3.5703125" style="20" customWidth="1"/>
    <col min="10243" max="10487" width="9.140625" style="20"/>
    <col min="10488" max="10488" width="8.7109375" style="20" customWidth="1"/>
    <col min="10489" max="10489" width="9.85546875" style="20" customWidth="1"/>
    <col min="10490" max="10490" width="14.42578125" style="20" customWidth="1"/>
    <col min="10491" max="10491" width="7.28515625" style="20" customWidth="1"/>
    <col min="10492" max="10492" width="5.5703125" style="20" customWidth="1"/>
    <col min="10493" max="10493" width="9" style="20" customWidth="1"/>
    <col min="10494" max="10495" width="9.85546875" style="20" customWidth="1"/>
    <col min="10496" max="10496" width="11.140625" style="20" customWidth="1"/>
    <col min="10497" max="10497" width="2.85546875" style="20" customWidth="1"/>
    <col min="10498" max="10498" width="3.5703125" style="20" customWidth="1"/>
    <col min="10499" max="10743" width="9.140625" style="20"/>
    <col min="10744" max="10744" width="8.7109375" style="20" customWidth="1"/>
    <col min="10745" max="10745" width="9.85546875" style="20" customWidth="1"/>
    <col min="10746" max="10746" width="14.42578125" style="20" customWidth="1"/>
    <col min="10747" max="10747" width="7.28515625" style="20" customWidth="1"/>
    <col min="10748" max="10748" width="5.5703125" style="20" customWidth="1"/>
    <col min="10749" max="10749" width="9" style="20" customWidth="1"/>
    <col min="10750" max="10751" width="9.85546875" style="20" customWidth="1"/>
    <col min="10752" max="10752" width="11.140625" style="20" customWidth="1"/>
    <col min="10753" max="10753" width="2.85546875" style="20" customWidth="1"/>
    <col min="10754" max="10754" width="3.5703125" style="20" customWidth="1"/>
    <col min="10755" max="10999" width="9.140625" style="20"/>
    <col min="11000" max="11000" width="8.7109375" style="20" customWidth="1"/>
    <col min="11001" max="11001" width="9.85546875" style="20" customWidth="1"/>
    <col min="11002" max="11002" width="14.42578125" style="20" customWidth="1"/>
    <col min="11003" max="11003" width="7.28515625" style="20" customWidth="1"/>
    <col min="11004" max="11004" width="5.5703125" style="20" customWidth="1"/>
    <col min="11005" max="11005" width="9" style="20" customWidth="1"/>
    <col min="11006" max="11007" width="9.85546875" style="20" customWidth="1"/>
    <col min="11008" max="11008" width="11.140625" style="20" customWidth="1"/>
    <col min="11009" max="11009" width="2.85546875" style="20" customWidth="1"/>
    <col min="11010" max="11010" width="3.5703125" style="20" customWidth="1"/>
    <col min="11011" max="11255" width="9.140625" style="20"/>
    <col min="11256" max="11256" width="8.7109375" style="20" customWidth="1"/>
    <col min="11257" max="11257" width="9.85546875" style="20" customWidth="1"/>
    <col min="11258" max="11258" width="14.42578125" style="20" customWidth="1"/>
    <col min="11259" max="11259" width="7.28515625" style="20" customWidth="1"/>
    <col min="11260" max="11260" width="5.5703125" style="20" customWidth="1"/>
    <col min="11261" max="11261" width="9" style="20" customWidth="1"/>
    <col min="11262" max="11263" width="9.85546875" style="20" customWidth="1"/>
    <col min="11264" max="11264" width="11.140625" style="20" customWidth="1"/>
    <col min="11265" max="11265" width="2.85546875" style="20" customWidth="1"/>
    <col min="11266" max="11266" width="3.5703125" style="20" customWidth="1"/>
    <col min="11267" max="11511" width="9.140625" style="20"/>
    <col min="11512" max="11512" width="8.7109375" style="20" customWidth="1"/>
    <col min="11513" max="11513" width="9.85546875" style="20" customWidth="1"/>
    <col min="11514" max="11514" width="14.42578125" style="20" customWidth="1"/>
    <col min="11515" max="11515" width="7.28515625" style="20" customWidth="1"/>
    <col min="11516" max="11516" width="5.5703125" style="20" customWidth="1"/>
    <col min="11517" max="11517" width="9" style="20" customWidth="1"/>
    <col min="11518" max="11519" width="9.85546875" style="20" customWidth="1"/>
    <col min="11520" max="11520" width="11.140625" style="20" customWidth="1"/>
    <col min="11521" max="11521" width="2.85546875" style="20" customWidth="1"/>
    <col min="11522" max="11522" width="3.5703125" style="20" customWidth="1"/>
    <col min="11523" max="11767" width="9.140625" style="20"/>
    <col min="11768" max="11768" width="8.7109375" style="20" customWidth="1"/>
    <col min="11769" max="11769" width="9.85546875" style="20" customWidth="1"/>
    <col min="11770" max="11770" width="14.42578125" style="20" customWidth="1"/>
    <col min="11771" max="11771" width="7.28515625" style="20" customWidth="1"/>
    <col min="11772" max="11772" width="5.5703125" style="20" customWidth="1"/>
    <col min="11773" max="11773" width="9" style="20" customWidth="1"/>
    <col min="11774" max="11775" width="9.85546875" style="20" customWidth="1"/>
    <col min="11776" max="11776" width="11.140625" style="20" customWidth="1"/>
    <col min="11777" max="11777" width="2.85546875" style="20" customWidth="1"/>
    <col min="11778" max="11778" width="3.5703125" style="20" customWidth="1"/>
    <col min="11779" max="12023" width="9.140625" style="20"/>
    <col min="12024" max="12024" width="8.7109375" style="20" customWidth="1"/>
    <col min="12025" max="12025" width="9.85546875" style="20" customWidth="1"/>
    <col min="12026" max="12026" width="14.42578125" style="20" customWidth="1"/>
    <col min="12027" max="12027" width="7.28515625" style="20" customWidth="1"/>
    <col min="12028" max="12028" width="5.5703125" style="20" customWidth="1"/>
    <col min="12029" max="12029" width="9" style="20" customWidth="1"/>
    <col min="12030" max="12031" width="9.85546875" style="20" customWidth="1"/>
    <col min="12032" max="12032" width="11.140625" style="20" customWidth="1"/>
    <col min="12033" max="12033" width="2.85546875" style="20" customWidth="1"/>
    <col min="12034" max="12034" width="3.5703125" style="20" customWidth="1"/>
    <col min="12035" max="12279" width="9.140625" style="20"/>
    <col min="12280" max="12280" width="8.7109375" style="20" customWidth="1"/>
    <col min="12281" max="12281" width="9.85546875" style="20" customWidth="1"/>
    <col min="12282" max="12282" width="14.42578125" style="20" customWidth="1"/>
    <col min="12283" max="12283" width="7.28515625" style="20" customWidth="1"/>
    <col min="12284" max="12284" width="5.5703125" style="20" customWidth="1"/>
    <col min="12285" max="12285" width="9" style="20" customWidth="1"/>
    <col min="12286" max="12287" width="9.85546875" style="20" customWidth="1"/>
    <col min="12288" max="12288" width="11.140625" style="20" customWidth="1"/>
    <col min="12289" max="12289" width="2.85546875" style="20" customWidth="1"/>
    <col min="12290" max="12290" width="3.5703125" style="20" customWidth="1"/>
    <col min="12291" max="12535" width="9.140625" style="20"/>
    <col min="12536" max="12536" width="8.7109375" style="20" customWidth="1"/>
    <col min="12537" max="12537" width="9.85546875" style="20" customWidth="1"/>
    <col min="12538" max="12538" width="14.42578125" style="20" customWidth="1"/>
    <col min="12539" max="12539" width="7.28515625" style="20" customWidth="1"/>
    <col min="12540" max="12540" width="5.5703125" style="20" customWidth="1"/>
    <col min="12541" max="12541" width="9" style="20" customWidth="1"/>
    <col min="12542" max="12543" width="9.85546875" style="20" customWidth="1"/>
    <col min="12544" max="12544" width="11.140625" style="20" customWidth="1"/>
    <col min="12545" max="12545" width="2.85546875" style="20" customWidth="1"/>
    <col min="12546" max="12546" width="3.5703125" style="20" customWidth="1"/>
    <col min="12547" max="12791" width="9.140625" style="20"/>
    <col min="12792" max="12792" width="8.7109375" style="20" customWidth="1"/>
    <col min="12793" max="12793" width="9.85546875" style="20" customWidth="1"/>
    <col min="12794" max="12794" width="14.42578125" style="20" customWidth="1"/>
    <col min="12795" max="12795" width="7.28515625" style="20" customWidth="1"/>
    <col min="12796" max="12796" width="5.5703125" style="20" customWidth="1"/>
    <col min="12797" max="12797" width="9" style="20" customWidth="1"/>
    <col min="12798" max="12799" width="9.85546875" style="20" customWidth="1"/>
    <col min="12800" max="12800" width="11.140625" style="20" customWidth="1"/>
    <col min="12801" max="12801" width="2.85546875" style="20" customWidth="1"/>
    <col min="12802" max="12802" width="3.5703125" style="20" customWidth="1"/>
    <col min="12803" max="13047" width="9.140625" style="20"/>
    <col min="13048" max="13048" width="8.7109375" style="20" customWidth="1"/>
    <col min="13049" max="13049" width="9.85546875" style="20" customWidth="1"/>
    <col min="13050" max="13050" width="14.42578125" style="20" customWidth="1"/>
    <col min="13051" max="13051" width="7.28515625" style="20" customWidth="1"/>
    <col min="13052" max="13052" width="5.5703125" style="20" customWidth="1"/>
    <col min="13053" max="13053" width="9" style="20" customWidth="1"/>
    <col min="13054" max="13055" width="9.85546875" style="20" customWidth="1"/>
    <col min="13056" max="13056" width="11.140625" style="20" customWidth="1"/>
    <col min="13057" max="13057" width="2.85546875" style="20" customWidth="1"/>
    <col min="13058" max="13058" width="3.5703125" style="20" customWidth="1"/>
    <col min="13059" max="13303" width="9.140625" style="20"/>
    <col min="13304" max="13304" width="8.7109375" style="20" customWidth="1"/>
    <col min="13305" max="13305" width="9.85546875" style="20" customWidth="1"/>
    <col min="13306" max="13306" width="14.42578125" style="20" customWidth="1"/>
    <col min="13307" max="13307" width="7.28515625" style="20" customWidth="1"/>
    <col min="13308" max="13308" width="5.5703125" style="20" customWidth="1"/>
    <col min="13309" max="13309" width="9" style="20" customWidth="1"/>
    <col min="13310" max="13311" width="9.85546875" style="20" customWidth="1"/>
    <col min="13312" max="13312" width="11.140625" style="20" customWidth="1"/>
    <col min="13313" max="13313" width="2.85546875" style="20" customWidth="1"/>
    <col min="13314" max="13314" width="3.5703125" style="20" customWidth="1"/>
    <col min="13315" max="13559" width="9.140625" style="20"/>
    <col min="13560" max="13560" width="8.7109375" style="20" customWidth="1"/>
    <col min="13561" max="13561" width="9.85546875" style="20" customWidth="1"/>
    <col min="13562" max="13562" width="14.42578125" style="20" customWidth="1"/>
    <col min="13563" max="13563" width="7.28515625" style="20" customWidth="1"/>
    <col min="13564" max="13564" width="5.5703125" style="20" customWidth="1"/>
    <col min="13565" max="13565" width="9" style="20" customWidth="1"/>
    <col min="13566" max="13567" width="9.85546875" style="20" customWidth="1"/>
    <col min="13568" max="13568" width="11.140625" style="20" customWidth="1"/>
    <col min="13569" max="13569" width="2.85546875" style="20" customWidth="1"/>
    <col min="13570" max="13570" width="3.5703125" style="20" customWidth="1"/>
    <col min="13571" max="13815" width="9.140625" style="20"/>
    <col min="13816" max="13816" width="8.7109375" style="20" customWidth="1"/>
    <col min="13817" max="13817" width="9.85546875" style="20" customWidth="1"/>
    <col min="13818" max="13818" width="14.42578125" style="20" customWidth="1"/>
    <col min="13819" max="13819" width="7.28515625" style="20" customWidth="1"/>
    <col min="13820" max="13820" width="5.5703125" style="20" customWidth="1"/>
    <col min="13821" max="13821" width="9" style="20" customWidth="1"/>
    <col min="13822" max="13823" width="9.85546875" style="20" customWidth="1"/>
    <col min="13824" max="13824" width="11.140625" style="20" customWidth="1"/>
    <col min="13825" max="13825" width="2.85546875" style="20" customWidth="1"/>
    <col min="13826" max="13826" width="3.5703125" style="20" customWidth="1"/>
    <col min="13827" max="14071" width="9.140625" style="20"/>
    <col min="14072" max="14072" width="8.7109375" style="20" customWidth="1"/>
    <col min="14073" max="14073" width="9.85546875" style="20" customWidth="1"/>
    <col min="14074" max="14074" width="14.42578125" style="20" customWidth="1"/>
    <col min="14075" max="14075" width="7.28515625" style="20" customWidth="1"/>
    <col min="14076" max="14076" width="5.5703125" style="20" customWidth="1"/>
    <col min="14077" max="14077" width="9" style="20" customWidth="1"/>
    <col min="14078" max="14079" width="9.85546875" style="20" customWidth="1"/>
    <col min="14080" max="14080" width="11.140625" style="20" customWidth="1"/>
    <col min="14081" max="14081" width="2.85546875" style="20" customWidth="1"/>
    <col min="14082" max="14082" width="3.5703125" style="20" customWidth="1"/>
    <col min="14083" max="14327" width="9.140625" style="20"/>
    <col min="14328" max="14328" width="8.7109375" style="20" customWidth="1"/>
    <col min="14329" max="14329" width="9.85546875" style="20" customWidth="1"/>
    <col min="14330" max="14330" width="14.42578125" style="20" customWidth="1"/>
    <col min="14331" max="14331" width="7.28515625" style="20" customWidth="1"/>
    <col min="14332" max="14332" width="5.5703125" style="20" customWidth="1"/>
    <col min="14333" max="14333" width="9" style="20" customWidth="1"/>
    <col min="14334" max="14335" width="9.85546875" style="20" customWidth="1"/>
    <col min="14336" max="14336" width="11.140625" style="20" customWidth="1"/>
    <col min="14337" max="14337" width="2.85546875" style="20" customWidth="1"/>
    <col min="14338" max="14338" width="3.5703125" style="20" customWidth="1"/>
    <col min="14339" max="14583" width="9.140625" style="20"/>
    <col min="14584" max="14584" width="8.7109375" style="20" customWidth="1"/>
    <col min="14585" max="14585" width="9.85546875" style="20" customWidth="1"/>
    <col min="14586" max="14586" width="14.42578125" style="20" customWidth="1"/>
    <col min="14587" max="14587" width="7.28515625" style="20" customWidth="1"/>
    <col min="14588" max="14588" width="5.5703125" style="20" customWidth="1"/>
    <col min="14589" max="14589" width="9" style="20" customWidth="1"/>
    <col min="14590" max="14591" width="9.85546875" style="20" customWidth="1"/>
    <col min="14592" max="14592" width="11.140625" style="20" customWidth="1"/>
    <col min="14593" max="14593" width="2.85546875" style="20" customWidth="1"/>
    <col min="14594" max="14594" width="3.5703125" style="20" customWidth="1"/>
    <col min="14595" max="14839" width="9.140625" style="20"/>
    <col min="14840" max="14840" width="8.7109375" style="20" customWidth="1"/>
    <col min="14841" max="14841" width="9.85546875" style="20" customWidth="1"/>
    <col min="14842" max="14842" width="14.42578125" style="20" customWidth="1"/>
    <col min="14843" max="14843" width="7.28515625" style="20" customWidth="1"/>
    <col min="14844" max="14844" width="5.5703125" style="20" customWidth="1"/>
    <col min="14845" max="14845" width="9" style="20" customWidth="1"/>
    <col min="14846" max="14847" width="9.85546875" style="20" customWidth="1"/>
    <col min="14848" max="14848" width="11.140625" style="20" customWidth="1"/>
    <col min="14849" max="14849" width="2.85546875" style="20" customWidth="1"/>
    <col min="14850" max="14850" width="3.5703125" style="20" customWidth="1"/>
    <col min="14851" max="15095" width="9.140625" style="20"/>
    <col min="15096" max="15096" width="8.7109375" style="20" customWidth="1"/>
    <col min="15097" max="15097" width="9.85546875" style="20" customWidth="1"/>
    <col min="15098" max="15098" width="14.42578125" style="20" customWidth="1"/>
    <col min="15099" max="15099" width="7.28515625" style="20" customWidth="1"/>
    <col min="15100" max="15100" width="5.5703125" style="20" customWidth="1"/>
    <col min="15101" max="15101" width="9" style="20" customWidth="1"/>
    <col min="15102" max="15103" width="9.85546875" style="20" customWidth="1"/>
    <col min="15104" max="15104" width="11.140625" style="20" customWidth="1"/>
    <col min="15105" max="15105" width="2.85546875" style="20" customWidth="1"/>
    <col min="15106" max="15106" width="3.5703125" style="20" customWidth="1"/>
    <col min="15107" max="15351" width="9.140625" style="20"/>
    <col min="15352" max="15352" width="8.7109375" style="20" customWidth="1"/>
    <col min="15353" max="15353" width="9.85546875" style="20" customWidth="1"/>
    <col min="15354" max="15354" width="14.42578125" style="20" customWidth="1"/>
    <col min="15355" max="15355" width="7.28515625" style="20" customWidth="1"/>
    <col min="15356" max="15356" width="5.5703125" style="20" customWidth="1"/>
    <col min="15357" max="15357" width="9" style="20" customWidth="1"/>
    <col min="15358" max="15359" width="9.85546875" style="20" customWidth="1"/>
    <col min="15360" max="15360" width="11.140625" style="20" customWidth="1"/>
    <col min="15361" max="15361" width="2.85546875" style="20" customWidth="1"/>
    <col min="15362" max="15362" width="3.5703125" style="20" customWidth="1"/>
    <col min="15363" max="15607" width="9.140625" style="20"/>
    <col min="15608" max="15608" width="8.7109375" style="20" customWidth="1"/>
    <col min="15609" max="15609" width="9.85546875" style="20" customWidth="1"/>
    <col min="15610" max="15610" width="14.42578125" style="20" customWidth="1"/>
    <col min="15611" max="15611" width="7.28515625" style="20" customWidth="1"/>
    <col min="15612" max="15612" width="5.5703125" style="20" customWidth="1"/>
    <col min="15613" max="15613" width="9" style="20" customWidth="1"/>
    <col min="15614" max="15615" width="9.85546875" style="20" customWidth="1"/>
    <col min="15616" max="15616" width="11.140625" style="20" customWidth="1"/>
    <col min="15617" max="15617" width="2.85546875" style="20" customWidth="1"/>
    <col min="15618" max="15618" width="3.5703125" style="20" customWidth="1"/>
    <col min="15619" max="15863" width="9.140625" style="20"/>
    <col min="15864" max="15864" width="8.7109375" style="20" customWidth="1"/>
    <col min="15865" max="15865" width="9.85546875" style="20" customWidth="1"/>
    <col min="15866" max="15866" width="14.42578125" style="20" customWidth="1"/>
    <col min="15867" max="15867" width="7.28515625" style="20" customWidth="1"/>
    <col min="15868" max="15868" width="5.5703125" style="20" customWidth="1"/>
    <col min="15869" max="15869" width="9" style="20" customWidth="1"/>
    <col min="15870" max="15871" width="9.85546875" style="20" customWidth="1"/>
    <col min="15872" max="15872" width="11.140625" style="20" customWidth="1"/>
    <col min="15873" max="15873" width="2.85546875" style="20" customWidth="1"/>
    <col min="15874" max="15874" width="3.5703125" style="20" customWidth="1"/>
    <col min="15875" max="16119" width="9.140625" style="20"/>
    <col min="16120" max="16120" width="8.7109375" style="20" customWidth="1"/>
    <col min="16121" max="16121" width="9.85546875" style="20" customWidth="1"/>
    <col min="16122" max="16122" width="14.42578125" style="20" customWidth="1"/>
    <col min="16123" max="16123" width="7.28515625" style="20" customWidth="1"/>
    <col min="16124" max="16124" width="5.5703125" style="20" customWidth="1"/>
    <col min="16125" max="16125" width="9" style="20" customWidth="1"/>
    <col min="16126" max="16127" width="9.85546875" style="20" customWidth="1"/>
    <col min="16128" max="16128" width="11.140625" style="20" customWidth="1"/>
    <col min="16129" max="16129" width="2.85546875" style="20" customWidth="1"/>
    <col min="16130" max="16130" width="3.5703125" style="20" customWidth="1"/>
    <col min="16131" max="16384" width="9.140625" style="20"/>
  </cols>
  <sheetData>
    <row r="1" spans="1:26" ht="46.5" customHeight="1" x14ac:dyDescent="0.25">
      <c r="A1" s="168" t="s">
        <v>385</v>
      </c>
      <c r="B1" s="168"/>
      <c r="C1" s="168"/>
      <c r="D1" s="168"/>
      <c r="E1" s="168"/>
      <c r="F1" s="168"/>
      <c r="G1" s="168"/>
      <c r="H1" s="168"/>
    </row>
    <row r="2" spans="1:26" ht="16.5" customHeight="1" x14ac:dyDescent="0.25">
      <c r="A2" s="169" t="s">
        <v>0</v>
      </c>
      <c r="B2" s="169"/>
      <c r="C2" s="169"/>
      <c r="D2" s="169"/>
      <c r="E2" s="169"/>
      <c r="F2" s="169"/>
      <c r="G2" s="169"/>
      <c r="H2" s="169"/>
    </row>
    <row r="3" spans="1:26" x14ac:dyDescent="0.25">
      <c r="A3" s="133" t="s">
        <v>1</v>
      </c>
      <c r="B3" s="133"/>
      <c r="C3" s="133"/>
      <c r="D3" s="133"/>
      <c r="E3" s="133" t="str">
        <f ca="1">TEXT(TODAY(),"DD/MM/YYYY")</f>
        <v>31/07/2025</v>
      </c>
      <c r="F3" s="133"/>
      <c r="G3" s="133"/>
      <c r="H3" s="133"/>
      <c r="K3" s="54" t="s">
        <v>241</v>
      </c>
      <c r="L3" s="52" t="s">
        <v>239</v>
      </c>
      <c r="M3" s="52" t="s">
        <v>244</v>
      </c>
      <c r="N3" s="52" t="s">
        <v>242</v>
      </c>
      <c r="O3" s="52" t="s">
        <v>362</v>
      </c>
      <c r="P3" s="52" t="s">
        <v>388</v>
      </c>
    </row>
    <row r="4" spans="1:26" ht="15" customHeight="1" x14ac:dyDescent="0.25">
      <c r="A4" s="133" t="s">
        <v>238</v>
      </c>
      <c r="B4" s="133"/>
      <c r="C4" s="133"/>
      <c r="D4" s="133"/>
      <c r="E4" s="133" t="s">
        <v>239</v>
      </c>
      <c r="F4" s="133"/>
      <c r="G4" s="133"/>
      <c r="H4" s="133"/>
      <c r="K4" s="51" t="s">
        <v>240</v>
      </c>
      <c r="L4" s="52" t="s">
        <v>174</v>
      </c>
      <c r="M4" s="52" t="s">
        <v>249</v>
      </c>
      <c r="N4" s="52" t="s">
        <v>251</v>
      </c>
      <c r="O4" s="52" t="s">
        <v>346</v>
      </c>
      <c r="P4" s="52" t="s">
        <v>389</v>
      </c>
    </row>
    <row r="5" spans="1:26" ht="15" customHeight="1" x14ac:dyDescent="0.25">
      <c r="A5" s="133" t="s">
        <v>2</v>
      </c>
      <c r="B5" s="133"/>
      <c r="C5" s="133"/>
      <c r="D5" s="133"/>
      <c r="E5" s="133" t="s">
        <v>174</v>
      </c>
      <c r="F5" s="133"/>
      <c r="G5" s="133"/>
      <c r="H5" s="133"/>
      <c r="K5" s="51"/>
      <c r="L5" s="52" t="s">
        <v>246</v>
      </c>
      <c r="M5" s="52" t="s">
        <v>250</v>
      </c>
      <c r="N5" s="52" t="s">
        <v>252</v>
      </c>
      <c r="O5" s="52" t="s">
        <v>347</v>
      </c>
      <c r="P5" s="52"/>
    </row>
    <row r="6" spans="1:26" x14ac:dyDescent="0.25">
      <c r="A6" s="133" t="s">
        <v>3</v>
      </c>
      <c r="B6" s="133"/>
      <c r="C6" s="133"/>
      <c r="D6" s="133"/>
      <c r="E6" s="171">
        <v>45868</v>
      </c>
      <c r="F6" s="133"/>
      <c r="G6" s="133"/>
      <c r="H6" s="133"/>
      <c r="K6" s="51"/>
      <c r="L6" s="52" t="s">
        <v>247</v>
      </c>
      <c r="M6" s="52" t="s">
        <v>360</v>
      </c>
      <c r="N6" s="52"/>
      <c r="O6" s="52" t="s">
        <v>348</v>
      </c>
      <c r="P6" s="52"/>
    </row>
    <row r="7" spans="1:26" ht="16.5" customHeight="1" x14ac:dyDescent="0.25">
      <c r="A7" s="133" t="s">
        <v>4</v>
      </c>
      <c r="B7" s="133"/>
      <c r="C7" s="133"/>
      <c r="D7" s="133"/>
      <c r="E7" s="133" t="s">
        <v>392</v>
      </c>
      <c r="F7" s="133"/>
      <c r="G7" s="133"/>
      <c r="H7" s="133"/>
      <c r="K7" s="51"/>
      <c r="L7" s="52" t="s">
        <v>248</v>
      </c>
      <c r="M7" s="52"/>
      <c r="N7" s="52"/>
      <c r="O7" s="52" t="s">
        <v>348</v>
      </c>
      <c r="P7" s="52"/>
    </row>
    <row r="8" spans="1:26" ht="15" customHeight="1" x14ac:dyDescent="0.25">
      <c r="A8" s="133" t="s">
        <v>5</v>
      </c>
      <c r="B8" s="133"/>
      <c r="C8" s="133"/>
      <c r="D8" s="133"/>
      <c r="E8" s="133" t="str">
        <f>E7</f>
        <v>M/s. Raghav Raj Builders &amp; Developers LLP</v>
      </c>
      <c r="F8" s="133"/>
      <c r="G8" s="133"/>
      <c r="H8" s="133"/>
      <c r="K8" s="51"/>
      <c r="L8" s="52"/>
      <c r="M8" s="52"/>
      <c r="N8" s="52"/>
      <c r="O8" s="52" t="s">
        <v>349</v>
      </c>
      <c r="P8" s="52"/>
    </row>
    <row r="9" spans="1:26" x14ac:dyDescent="0.25">
      <c r="A9" s="133" t="s">
        <v>6</v>
      </c>
      <c r="B9" s="133"/>
      <c r="C9" s="133"/>
      <c r="D9" s="133"/>
      <c r="E9" s="170" t="s">
        <v>393</v>
      </c>
      <c r="F9" s="170"/>
      <c r="G9" s="170"/>
      <c r="H9" s="170"/>
      <c r="K9" s="51"/>
      <c r="L9" s="52"/>
      <c r="M9" s="52"/>
      <c r="N9" s="52"/>
      <c r="O9" s="52" t="s">
        <v>350</v>
      </c>
      <c r="P9" s="52"/>
    </row>
    <row r="10" spans="1:26" x14ac:dyDescent="0.25">
      <c r="A10" s="133" t="s">
        <v>171</v>
      </c>
      <c r="B10" s="133"/>
      <c r="C10" s="133"/>
      <c r="D10" s="133"/>
      <c r="E10" s="133">
        <v>8657055000</v>
      </c>
      <c r="F10" s="133"/>
      <c r="G10" s="133"/>
      <c r="H10" s="133"/>
      <c r="K10" s="51"/>
      <c r="L10" s="52"/>
      <c r="M10" s="52"/>
      <c r="N10" s="52"/>
      <c r="O10" s="52" t="s">
        <v>351</v>
      </c>
      <c r="P10" s="52"/>
    </row>
    <row r="11" spans="1:26" x14ac:dyDescent="0.25">
      <c r="A11" s="173" t="s">
        <v>172</v>
      </c>
      <c r="B11" s="173"/>
      <c r="C11" s="173"/>
      <c r="D11" s="173"/>
      <c r="E11" s="133" t="s">
        <v>428</v>
      </c>
      <c r="F11" s="133"/>
      <c r="G11" s="133"/>
      <c r="H11" s="133"/>
      <c r="O11" s="52" t="s">
        <v>352</v>
      </c>
    </row>
    <row r="12" spans="1:26" x14ac:dyDescent="0.25">
      <c r="A12" s="133" t="s">
        <v>7</v>
      </c>
      <c r="B12" s="133"/>
      <c r="C12" s="133"/>
      <c r="D12" s="133"/>
      <c r="E12" s="133" t="s">
        <v>119</v>
      </c>
      <c r="F12" s="133"/>
      <c r="G12" s="133"/>
      <c r="H12" s="133"/>
    </row>
    <row r="13" spans="1:26" ht="31.5" customHeight="1" x14ac:dyDescent="0.25">
      <c r="A13" s="133" t="s">
        <v>175</v>
      </c>
      <c r="B13" s="133"/>
      <c r="C13" s="133"/>
      <c r="D13" s="133"/>
      <c r="E13" s="172" t="s">
        <v>417</v>
      </c>
      <c r="F13" s="172"/>
      <c r="G13" s="172"/>
      <c r="H13" s="172"/>
      <c r="S13" s="52" t="s">
        <v>184</v>
      </c>
      <c r="T13" s="52" t="s">
        <v>193</v>
      </c>
      <c r="U13" s="52" t="s">
        <v>176</v>
      </c>
      <c r="V13" s="52" t="s">
        <v>198</v>
      </c>
      <c r="W13" s="52" t="s">
        <v>216</v>
      </c>
      <c r="X13"/>
      <c r="Y13" t="s">
        <v>198</v>
      </c>
      <c r="Z13" t="e">
        <f ca="1">OFFSET($S$13,1,MATCH($G20,$S$13:$W$13,0)-1,15,1)</f>
        <v>#VALUE!</v>
      </c>
    </row>
    <row r="14" spans="1:26" x14ac:dyDescent="0.25">
      <c r="A14" s="122" t="s">
        <v>284</v>
      </c>
      <c r="B14" s="122"/>
      <c r="C14" s="122"/>
      <c r="D14" s="122"/>
      <c r="E14" s="172" t="s">
        <v>232</v>
      </c>
      <c r="F14" s="172"/>
      <c r="G14" s="172"/>
      <c r="H14" s="172"/>
      <c r="S14" s="52" t="s">
        <v>184</v>
      </c>
      <c r="T14" s="52" t="s">
        <v>191</v>
      </c>
      <c r="U14" s="52" t="s">
        <v>213</v>
      </c>
      <c r="V14" s="52" t="s">
        <v>199</v>
      </c>
      <c r="W14" s="52" t="s">
        <v>217</v>
      </c>
      <c r="X14"/>
      <c r="Y14"/>
      <c r="Z14"/>
    </row>
    <row r="15" spans="1:26" x14ac:dyDescent="0.25">
      <c r="A15" s="122" t="s">
        <v>8</v>
      </c>
      <c r="B15" s="122"/>
      <c r="C15" s="122"/>
      <c r="D15" s="122"/>
      <c r="E15" s="172" t="s">
        <v>394</v>
      </c>
      <c r="F15" s="133"/>
      <c r="G15" s="133"/>
      <c r="H15" s="133"/>
      <c r="I15" s="123" t="e">
        <f ca="1">OFFSET($D$5,1,MATCH($J13,$D$5:$H$5,0)-1,15,1)</f>
        <v>#N/A</v>
      </c>
      <c r="J15" s="124"/>
      <c r="K15" s="124"/>
      <c r="L15" s="124"/>
      <c r="M15" s="124"/>
      <c r="N15" s="124"/>
      <c r="O15" s="124"/>
      <c r="P15" s="124"/>
      <c r="S15" s="52" t="s">
        <v>185</v>
      </c>
      <c r="T15" s="52" t="s">
        <v>192</v>
      </c>
      <c r="U15" s="52" t="s">
        <v>214</v>
      </c>
      <c r="V15" s="52" t="s">
        <v>200</v>
      </c>
      <c r="W15" s="52" t="s">
        <v>230</v>
      </c>
      <c r="X15"/>
      <c r="Y15"/>
      <c r="Z15"/>
    </row>
    <row r="16" spans="1:26" ht="48.75" customHeight="1" x14ac:dyDescent="0.25">
      <c r="A16" s="113" t="s">
        <v>9</v>
      </c>
      <c r="B16" s="113"/>
      <c r="C16" s="113" t="str">
        <f>CONCATENATE((IF(OR(E9="",E9="NA"),"",E9)),", ",(IF(OR(A17="",A17="NA"),"",A17)),".",(IF(OR(C17="",C17="NA"),"",C17)),", near ",(IF(OR(C22="",C22="NA"),"",C22)),", ",(IF(OR(C19="",C19="NA"),"",C19)),", ",(IF(OR(C18="",C18="NA"),"",C18)),", ",(IF(OR(G19="",G19="NA"),"",G19)),", ",(IF(OR(C20="",C20="NA"),"",C20)),", ",(IF(OR(C21="",C21="NA"),"",C21)),", ",(IF(OR(G20="",G20="NA"),"",G20))," - ",(IF(OR(G21="",G21="NA"),"",G21)),".")</f>
        <v>Raghav Vista, CTS No.49 (Pt), Redevelopment of "Building No. 9 (Sahakar Nagar Shravasti CHS LTD)", near Mohite Mrugank, Road No. 5, Sahakar Nagar, Chembur, Tilaknagar East, Kurla, Mumbai - 400071.</v>
      </c>
      <c r="D16" s="113"/>
      <c r="E16" s="113"/>
      <c r="F16" s="113"/>
      <c r="G16" s="113"/>
      <c r="H16" s="113"/>
      <c r="S16" s="52" t="s">
        <v>186</v>
      </c>
      <c r="T16" s="52" t="s">
        <v>194</v>
      </c>
      <c r="U16" s="52" t="s">
        <v>215</v>
      </c>
      <c r="V16" s="52" t="s">
        <v>201</v>
      </c>
      <c r="W16" s="52" t="s">
        <v>218</v>
      </c>
      <c r="X16"/>
      <c r="Y16"/>
      <c r="Z16"/>
    </row>
    <row r="17" spans="1:26" x14ac:dyDescent="0.25">
      <c r="A17" s="172" t="s">
        <v>179</v>
      </c>
      <c r="B17" s="172"/>
      <c r="C17" s="172" t="s">
        <v>418</v>
      </c>
      <c r="D17" s="172"/>
      <c r="E17" s="172"/>
      <c r="F17" s="172"/>
      <c r="G17" s="172"/>
      <c r="H17" s="172"/>
      <c r="S17" s="52" t="s">
        <v>187</v>
      </c>
      <c r="T17" s="52" t="s">
        <v>195</v>
      </c>
      <c r="U17" s="52" t="s">
        <v>176</v>
      </c>
      <c r="V17" s="52" t="s">
        <v>202</v>
      </c>
      <c r="W17" s="52" t="s">
        <v>219</v>
      </c>
      <c r="X17"/>
      <c r="Y17"/>
      <c r="Z17"/>
    </row>
    <row r="18" spans="1:26" ht="15.75" customHeight="1" x14ac:dyDescent="0.25">
      <c r="A18" s="172" t="s">
        <v>167</v>
      </c>
      <c r="B18" s="172"/>
      <c r="C18" s="172" t="s">
        <v>395</v>
      </c>
      <c r="D18" s="172"/>
      <c r="E18" s="172"/>
      <c r="F18" s="172"/>
      <c r="G18" s="172"/>
      <c r="H18" s="172"/>
      <c r="S18" s="52" t="s">
        <v>188</v>
      </c>
      <c r="T18" s="52" t="s">
        <v>193</v>
      </c>
      <c r="U18" s="52"/>
      <c r="V18" s="52" t="s">
        <v>203</v>
      </c>
      <c r="W18" s="52" t="s">
        <v>220</v>
      </c>
      <c r="X18"/>
      <c r="Y18"/>
      <c r="Z18"/>
    </row>
    <row r="19" spans="1:26" ht="15.75" customHeight="1" x14ac:dyDescent="0.25">
      <c r="A19" s="113" t="s">
        <v>10</v>
      </c>
      <c r="B19" s="113"/>
      <c r="C19" s="133" t="s">
        <v>414</v>
      </c>
      <c r="D19" s="133"/>
      <c r="E19" s="113" t="s">
        <v>69</v>
      </c>
      <c r="F19" s="113"/>
      <c r="G19" s="172" t="s">
        <v>419</v>
      </c>
      <c r="H19" s="172"/>
      <c r="S19" s="52" t="s">
        <v>189</v>
      </c>
      <c r="T19" s="52" t="s">
        <v>196</v>
      </c>
      <c r="U19" s="52"/>
      <c r="V19" s="52" t="s">
        <v>204</v>
      </c>
      <c r="W19" s="52" t="s">
        <v>221</v>
      </c>
      <c r="X19"/>
      <c r="Y19"/>
      <c r="Z19"/>
    </row>
    <row r="20" spans="1:26" x14ac:dyDescent="0.25">
      <c r="A20" s="122" t="s">
        <v>12</v>
      </c>
      <c r="B20" s="122"/>
      <c r="C20" s="172" t="s">
        <v>420</v>
      </c>
      <c r="D20" s="172"/>
      <c r="E20" s="113" t="s">
        <v>11</v>
      </c>
      <c r="F20" s="113"/>
      <c r="G20" s="177" t="s">
        <v>176</v>
      </c>
      <c r="H20" s="177"/>
      <c r="S20" s="52" t="s">
        <v>190</v>
      </c>
      <c r="T20" s="52" t="s">
        <v>197</v>
      </c>
      <c r="U20" s="52"/>
      <c r="V20" s="52" t="s">
        <v>205</v>
      </c>
      <c r="W20" s="52" t="s">
        <v>222</v>
      </c>
      <c r="X20"/>
      <c r="Y20"/>
      <c r="Z20"/>
    </row>
    <row r="21" spans="1:26" x14ac:dyDescent="0.25">
      <c r="A21" s="122" t="s">
        <v>70</v>
      </c>
      <c r="B21" s="122"/>
      <c r="C21" s="172" t="s">
        <v>215</v>
      </c>
      <c r="D21" s="172"/>
      <c r="E21" s="113" t="s">
        <v>13</v>
      </c>
      <c r="F21" s="113"/>
      <c r="G21" s="172">
        <v>400071</v>
      </c>
      <c r="H21" s="172"/>
      <c r="S21" s="52"/>
      <c r="T21" s="52"/>
      <c r="U21" s="52"/>
      <c r="V21" s="52" t="s">
        <v>206</v>
      </c>
      <c r="W21" s="52" t="s">
        <v>223</v>
      </c>
      <c r="X21"/>
      <c r="Y21"/>
      <c r="Z21"/>
    </row>
    <row r="22" spans="1:26" ht="45.75" customHeight="1" x14ac:dyDescent="0.25">
      <c r="A22" s="122" t="s">
        <v>121</v>
      </c>
      <c r="B22" s="122"/>
      <c r="C22" s="172" t="s">
        <v>415</v>
      </c>
      <c r="D22" s="172"/>
      <c r="E22" s="113" t="s">
        <v>14</v>
      </c>
      <c r="F22" s="113"/>
      <c r="G22" s="172" t="s">
        <v>416</v>
      </c>
      <c r="H22" s="172"/>
      <c r="S22" s="52"/>
      <c r="T22" s="52"/>
      <c r="U22" s="52"/>
      <c r="V22" s="52" t="s">
        <v>207</v>
      </c>
      <c r="W22" s="52" t="s">
        <v>224</v>
      </c>
      <c r="X22"/>
      <c r="Y22"/>
      <c r="Z22"/>
    </row>
    <row r="23" spans="1:26" ht="15" customHeight="1" x14ac:dyDescent="0.25">
      <c r="A23" s="113" t="s">
        <v>72</v>
      </c>
      <c r="B23" s="113"/>
      <c r="C23" s="113"/>
      <c r="D23" s="113"/>
      <c r="E23" s="133" t="s">
        <v>15</v>
      </c>
      <c r="F23" s="133"/>
      <c r="G23" s="133"/>
      <c r="H23" s="133"/>
      <c r="S23" s="52"/>
      <c r="T23" s="52"/>
      <c r="U23" s="52"/>
      <c r="V23" s="52" t="s">
        <v>208</v>
      </c>
      <c r="W23" s="52" t="s">
        <v>225</v>
      </c>
      <c r="X23"/>
      <c r="Y23"/>
      <c r="Z23"/>
    </row>
    <row r="24" spans="1:26" ht="18.75" customHeight="1" x14ac:dyDescent="0.25">
      <c r="A24" s="113"/>
      <c r="B24" s="113"/>
      <c r="C24" s="113"/>
      <c r="D24" s="113"/>
      <c r="E24" s="133"/>
      <c r="F24" s="133"/>
      <c r="G24" s="133"/>
      <c r="H24" s="133"/>
      <c r="S24" s="52"/>
      <c r="T24" s="52"/>
      <c r="U24" s="52"/>
      <c r="V24" s="52" t="s">
        <v>209</v>
      </c>
      <c r="W24" s="52" t="s">
        <v>226</v>
      </c>
      <c r="X24"/>
      <c r="Y24"/>
      <c r="Z24"/>
    </row>
    <row r="25" spans="1:26" ht="15" customHeight="1" x14ac:dyDescent="0.25">
      <c r="A25" s="113" t="s">
        <v>16</v>
      </c>
      <c r="B25" s="113"/>
      <c r="C25" s="113"/>
      <c r="D25" s="113"/>
      <c r="E25" s="172" t="s">
        <v>17</v>
      </c>
      <c r="F25" s="172"/>
      <c r="G25" s="172"/>
      <c r="H25" s="172"/>
      <c r="S25" s="52"/>
      <c r="T25" s="52"/>
      <c r="U25" s="52"/>
      <c r="V25" s="52" t="s">
        <v>210</v>
      </c>
      <c r="W25" s="52" t="s">
        <v>227</v>
      </c>
      <c r="X25"/>
      <c r="Y25"/>
      <c r="Z25"/>
    </row>
    <row r="26" spans="1:26" ht="15" customHeight="1" x14ac:dyDescent="0.25">
      <c r="A26" s="122" t="s">
        <v>18</v>
      </c>
      <c r="B26" s="122"/>
      <c r="C26" s="122"/>
      <c r="D26" s="122"/>
      <c r="E26" s="172" t="str">
        <f>IF(AND(G20="Mumbai"),"Upper Class","Middle Class")</f>
        <v>Upper Class</v>
      </c>
      <c r="F26" s="172"/>
      <c r="G26" s="172"/>
      <c r="H26" s="172"/>
      <c r="S26" s="52"/>
      <c r="T26" s="52"/>
      <c r="U26" s="52"/>
      <c r="V26" s="52" t="s">
        <v>211</v>
      </c>
      <c r="W26" s="52" t="s">
        <v>228</v>
      </c>
      <c r="X26"/>
      <c r="Y26"/>
      <c r="Z26"/>
    </row>
    <row r="27" spans="1:26" x14ac:dyDescent="0.25">
      <c r="A27" s="122" t="s">
        <v>19</v>
      </c>
      <c r="B27" s="122"/>
      <c r="C27" s="122"/>
      <c r="D27" s="122"/>
      <c r="E27" s="172" t="s">
        <v>20</v>
      </c>
      <c r="F27" s="172"/>
      <c r="G27" s="172"/>
      <c r="H27" s="172"/>
      <c r="S27" s="52"/>
      <c r="T27" s="52"/>
      <c r="U27" s="52"/>
      <c r="V27" s="52" t="s">
        <v>212</v>
      </c>
      <c r="W27" s="52" t="s">
        <v>229</v>
      </c>
      <c r="X27"/>
      <c r="Y27"/>
      <c r="Z27"/>
    </row>
    <row r="28" spans="1:26" ht="15.75" customHeight="1" x14ac:dyDescent="0.25">
      <c r="A28" s="122" t="s">
        <v>21</v>
      </c>
      <c r="B28" s="122"/>
      <c r="C28" s="122"/>
      <c r="D28" s="122"/>
      <c r="E28" s="172" t="str">
        <f>IF(AND(G20="Mumbai"),"Developed","Developing")</f>
        <v>Developed</v>
      </c>
      <c r="F28" s="172"/>
      <c r="G28" s="172"/>
      <c r="H28" s="172"/>
    </row>
    <row r="29" spans="1:26" x14ac:dyDescent="0.25">
      <c r="A29" s="122" t="s">
        <v>22</v>
      </c>
      <c r="B29" s="122"/>
      <c r="C29" s="122"/>
      <c r="D29" s="122"/>
      <c r="E29" s="172" t="s">
        <v>23</v>
      </c>
      <c r="F29" s="172"/>
      <c r="G29" s="172"/>
      <c r="H29" s="172"/>
    </row>
    <row r="30" spans="1:26" ht="15.75" customHeight="1" x14ac:dyDescent="0.25">
      <c r="A30" s="122" t="s">
        <v>77</v>
      </c>
      <c r="B30" s="122"/>
      <c r="C30" s="122"/>
      <c r="D30" s="122"/>
      <c r="E30" s="172" t="s">
        <v>78</v>
      </c>
      <c r="F30" s="172"/>
      <c r="G30" s="172"/>
      <c r="H30" s="172"/>
    </row>
    <row r="31" spans="1:26" ht="15" customHeight="1" x14ac:dyDescent="0.25">
      <c r="A31" s="122" t="s">
        <v>30</v>
      </c>
      <c r="B31" s="122"/>
      <c r="C31" s="122"/>
      <c r="D31" s="122"/>
      <c r="E31" s="172" t="b">
        <f>IF(AND(ISNUMBER(SEARCH("Flat",D65)),ISNUMBER(SEARCH("Shop",D65)),ISNUMBER(SEARCH("Office",D65))),"Residential + Commercial",IF(AND(ISNUMBER(SEARCH("Flat",D65)),ISNUMBER(SEARCH("Shop",D65))),"Residential + Commercial",IF(AND(ISNUMBER(SEARCH("Flat",D65)),ISNUMBER(SEARCH("Office",D65))),"Residential + Commercial",IF(AND(ISNUMBER(SEARCH("Shop",D65)),ISNUMBER(SEARCH("Office",D65))),"Commercial",IF(ISNUMBER(SEARCH("Shop",D65)),"Commercial",IF(ISNUMBER(SEARCH("Office",D65)),"Commercial",IF(ISNUMBER(SEARCH("Flat",D65)),"Residential")))))))</f>
        <v>0</v>
      </c>
      <c r="F31" s="172"/>
      <c r="G31" s="172"/>
      <c r="H31" s="172"/>
    </row>
    <row r="32" spans="1:26" ht="15.75" customHeight="1" x14ac:dyDescent="0.25">
      <c r="A32" s="122" t="s">
        <v>89</v>
      </c>
      <c r="B32" s="122"/>
      <c r="C32" s="122"/>
      <c r="D32" s="122"/>
      <c r="E32" s="172" t="s">
        <v>31</v>
      </c>
      <c r="F32" s="172"/>
      <c r="G32" s="172"/>
      <c r="H32" s="172"/>
    </row>
    <row r="33" spans="1:19" s="21" customFormat="1" x14ac:dyDescent="0.25">
      <c r="A33" s="182" t="s">
        <v>90</v>
      </c>
      <c r="B33" s="182"/>
      <c r="C33" s="179" t="s">
        <v>177</v>
      </c>
      <c r="D33" s="180"/>
      <c r="E33" s="181"/>
      <c r="F33" s="179" t="s">
        <v>29</v>
      </c>
      <c r="G33" s="180"/>
      <c r="H33" s="181"/>
      <c r="S33" s="21" t="e">
        <f ca="1">OFFSET($S$13,1,MATCH($G20,$S$13:$W$13,0)-1,15,1)</f>
        <v>#VALUE!</v>
      </c>
    </row>
    <row r="34" spans="1:19" s="21" customFormat="1" x14ac:dyDescent="0.25">
      <c r="A34" s="178" t="s">
        <v>24</v>
      </c>
      <c r="B34" s="178" t="s">
        <v>28</v>
      </c>
      <c r="C34" s="174" t="s">
        <v>397</v>
      </c>
      <c r="D34" s="175"/>
      <c r="E34" s="176"/>
      <c r="F34" s="174" t="s">
        <v>429</v>
      </c>
      <c r="G34" s="175"/>
      <c r="H34" s="176"/>
    </row>
    <row r="35" spans="1:19" x14ac:dyDescent="0.25">
      <c r="A35" s="178" t="s">
        <v>25</v>
      </c>
      <c r="B35" s="178" t="s">
        <v>28</v>
      </c>
      <c r="C35" s="174" t="s">
        <v>422</v>
      </c>
      <c r="D35" s="175"/>
      <c r="E35" s="176"/>
      <c r="F35" s="174" t="s">
        <v>413</v>
      </c>
      <c r="G35" s="175"/>
      <c r="H35" s="176"/>
    </row>
    <row r="36" spans="1:19" s="21" customFormat="1" x14ac:dyDescent="0.25">
      <c r="A36" s="178" t="s">
        <v>27</v>
      </c>
      <c r="B36" s="178" t="s">
        <v>28</v>
      </c>
      <c r="C36" s="174" t="s">
        <v>396</v>
      </c>
      <c r="D36" s="175"/>
      <c r="E36" s="176"/>
      <c r="F36" s="174" t="s">
        <v>412</v>
      </c>
      <c r="G36" s="175"/>
      <c r="H36" s="176"/>
    </row>
    <row r="37" spans="1:19" x14ac:dyDescent="0.25">
      <c r="A37" s="178" t="s">
        <v>26</v>
      </c>
      <c r="B37" s="178" t="s">
        <v>28</v>
      </c>
      <c r="C37" s="174" t="s">
        <v>421</v>
      </c>
      <c r="D37" s="175"/>
      <c r="E37" s="176"/>
      <c r="F37" s="174" t="s">
        <v>423</v>
      </c>
      <c r="G37" s="175"/>
      <c r="H37" s="176"/>
    </row>
    <row r="38" spans="1:19" x14ac:dyDescent="0.25">
      <c r="A38" s="122" t="s">
        <v>285</v>
      </c>
      <c r="B38" s="122"/>
      <c r="C38" s="122"/>
      <c r="D38" s="122"/>
      <c r="E38" s="122"/>
      <c r="F38" s="122"/>
      <c r="G38" s="122"/>
      <c r="H38" s="122"/>
    </row>
    <row r="39" spans="1:19" ht="15.75" customHeight="1" x14ac:dyDescent="0.25">
      <c r="A39" s="122" t="s">
        <v>169</v>
      </c>
      <c r="B39" s="122"/>
      <c r="C39" s="164" t="s">
        <v>411</v>
      </c>
      <c r="D39" s="164"/>
      <c r="E39" s="164"/>
      <c r="F39" s="164"/>
      <c r="G39" s="164"/>
      <c r="H39" s="164"/>
      <c r="I39" s="21"/>
    </row>
    <row r="40" spans="1:19" x14ac:dyDescent="0.25">
      <c r="A40" s="122" t="s">
        <v>166</v>
      </c>
      <c r="B40" s="122"/>
      <c r="C40" s="237" t="s">
        <v>410</v>
      </c>
      <c r="D40" s="172"/>
      <c r="E40" s="172"/>
      <c r="F40" s="172"/>
      <c r="G40" s="172"/>
      <c r="H40" s="172"/>
    </row>
    <row r="41" spans="1:19" x14ac:dyDescent="0.25">
      <c r="A41" s="164" t="s">
        <v>32</v>
      </c>
      <c r="B41" s="164"/>
      <c r="C41" s="164"/>
      <c r="D41" s="164"/>
      <c r="E41" s="164"/>
      <c r="F41" s="164"/>
      <c r="G41" s="164"/>
      <c r="H41" s="164"/>
    </row>
    <row r="42" spans="1:19" x14ac:dyDescent="0.25">
      <c r="A42" s="122" t="s">
        <v>33</v>
      </c>
      <c r="B42" s="122"/>
      <c r="C42" s="122"/>
      <c r="D42" s="122"/>
      <c r="E42" s="195">
        <f>767.9</f>
        <v>767.9</v>
      </c>
      <c r="F42" s="195"/>
      <c r="G42" s="195"/>
      <c r="H42" s="195"/>
    </row>
    <row r="43" spans="1:19" hidden="1" x14ac:dyDescent="0.25">
      <c r="A43" s="122" t="s">
        <v>34</v>
      </c>
      <c r="B43" s="122"/>
      <c r="C43" s="122"/>
      <c r="D43" s="122"/>
      <c r="E43" s="196">
        <v>0</v>
      </c>
      <c r="F43" s="196"/>
      <c r="G43" s="196"/>
      <c r="H43" s="196"/>
    </row>
    <row r="44" spans="1:19" hidden="1" x14ac:dyDescent="0.25">
      <c r="A44" s="122" t="s">
        <v>35</v>
      </c>
      <c r="B44" s="122"/>
      <c r="C44" s="122"/>
      <c r="D44" s="122"/>
      <c r="E44" s="196">
        <f>E46/E42-E43</f>
        <v>0</v>
      </c>
      <c r="F44" s="196"/>
      <c r="G44" s="196"/>
      <c r="H44" s="196"/>
    </row>
    <row r="45" spans="1:19" hidden="1" x14ac:dyDescent="0.25">
      <c r="A45" s="122" t="s">
        <v>36</v>
      </c>
      <c r="B45" s="122"/>
      <c r="C45" s="122"/>
      <c r="D45" s="122"/>
      <c r="E45" s="196">
        <f>E43+E44</f>
        <v>0</v>
      </c>
      <c r="F45" s="196"/>
      <c r="G45" s="196"/>
      <c r="H45" s="196"/>
    </row>
    <row r="46" spans="1:19" hidden="1" x14ac:dyDescent="0.25">
      <c r="A46" s="122" t="s">
        <v>88</v>
      </c>
      <c r="B46" s="122"/>
      <c r="C46" s="122"/>
      <c r="D46" s="122"/>
      <c r="E46" s="197">
        <v>0</v>
      </c>
      <c r="F46" s="197"/>
      <c r="G46" s="197"/>
      <c r="H46" s="197"/>
    </row>
    <row r="47" spans="1:19" x14ac:dyDescent="0.25">
      <c r="A47" s="133" t="s">
        <v>37</v>
      </c>
      <c r="B47" s="133"/>
      <c r="C47" s="133"/>
      <c r="D47" s="133"/>
      <c r="E47" s="133" t="s">
        <v>119</v>
      </c>
      <c r="F47" s="133"/>
      <c r="G47" s="133"/>
      <c r="H47" s="133"/>
    </row>
    <row r="48" spans="1:19" x14ac:dyDescent="0.25">
      <c r="A48" s="164" t="s">
        <v>38</v>
      </c>
      <c r="B48" s="164"/>
      <c r="C48" s="164"/>
      <c r="D48" s="164"/>
      <c r="E48" s="164"/>
      <c r="F48" s="164"/>
      <c r="G48" s="164"/>
      <c r="H48" s="164"/>
    </row>
    <row r="49" spans="1:24" ht="33.75" customHeight="1" x14ac:dyDescent="0.25">
      <c r="A49" s="102" t="s">
        <v>155</v>
      </c>
      <c r="B49" s="103"/>
      <c r="C49" s="203" t="s">
        <v>261</v>
      </c>
      <c r="D49" s="204"/>
      <c r="E49" s="204"/>
      <c r="F49" s="204"/>
      <c r="G49" s="204"/>
      <c r="H49" s="205"/>
      <c r="R49" t="s">
        <v>258</v>
      </c>
      <c r="S49" s="55" t="s">
        <v>176</v>
      </c>
      <c r="T49" s="55" t="s">
        <v>184</v>
      </c>
      <c r="U49" s="55" t="s">
        <v>198</v>
      </c>
      <c r="V49" s="55" t="s">
        <v>193</v>
      </c>
    </row>
    <row r="50" spans="1:24" ht="31.5" customHeight="1" x14ac:dyDescent="0.25">
      <c r="A50" s="102" t="s">
        <v>39</v>
      </c>
      <c r="B50" s="103"/>
      <c r="C50" s="102" t="s">
        <v>424</v>
      </c>
      <c r="D50" s="198"/>
      <c r="E50" s="103"/>
      <c r="F50" s="17" t="s">
        <v>40</v>
      </c>
      <c r="G50" s="193">
        <v>45548</v>
      </c>
      <c r="H50" s="194"/>
      <c r="R50"/>
      <c r="S50" s="55" t="s">
        <v>259</v>
      </c>
      <c r="T50" s="55" t="s">
        <v>264</v>
      </c>
      <c r="U50" s="55" t="s">
        <v>275</v>
      </c>
      <c r="V50" s="55" t="s">
        <v>280</v>
      </c>
    </row>
    <row r="51" spans="1:24" ht="31.5" customHeight="1" x14ac:dyDescent="0.25">
      <c r="A51" s="102" t="s">
        <v>41</v>
      </c>
      <c r="B51" s="103"/>
      <c r="C51" s="102" t="str">
        <f>C50</f>
        <v>MH/EE/(BP)/GM/MHADA-27/1961/ 2024/IOA/1</v>
      </c>
      <c r="D51" s="198"/>
      <c r="E51" s="103"/>
      <c r="F51" s="17" t="s">
        <v>40</v>
      </c>
      <c r="G51" s="193">
        <f>G50</f>
        <v>45548</v>
      </c>
      <c r="H51" s="194"/>
      <c r="R51"/>
      <c r="S51" s="55" t="s">
        <v>260</v>
      </c>
      <c r="T51" s="55" t="s">
        <v>363</v>
      </c>
      <c r="U51" s="55" t="s">
        <v>273</v>
      </c>
      <c r="V51" s="55" t="s">
        <v>281</v>
      </c>
    </row>
    <row r="52" spans="1:24" s="22" customFormat="1" ht="15.75" customHeight="1" x14ac:dyDescent="0.25">
      <c r="A52" s="212" t="s">
        <v>159</v>
      </c>
      <c r="B52" s="213"/>
      <c r="C52" s="212" t="s">
        <v>425</v>
      </c>
      <c r="D52" s="218"/>
      <c r="E52" s="213"/>
      <c r="F52" s="17" t="s">
        <v>40</v>
      </c>
      <c r="G52" s="193">
        <v>45566</v>
      </c>
      <c r="H52" s="194"/>
      <c r="I52" s="21" t="str">
        <f ca="1">IF(G52&gt;EDATE(E3,-48),"NO REMARK","CC REMARK FOR CC")</f>
        <v>NO REMARK</v>
      </c>
      <c r="J52" s="75"/>
      <c r="R52"/>
      <c r="S52" s="55" t="s">
        <v>261</v>
      </c>
      <c r="T52" s="55" t="s">
        <v>266</v>
      </c>
      <c r="U52" s="55" t="s">
        <v>263</v>
      </c>
      <c r="V52" s="55" t="s">
        <v>282</v>
      </c>
    </row>
    <row r="53" spans="1:24" s="22" customFormat="1" ht="31.5" customHeight="1" x14ac:dyDescent="0.25">
      <c r="A53" s="214"/>
      <c r="B53" s="215"/>
      <c r="C53" s="216"/>
      <c r="D53" s="219"/>
      <c r="E53" s="217"/>
      <c r="F53" s="17" t="s">
        <v>120</v>
      </c>
      <c r="G53" s="193">
        <v>45930</v>
      </c>
      <c r="H53" s="103"/>
      <c r="R53"/>
      <c r="S53" s="55" t="s">
        <v>262</v>
      </c>
      <c r="T53" s="55" t="s">
        <v>269</v>
      </c>
      <c r="U53" s="55" t="s">
        <v>276</v>
      </c>
      <c r="V53" s="71" t="s">
        <v>355</v>
      </c>
    </row>
    <row r="54" spans="1:24" s="22" customFormat="1" ht="33.75" customHeight="1" x14ac:dyDescent="0.25">
      <c r="A54" s="216"/>
      <c r="B54" s="217"/>
      <c r="C54" s="102" t="s">
        <v>398</v>
      </c>
      <c r="D54" s="198"/>
      <c r="E54" s="198"/>
      <c r="F54" s="198"/>
      <c r="G54" s="198"/>
      <c r="H54" s="103"/>
      <c r="R54"/>
      <c r="S54" s="55"/>
      <c r="T54" s="55"/>
      <c r="U54" s="55"/>
      <c r="V54" s="71"/>
    </row>
    <row r="55" spans="1:24" s="22" customFormat="1" hidden="1" x14ac:dyDescent="0.25">
      <c r="A55" s="136" t="s">
        <v>286</v>
      </c>
      <c r="B55" s="137"/>
      <c r="C55" s="102">
        <f>C53</f>
        <v>0</v>
      </c>
      <c r="D55" s="198"/>
      <c r="E55" s="103"/>
      <c r="F55" s="17" t="s">
        <v>40</v>
      </c>
      <c r="G55" s="193"/>
      <c r="H55" s="194"/>
      <c r="K55" s="76">
        <f>EDATE(G52,-48)</f>
        <v>44105</v>
      </c>
      <c r="L55" s="22" t="str">
        <f ca="1">IF(G52&gt;EDATE(E3,-48),"NO REMARK","CC REMARK FOR CC")</f>
        <v>NO REMARK</v>
      </c>
      <c r="R55"/>
      <c r="S55" s="55" t="s">
        <v>261</v>
      </c>
      <c r="T55" s="55" t="s">
        <v>266</v>
      </c>
      <c r="U55" s="55" t="s">
        <v>263</v>
      </c>
      <c r="V55" s="55" t="s">
        <v>282</v>
      </c>
    </row>
    <row r="56" spans="1:24" s="22" customFormat="1" ht="32.25" hidden="1" customHeight="1" x14ac:dyDescent="0.25">
      <c r="A56" s="138"/>
      <c r="B56" s="139"/>
      <c r="C56" s="209"/>
      <c r="D56" s="210"/>
      <c r="E56" s="210"/>
      <c r="F56" s="210"/>
      <c r="G56" s="210"/>
      <c r="H56" s="211"/>
      <c r="R56"/>
      <c r="S56" s="55" t="s">
        <v>263</v>
      </c>
      <c r="T56" s="55" t="s">
        <v>267</v>
      </c>
      <c r="U56" s="55" t="s">
        <v>277</v>
      </c>
      <c r="V56" s="72"/>
      <c r="W56" s="20"/>
      <c r="X56" s="20"/>
    </row>
    <row r="57" spans="1:24" s="22" customFormat="1" ht="34.5" hidden="1" customHeight="1" x14ac:dyDescent="0.25">
      <c r="A57" s="136" t="s">
        <v>287</v>
      </c>
      <c r="B57" s="137"/>
      <c r="C57" s="102">
        <f>C56</f>
        <v>0</v>
      </c>
      <c r="D57" s="198"/>
      <c r="E57" s="103"/>
      <c r="F57" s="17" t="s">
        <v>40</v>
      </c>
      <c r="G57" s="193">
        <f>G56</f>
        <v>0</v>
      </c>
      <c r="H57" s="194"/>
      <c r="R57"/>
      <c r="S57" s="72"/>
      <c r="T57" s="55" t="s">
        <v>268</v>
      </c>
      <c r="U57" s="55" t="s">
        <v>278</v>
      </c>
      <c r="V57" s="72"/>
      <c r="W57" s="20"/>
      <c r="X57" s="20"/>
    </row>
    <row r="58" spans="1:24" s="22" customFormat="1" ht="41.25" hidden="1" customHeight="1" x14ac:dyDescent="0.25">
      <c r="A58" s="138"/>
      <c r="B58" s="139"/>
      <c r="C58" s="102"/>
      <c r="D58" s="198"/>
      <c r="E58" s="198"/>
      <c r="F58" s="198"/>
      <c r="G58" s="198"/>
      <c r="H58" s="103"/>
      <c r="R58"/>
      <c r="S58" s="72"/>
      <c r="T58" s="55" t="s">
        <v>270</v>
      </c>
      <c r="U58" s="55" t="s">
        <v>279</v>
      </c>
      <c r="V58" s="72"/>
      <c r="W58" s="20"/>
      <c r="X58" s="20"/>
    </row>
    <row r="59" spans="1:24" s="22" customFormat="1" ht="15.75" hidden="1" customHeight="1" x14ac:dyDescent="0.25">
      <c r="A59" s="136" t="s">
        <v>358</v>
      </c>
      <c r="B59" s="137"/>
      <c r="C59" s="222"/>
      <c r="D59" s="223"/>
      <c r="E59" s="224"/>
      <c r="F59" s="17" t="s">
        <v>40</v>
      </c>
      <c r="G59" s="193"/>
      <c r="H59" s="194"/>
      <c r="R59"/>
      <c r="S59" s="72"/>
      <c r="T59" s="55" t="s">
        <v>271</v>
      </c>
      <c r="U59" s="72" t="s">
        <v>301</v>
      </c>
      <c r="V59" s="72"/>
      <c r="W59" s="20"/>
      <c r="X59" s="20"/>
    </row>
    <row r="60" spans="1:24" s="22" customFormat="1" ht="33.75" hidden="1" customHeight="1" x14ac:dyDescent="0.25">
      <c r="A60" s="220"/>
      <c r="B60" s="221"/>
      <c r="C60" s="225"/>
      <c r="D60" s="226"/>
      <c r="E60" s="227"/>
      <c r="F60" s="17" t="s">
        <v>359</v>
      </c>
      <c r="G60" s="193"/>
      <c r="H60" s="194"/>
      <c r="R60"/>
      <c r="S60" s="72"/>
      <c r="T60" s="55" t="s">
        <v>272</v>
      </c>
      <c r="U60" s="72"/>
      <c r="V60" s="72"/>
      <c r="W60" s="20"/>
      <c r="X60" s="20"/>
    </row>
    <row r="61" spans="1:24" s="22" customFormat="1" ht="33.75" hidden="1" customHeight="1" x14ac:dyDescent="0.25">
      <c r="A61" s="138"/>
      <c r="B61" s="139"/>
      <c r="C61" s="102" t="s">
        <v>381</v>
      </c>
      <c r="D61" s="198"/>
      <c r="E61" s="198"/>
      <c r="F61" s="198"/>
      <c r="G61" s="198"/>
      <c r="H61" s="103"/>
      <c r="R61"/>
      <c r="S61" s="72"/>
      <c r="T61" s="55"/>
      <c r="U61" s="72"/>
      <c r="V61" s="72"/>
      <c r="W61" s="20"/>
      <c r="X61" s="20"/>
    </row>
    <row r="62" spans="1:24" x14ac:dyDescent="0.25">
      <c r="A62" s="128" t="s">
        <v>42</v>
      </c>
      <c r="B62" s="129"/>
      <c r="C62" s="128" t="s">
        <v>102</v>
      </c>
      <c r="D62" s="130"/>
      <c r="E62" s="129"/>
      <c r="F62" s="43" t="s">
        <v>40</v>
      </c>
      <c r="G62" s="134" t="s">
        <v>28</v>
      </c>
      <c r="H62" s="135"/>
      <c r="R62"/>
      <c r="S62" s="72"/>
      <c r="T62" s="55" t="s">
        <v>274</v>
      </c>
      <c r="U62" s="72"/>
      <c r="V62" s="72"/>
    </row>
    <row r="63" spans="1:24" x14ac:dyDescent="0.25">
      <c r="A63" s="166" t="s">
        <v>44</v>
      </c>
      <c r="B63" s="166"/>
      <c r="C63" s="166"/>
      <c r="D63" s="166"/>
      <c r="E63" s="166"/>
      <c r="F63" s="166"/>
      <c r="G63" s="166"/>
      <c r="H63" s="166"/>
      <c r="S63" s="72"/>
      <c r="T63" s="55" t="s">
        <v>283</v>
      </c>
      <c r="U63" s="72"/>
      <c r="V63" s="72"/>
    </row>
    <row r="64" spans="1:24" hidden="1" x14ac:dyDescent="0.25">
      <c r="A64" s="113" t="s">
        <v>87</v>
      </c>
      <c r="B64" s="113"/>
      <c r="C64" s="113"/>
      <c r="D64" s="122">
        <f>E46</f>
        <v>0</v>
      </c>
      <c r="E64" s="122"/>
      <c r="F64" s="122"/>
      <c r="G64" s="122"/>
      <c r="H64" s="122"/>
      <c r="R64"/>
    </row>
    <row r="65" spans="1:19" hidden="1" x14ac:dyDescent="0.25">
      <c r="A65" s="172" t="s">
        <v>45</v>
      </c>
      <c r="B65" s="133"/>
      <c r="C65" s="133"/>
      <c r="D65" s="133" t="s">
        <v>28</v>
      </c>
      <c r="E65" s="133"/>
      <c r="F65" s="133"/>
      <c r="G65" s="133"/>
      <c r="H65" s="133"/>
      <c r="I65" s="23" t="s">
        <v>152</v>
      </c>
      <c r="R65"/>
    </row>
    <row r="66" spans="1:19" x14ac:dyDescent="0.25">
      <c r="A66" s="200" t="s">
        <v>46</v>
      </c>
      <c r="B66" s="201"/>
      <c r="C66" s="202"/>
      <c r="D66" s="114" t="s">
        <v>426</v>
      </c>
      <c r="E66" s="199"/>
      <c r="F66" s="199"/>
      <c r="G66" s="199"/>
      <c r="H66" s="199"/>
      <c r="R66"/>
    </row>
    <row r="67" spans="1:19" ht="15.75" customHeight="1" x14ac:dyDescent="0.25">
      <c r="A67" s="261" t="s">
        <v>85</v>
      </c>
      <c r="B67" s="262"/>
      <c r="C67" s="263"/>
      <c r="D67" s="206" t="s">
        <v>409</v>
      </c>
      <c r="E67" s="207"/>
      <c r="F67" s="207"/>
      <c r="G67" s="207"/>
      <c r="H67" s="208"/>
      <c r="R67"/>
    </row>
    <row r="68" spans="1:19" ht="15.75" customHeight="1" x14ac:dyDescent="0.25">
      <c r="A68" s="122" t="s">
        <v>43</v>
      </c>
      <c r="B68" s="122"/>
      <c r="C68" s="122"/>
      <c r="D68" s="104" t="s">
        <v>399</v>
      </c>
      <c r="E68" s="105"/>
      <c r="F68" s="105"/>
      <c r="G68" s="105"/>
      <c r="H68" s="106"/>
      <c r="J68" s="24"/>
      <c r="K68" s="23"/>
      <c r="N68" s="23"/>
      <c r="S68"/>
    </row>
    <row r="69" spans="1:19" ht="15.75" customHeight="1" x14ac:dyDescent="0.25">
      <c r="A69" s="122" t="s">
        <v>83</v>
      </c>
      <c r="B69" s="122"/>
      <c r="C69" s="122"/>
      <c r="D69" s="104" t="str">
        <f>(IF(G62="NA","60 Years After Completion",IF(G62&lt;&gt;"NA",""&amp;60-ROUNDDOWN((E3-G62)/360,0)&amp;" Years"," ")))</f>
        <v>60 Years After Completion</v>
      </c>
      <c r="E69" s="105"/>
      <c r="F69" s="105"/>
      <c r="G69" s="105"/>
      <c r="H69" s="106"/>
      <c r="N69" s="23"/>
      <c r="S69"/>
    </row>
    <row r="70" spans="1:19" ht="15.75" customHeight="1" x14ac:dyDescent="0.25">
      <c r="A70" s="122" t="s">
        <v>84</v>
      </c>
      <c r="B70" s="122"/>
      <c r="C70" s="122"/>
      <c r="D70" s="113" t="s">
        <v>23</v>
      </c>
      <c r="E70" s="113"/>
      <c r="F70" s="113"/>
      <c r="G70" s="113"/>
      <c r="H70" s="113"/>
      <c r="J70" s="25"/>
      <c r="K70" s="25"/>
      <c r="S70"/>
    </row>
    <row r="71" spans="1:19" ht="33" customHeight="1" x14ac:dyDescent="0.25">
      <c r="A71" s="173" t="s">
        <v>401</v>
      </c>
      <c r="B71" s="173"/>
      <c r="C71" s="173"/>
      <c r="D71" s="172" t="s">
        <v>402</v>
      </c>
      <c r="E71" s="113"/>
      <c r="F71" s="113"/>
      <c r="G71" s="113"/>
      <c r="H71" s="113"/>
      <c r="I71" s="94" t="s">
        <v>400</v>
      </c>
      <c r="S71"/>
    </row>
    <row r="72" spans="1:19" x14ac:dyDescent="0.25">
      <c r="A72" s="113" t="s">
        <v>150</v>
      </c>
      <c r="B72" s="113"/>
      <c r="C72" s="113"/>
      <c r="D72" s="113" t="s">
        <v>28</v>
      </c>
      <c r="E72" s="113"/>
      <c r="F72" s="113"/>
      <c r="G72" s="113"/>
      <c r="H72" s="113"/>
      <c r="I72" s="26"/>
      <c r="J72" s="26"/>
      <c r="K72" s="26"/>
      <c r="L72" s="26"/>
      <c r="M72" s="26"/>
      <c r="N72" s="26"/>
    </row>
    <row r="73" spans="1:19" ht="15.75" customHeight="1" x14ac:dyDescent="0.25">
      <c r="A73" s="192" t="s">
        <v>82</v>
      </c>
      <c r="B73" s="192"/>
      <c r="C73" s="192"/>
      <c r="D73" s="114" t="str">
        <f ca="1">(IF(G79&gt;95%,"Nothing",IF(G79&gt;0%,"Cement, Aggregate, Steel, etc",IF(G79=0%,"Work not yet Started"))))</f>
        <v>Cement, Aggregate, Steel, etc</v>
      </c>
      <c r="E73" s="114"/>
      <c r="F73" s="114"/>
      <c r="G73" s="114"/>
      <c r="H73" s="114"/>
      <c r="J73" s="25"/>
      <c r="S73"/>
    </row>
    <row r="74" spans="1:19" ht="33.75" customHeight="1" thickBot="1" x14ac:dyDescent="0.3">
      <c r="A74" s="191" t="s">
        <v>115</v>
      </c>
      <c r="B74" s="191"/>
      <c r="C74" s="191"/>
      <c r="D74" s="114" t="str">
        <f ca="1">(IF(D73="Nothing","Yes",IF(D73="Cement, Aggregate, Steel, etc","Under Construction",IF(D73="Work not yet Started","Work not yet Started"))))</f>
        <v>Under Construction</v>
      </c>
      <c r="E74" s="114"/>
      <c r="F74" s="114" t="str">
        <f ca="1">(IF(D73="Nothing","Yes",IF(D73="Cement, Aggregate, Steel, etc","Under Construction",IF(D73="Work not yet Started","Work not yet Started"))))</f>
        <v>Under Construction</v>
      </c>
      <c r="G74" s="114"/>
      <c r="H74" s="114"/>
      <c r="S74"/>
    </row>
    <row r="75" spans="1:19" ht="15.75" customHeight="1" x14ac:dyDescent="0.25">
      <c r="A75" s="184" t="s">
        <v>140</v>
      </c>
      <c r="B75" s="185"/>
      <c r="C75" s="186" t="str">
        <f>D67</f>
        <v>B + Gr + 1st to 15th Floor</v>
      </c>
      <c r="D75" s="187"/>
      <c r="E75" s="187"/>
      <c r="F75" s="187"/>
      <c r="G75" s="187"/>
      <c r="H75" s="188"/>
      <c r="I75" s="47" t="str">
        <f ca="1">IF(D88=100%,"All work Completed. Possession granted to the Building.",IF(D87=100%,"All work Completed, Waiting for OC",I76&amp;""&amp;I77&amp;""&amp;J76&amp;""&amp;J75&amp;" "&amp;J77))</f>
        <v xml:space="preserve">Excavation Completed, Footing work Completed </v>
      </c>
      <c r="J75" s="48" t="str">
        <f ca="1">(IF(C81=(D76+F76+H76),"",IF(C81&gt;0,", RCC upto "&amp;C81&amp;" Slab","")))&amp;(IF(C82=H76,"",IF(C82&gt;0,", Brickwork upto "&amp;C82&amp;" Floor","")))&amp;(IF(C83=H76,"",IF(C83&gt;0,", Internal Plaster upto "&amp;C83&amp;" Floor","")))&amp;(IF(C84=H76,"",IF(C84&gt;0,", External Plaster upto "&amp;C84&amp;" Floor","")))&amp;(IF(C85=H76,"",IF(C85&gt;0,", Flooring upto "&amp;C85&amp;" Floor","")))&amp;(IF(C86=H76,"",IF(C86&gt;0,", Painting upto "&amp;C86&amp;" Floor","")))&amp;(IF(C87=H76,"",IF(C87&gt;0,", Finishing upto "&amp;C87&amp;" Floor","")))&amp;(IF(C88=H76,"",IF(C88&gt;0,", Possession upto "&amp;C88&amp;" Floor","")))</f>
        <v/>
      </c>
      <c r="S75"/>
    </row>
    <row r="76" spans="1:19" x14ac:dyDescent="0.25">
      <c r="A76" s="15" t="s">
        <v>142</v>
      </c>
      <c r="B76" s="45">
        <f>IF(AND(ISNUMBER(SEARCH("1B",C75))),1,IF(AND(ISNUMBER(SEARCH("2B",C75))),2,IF(AND(ISNUMBER(SEARCH("3B",C75))),3,IF(AND(ISNUMBER(SEARCH("4B",C75))),4,IF(ISNUMBER(SEARCH("5B",C75)),5,0)))))</f>
        <v>0</v>
      </c>
      <c r="C76" s="45" t="s">
        <v>68</v>
      </c>
      <c r="D76" s="45">
        <v>1</v>
      </c>
      <c r="E76" s="45" t="s">
        <v>67</v>
      </c>
      <c r="F76" s="45">
        <v>0</v>
      </c>
      <c r="G76" s="46" t="s">
        <v>76</v>
      </c>
      <c r="H76" s="16">
        <f ca="1">--TRIM(RIGHT(SUBSTITUTE(LEFT(C75,_xlfn.AGGREGATE(16,6,FIND({0,1,2,3,4,5,6,7,8,9},C75,ROW(INDIRECT("1:"&amp;LEN(C75)))),1))," ",REPT(" ",LEN(C75))),LEN(C75)))</f>
        <v>15</v>
      </c>
      <c r="I76" s="49" t="str">
        <f ca="1">IF(D79=100%,"Excavation","")&amp;IF(D80=100%,", Plinth","")&amp;IF(D81=100%,", RCC Slab","")&amp;IF(D82=100%,", Brickwork","")&amp;IF(D83=100%,", Internal Plaster","")&amp;IF(D84=100%,", External Plaster","")&amp;IF(D85=100%,", Flooring","")&amp;IF(D86=100%,", Painting","")&amp;IF(D87=100%,", Building common Amenities","")</f>
        <v>Excavation</v>
      </c>
      <c r="J76" s="50" t="str">
        <f ca="1">(IF(C79=0,"Work not yet Started.",IF(D79=25%,"Piling work in process",IF(D79=50%,"Excavation work in process",IF(D79=100%,"","0")))))&amp;(IF(C80=0%,"",IF(C80=J81,", Footing work is process",IF(C80=J82,", Footing work Completed",IF(C80=J83,", 1st Basement Completed",IF(C80=J84,", 1st &amp; 2nd Basement Completed",IF(C80=J85,", 1st to 3rd Basement Completed",IF(C80=J86,", 1st to 4th Basement Completed",IF(C80=J87,", Plinth work is process",IF(C80=J88,"","0"))))))))))</f>
        <v>, Footing work Completed</v>
      </c>
      <c r="S76"/>
    </row>
    <row r="77" spans="1:19" x14ac:dyDescent="0.25">
      <c r="A77" s="183" t="s">
        <v>86</v>
      </c>
      <c r="B77" s="170"/>
      <c r="C77" s="189" t="str">
        <f ca="1">I75</f>
        <v xml:space="preserve">Excavation Completed, Footing work Completed </v>
      </c>
      <c r="D77" s="189"/>
      <c r="E77" s="189"/>
      <c r="F77" s="189"/>
      <c r="G77" s="189"/>
      <c r="H77" s="190"/>
      <c r="I77" s="49" t="str">
        <f ca="1">IF(I76&lt;&gt;""," Completed","")</f>
        <v xml:space="preserve"> Completed</v>
      </c>
      <c r="J77" s="50" t="str">
        <f ca="1">IF(J75&lt;&gt;"","Completed","")</f>
        <v/>
      </c>
      <c r="S77"/>
    </row>
    <row r="78" spans="1:19" ht="15.75" customHeight="1" x14ac:dyDescent="0.25">
      <c r="A78" s="100" t="s">
        <v>47</v>
      </c>
      <c r="B78" s="101"/>
      <c r="C78" s="42" t="s">
        <v>139</v>
      </c>
      <c r="D78" s="42" t="s">
        <v>79</v>
      </c>
      <c r="E78" s="101" t="s">
        <v>81</v>
      </c>
      <c r="F78" s="101"/>
      <c r="G78" s="101" t="s">
        <v>80</v>
      </c>
      <c r="H78" s="115"/>
      <c r="I78" s="13" t="s">
        <v>141</v>
      </c>
      <c r="J78" s="27">
        <f ca="1">H76*25%</f>
        <v>3.75</v>
      </c>
      <c r="S78"/>
    </row>
    <row r="79" spans="1:19" x14ac:dyDescent="0.25">
      <c r="A79" s="100" t="s">
        <v>128</v>
      </c>
      <c r="B79" s="101"/>
      <c r="C79" s="97">
        <f ca="1">J80</f>
        <v>15</v>
      </c>
      <c r="D79" s="18">
        <f ca="1">((100/H76)*C79)/100</f>
        <v>1</v>
      </c>
      <c r="E79" s="244">
        <f ca="1">(((C80/H76*10)+(40/(D76+F76+H76)*C81)+(7.5/(H76)*C82)+(7.5/(H76)*C83)+(10/H76*C84)+(10/H76*C85)+(5/H76*C86)+(5/H76*C87)+(5/H76*C88))/100)</f>
        <v>0.05</v>
      </c>
      <c r="F79" s="245"/>
      <c r="G79" s="244">
        <f ca="1">((((C79/H76)*20)+((C80/H76)*25)+(30/(H76+F76+D76)*C81)+(5/H76*C82)+(5/H76*C83)+(5/H76*C84)+(5/H76*C85)+(0/H76*C86)+(0/H76*C87)+(5/H76*C88))/100)</f>
        <v>0.32500000000000001</v>
      </c>
      <c r="H79" s="250"/>
      <c r="I79" s="13" t="s">
        <v>97</v>
      </c>
      <c r="J79" s="28">
        <f ca="1">H76*50%</f>
        <v>7.5</v>
      </c>
    </row>
    <row r="80" spans="1:19" x14ac:dyDescent="0.25">
      <c r="A80" s="100" t="s">
        <v>48</v>
      </c>
      <c r="B80" s="101"/>
      <c r="C80" s="98">
        <f ca="1">J82</f>
        <v>7.5</v>
      </c>
      <c r="D80" s="18">
        <f ca="1">((100/H76)*C80)/100</f>
        <v>0.5</v>
      </c>
      <c r="E80" s="246"/>
      <c r="F80" s="247"/>
      <c r="G80" s="246"/>
      <c r="H80" s="251"/>
      <c r="I80" s="13" t="s">
        <v>98</v>
      </c>
      <c r="J80" s="28">
        <f ca="1">H76</f>
        <v>15</v>
      </c>
      <c r="L80" s="92"/>
      <c r="S80"/>
    </row>
    <row r="81" spans="1:22" ht="15.75" customHeight="1" x14ac:dyDescent="0.25">
      <c r="A81" s="100" t="s">
        <v>129</v>
      </c>
      <c r="B81" s="101"/>
      <c r="C81" s="97">
        <v>0</v>
      </c>
      <c r="D81" s="18">
        <f ca="1">((100/(D76+F76+H76))*C81)/100</f>
        <v>0</v>
      </c>
      <c r="E81" s="246"/>
      <c r="F81" s="247"/>
      <c r="G81" s="246"/>
      <c r="H81" s="251"/>
      <c r="I81" s="13" t="s">
        <v>99</v>
      </c>
      <c r="J81" s="29">
        <f ca="1">(IF(B76&gt;1,(H76/(B76+2)),H76/4))</f>
        <v>3.75</v>
      </c>
      <c r="S81"/>
    </row>
    <row r="82" spans="1:22" ht="15.75" customHeight="1" x14ac:dyDescent="0.25">
      <c r="A82" s="100" t="s">
        <v>136</v>
      </c>
      <c r="B82" s="101" t="s">
        <v>130</v>
      </c>
      <c r="C82" s="97">
        <v>0</v>
      </c>
      <c r="D82" s="18">
        <f ca="1">((100/H76)*C82)/100</f>
        <v>0</v>
      </c>
      <c r="E82" s="246"/>
      <c r="F82" s="247"/>
      <c r="G82" s="246"/>
      <c r="H82" s="251"/>
      <c r="I82" s="13" t="s">
        <v>100</v>
      </c>
      <c r="J82" s="29">
        <f ca="1">(IF(B76&gt;1,(H76/(B76+2)+J81),H76/4+J81))</f>
        <v>7.5</v>
      </c>
    </row>
    <row r="83" spans="1:22" ht="15.75" customHeight="1" x14ac:dyDescent="0.25">
      <c r="A83" s="100" t="s">
        <v>137</v>
      </c>
      <c r="B83" s="101" t="s">
        <v>130</v>
      </c>
      <c r="C83" s="97">
        <v>0</v>
      </c>
      <c r="D83" s="18">
        <f ca="1">((100/H76)*C83)/100</f>
        <v>0</v>
      </c>
      <c r="E83" s="246"/>
      <c r="F83" s="247"/>
      <c r="G83" s="246"/>
      <c r="H83" s="251"/>
      <c r="I83" s="13" t="s">
        <v>148</v>
      </c>
      <c r="J83" s="29">
        <f>(IF(B76&gt;1,(H76/(B76+2)+J82),0))</f>
        <v>0</v>
      </c>
    </row>
    <row r="84" spans="1:22" ht="15" customHeight="1" x14ac:dyDescent="0.25">
      <c r="A84" s="100" t="s">
        <v>135</v>
      </c>
      <c r="B84" s="101" t="s">
        <v>132</v>
      </c>
      <c r="C84" s="97">
        <v>0</v>
      </c>
      <c r="D84" s="18">
        <f ca="1">((100/(H76))*C84)/100</f>
        <v>0</v>
      </c>
      <c r="E84" s="246"/>
      <c r="F84" s="247"/>
      <c r="G84" s="246"/>
      <c r="H84" s="251"/>
      <c r="I84" s="13" t="s">
        <v>143</v>
      </c>
      <c r="J84" s="29">
        <f>(IF(B76&gt;2,(H76/(B76+2)+J83),0))</f>
        <v>0</v>
      </c>
    </row>
    <row r="85" spans="1:22" ht="15.75" customHeight="1" x14ac:dyDescent="0.25">
      <c r="A85" s="100" t="s">
        <v>131</v>
      </c>
      <c r="B85" s="101" t="s">
        <v>131</v>
      </c>
      <c r="C85" s="97">
        <v>0</v>
      </c>
      <c r="D85" s="18">
        <f ca="1">((100/H76)*C85)/100</f>
        <v>0</v>
      </c>
      <c r="E85" s="246"/>
      <c r="F85" s="247"/>
      <c r="G85" s="246"/>
      <c r="H85" s="251"/>
      <c r="I85" s="13" t="s">
        <v>144</v>
      </c>
      <c r="J85" s="30">
        <f>(IF(B76&gt;3,(H76/(B76+2)+J84),0))</f>
        <v>0</v>
      </c>
    </row>
    <row r="86" spans="1:22" ht="15.75" customHeight="1" x14ac:dyDescent="0.25">
      <c r="A86" s="100" t="s">
        <v>138</v>
      </c>
      <c r="B86" s="101"/>
      <c r="C86" s="97">
        <v>0</v>
      </c>
      <c r="D86" s="18">
        <f ca="1">((100/H76)*C86)/100</f>
        <v>0</v>
      </c>
      <c r="E86" s="246"/>
      <c r="F86" s="247"/>
      <c r="G86" s="246"/>
      <c r="H86" s="251"/>
      <c r="I86" s="13" t="s">
        <v>145</v>
      </c>
      <c r="J86" s="29">
        <f>(IF(B76&gt;4,(H76/(B76+2)+J85),0))</f>
        <v>0</v>
      </c>
    </row>
    <row r="87" spans="1:22" ht="15.75" customHeight="1" x14ac:dyDescent="0.25">
      <c r="A87" s="100" t="s">
        <v>133</v>
      </c>
      <c r="B87" s="101" t="s">
        <v>133</v>
      </c>
      <c r="C87" s="97">
        <v>0</v>
      </c>
      <c r="D87" s="18">
        <f ca="1">((100/(H76))*C87)/100</f>
        <v>0</v>
      </c>
      <c r="E87" s="246"/>
      <c r="F87" s="247"/>
      <c r="G87" s="246"/>
      <c r="H87" s="251"/>
      <c r="I87" s="13" t="s">
        <v>149</v>
      </c>
      <c r="J87" s="29">
        <f ca="1">(IF(B76=1,(H76/(B76+3)+J82),IF(B76=0,(H76/4+J82),IF(B76&gt;1,0))))</f>
        <v>11.25</v>
      </c>
    </row>
    <row r="88" spans="1:22" ht="16.5" thickBot="1" x14ac:dyDescent="0.3">
      <c r="A88" s="116" t="s">
        <v>134</v>
      </c>
      <c r="B88" s="117"/>
      <c r="C88" s="99">
        <v>0</v>
      </c>
      <c r="D88" s="19">
        <f ca="1">((100/(H76))*C88)/100</f>
        <v>0</v>
      </c>
      <c r="E88" s="248"/>
      <c r="F88" s="249"/>
      <c r="G88" s="248"/>
      <c r="H88" s="252"/>
      <c r="I88" s="14" t="s">
        <v>101</v>
      </c>
      <c r="J88" s="31">
        <f ca="1">(IF(B76&gt;1.5,(H76/(B76+2)+J82+MAX(0,J83-J82)+MAX(0,J84-J83)+MAX(0,J85-J84)+MAX(0,J86-J85)+MAX(0,J87-J86)),IF(B76=1,(H76/(B76+3)+J87),IF(B76=0,H76/4+J87))))</f>
        <v>15</v>
      </c>
    </row>
    <row r="89" spans="1:22" x14ac:dyDescent="0.25">
      <c r="A89" s="236" t="s">
        <v>161</v>
      </c>
      <c r="B89" s="236"/>
      <c r="C89" s="236"/>
      <c r="D89" s="236"/>
      <c r="E89" s="236"/>
      <c r="F89" s="156" t="s">
        <v>165</v>
      </c>
      <c r="G89" s="156"/>
      <c r="H89" s="156"/>
      <c r="R89" t="s">
        <v>258</v>
      </c>
      <c r="S89" t="s">
        <v>176</v>
      </c>
      <c r="T89" t="s">
        <v>184</v>
      </c>
      <c r="U89" t="s">
        <v>198</v>
      </c>
      <c r="V89" t="s">
        <v>193</v>
      </c>
    </row>
    <row r="90" spans="1:22" x14ac:dyDescent="0.25">
      <c r="A90" s="122" t="s">
        <v>163</v>
      </c>
      <c r="B90" s="122"/>
      <c r="C90" s="122"/>
      <c r="D90" s="122"/>
      <c r="E90" s="122"/>
      <c r="F90" s="125">
        <v>18000</v>
      </c>
      <c r="G90" s="125"/>
      <c r="H90" s="125"/>
      <c r="I90" s="20" t="s">
        <v>430</v>
      </c>
      <c r="J90" s="20" t="s">
        <v>431</v>
      </c>
      <c r="R90"/>
      <c r="S90">
        <v>800000</v>
      </c>
      <c r="T90">
        <v>150000</v>
      </c>
      <c r="U90">
        <v>100000</v>
      </c>
      <c r="V90">
        <v>100000</v>
      </c>
    </row>
    <row r="91" spans="1:22" hidden="1" x14ac:dyDescent="0.25">
      <c r="A91" s="122" t="s">
        <v>162</v>
      </c>
      <c r="B91" s="122"/>
      <c r="C91" s="122"/>
      <c r="D91" s="122"/>
      <c r="E91" s="122"/>
      <c r="F91" s="125"/>
      <c r="G91" s="125"/>
      <c r="H91" s="125"/>
      <c r="R91"/>
      <c r="S91">
        <v>900000</v>
      </c>
      <c r="T91">
        <v>200000</v>
      </c>
      <c r="U91">
        <v>150000</v>
      </c>
      <c r="V91">
        <v>150000</v>
      </c>
    </row>
    <row r="92" spans="1:22" hidden="1" x14ac:dyDescent="0.25">
      <c r="A92" s="122" t="s">
        <v>164</v>
      </c>
      <c r="B92" s="122"/>
      <c r="C92" s="122"/>
      <c r="D92" s="122"/>
      <c r="E92" s="122"/>
      <c r="F92" s="125"/>
      <c r="G92" s="125"/>
      <c r="H92" s="125"/>
      <c r="R92"/>
      <c r="S92">
        <v>1000000</v>
      </c>
      <c r="T92">
        <v>250000</v>
      </c>
      <c r="U92">
        <v>200000</v>
      </c>
      <c r="V92">
        <v>200000</v>
      </c>
    </row>
    <row r="93" spans="1:22" s="32" customFormat="1" hidden="1" x14ac:dyDescent="0.25">
      <c r="A93" s="122" t="s">
        <v>178</v>
      </c>
      <c r="B93" s="122"/>
      <c r="C93" s="122"/>
      <c r="D93" s="122"/>
      <c r="E93" s="122"/>
      <c r="F93" s="125"/>
      <c r="G93" s="125"/>
      <c r="H93" s="125"/>
      <c r="R93"/>
      <c r="S93">
        <v>1100000</v>
      </c>
      <c r="T93">
        <v>300000</v>
      </c>
      <c r="U93">
        <v>250000</v>
      </c>
      <c r="V93" s="22">
        <v>250000</v>
      </c>
    </row>
    <row r="94" spans="1:22" s="32" customFormat="1" hidden="1" x14ac:dyDescent="0.25">
      <c r="A94" s="122" t="s">
        <v>91</v>
      </c>
      <c r="B94" s="122"/>
      <c r="C94" s="122"/>
      <c r="D94" s="122"/>
      <c r="E94" s="122"/>
      <c r="F94" s="125"/>
      <c r="G94" s="125"/>
      <c r="H94" s="125"/>
      <c r="R94"/>
      <c r="S94">
        <v>1200000</v>
      </c>
      <c r="T94">
        <v>350000</v>
      </c>
      <c r="U94">
        <v>300000</v>
      </c>
      <c r="V94">
        <v>300000</v>
      </c>
    </row>
    <row r="95" spans="1:22" s="32" customFormat="1" hidden="1" x14ac:dyDescent="0.25">
      <c r="A95" s="122" t="s">
        <v>92</v>
      </c>
      <c r="B95" s="122"/>
      <c r="C95" s="122"/>
      <c r="D95" s="122"/>
      <c r="E95" s="122"/>
      <c r="F95" s="125"/>
      <c r="G95" s="125"/>
      <c r="H95" s="125"/>
      <c r="R95"/>
      <c r="S95">
        <v>1300000</v>
      </c>
      <c r="T95">
        <v>400000</v>
      </c>
      <c r="U95">
        <v>350000</v>
      </c>
      <c r="V95" s="22">
        <v>400000</v>
      </c>
    </row>
    <row r="96" spans="1:22" s="32" customFormat="1" hidden="1" x14ac:dyDescent="0.25">
      <c r="A96" s="122" t="s">
        <v>93</v>
      </c>
      <c r="B96" s="122"/>
      <c r="C96" s="122"/>
      <c r="D96" s="122"/>
      <c r="E96" s="122"/>
      <c r="F96" s="125"/>
      <c r="G96" s="125"/>
      <c r="H96" s="125"/>
      <c r="R96"/>
      <c r="S96">
        <v>1400000</v>
      </c>
      <c r="T96">
        <v>500000</v>
      </c>
      <c r="U96">
        <v>400000</v>
      </c>
      <c r="V96"/>
    </row>
    <row r="97" spans="1:22" s="32" customFormat="1" hidden="1" x14ac:dyDescent="0.25">
      <c r="A97" s="122" t="s">
        <v>94</v>
      </c>
      <c r="B97" s="122"/>
      <c r="C97" s="122"/>
      <c r="D97" s="122"/>
      <c r="E97" s="122"/>
      <c r="F97" s="125"/>
      <c r="G97" s="125"/>
      <c r="H97" s="125"/>
      <c r="R97"/>
      <c r="S97">
        <v>1500000</v>
      </c>
      <c r="T97">
        <v>600000</v>
      </c>
      <c r="U97">
        <v>500000</v>
      </c>
      <c r="V97" s="22"/>
    </row>
    <row r="98" spans="1:22" s="32" customFormat="1" hidden="1" x14ac:dyDescent="0.25">
      <c r="A98" s="122" t="s">
        <v>95</v>
      </c>
      <c r="B98" s="122"/>
      <c r="C98" s="122"/>
      <c r="D98" s="122"/>
      <c r="E98" s="122"/>
      <c r="F98" s="125"/>
      <c r="G98" s="125"/>
      <c r="H98" s="125"/>
      <c r="R98"/>
      <c r="S98">
        <v>1600000</v>
      </c>
      <c r="T98">
        <v>700000</v>
      </c>
      <c r="U98">
        <v>600000</v>
      </c>
      <c r="V98"/>
    </row>
    <row r="99" spans="1:22" s="32" customFormat="1" hidden="1" x14ac:dyDescent="0.25">
      <c r="A99" s="122" t="s">
        <v>96</v>
      </c>
      <c r="B99" s="122"/>
      <c r="C99" s="122"/>
      <c r="D99" s="122"/>
      <c r="E99" s="122"/>
      <c r="F99" s="125"/>
      <c r="G99" s="125"/>
      <c r="H99" s="125"/>
      <c r="R99"/>
      <c r="S99">
        <v>1700000</v>
      </c>
      <c r="T99">
        <v>800000</v>
      </c>
      <c r="U99"/>
      <c r="V99" s="22"/>
    </row>
    <row r="100" spans="1:22" x14ac:dyDescent="0.25">
      <c r="A100" s="122" t="s">
        <v>49</v>
      </c>
      <c r="B100" s="122"/>
      <c r="C100" s="122"/>
      <c r="D100" s="122"/>
      <c r="E100" s="122"/>
      <c r="F100" s="125">
        <v>800000</v>
      </c>
      <c r="G100" s="125"/>
      <c r="H100" s="125"/>
      <c r="R100"/>
      <c r="S100">
        <v>1800000</v>
      </c>
      <c r="T100">
        <v>900000</v>
      </c>
      <c r="U100"/>
    </row>
    <row r="101" spans="1:22" s="33" customFormat="1" x14ac:dyDescent="0.25">
      <c r="A101" s="164" t="s">
        <v>50</v>
      </c>
      <c r="B101" s="164"/>
      <c r="C101" s="164"/>
      <c r="D101" s="164"/>
      <c r="E101" s="164"/>
      <c r="F101" s="125">
        <f>F90*0.8</f>
        <v>14400</v>
      </c>
      <c r="G101" s="125"/>
      <c r="H101" s="125"/>
      <c r="R101" s="20"/>
      <c r="S101" s="20"/>
      <c r="T101">
        <v>1000000</v>
      </c>
      <c r="U101"/>
      <c r="V101" s="20"/>
    </row>
    <row r="102" spans="1:22" s="34" customFormat="1" ht="15.75" hidden="1" customHeight="1" x14ac:dyDescent="0.25">
      <c r="A102" s="163" t="s">
        <v>71</v>
      </c>
      <c r="B102" s="163"/>
      <c r="C102" s="163"/>
      <c r="D102" s="163"/>
      <c r="E102" s="163"/>
      <c r="F102" s="163"/>
      <c r="G102" s="163"/>
      <c r="H102" s="163"/>
      <c r="R102"/>
      <c r="S102" s="20"/>
      <c r="T102"/>
      <c r="U102"/>
      <c r="V102" s="20"/>
    </row>
    <row r="103" spans="1:22" s="34" customFormat="1" ht="15.75" hidden="1" customHeight="1" x14ac:dyDescent="0.25">
      <c r="A103" s="127" t="s">
        <v>51</v>
      </c>
      <c r="B103" s="127"/>
      <c r="C103" s="132" t="s">
        <v>74</v>
      </c>
      <c r="D103" s="132"/>
      <c r="E103" s="118" t="s">
        <v>52</v>
      </c>
      <c r="F103" s="118"/>
      <c r="G103" s="127" t="s">
        <v>53</v>
      </c>
      <c r="H103" s="127"/>
      <c r="R103"/>
      <c r="S103" s="20"/>
      <c r="T103"/>
      <c r="U103" s="20"/>
      <c r="V103" s="20"/>
    </row>
    <row r="104" spans="1:22" s="34" customFormat="1" hidden="1" x14ac:dyDescent="0.25">
      <c r="A104" s="131"/>
      <c r="B104" s="131"/>
      <c r="C104" s="229"/>
      <c r="D104" s="229"/>
      <c r="E104" s="230"/>
      <c r="F104" s="230"/>
      <c r="G104" s="144"/>
      <c r="H104" s="144"/>
      <c r="R104"/>
      <c r="S104" s="20"/>
      <c r="T104"/>
      <c r="U104" s="20"/>
      <c r="V104" s="20"/>
    </row>
    <row r="105" spans="1:22" s="34" customFormat="1" hidden="1" x14ac:dyDescent="0.25">
      <c r="A105" s="131"/>
      <c r="B105" s="131"/>
      <c r="C105" s="229"/>
      <c r="D105" s="229"/>
      <c r="E105" s="230"/>
      <c r="F105" s="230"/>
      <c r="G105" s="144"/>
      <c r="H105" s="144"/>
      <c r="R105"/>
      <c r="S105" s="20"/>
      <c r="T105"/>
      <c r="U105" s="20"/>
      <c r="V105" s="20"/>
    </row>
    <row r="106" spans="1:22" s="34" customFormat="1" hidden="1" x14ac:dyDescent="0.25">
      <c r="A106" s="163" t="s">
        <v>154</v>
      </c>
      <c r="B106" s="163"/>
      <c r="C106" s="132"/>
      <c r="D106" s="132"/>
      <c r="E106" s="118"/>
      <c r="F106" s="118"/>
      <c r="G106" s="127"/>
      <c r="H106" s="127"/>
      <c r="R106"/>
      <c r="S106" s="20"/>
      <c r="T106"/>
      <c r="U106" s="20"/>
      <c r="V106" s="20"/>
    </row>
    <row r="107" spans="1:22" s="34" customFormat="1" hidden="1" x14ac:dyDescent="0.25">
      <c r="A107" s="163" t="s">
        <v>66</v>
      </c>
      <c r="B107" s="163"/>
      <c r="C107" s="163"/>
      <c r="D107" s="163"/>
      <c r="E107" s="163"/>
      <c r="F107" s="163"/>
      <c r="G107" s="163"/>
      <c r="H107" s="163"/>
      <c r="T107"/>
    </row>
    <row r="108" spans="1:22" s="34" customFormat="1" ht="15.75" hidden="1" customHeight="1" x14ac:dyDescent="0.25">
      <c r="A108" s="127" t="s">
        <v>51</v>
      </c>
      <c r="B108" s="127"/>
      <c r="C108" s="132" t="s">
        <v>74</v>
      </c>
      <c r="D108" s="132"/>
      <c r="E108" s="118" t="s">
        <v>52</v>
      </c>
      <c r="F108" s="118"/>
      <c r="G108" s="127" t="s">
        <v>53</v>
      </c>
      <c r="H108" s="127"/>
      <c r="T108"/>
    </row>
    <row r="109" spans="1:22" s="34" customFormat="1" hidden="1" x14ac:dyDescent="0.25">
      <c r="A109" s="131"/>
      <c r="B109" s="131"/>
      <c r="C109" s="229"/>
      <c r="D109" s="229"/>
      <c r="E109" s="230"/>
      <c r="F109" s="230"/>
      <c r="G109" s="144"/>
      <c r="H109" s="144"/>
      <c r="T109"/>
    </row>
    <row r="110" spans="1:22" s="34" customFormat="1" hidden="1" x14ac:dyDescent="0.25">
      <c r="A110" s="131"/>
      <c r="B110" s="131"/>
      <c r="C110" s="229"/>
      <c r="D110" s="229"/>
      <c r="E110" s="230"/>
      <c r="F110" s="230"/>
      <c r="G110" s="144"/>
      <c r="H110" s="144"/>
      <c r="T110"/>
    </row>
    <row r="111" spans="1:22" s="34" customFormat="1" ht="16.5" hidden="1" thickBot="1" x14ac:dyDescent="0.3">
      <c r="A111" s="253" t="s">
        <v>154</v>
      </c>
      <c r="B111" s="253"/>
      <c r="C111" s="145"/>
      <c r="D111" s="145"/>
      <c r="E111" s="254"/>
      <c r="F111" s="254"/>
      <c r="G111" s="255"/>
      <c r="H111" s="255"/>
      <c r="T111"/>
    </row>
    <row r="112" spans="1:22" s="34" customFormat="1" ht="16.5" hidden="1" thickBot="1" x14ac:dyDescent="0.3">
      <c r="A112" s="234" t="s">
        <v>170</v>
      </c>
      <c r="B112" s="235"/>
      <c r="C112" s="167">
        <f>C106+C111</f>
        <v>0</v>
      </c>
      <c r="D112" s="167"/>
      <c r="E112" s="233">
        <f>E106+E111</f>
        <v>0</v>
      </c>
      <c r="F112" s="233"/>
      <c r="G112" s="242">
        <f>G106+G111</f>
        <v>0</v>
      </c>
      <c r="H112" s="243"/>
      <c r="T112"/>
    </row>
    <row r="113" spans="1:20" s="33" customFormat="1" x14ac:dyDescent="0.25">
      <c r="A113" s="119" t="s">
        <v>361</v>
      </c>
      <c r="B113" s="119"/>
      <c r="C113" s="119"/>
      <c r="D113" s="119"/>
      <c r="E113" s="119"/>
      <c r="F113" s="119"/>
      <c r="G113" s="119"/>
      <c r="H113" s="119"/>
      <c r="T113" s="34"/>
    </row>
    <row r="114" spans="1:20" x14ac:dyDescent="0.25">
      <c r="A114" s="126" t="s">
        <v>407</v>
      </c>
      <c r="B114" s="126"/>
      <c r="C114" s="126"/>
      <c r="D114" s="126"/>
      <c r="E114" s="126"/>
      <c r="F114" s="126"/>
      <c r="G114" s="126"/>
      <c r="H114" s="126"/>
      <c r="T114" s="34"/>
    </row>
    <row r="115" spans="1:20" ht="47.25" hidden="1" customHeight="1" x14ac:dyDescent="0.25">
      <c r="A115" s="238" t="s">
        <v>118</v>
      </c>
      <c r="B115" s="149" t="s">
        <v>180</v>
      </c>
      <c r="C115" s="238" t="s">
        <v>54</v>
      </c>
      <c r="D115" s="149" t="s">
        <v>237</v>
      </c>
      <c r="E115" s="231" t="s">
        <v>160</v>
      </c>
      <c r="F115" s="238" t="s">
        <v>55</v>
      </c>
      <c r="G115" s="154" t="s">
        <v>56</v>
      </c>
      <c r="H115" s="61" t="s">
        <v>151</v>
      </c>
      <c r="T115" s="34"/>
    </row>
    <row r="116" spans="1:20" s="36" customFormat="1" hidden="1" x14ac:dyDescent="0.25">
      <c r="A116" s="239"/>
      <c r="B116" s="150"/>
      <c r="C116" s="239"/>
      <c r="D116" s="150"/>
      <c r="E116" s="232"/>
      <c r="F116" s="239"/>
      <c r="G116" s="155"/>
      <c r="H116" s="53">
        <v>0.45</v>
      </c>
      <c r="T116" s="34"/>
    </row>
    <row r="117" spans="1:20" s="36" customFormat="1" hidden="1" x14ac:dyDescent="0.25">
      <c r="A117" s="110" t="s">
        <v>116</v>
      </c>
      <c r="B117" s="111"/>
      <c r="C117" s="111"/>
      <c r="D117" s="111"/>
      <c r="E117" s="111"/>
      <c r="F117" s="111"/>
      <c r="G117" s="111"/>
      <c r="H117" s="112"/>
      <c r="J117" s="35"/>
      <c r="T117" s="34"/>
    </row>
    <row r="118" spans="1:20" s="36" customFormat="1" ht="15.75" hidden="1" customHeight="1" x14ac:dyDescent="0.25">
      <c r="A118" s="108">
        <v>1</v>
      </c>
      <c r="B118" s="109"/>
      <c r="C118" s="41"/>
      <c r="D118" s="41">
        <v>0</v>
      </c>
      <c r="E118" s="41">
        <v>0</v>
      </c>
      <c r="F118" s="41">
        <f>D118+(IF(E118&lt;201,E118,IF(E118&lt;301,E118/2,E118/3)))</f>
        <v>0</v>
      </c>
      <c r="G118" s="41">
        <v>0</v>
      </c>
      <c r="H118" s="41">
        <f>(F118+(IF(G118&lt;101,G118,IF(G118&lt;201,G118/2,IF(G118&lt;=301,G118/3,G118/4)))))*(($H$116)+1)</f>
        <v>0</v>
      </c>
      <c r="I118" s="35"/>
      <c r="L118" s="228"/>
      <c r="M118" s="228"/>
      <c r="N118" s="35"/>
      <c r="T118" s="34"/>
    </row>
    <row r="119" spans="1:20" s="36" customFormat="1" ht="15.75" hidden="1" customHeight="1" x14ac:dyDescent="0.25">
      <c r="A119" s="108">
        <f>A118+1</f>
        <v>2</v>
      </c>
      <c r="B119" s="109"/>
      <c r="C119" s="41"/>
      <c r="D119" s="41"/>
      <c r="E119" s="41">
        <v>0</v>
      </c>
      <c r="F119" s="41">
        <f>D119+(IF(E119&lt;201,E119,IF(E119&lt;301,E119/2,E119/3)))</f>
        <v>0</v>
      </c>
      <c r="G119" s="41">
        <v>0</v>
      </c>
      <c r="H119" s="41">
        <f>(F119+(IF(G119&lt;101,G119,IF(G119&lt;201,G119/2,IF(G119&lt;=301,G119/3,G119/4)))))*(($H$116)+1)</f>
        <v>0</v>
      </c>
      <c r="I119" s="35"/>
      <c r="L119" s="228"/>
      <c r="M119" s="228"/>
      <c r="N119" s="35"/>
      <c r="T119" s="33"/>
    </row>
    <row r="120" spans="1:20" s="36" customFormat="1" ht="15.75" hidden="1" customHeight="1" x14ac:dyDescent="0.25">
      <c r="A120" s="108">
        <f>A119+1</f>
        <v>3</v>
      </c>
      <c r="B120" s="109"/>
      <c r="C120" s="41"/>
      <c r="D120" s="41"/>
      <c r="E120" s="41">
        <v>0</v>
      </c>
      <c r="F120" s="41">
        <f>D120+(IF(E120&lt;201,E120,IF(E120&lt;301,E120/2,E120/3)))</f>
        <v>0</v>
      </c>
      <c r="G120" s="41">
        <v>0</v>
      </c>
      <c r="H120" s="41">
        <f>(F120+(IF(G120&lt;101,G120,IF(G120&lt;201,G120/2,IF(G120&lt;=301,G120/3,G120/4)))))*(($H$116)+1)</f>
        <v>0</v>
      </c>
      <c r="I120" s="35"/>
      <c r="L120" s="228"/>
      <c r="M120" s="228"/>
      <c r="N120" s="35"/>
      <c r="T120" s="20"/>
    </row>
    <row r="121" spans="1:20" s="36" customFormat="1" ht="15.75" hidden="1" customHeight="1" x14ac:dyDescent="0.25">
      <c r="A121" s="108">
        <f>A120+1</f>
        <v>4</v>
      </c>
      <c r="B121" s="109"/>
      <c r="C121" s="41"/>
      <c r="D121" s="41"/>
      <c r="E121" s="41">
        <v>0</v>
      </c>
      <c r="F121" s="41">
        <f>D121+(IF(E121&lt;201,E121,IF(E121&lt;301,E121/2,E121/3)))</f>
        <v>0</v>
      </c>
      <c r="G121" s="41">
        <v>0</v>
      </c>
      <c r="H121" s="41">
        <f>(F121+(IF(G121&lt;101,G121,IF(G121&lt;201,G121/2,IF(G121&lt;=301,G121/3,G121/4)))))*(($H$116)+1)</f>
        <v>0</v>
      </c>
      <c r="I121" s="35"/>
      <c r="L121" s="228"/>
      <c r="M121" s="228"/>
      <c r="N121" s="35"/>
      <c r="T121" s="20"/>
    </row>
    <row r="122" spans="1:20" s="36" customFormat="1" hidden="1" x14ac:dyDescent="0.25">
      <c r="A122" s="108"/>
      <c r="B122" s="160"/>
      <c r="C122" s="160"/>
      <c r="D122" s="160"/>
      <c r="E122" s="160"/>
      <c r="F122" s="160"/>
      <c r="G122" s="160"/>
      <c r="H122" s="109"/>
      <c r="I122" s="35"/>
      <c r="N122" s="35"/>
    </row>
    <row r="123" spans="1:20" ht="47.25" customHeight="1" x14ac:dyDescent="0.25">
      <c r="A123" s="120" t="s">
        <v>403</v>
      </c>
      <c r="B123" s="142" t="s">
        <v>181</v>
      </c>
      <c r="C123" s="142" t="s">
        <v>54</v>
      </c>
      <c r="D123" s="142" t="s">
        <v>382</v>
      </c>
      <c r="E123" s="142" t="s">
        <v>236</v>
      </c>
      <c r="F123" s="142" t="s">
        <v>55</v>
      </c>
      <c r="G123" s="240" t="s">
        <v>56</v>
      </c>
      <c r="H123" s="95" t="s">
        <v>151</v>
      </c>
      <c r="I123" s="35"/>
      <c r="T123" s="36"/>
    </row>
    <row r="124" spans="1:20" s="36" customFormat="1" x14ac:dyDescent="0.25">
      <c r="A124" s="121"/>
      <c r="B124" s="143"/>
      <c r="C124" s="143"/>
      <c r="D124" s="143"/>
      <c r="E124" s="143"/>
      <c r="F124" s="143"/>
      <c r="G124" s="241"/>
      <c r="H124" s="96">
        <v>0.5</v>
      </c>
      <c r="I124" s="35"/>
    </row>
    <row r="125" spans="1:20" s="93" customFormat="1" ht="31.5" customHeight="1" x14ac:dyDescent="0.25">
      <c r="A125" s="110" t="s">
        <v>427</v>
      </c>
      <c r="B125" s="111"/>
      <c r="C125" s="111"/>
      <c r="D125" s="111"/>
      <c r="E125" s="111"/>
      <c r="F125" s="111"/>
      <c r="G125" s="111"/>
      <c r="H125" s="112"/>
      <c r="J125" s="35"/>
    </row>
    <row r="126" spans="1:20" s="36" customFormat="1" x14ac:dyDescent="0.25">
      <c r="A126" s="110" t="s">
        <v>404</v>
      </c>
      <c r="B126" s="111"/>
      <c r="C126" s="111"/>
      <c r="D126" s="111"/>
      <c r="E126" s="111"/>
      <c r="F126" s="111"/>
      <c r="G126" s="111"/>
      <c r="H126" s="112"/>
      <c r="J126" s="35"/>
    </row>
    <row r="127" spans="1:20" s="36" customFormat="1" ht="15.75" hidden="1" customHeight="1" x14ac:dyDescent="0.25">
      <c r="A127" s="108">
        <v>1</v>
      </c>
      <c r="B127" s="109"/>
      <c r="C127" s="41"/>
      <c r="D127" s="41"/>
      <c r="E127" s="41">
        <v>0</v>
      </c>
      <c r="F127" s="41">
        <f>D127+E127</f>
        <v>0</v>
      </c>
      <c r="G127" s="41">
        <v>0</v>
      </c>
      <c r="H127" s="41">
        <f>F127*(($H$124)+1)+(IF(G127&lt;101,G127,IF(G127&lt;201,G127/2,IF(G127&lt;=301,G127/3,G127/4))))</f>
        <v>0</v>
      </c>
      <c r="I127" s="35"/>
      <c r="L127" s="228"/>
      <c r="M127" s="228"/>
      <c r="N127" s="35"/>
    </row>
    <row r="128" spans="1:20" s="36" customFormat="1" ht="15.75" hidden="1" customHeight="1" x14ac:dyDescent="0.25">
      <c r="A128" s="108">
        <f>A127+1</f>
        <v>2</v>
      </c>
      <c r="B128" s="109"/>
      <c r="C128" s="41"/>
      <c r="D128" s="41"/>
      <c r="E128" s="41">
        <v>0</v>
      </c>
      <c r="F128" s="41">
        <f>D128+E128</f>
        <v>0</v>
      </c>
      <c r="G128" s="41">
        <v>0</v>
      </c>
      <c r="H128" s="41">
        <f>F128*(($H$124)+1)+(IF(G128&lt;101,G128,IF(G128&lt;201,G128/2,IF(G128&lt;=301,G128/3,G128/4))))</f>
        <v>0</v>
      </c>
      <c r="I128" s="35"/>
      <c r="L128" s="228"/>
      <c r="M128" s="228"/>
      <c r="N128" s="35"/>
    </row>
    <row r="129" spans="1:20" s="36" customFormat="1" ht="15.75" hidden="1" customHeight="1" x14ac:dyDescent="0.25">
      <c r="A129" s="108">
        <f>A128+1</f>
        <v>3</v>
      </c>
      <c r="B129" s="109"/>
      <c r="C129" s="41"/>
      <c r="D129" s="41"/>
      <c r="E129" s="41">
        <v>0</v>
      </c>
      <c r="F129" s="41">
        <f>D129+E129</f>
        <v>0</v>
      </c>
      <c r="G129" s="41">
        <v>0</v>
      </c>
      <c r="H129" s="41">
        <f>F129*(($H$124)+1)+(IF(G129&lt;101,G129,IF(G129&lt;201,G129/2,IF(G129&lt;=301,G129/3,G129/4))))</f>
        <v>0</v>
      </c>
      <c r="I129" s="35"/>
      <c r="L129" s="228"/>
      <c r="M129" s="228"/>
      <c r="N129" s="35"/>
    </row>
    <row r="130" spans="1:20" s="36" customFormat="1" ht="15.75" hidden="1" customHeight="1" x14ac:dyDescent="0.25">
      <c r="A130" s="108">
        <f>A129+1</f>
        <v>4</v>
      </c>
      <c r="B130" s="109"/>
      <c r="C130" s="41"/>
      <c r="D130" s="41"/>
      <c r="E130" s="41">
        <v>0</v>
      </c>
      <c r="F130" s="41">
        <f>D130+E130</f>
        <v>0</v>
      </c>
      <c r="G130" s="41">
        <v>0</v>
      </c>
      <c r="H130" s="41">
        <f>F130*(($H$124)+1)+(IF(G130&lt;101,G130,IF(G130&lt;201,G130/2,IF(G130&lt;=301,G130/3,G130/4))))</f>
        <v>0</v>
      </c>
      <c r="I130" s="35"/>
      <c r="L130" s="228"/>
      <c r="M130" s="228"/>
      <c r="N130" s="35"/>
      <c r="T130" s="20"/>
    </row>
    <row r="131" spans="1:20" s="36" customFormat="1" hidden="1" x14ac:dyDescent="0.25">
      <c r="A131" s="165" t="s">
        <v>117</v>
      </c>
      <c r="B131" s="165"/>
      <c r="C131" s="165"/>
      <c r="D131" s="165"/>
      <c r="E131" s="165"/>
      <c r="F131" s="165"/>
      <c r="G131" s="165"/>
      <c r="H131" s="165"/>
      <c r="I131" s="35"/>
      <c r="L131" s="228"/>
      <c r="M131" s="228"/>
    </row>
    <row r="132" spans="1:20" s="36" customFormat="1" hidden="1" x14ac:dyDescent="0.25">
      <c r="A132" s="141">
        <f>LEFT(A131,SUM(LEN(A131)-LEN(SUBSTITUTE(A131,{"0","1","2","3","4","5","6","7","8","9"},""))))*100+1</f>
        <v>201</v>
      </c>
      <c r="B132" s="141"/>
      <c r="C132" s="41"/>
      <c r="D132" s="41"/>
      <c r="E132" s="41">
        <v>0</v>
      </c>
      <c r="F132" s="41">
        <f>D132+E132</f>
        <v>0</v>
      </c>
      <c r="G132" s="41">
        <v>0</v>
      </c>
      <c r="H132" s="41">
        <f>F132*(($H$124)+1)+(IF(G132&lt;101,G132,IF(G132&lt;201,G132/2,IF(G132&lt;=301,G132/3,G132/4))))</f>
        <v>0</v>
      </c>
      <c r="I132" s="35"/>
      <c r="N132" s="35"/>
    </row>
    <row r="133" spans="1:20" s="36" customFormat="1" hidden="1" x14ac:dyDescent="0.25">
      <c r="A133" s="141">
        <f>A132+1</f>
        <v>202</v>
      </c>
      <c r="B133" s="141"/>
      <c r="C133" s="41"/>
      <c r="D133" s="41"/>
      <c r="E133" s="41">
        <v>0</v>
      </c>
      <c r="F133" s="41">
        <f>D133+E133</f>
        <v>0</v>
      </c>
      <c r="G133" s="41">
        <v>0</v>
      </c>
      <c r="H133" s="41">
        <f>F133*(($H$124)+1)+(IF(G133&lt;101,G133,IF(G133&lt;201,G133/2,IF(G133&lt;=301,G133/3,G133/4))))</f>
        <v>0</v>
      </c>
      <c r="I133" s="35"/>
      <c r="N133" s="35"/>
    </row>
    <row r="134" spans="1:20" s="36" customFormat="1" hidden="1" x14ac:dyDescent="0.25">
      <c r="A134" s="141">
        <f>A133+1</f>
        <v>203</v>
      </c>
      <c r="B134" s="141"/>
      <c r="C134" s="41"/>
      <c r="D134" s="41"/>
      <c r="E134" s="41">
        <v>0</v>
      </c>
      <c r="F134" s="41">
        <f>D134+E134</f>
        <v>0</v>
      </c>
      <c r="G134" s="41">
        <v>0</v>
      </c>
      <c r="H134" s="41">
        <f>F134*(($H$124)+1)+(IF(G134&lt;101,G134,IF(G134&lt;201,G134/2,IF(G134&lt;=301,G134/3,G134/4))))</f>
        <v>0</v>
      </c>
      <c r="I134" s="35"/>
      <c r="N134" s="35"/>
    </row>
    <row r="135" spans="1:20" s="36" customFormat="1" hidden="1" x14ac:dyDescent="0.25">
      <c r="A135" s="141">
        <f>A134+1</f>
        <v>204</v>
      </c>
      <c r="B135" s="141"/>
      <c r="C135" s="41"/>
      <c r="D135" s="41"/>
      <c r="E135" s="41">
        <v>0</v>
      </c>
      <c r="F135" s="41">
        <f>D135+E135</f>
        <v>0</v>
      </c>
      <c r="G135" s="41">
        <v>0</v>
      </c>
      <c r="H135" s="41">
        <f>F135*(($H$124)+1)+(IF(G135&lt;101,G135,IF(G135&lt;201,G135/2,IF(G135&lt;=301,G135/3,G135/4))))</f>
        <v>0</v>
      </c>
      <c r="I135" s="35"/>
      <c r="N135" s="35"/>
    </row>
    <row r="136" spans="1:20" s="36" customFormat="1" hidden="1" x14ac:dyDescent="0.25">
      <c r="A136" s="141">
        <f>A135+1</f>
        <v>205</v>
      </c>
      <c r="B136" s="141"/>
      <c r="C136" s="41"/>
      <c r="D136" s="41"/>
      <c r="E136" s="41">
        <v>0</v>
      </c>
      <c r="F136" s="41">
        <f>D136+E136</f>
        <v>0</v>
      </c>
      <c r="G136" s="41">
        <v>0</v>
      </c>
      <c r="H136" s="41">
        <f>F136*(($H$124)+1)+(IF(G136&lt;101,G136,IF(G136&lt;201,G136/2,IF(G136&lt;=301,G136/3,G136/4))))</f>
        <v>0</v>
      </c>
      <c r="I136" s="35"/>
      <c r="N136" s="35"/>
    </row>
    <row r="137" spans="1:20" s="36" customFormat="1" ht="15.75" hidden="1" customHeight="1" x14ac:dyDescent="0.25">
      <c r="A137" s="110" t="s">
        <v>153</v>
      </c>
      <c r="B137" s="111"/>
      <c r="C137" s="111"/>
      <c r="D137" s="111"/>
      <c r="E137" s="111"/>
      <c r="F137" s="111"/>
      <c r="G137" s="111"/>
      <c r="H137" s="112"/>
      <c r="I137" s="35"/>
    </row>
    <row r="138" spans="1:20" s="36" customFormat="1" ht="15.75" hidden="1" customHeight="1" x14ac:dyDescent="0.25">
      <c r="A138" s="108" t="str">
        <f ca="1">(SUMPRODUCT(MID(0&amp;(LEFT(A137,SUM(LEN(A137)-LEN(SUBSTITUTE(A137,{"0","1","2"},""))))), LARGE(INDEX(ISNUMBER(--MID((LEFT(A137,SUM(LEN(A137)-LEN(SUBSTITUTE(A137,{"0","1","2"},""))))), ROW(INDIRECT("1:"&amp;LEN((LEFT(A137,SUM(LEN(A137)-LEN(SUBSTITUTE(A137,{"0","1","2"},"")))))))), 1)) * ROW(INDIRECT("1:"&amp;LEN((LEFT(A137,SUM(LEN(A137)-LEN(SUBSTITUTE(A137,{"0","1","2"},"")))))))), 0), ROW(INDIRECT("1:"&amp;LEN((LEFT(A137,SUM(LEN(A137)-LEN(SUBSTITUTE(A137,{"0","1","2"},"")))))))))+1, 1) * 10^ROW(INDIRECT("1:"&amp;LEN((LEFT(A137,SUM(LEN(A137)-LEN(SUBSTITUTE(A137,{"0","1","2"},""))))))))/10))*100+1&amp;""&amp;" ,.., "&amp;""&amp;(SUMPRODUCT(MID(0&amp;(--TRIM(RIGHT(SUBSTITUTE(LEFT(A137,_xlfn.AGGREGATE(16,6,FIND({0,1,2,3,4,5,6,7,8,9},A137,ROW(INDIRECT("1:"&amp;LEN(A137)))),1))," ",REPT(" ",LEN(A137))),LEN(A137)))), LARGE(INDEX(ISNUMBER(--MID((--TRIM(RIGHT(SUBSTITUTE(LEFT(A137,_xlfn.AGGREGATE(16,6,FIND({0,1,2,3,4,5,6,7,8,9},A137,ROW(INDIRECT("1:"&amp;LEN(A137)))),1))," ",REPT(" ",LEN(A137))),LEN(A137)))), ROW(INDIRECT("1:"&amp;LEN((--TRIM(RIGHT(SUBSTITUTE(LEFT(A137,_xlfn.AGGREGATE(16,6,FIND({0,1,2,3,4,5,6,7,8,9},A137,ROW(INDIRECT("1:"&amp;LEN(A137)))),1))," ",REPT(" ",LEN(A137))),LEN(A137))))))), 1)) * ROW(INDIRECT("1:"&amp;LEN((--TRIM(RIGHT(SUBSTITUTE(LEFT(A137,_xlfn.AGGREGATE(16,6,FIND({0,1,2,3,4,5,6,7,8,9},A137,ROW(INDIRECT("1:"&amp;LEN(A137)))),1))," ",REPT(" ",LEN(A137))),LEN(A137))))))), 0), ROW(INDIRECT("1:"&amp;LEN((--TRIM(RIGHT(SUBSTITUTE(LEFT(A137,_xlfn.AGGREGATE(16,6,FIND({0,1,2,3,4,5,6,7,8,9},A137,ROW(INDIRECT("1:"&amp;LEN(A137)))),1))," ",REPT(" ",LEN(A137))),LEN(A137))))))))+1, 1) * 10^ROW(INDIRECT("1:"&amp;LEN((--TRIM(RIGHT(SUBSTITUTE(LEFT(A137,_xlfn.AGGREGATE(16,6,FIND({0,1,2,3,4,5,6,7,8,9},A137,ROW(INDIRECT("1:"&amp;LEN(A137)))),1))," ",REPT(" ",LEN(A137))),LEN(A137)))))))/10))*100+1</f>
        <v>301 ,.., 1501</v>
      </c>
      <c r="B138" s="109"/>
      <c r="C138" s="41"/>
      <c r="D138" s="41"/>
      <c r="E138" s="41">
        <v>0</v>
      </c>
      <c r="F138" s="41">
        <f>D138+E138</f>
        <v>0</v>
      </c>
      <c r="G138" s="41">
        <v>0</v>
      </c>
      <c r="H138" s="41">
        <f>F138*(($H$124)+1)+(IF(G138&lt;101,G138,IF(G138&lt;201,G138/2,IF(G138&lt;=301,G138/3,G138/4))))</f>
        <v>0</v>
      </c>
      <c r="I138" s="35"/>
    </row>
    <row r="139" spans="1:20" s="36" customFormat="1" ht="15.75" hidden="1" customHeight="1" x14ac:dyDescent="0.25">
      <c r="A139" s="108" t="str">
        <f ca="1">(SUMPRODUCT(MID(0&amp;(LEFT(A138,SUM(LEN(A138)-LEN(SUBSTITUTE(A138,{"0","1","2"},""))))), LARGE(INDEX(ISNUMBER(--MID((LEFT(A138,SUM(LEN(A138)-LEN(SUBSTITUTE(A138,{"0","1","2"},""))))), ROW(INDIRECT("1:"&amp;LEN((LEFT(A138,SUM(LEN(A138)-LEN(SUBSTITUTE(A138,{"0","1","2"},"")))))))), 1)) * ROW(INDIRECT("1:"&amp;LEN((LEFT(A138,SUM(LEN(A138)-LEN(SUBSTITUTE(A138,{"0","1","2"},"")))))))), 0), ROW(INDIRECT("1:"&amp;LEN((LEFT(A138,SUM(LEN(A138)-LEN(SUBSTITUTE(A138,{"0","1","2"},"")))))))))+1, 1) * 10^ROW(INDIRECT("1:"&amp;LEN((LEFT(A138,SUM(LEN(A138)-LEN(SUBSTITUTE(A138,{"0","1","2"},""))))))))/10))*1+1&amp;""&amp;" ,.., "&amp;""&amp;(SUMPRODUCT(MID(0&amp;(--TRIM(RIGHT(SUBSTITUTE(LEFT(A138,_xlfn.AGGREGATE(16,6,FIND({0,1,2,3,4,5,6,7,8,9},A138,ROW(INDIRECT("1:"&amp;LEN(A138)))),1))," ",REPT(" ",LEN(A138))),LEN(A138)))), LARGE(INDEX(ISNUMBER(--MID((--TRIM(RIGHT(SUBSTITUTE(LEFT(A138,_xlfn.AGGREGATE(16,6,FIND({0,1,2,3,4,5,6,7,8,9},A138,ROW(INDIRECT("1:"&amp;LEN(A138)))),1))," ",REPT(" ",LEN(A138))),LEN(A138)))), ROW(INDIRECT("1:"&amp;LEN((--TRIM(RIGHT(SUBSTITUTE(LEFT(A138,_xlfn.AGGREGATE(16,6,FIND({0,1,2,3,4,5,6,7,8,9},A138,ROW(INDIRECT("1:"&amp;LEN(A138)))),1))," ",REPT(" ",LEN(A138))),LEN(A138))))))), 1)) * ROW(INDIRECT("1:"&amp;LEN((--TRIM(RIGHT(SUBSTITUTE(LEFT(A138,_xlfn.AGGREGATE(16,6,FIND({0,1,2,3,4,5,6,7,8,9},A138,ROW(INDIRECT("1:"&amp;LEN(A138)))),1))," ",REPT(" ",LEN(A138))),LEN(A138))))))), 0), ROW(INDIRECT("1:"&amp;LEN((--TRIM(RIGHT(SUBSTITUTE(LEFT(A138,_xlfn.AGGREGATE(16,6,FIND({0,1,2,3,4,5,6,7,8,9},A138,ROW(INDIRECT("1:"&amp;LEN(A138)))),1))," ",REPT(" ",LEN(A138))),LEN(A138))))))))+1, 1) * 10^ROW(INDIRECT("1:"&amp;LEN((--TRIM(RIGHT(SUBSTITUTE(LEFT(A138,_xlfn.AGGREGATE(16,6,FIND({0,1,2,3,4,5,6,7,8,9},A138,ROW(INDIRECT("1:"&amp;LEN(A138)))),1))," ",REPT(" ",LEN(A138))),LEN(A138)))))))/10))*1+1</f>
        <v>302 ,.., 1502</v>
      </c>
      <c r="B139" s="109"/>
      <c r="C139" s="41"/>
      <c r="D139" s="41"/>
      <c r="E139" s="41">
        <v>0</v>
      </c>
      <c r="F139" s="41">
        <f>D139+E139</f>
        <v>0</v>
      </c>
      <c r="G139" s="41">
        <v>0</v>
      </c>
      <c r="H139" s="41">
        <f>F139*(($H$124)+1)+(IF(G139&lt;101,G139,IF(G139&lt;201,G139/2,IF(G139&lt;=301,G139/3,G139/4))))</f>
        <v>0</v>
      </c>
      <c r="I139" s="35"/>
    </row>
    <row r="140" spans="1:20" s="36" customFormat="1" ht="15.75" hidden="1" customHeight="1" x14ac:dyDescent="0.25">
      <c r="A140" s="108" t="str">
        <f ca="1">(SUMPRODUCT(MID(0&amp;(LEFT(A139,SUM(LEN(A139)-LEN(SUBSTITUTE(A139,{"0","1","2"},""))))), LARGE(INDEX(ISNUMBER(--MID((LEFT(A139,SUM(LEN(A139)-LEN(SUBSTITUTE(A139,{"0","1","2"},""))))), ROW(INDIRECT("1:"&amp;LEN((LEFT(A139,SUM(LEN(A139)-LEN(SUBSTITUTE(A139,{"0","1","2"},"")))))))), 1)) * ROW(INDIRECT("1:"&amp;LEN((LEFT(A139,SUM(LEN(A139)-LEN(SUBSTITUTE(A139,{"0","1","2"},"")))))))), 0), ROW(INDIRECT("1:"&amp;LEN((LEFT(A139,SUM(LEN(A139)-LEN(SUBSTITUTE(A139,{"0","1","2"},"")))))))))+1, 1) * 10^ROW(INDIRECT("1:"&amp;LEN((LEFT(A139,SUM(LEN(A139)-LEN(SUBSTITUTE(A139,{"0","1","2"},""))))))))/10))*1+1&amp;""&amp;" ,.., "&amp;""&amp;(SUMPRODUCT(MID(0&amp;(--TRIM(RIGHT(SUBSTITUTE(LEFT(A139,_xlfn.AGGREGATE(16,6,FIND({0,1,2,3,4,5,6,7,8,9},A139,ROW(INDIRECT("1:"&amp;LEN(A139)))),1))," ",REPT(" ",LEN(A139))),LEN(A139)))), LARGE(INDEX(ISNUMBER(--MID((--TRIM(RIGHT(SUBSTITUTE(LEFT(A139,_xlfn.AGGREGATE(16,6,FIND({0,1,2,3,4,5,6,7,8,9},A139,ROW(INDIRECT("1:"&amp;LEN(A139)))),1))," ",REPT(" ",LEN(A139))),LEN(A139)))), ROW(INDIRECT("1:"&amp;LEN((--TRIM(RIGHT(SUBSTITUTE(LEFT(A139,_xlfn.AGGREGATE(16,6,FIND({0,1,2,3,4,5,6,7,8,9},A139,ROW(INDIRECT("1:"&amp;LEN(A139)))),1))," ",REPT(" ",LEN(A139))),LEN(A139))))))), 1)) * ROW(INDIRECT("1:"&amp;LEN((--TRIM(RIGHT(SUBSTITUTE(LEFT(A139,_xlfn.AGGREGATE(16,6,FIND({0,1,2,3,4,5,6,7,8,9},A139,ROW(INDIRECT("1:"&amp;LEN(A139)))),1))," ",REPT(" ",LEN(A139))),LEN(A139))))))), 0), ROW(INDIRECT("1:"&amp;LEN((--TRIM(RIGHT(SUBSTITUTE(LEFT(A139,_xlfn.AGGREGATE(16,6,FIND({0,1,2,3,4,5,6,7,8,9},A139,ROW(INDIRECT("1:"&amp;LEN(A139)))),1))," ",REPT(" ",LEN(A139))),LEN(A139))))))))+1, 1) * 10^ROW(INDIRECT("1:"&amp;LEN((--TRIM(RIGHT(SUBSTITUTE(LEFT(A139,_xlfn.AGGREGATE(16,6,FIND({0,1,2,3,4,5,6,7,8,9},A139,ROW(INDIRECT("1:"&amp;LEN(A139)))),1))," ",REPT(" ",LEN(A139))),LEN(A139)))))))/10))*1+1</f>
        <v>303 ,.., 1503</v>
      </c>
      <c r="B140" s="109"/>
      <c r="C140" s="41"/>
      <c r="D140" s="41"/>
      <c r="E140" s="41">
        <v>0</v>
      </c>
      <c r="F140" s="41">
        <f>D140+E140</f>
        <v>0</v>
      </c>
      <c r="G140" s="41">
        <v>0</v>
      </c>
      <c r="H140" s="41">
        <f>F140*(($H$124)+1)+(IF(G140&lt;101,G140,IF(G140&lt;201,G140/2,IF(G140&lt;=301,G140/3,G140/4))))</f>
        <v>0</v>
      </c>
      <c r="I140" s="35"/>
    </row>
    <row r="141" spans="1:20" s="36" customFormat="1" ht="15.75" hidden="1" customHeight="1" x14ac:dyDescent="0.25">
      <c r="A141" s="108" t="str">
        <f ca="1">(SUMPRODUCT(MID(0&amp;(LEFT(A140,SUM(LEN(A140)-LEN(SUBSTITUTE(A140,{"0","1","2"},""))))), LARGE(INDEX(ISNUMBER(--MID((LEFT(A140,SUM(LEN(A140)-LEN(SUBSTITUTE(A140,{"0","1","2"},""))))), ROW(INDIRECT("1:"&amp;LEN((LEFT(A140,SUM(LEN(A140)-LEN(SUBSTITUTE(A140,{"0","1","2"},"")))))))), 1)) * ROW(INDIRECT("1:"&amp;LEN((LEFT(A140,SUM(LEN(A140)-LEN(SUBSTITUTE(A140,{"0","1","2"},"")))))))), 0), ROW(INDIRECT("1:"&amp;LEN((LEFT(A140,SUM(LEN(A140)-LEN(SUBSTITUTE(A140,{"0","1","2"},"")))))))))+1, 1) * 10^ROW(INDIRECT("1:"&amp;LEN((LEFT(A140,SUM(LEN(A140)-LEN(SUBSTITUTE(A140,{"0","1","2"},""))))))))/10))*1+1&amp;""&amp;" ,.., "&amp;""&amp;(SUMPRODUCT(MID(0&amp;(--TRIM(RIGHT(SUBSTITUTE(LEFT(A140,_xlfn.AGGREGATE(16,6,FIND({0,1,2,3,4,5,6,7,8,9},A140,ROW(INDIRECT("1:"&amp;LEN(A140)))),1))," ",REPT(" ",LEN(A140))),LEN(A140)))), LARGE(INDEX(ISNUMBER(--MID((--TRIM(RIGHT(SUBSTITUTE(LEFT(A140,_xlfn.AGGREGATE(16,6,FIND({0,1,2,3,4,5,6,7,8,9},A140,ROW(INDIRECT("1:"&amp;LEN(A140)))),1))," ",REPT(" ",LEN(A140))),LEN(A140)))), ROW(INDIRECT("1:"&amp;LEN((--TRIM(RIGHT(SUBSTITUTE(LEFT(A140,_xlfn.AGGREGATE(16,6,FIND({0,1,2,3,4,5,6,7,8,9},A140,ROW(INDIRECT("1:"&amp;LEN(A140)))),1))," ",REPT(" ",LEN(A140))),LEN(A140))))))), 1)) * ROW(INDIRECT("1:"&amp;LEN((--TRIM(RIGHT(SUBSTITUTE(LEFT(A140,_xlfn.AGGREGATE(16,6,FIND({0,1,2,3,4,5,6,7,8,9},A140,ROW(INDIRECT("1:"&amp;LEN(A140)))),1))," ",REPT(" ",LEN(A140))),LEN(A140))))))), 0), ROW(INDIRECT("1:"&amp;LEN((--TRIM(RIGHT(SUBSTITUTE(LEFT(A140,_xlfn.AGGREGATE(16,6,FIND({0,1,2,3,4,5,6,7,8,9},A140,ROW(INDIRECT("1:"&amp;LEN(A140)))),1))," ",REPT(" ",LEN(A140))),LEN(A140))))))))+1, 1) * 10^ROW(INDIRECT("1:"&amp;LEN((--TRIM(RIGHT(SUBSTITUTE(LEFT(A140,_xlfn.AGGREGATE(16,6,FIND({0,1,2,3,4,5,6,7,8,9},A140,ROW(INDIRECT("1:"&amp;LEN(A140)))),1))," ",REPT(" ",LEN(A140))),LEN(A140)))))))/10))*1+1</f>
        <v>304 ,.., 1504</v>
      </c>
      <c r="B141" s="109"/>
      <c r="C141" s="41"/>
      <c r="D141" s="41"/>
      <c r="E141" s="41">
        <v>0</v>
      </c>
      <c r="F141" s="41">
        <f>D141+E141</f>
        <v>0</v>
      </c>
      <c r="G141" s="41">
        <v>0</v>
      </c>
      <c r="H141" s="41">
        <f>F141*(($H$124)+1)+(IF(G141&lt;101,G141,IF(G141&lt;201,G141/2,IF(G141&lt;=301,G141/3,G141/4))))</f>
        <v>0</v>
      </c>
      <c r="I141" s="35"/>
    </row>
    <row r="142" spans="1:20" s="36" customFormat="1" ht="15.75" hidden="1" customHeight="1" x14ac:dyDescent="0.25">
      <c r="A142" s="108" t="str">
        <f ca="1">(SUMPRODUCT(MID(0&amp;(LEFT(A141,SUM(LEN(A141)-LEN(SUBSTITUTE(A141,{"0","1","2"},""))))), LARGE(INDEX(ISNUMBER(--MID((LEFT(A141,SUM(LEN(A141)-LEN(SUBSTITUTE(A141,{"0","1","2"},""))))), ROW(INDIRECT("1:"&amp;LEN((LEFT(A141,SUM(LEN(A141)-LEN(SUBSTITUTE(A141,{"0","1","2"},"")))))))), 1)) * ROW(INDIRECT("1:"&amp;LEN((LEFT(A141,SUM(LEN(A141)-LEN(SUBSTITUTE(A141,{"0","1","2"},"")))))))), 0), ROW(INDIRECT("1:"&amp;LEN((LEFT(A141,SUM(LEN(A141)-LEN(SUBSTITUTE(A141,{"0","1","2"},"")))))))))+1, 1) * 10^ROW(INDIRECT("1:"&amp;LEN((LEFT(A141,SUM(LEN(A141)-LEN(SUBSTITUTE(A141,{"0","1","2"},""))))))))/10))*1+1&amp;""&amp;" ,.., "&amp;""&amp;(SUMPRODUCT(MID(0&amp;(--TRIM(RIGHT(SUBSTITUTE(LEFT(A141,_xlfn.AGGREGATE(16,6,FIND({0,1,2,3,4,5,6,7,8,9},A141,ROW(INDIRECT("1:"&amp;LEN(A141)))),1))," ",REPT(" ",LEN(A141))),LEN(A141)))), LARGE(INDEX(ISNUMBER(--MID((--TRIM(RIGHT(SUBSTITUTE(LEFT(A141,_xlfn.AGGREGATE(16,6,FIND({0,1,2,3,4,5,6,7,8,9},A141,ROW(INDIRECT("1:"&amp;LEN(A141)))),1))," ",REPT(" ",LEN(A141))),LEN(A141)))), ROW(INDIRECT("1:"&amp;LEN((--TRIM(RIGHT(SUBSTITUTE(LEFT(A141,_xlfn.AGGREGATE(16,6,FIND({0,1,2,3,4,5,6,7,8,9},A141,ROW(INDIRECT("1:"&amp;LEN(A141)))),1))," ",REPT(" ",LEN(A141))),LEN(A141))))))), 1)) * ROW(INDIRECT("1:"&amp;LEN((--TRIM(RIGHT(SUBSTITUTE(LEFT(A141,_xlfn.AGGREGATE(16,6,FIND({0,1,2,3,4,5,6,7,8,9},A141,ROW(INDIRECT("1:"&amp;LEN(A141)))),1))," ",REPT(" ",LEN(A141))),LEN(A141))))))), 0), ROW(INDIRECT("1:"&amp;LEN((--TRIM(RIGHT(SUBSTITUTE(LEFT(A141,_xlfn.AGGREGATE(16,6,FIND({0,1,2,3,4,5,6,7,8,9},A141,ROW(INDIRECT("1:"&amp;LEN(A141)))),1))," ",REPT(" ",LEN(A141))),LEN(A141))))))))+1, 1) * 10^ROW(INDIRECT("1:"&amp;LEN((--TRIM(RIGHT(SUBSTITUTE(LEFT(A141,_xlfn.AGGREGATE(16,6,FIND({0,1,2,3,4,5,6,7,8,9},A141,ROW(INDIRECT("1:"&amp;LEN(A141)))),1))," ",REPT(" ",LEN(A141))),LEN(A141)))))))/10))*1+1</f>
        <v>305 ,.., 1505</v>
      </c>
      <c r="B142" s="109"/>
      <c r="C142" s="41"/>
      <c r="D142" s="41"/>
      <c r="E142" s="41">
        <v>0</v>
      </c>
      <c r="F142" s="41">
        <f>D142+E142</f>
        <v>0</v>
      </c>
      <c r="G142" s="41">
        <v>0</v>
      </c>
      <c r="H142" s="41">
        <f>F142*(($H$124)+1)+(IF(G142&lt;101,G142,IF(G142&lt;201,G142/2,IF(G142&lt;=301,G142/3,G142/4))))</f>
        <v>0</v>
      </c>
      <c r="I142" s="35"/>
    </row>
    <row r="143" spans="1:20" s="36" customFormat="1" hidden="1" x14ac:dyDescent="0.25">
      <c r="A143" s="110" t="s">
        <v>146</v>
      </c>
      <c r="B143" s="111"/>
      <c r="C143" s="111"/>
      <c r="D143" s="111"/>
      <c r="E143" s="111"/>
      <c r="F143" s="111"/>
      <c r="G143" s="111"/>
      <c r="H143" s="112"/>
      <c r="I143" s="35"/>
    </row>
    <row r="144" spans="1:20" s="36" customFormat="1" ht="15.75" hidden="1" customHeight="1" x14ac:dyDescent="0.25">
      <c r="A144" s="108" t="str">
        <f ca="1">(SUMPRODUCT(MID(0&amp;(LEFT(A143,SUM(LEN(A143)-LEN(SUBSTITUTE(A143,{"0","1","2"},""))))), LARGE(INDEX(ISNUMBER(--MID((LEFT(A143,SUM(LEN(A143)-LEN(SUBSTITUTE(A143,{"0","1","2"},""))))), ROW(INDIRECT("1:"&amp;LEN((LEFT(A143,SUM(LEN(A143)-LEN(SUBSTITUTE(A143,{"0","1","2"},"")))))))), 1)) * ROW(INDIRECT("1:"&amp;LEN((LEFT(A143,SUM(LEN(A143)-LEN(SUBSTITUTE(A143,{"0","1","2"},"")))))))), 0), ROW(INDIRECT("1:"&amp;LEN((LEFT(A143,SUM(LEN(A143)-LEN(SUBSTITUTE(A143,{"0","1","2"},"")))))))))+1, 1) * 10^ROW(INDIRECT("1:"&amp;LEN((LEFT(A143,SUM(LEN(A143)-LEN(SUBSTITUTE(A143,{"0","1","2"},""))))))))/10))*100+1&amp;""&amp;" to "&amp;""&amp;(SUMPRODUCT(MID(0&amp;(--TRIM(RIGHT(SUBSTITUTE(LEFT(A143,_xlfn.AGGREGATE(16,6,FIND({0,1,2,3,4,5,6,7,8,9},A143,ROW(INDIRECT("1:"&amp;LEN(A143)))),1))," ",REPT(" ",LEN(A143))),LEN(A143)))), LARGE(INDEX(ISNUMBER(--MID((--TRIM(RIGHT(SUBSTITUTE(LEFT(A143,_xlfn.AGGREGATE(16,6,FIND({0,1,2,3,4,5,6,7,8,9},A143,ROW(INDIRECT("1:"&amp;LEN(A143)))),1))," ",REPT(" ",LEN(A143))),LEN(A143)))), ROW(INDIRECT("1:"&amp;LEN((--TRIM(RIGHT(SUBSTITUTE(LEFT(A143,_xlfn.AGGREGATE(16,6,FIND({0,1,2,3,4,5,6,7,8,9},A143,ROW(INDIRECT("1:"&amp;LEN(A143)))),1))," ",REPT(" ",LEN(A143))),LEN(A143))))))), 1)) * ROW(INDIRECT("1:"&amp;LEN((--TRIM(RIGHT(SUBSTITUTE(LEFT(A143,_xlfn.AGGREGATE(16,6,FIND({0,1,2,3,4,5,6,7,8,9},A143,ROW(INDIRECT("1:"&amp;LEN(A143)))),1))," ",REPT(" ",LEN(A143))),LEN(A143))))))), 0), ROW(INDIRECT("1:"&amp;LEN((--TRIM(RIGHT(SUBSTITUTE(LEFT(A143,_xlfn.AGGREGATE(16,6,FIND({0,1,2,3,4,5,6,7,8,9},A143,ROW(INDIRECT("1:"&amp;LEN(A143)))),1))," ",REPT(" ",LEN(A143))),LEN(A143))))))))+1, 1) * 10^ROW(INDIRECT("1:"&amp;LEN((--TRIM(RIGHT(SUBSTITUTE(LEFT(A143,_xlfn.AGGREGATE(16,6,FIND({0,1,2,3,4,5,6,7,8,9},A143,ROW(INDIRECT("1:"&amp;LEN(A143)))),1))," ",REPT(" ",LEN(A143))),LEN(A143)))))))/10))*100+1</f>
        <v>201 to 501</v>
      </c>
      <c r="B144" s="109"/>
      <c r="C144" s="41"/>
      <c r="D144" s="41"/>
      <c r="E144" s="41">
        <v>0</v>
      </c>
      <c r="F144" s="41">
        <f>D144+E144</f>
        <v>0</v>
      </c>
      <c r="G144" s="41">
        <v>0</v>
      </c>
      <c r="H144" s="41">
        <f>F144*(($H$124)+1)+(IF(G144&lt;101,G144,IF(G144&lt;201,G144/2,IF(G144&lt;=301,G144/3,G144/4))))</f>
        <v>0</v>
      </c>
      <c r="I144" s="35"/>
    </row>
    <row r="145" spans="1:20" s="36" customFormat="1" ht="15.75" hidden="1" customHeight="1" x14ac:dyDescent="0.25">
      <c r="A145" s="108" t="str">
        <f ca="1">(SUMPRODUCT(MID(0&amp;(LEFT(A144,SUM(LEN(A144)-LEN(SUBSTITUTE(A144,{"0","1","2"},""))))), LARGE(INDEX(ISNUMBER(--MID((LEFT(A144,SUM(LEN(A144)-LEN(SUBSTITUTE(A144,{"0","1","2"},""))))), ROW(INDIRECT("1:"&amp;LEN((LEFT(A144,SUM(LEN(A144)-LEN(SUBSTITUTE(A144,{"0","1","2"},"")))))))), 1)) * ROW(INDIRECT("1:"&amp;LEN((LEFT(A144,SUM(LEN(A144)-LEN(SUBSTITUTE(A144,{"0","1","2"},"")))))))), 0), ROW(INDIRECT("1:"&amp;LEN((LEFT(A144,SUM(LEN(A144)-LEN(SUBSTITUTE(A144,{"0","1","2"},"")))))))))+1, 1) * 10^ROW(INDIRECT("1:"&amp;LEN((LEFT(A144,SUM(LEN(A144)-LEN(SUBSTITUTE(A144,{"0","1","2"},""))))))))/10))*1+1&amp;""&amp;" to "&amp;""&amp;(SUMPRODUCT(MID(0&amp;(--TRIM(RIGHT(SUBSTITUTE(LEFT(A144,_xlfn.AGGREGATE(16,6,FIND({0,1,2,3,4,5,6,7,8,9},A144,ROW(INDIRECT("1:"&amp;LEN(A144)))),1))," ",REPT(" ",LEN(A144))),LEN(A144)))), LARGE(INDEX(ISNUMBER(--MID((--TRIM(RIGHT(SUBSTITUTE(LEFT(A144,_xlfn.AGGREGATE(16,6,FIND({0,1,2,3,4,5,6,7,8,9},A144,ROW(INDIRECT("1:"&amp;LEN(A144)))),1))," ",REPT(" ",LEN(A144))),LEN(A144)))), ROW(INDIRECT("1:"&amp;LEN((--TRIM(RIGHT(SUBSTITUTE(LEFT(A144,_xlfn.AGGREGATE(16,6,FIND({0,1,2,3,4,5,6,7,8,9},A144,ROW(INDIRECT("1:"&amp;LEN(A144)))),1))," ",REPT(" ",LEN(A144))),LEN(A144))))))), 1)) * ROW(INDIRECT("1:"&amp;LEN((--TRIM(RIGHT(SUBSTITUTE(LEFT(A144,_xlfn.AGGREGATE(16,6,FIND({0,1,2,3,4,5,6,7,8,9},A144,ROW(INDIRECT("1:"&amp;LEN(A144)))),1))," ",REPT(" ",LEN(A144))),LEN(A144))))))), 0), ROW(INDIRECT("1:"&amp;LEN((--TRIM(RIGHT(SUBSTITUTE(LEFT(A144,_xlfn.AGGREGATE(16,6,FIND({0,1,2,3,4,5,6,7,8,9},A144,ROW(INDIRECT("1:"&amp;LEN(A144)))),1))," ",REPT(" ",LEN(A144))),LEN(A144))))))))+1, 1) * 10^ROW(INDIRECT("1:"&amp;LEN((--TRIM(RIGHT(SUBSTITUTE(LEFT(A144,_xlfn.AGGREGATE(16,6,FIND({0,1,2,3,4,5,6,7,8,9},A144,ROW(INDIRECT("1:"&amp;LEN(A144)))),1))," ",REPT(" ",LEN(A144))),LEN(A144)))))))/10))*1+1</f>
        <v>202 to 502</v>
      </c>
      <c r="B145" s="109"/>
      <c r="C145" s="41"/>
      <c r="D145" s="41"/>
      <c r="E145" s="41">
        <v>0</v>
      </c>
      <c r="F145" s="41">
        <f>D145+E145</f>
        <v>0</v>
      </c>
      <c r="G145" s="41">
        <v>0</v>
      </c>
      <c r="H145" s="41">
        <f>F145*(($H$124)+1)+(IF(G145&lt;101,G145,IF(G145&lt;201,G145/2,IF(G145&lt;=301,G145/3,G145/4))))</f>
        <v>0</v>
      </c>
      <c r="I145" s="35"/>
    </row>
    <row r="146" spans="1:20" s="36" customFormat="1" ht="15.75" hidden="1" customHeight="1" x14ac:dyDescent="0.25">
      <c r="A146" s="108" t="str">
        <f ca="1">(SUMPRODUCT(MID(0&amp;(LEFT(A145,SUM(LEN(A145)-LEN(SUBSTITUTE(A145,{"0","1","2"},""))))), LARGE(INDEX(ISNUMBER(--MID((LEFT(A145,SUM(LEN(A145)-LEN(SUBSTITUTE(A145,{"0","1","2"},""))))), ROW(INDIRECT("1:"&amp;LEN((LEFT(A145,SUM(LEN(A145)-LEN(SUBSTITUTE(A145,{"0","1","2"},"")))))))), 1)) * ROW(INDIRECT("1:"&amp;LEN((LEFT(A145,SUM(LEN(A145)-LEN(SUBSTITUTE(A145,{"0","1","2"},"")))))))), 0), ROW(INDIRECT("1:"&amp;LEN((LEFT(A145,SUM(LEN(A145)-LEN(SUBSTITUTE(A145,{"0","1","2"},"")))))))))+1, 1) * 10^ROW(INDIRECT("1:"&amp;LEN((LEFT(A145,SUM(LEN(A145)-LEN(SUBSTITUTE(A145,{"0","1","2"},""))))))))/10))*1+1&amp;""&amp;" to "&amp;""&amp;(SUMPRODUCT(MID(0&amp;(--TRIM(RIGHT(SUBSTITUTE(LEFT(A145,_xlfn.AGGREGATE(16,6,FIND({0,1,2,3,4,5,6,7,8,9},A145,ROW(INDIRECT("1:"&amp;LEN(A145)))),1))," ",REPT(" ",LEN(A145))),LEN(A145)))), LARGE(INDEX(ISNUMBER(--MID((--TRIM(RIGHT(SUBSTITUTE(LEFT(A145,_xlfn.AGGREGATE(16,6,FIND({0,1,2,3,4,5,6,7,8,9},A145,ROW(INDIRECT("1:"&amp;LEN(A145)))),1))," ",REPT(" ",LEN(A145))),LEN(A145)))), ROW(INDIRECT("1:"&amp;LEN((--TRIM(RIGHT(SUBSTITUTE(LEFT(A145,_xlfn.AGGREGATE(16,6,FIND({0,1,2,3,4,5,6,7,8,9},A145,ROW(INDIRECT("1:"&amp;LEN(A145)))),1))," ",REPT(" ",LEN(A145))),LEN(A145))))))), 1)) * ROW(INDIRECT("1:"&amp;LEN((--TRIM(RIGHT(SUBSTITUTE(LEFT(A145,_xlfn.AGGREGATE(16,6,FIND({0,1,2,3,4,5,6,7,8,9},A145,ROW(INDIRECT("1:"&amp;LEN(A145)))),1))," ",REPT(" ",LEN(A145))),LEN(A145))))))), 0), ROW(INDIRECT("1:"&amp;LEN((--TRIM(RIGHT(SUBSTITUTE(LEFT(A145,_xlfn.AGGREGATE(16,6,FIND({0,1,2,3,4,5,6,7,8,9},A145,ROW(INDIRECT("1:"&amp;LEN(A145)))),1))," ",REPT(" ",LEN(A145))),LEN(A145))))))))+1, 1) * 10^ROW(INDIRECT("1:"&amp;LEN((--TRIM(RIGHT(SUBSTITUTE(LEFT(A145,_xlfn.AGGREGATE(16,6,FIND({0,1,2,3,4,5,6,7,8,9},A145,ROW(INDIRECT("1:"&amp;LEN(A145)))),1))," ",REPT(" ",LEN(A145))),LEN(A145)))))))/10))*1+1</f>
        <v>203 to 503</v>
      </c>
      <c r="B146" s="109"/>
      <c r="C146" s="41"/>
      <c r="D146" s="41"/>
      <c r="E146" s="41">
        <v>0</v>
      </c>
      <c r="F146" s="41">
        <f>D146+E146</f>
        <v>0</v>
      </c>
      <c r="G146" s="41">
        <v>0</v>
      </c>
      <c r="H146" s="41">
        <f>F146*(($H$124)+1)+(IF(G146&lt;101,G146,IF(G146&lt;201,G146/2,IF(G146&lt;=301,G146/3,G146/4))))</f>
        <v>0</v>
      </c>
      <c r="I146" s="35"/>
    </row>
    <row r="147" spans="1:20" s="36" customFormat="1" ht="15.75" hidden="1" customHeight="1" x14ac:dyDescent="0.25">
      <c r="A147" s="108" t="str">
        <f ca="1">(SUMPRODUCT(MID(0&amp;(LEFT(A146,SUM(LEN(A146)-LEN(SUBSTITUTE(A146,{"0","1","2"},""))))), LARGE(INDEX(ISNUMBER(--MID((LEFT(A146,SUM(LEN(A146)-LEN(SUBSTITUTE(A146,{"0","1","2"},""))))), ROW(INDIRECT("1:"&amp;LEN((LEFT(A146,SUM(LEN(A146)-LEN(SUBSTITUTE(A146,{"0","1","2"},"")))))))), 1)) * ROW(INDIRECT("1:"&amp;LEN((LEFT(A146,SUM(LEN(A146)-LEN(SUBSTITUTE(A146,{"0","1","2"},"")))))))), 0), ROW(INDIRECT("1:"&amp;LEN((LEFT(A146,SUM(LEN(A146)-LEN(SUBSTITUTE(A146,{"0","1","2"},"")))))))))+1, 1) * 10^ROW(INDIRECT("1:"&amp;LEN((LEFT(A146,SUM(LEN(A146)-LEN(SUBSTITUTE(A146,{"0","1","2"},""))))))))/10))*1+1&amp;""&amp;" to "&amp;""&amp;(SUMPRODUCT(MID(0&amp;(--TRIM(RIGHT(SUBSTITUTE(LEFT(A146,_xlfn.AGGREGATE(16,6,FIND({0,1,2,3,4,5,6,7,8,9},A146,ROW(INDIRECT("1:"&amp;LEN(A146)))),1))," ",REPT(" ",LEN(A146))),LEN(A146)))), LARGE(INDEX(ISNUMBER(--MID((--TRIM(RIGHT(SUBSTITUTE(LEFT(A146,_xlfn.AGGREGATE(16,6,FIND({0,1,2,3,4,5,6,7,8,9},A146,ROW(INDIRECT("1:"&amp;LEN(A146)))),1))," ",REPT(" ",LEN(A146))),LEN(A146)))), ROW(INDIRECT("1:"&amp;LEN((--TRIM(RIGHT(SUBSTITUTE(LEFT(A146,_xlfn.AGGREGATE(16,6,FIND({0,1,2,3,4,5,6,7,8,9},A146,ROW(INDIRECT("1:"&amp;LEN(A146)))),1))," ",REPT(" ",LEN(A146))),LEN(A146))))))), 1)) * ROW(INDIRECT("1:"&amp;LEN((--TRIM(RIGHT(SUBSTITUTE(LEFT(A146,_xlfn.AGGREGATE(16,6,FIND({0,1,2,3,4,5,6,7,8,9},A146,ROW(INDIRECT("1:"&amp;LEN(A146)))),1))," ",REPT(" ",LEN(A146))),LEN(A146))))))), 0), ROW(INDIRECT("1:"&amp;LEN((--TRIM(RIGHT(SUBSTITUTE(LEFT(A146,_xlfn.AGGREGATE(16,6,FIND({0,1,2,3,4,5,6,7,8,9},A146,ROW(INDIRECT("1:"&amp;LEN(A146)))),1))," ",REPT(" ",LEN(A146))),LEN(A146))))))))+1, 1) * 10^ROW(INDIRECT("1:"&amp;LEN((--TRIM(RIGHT(SUBSTITUTE(LEFT(A146,_xlfn.AGGREGATE(16,6,FIND({0,1,2,3,4,5,6,7,8,9},A146,ROW(INDIRECT("1:"&amp;LEN(A146)))),1))," ",REPT(" ",LEN(A146))),LEN(A146)))))))/10))*1+1</f>
        <v>204 to 504</v>
      </c>
      <c r="B147" s="109"/>
      <c r="C147" s="41"/>
      <c r="D147" s="41"/>
      <c r="E147" s="41">
        <v>0</v>
      </c>
      <c r="F147" s="41">
        <f>D147+E147</f>
        <v>0</v>
      </c>
      <c r="G147" s="41">
        <v>0</v>
      </c>
      <c r="H147" s="41">
        <f>F147*(($H$124)+1)+(IF(G147&lt;101,G147,IF(G147&lt;201,G147/2,IF(G147&lt;=301,G147/3,G147/4))))</f>
        <v>0</v>
      </c>
      <c r="I147" s="35"/>
    </row>
    <row r="148" spans="1:20" s="36" customFormat="1" ht="15.75" hidden="1" customHeight="1" x14ac:dyDescent="0.25">
      <c r="A148" s="108" t="str">
        <f ca="1">(SUMPRODUCT(MID(0&amp;(LEFT(A147,SUM(LEN(A147)-LEN(SUBSTITUTE(A147,{"0","1","2"},""))))), LARGE(INDEX(ISNUMBER(--MID((LEFT(A147,SUM(LEN(A147)-LEN(SUBSTITUTE(A147,{"0","1","2"},""))))), ROW(INDIRECT("1:"&amp;LEN((LEFT(A147,SUM(LEN(A147)-LEN(SUBSTITUTE(A147,{"0","1","2"},"")))))))), 1)) * ROW(INDIRECT("1:"&amp;LEN((LEFT(A147,SUM(LEN(A147)-LEN(SUBSTITUTE(A147,{"0","1","2"},"")))))))), 0), ROW(INDIRECT("1:"&amp;LEN((LEFT(A147,SUM(LEN(A147)-LEN(SUBSTITUTE(A147,{"0","1","2"},"")))))))))+1, 1) * 10^ROW(INDIRECT("1:"&amp;LEN((LEFT(A147,SUM(LEN(A147)-LEN(SUBSTITUTE(A147,{"0","1","2"},""))))))))/10))*1+1&amp;""&amp;" to "&amp;""&amp;(SUMPRODUCT(MID(0&amp;(--TRIM(RIGHT(SUBSTITUTE(LEFT(A147,_xlfn.AGGREGATE(16,6,FIND({0,1,2,3,4,5,6,7,8,9},A147,ROW(INDIRECT("1:"&amp;LEN(A147)))),1))," ",REPT(" ",LEN(A147))),LEN(A147)))), LARGE(INDEX(ISNUMBER(--MID((--TRIM(RIGHT(SUBSTITUTE(LEFT(A147,_xlfn.AGGREGATE(16,6,FIND({0,1,2,3,4,5,6,7,8,9},A147,ROW(INDIRECT("1:"&amp;LEN(A147)))),1))," ",REPT(" ",LEN(A147))),LEN(A147)))), ROW(INDIRECT("1:"&amp;LEN((--TRIM(RIGHT(SUBSTITUTE(LEFT(A147,_xlfn.AGGREGATE(16,6,FIND({0,1,2,3,4,5,6,7,8,9},A147,ROW(INDIRECT("1:"&amp;LEN(A147)))),1))," ",REPT(" ",LEN(A147))),LEN(A147))))))), 1)) * ROW(INDIRECT("1:"&amp;LEN((--TRIM(RIGHT(SUBSTITUTE(LEFT(A147,_xlfn.AGGREGATE(16,6,FIND({0,1,2,3,4,5,6,7,8,9},A147,ROW(INDIRECT("1:"&amp;LEN(A147)))),1))," ",REPT(" ",LEN(A147))),LEN(A147))))))), 0), ROW(INDIRECT("1:"&amp;LEN((--TRIM(RIGHT(SUBSTITUTE(LEFT(A147,_xlfn.AGGREGATE(16,6,FIND({0,1,2,3,4,5,6,7,8,9},A147,ROW(INDIRECT("1:"&amp;LEN(A147)))),1))," ",REPT(" ",LEN(A147))),LEN(A147))))))))+1, 1) * 10^ROW(INDIRECT("1:"&amp;LEN((--TRIM(RIGHT(SUBSTITUTE(LEFT(A147,_xlfn.AGGREGATE(16,6,FIND({0,1,2,3,4,5,6,7,8,9},A147,ROW(INDIRECT("1:"&amp;LEN(A147)))),1))," ",REPT(" ",LEN(A147))),LEN(A147)))))))/10))*1+1</f>
        <v>205 to 505</v>
      </c>
      <c r="B148" s="109"/>
      <c r="C148" s="41"/>
      <c r="D148" s="41"/>
      <c r="E148" s="41">
        <v>0</v>
      </c>
      <c r="F148" s="41">
        <f>D148+E148</f>
        <v>0</v>
      </c>
      <c r="G148" s="41">
        <v>0</v>
      </c>
      <c r="H148" s="41">
        <f>F148*(($H$124)+1)+(IF(G148&lt;101,G148,IF(G148&lt;201,G148/2,IF(G148&lt;=301,G148/3,G148/4))))</f>
        <v>0</v>
      </c>
      <c r="I148" s="35"/>
    </row>
    <row r="149" spans="1:20" s="36" customFormat="1" hidden="1" x14ac:dyDescent="0.25">
      <c r="A149" s="110" t="s">
        <v>147</v>
      </c>
      <c r="B149" s="111"/>
      <c r="C149" s="111"/>
      <c r="D149" s="111"/>
      <c r="E149" s="111"/>
      <c r="F149" s="111"/>
      <c r="G149" s="111"/>
      <c r="H149" s="112"/>
      <c r="I149" s="35"/>
    </row>
    <row r="150" spans="1:20" s="36" customFormat="1" ht="15.75" hidden="1" customHeight="1" x14ac:dyDescent="0.25">
      <c r="A150" s="108" t="str">
        <f ca="1">(SUMPRODUCT(MID(0&amp;(LEFT(A149,SUM(LEN(A149)-LEN(SUBSTITUTE(A149,{"0","1","2"},""))))), LARGE(INDEX(ISNUMBER(--MID((LEFT(A149,SUM(LEN(A149)-LEN(SUBSTITUTE(A149,{"0","1","2"},""))))), ROW(INDIRECT("1:"&amp;LEN((LEFT(A149,SUM(LEN(A149)-LEN(SUBSTITUTE(A149,{"0","1","2"},"")))))))), 1)) * ROW(INDIRECT("1:"&amp;LEN((LEFT(A149,SUM(LEN(A149)-LEN(SUBSTITUTE(A149,{"0","1","2"},"")))))))), 0), ROW(INDIRECT("1:"&amp;LEN((LEFT(A149,SUM(LEN(A149)-LEN(SUBSTITUTE(A149,{"0","1","2"},"")))))))))+1, 1) * 10^ROW(INDIRECT("1:"&amp;LEN((LEFT(A149,SUM(LEN(A149)-LEN(SUBSTITUTE(A149,{"0","1","2"},""))))))))/10))*100+1&amp;""&amp;" &amp; "&amp;""&amp;(SUMPRODUCT(MID(0&amp;(--TRIM(RIGHT(SUBSTITUTE(LEFT(A149,_xlfn.AGGREGATE(16,6,FIND({0,1,2,3,4,5,6,7,8,9},A149,ROW(INDIRECT("1:"&amp;LEN(A149)))),1))," ",REPT(" ",LEN(A149))),LEN(A149)))), LARGE(INDEX(ISNUMBER(--MID((--TRIM(RIGHT(SUBSTITUTE(LEFT(A149,_xlfn.AGGREGATE(16,6,FIND({0,1,2,3,4,5,6,7,8,9},A149,ROW(INDIRECT("1:"&amp;LEN(A149)))),1))," ",REPT(" ",LEN(A149))),LEN(A149)))), ROW(INDIRECT("1:"&amp;LEN((--TRIM(RIGHT(SUBSTITUTE(LEFT(A149,_xlfn.AGGREGATE(16,6,FIND({0,1,2,3,4,5,6,7,8,9},A149,ROW(INDIRECT("1:"&amp;LEN(A149)))),1))," ",REPT(" ",LEN(A149))),LEN(A149))))))), 1)) * ROW(INDIRECT("1:"&amp;LEN((--TRIM(RIGHT(SUBSTITUTE(LEFT(A149,_xlfn.AGGREGATE(16,6,FIND({0,1,2,3,4,5,6,7,8,9},A149,ROW(INDIRECT("1:"&amp;LEN(A149)))),1))," ",REPT(" ",LEN(A149))),LEN(A149))))))), 0), ROW(INDIRECT("1:"&amp;LEN((--TRIM(RIGHT(SUBSTITUTE(LEFT(A149,_xlfn.AGGREGATE(16,6,FIND({0,1,2,3,4,5,6,7,8,9},A149,ROW(INDIRECT("1:"&amp;LEN(A149)))),1))," ",REPT(" ",LEN(A149))),LEN(A149))))))))+1, 1) * 10^ROW(INDIRECT("1:"&amp;LEN((--TRIM(RIGHT(SUBSTITUTE(LEFT(A149,_xlfn.AGGREGATE(16,6,FIND({0,1,2,3,4,5,6,7,8,9},A149,ROW(INDIRECT("1:"&amp;LEN(A149)))),1))," ",REPT(" ",LEN(A149))),LEN(A149)))))))/10))*100+1</f>
        <v>201 &amp; 501</v>
      </c>
      <c r="B150" s="109"/>
      <c r="C150" s="41"/>
      <c r="D150" s="41"/>
      <c r="E150" s="41">
        <v>0</v>
      </c>
      <c r="F150" s="41">
        <f>D150+E150</f>
        <v>0</v>
      </c>
      <c r="G150" s="41">
        <v>0</v>
      </c>
      <c r="H150" s="41">
        <f>F150*(($H$124)+1)+(IF(G150&lt;101,G150,IF(G150&lt;201,G150/2,IF(G150&lt;=301,G150/3,G150/4))))</f>
        <v>0</v>
      </c>
      <c r="I150" s="35"/>
    </row>
    <row r="151" spans="1:20" s="36" customFormat="1" ht="15.75" hidden="1" customHeight="1" x14ac:dyDescent="0.25">
      <c r="A151" s="108" t="str">
        <f ca="1">(SUMPRODUCT(MID(0&amp;(LEFT(A150,SUM(LEN(A150)-LEN(SUBSTITUTE(A150,{"0","1","2"},""))))), LARGE(INDEX(ISNUMBER(--MID((LEFT(A150,SUM(LEN(A150)-LEN(SUBSTITUTE(A150,{"0","1","2"},""))))), ROW(INDIRECT("1:"&amp;LEN((LEFT(A150,SUM(LEN(A150)-LEN(SUBSTITUTE(A150,{"0","1","2"},"")))))))), 1)) * ROW(INDIRECT("1:"&amp;LEN((LEFT(A150,SUM(LEN(A150)-LEN(SUBSTITUTE(A150,{"0","1","2"},"")))))))), 0), ROW(INDIRECT("1:"&amp;LEN((LEFT(A150,SUM(LEN(A150)-LEN(SUBSTITUTE(A150,{"0","1","2"},"")))))))))+1, 1) * 10^ROW(INDIRECT("1:"&amp;LEN((LEFT(A150,SUM(LEN(A150)-LEN(SUBSTITUTE(A150,{"0","1","2"},""))))))))/10))*1+1&amp;""&amp;" &amp; "&amp;""&amp;(SUMPRODUCT(MID(0&amp;(--TRIM(RIGHT(SUBSTITUTE(LEFT(A150,_xlfn.AGGREGATE(16,6,FIND({0,1,2,3,4,5,6,7,8,9},A150,ROW(INDIRECT("1:"&amp;LEN(A150)))),1))," ",REPT(" ",LEN(A150))),LEN(A150)))), LARGE(INDEX(ISNUMBER(--MID((--TRIM(RIGHT(SUBSTITUTE(LEFT(A150,_xlfn.AGGREGATE(16,6,FIND({0,1,2,3,4,5,6,7,8,9},A150,ROW(INDIRECT("1:"&amp;LEN(A150)))),1))," ",REPT(" ",LEN(A150))),LEN(A150)))), ROW(INDIRECT("1:"&amp;LEN((--TRIM(RIGHT(SUBSTITUTE(LEFT(A150,_xlfn.AGGREGATE(16,6,FIND({0,1,2,3,4,5,6,7,8,9},A150,ROW(INDIRECT("1:"&amp;LEN(A150)))),1))," ",REPT(" ",LEN(A150))),LEN(A150))))))), 1)) * ROW(INDIRECT("1:"&amp;LEN((--TRIM(RIGHT(SUBSTITUTE(LEFT(A150,_xlfn.AGGREGATE(16,6,FIND({0,1,2,3,4,5,6,7,8,9},A150,ROW(INDIRECT("1:"&amp;LEN(A150)))),1))," ",REPT(" ",LEN(A150))),LEN(A150))))))), 0), ROW(INDIRECT("1:"&amp;LEN((--TRIM(RIGHT(SUBSTITUTE(LEFT(A150,_xlfn.AGGREGATE(16,6,FIND({0,1,2,3,4,5,6,7,8,9},A150,ROW(INDIRECT("1:"&amp;LEN(A150)))),1))," ",REPT(" ",LEN(A150))),LEN(A150))))))))+1, 1) * 10^ROW(INDIRECT("1:"&amp;LEN((--TRIM(RIGHT(SUBSTITUTE(LEFT(A150,_xlfn.AGGREGATE(16,6,FIND({0,1,2,3,4,5,6,7,8,9},A150,ROW(INDIRECT("1:"&amp;LEN(A150)))),1))," ",REPT(" ",LEN(A150))),LEN(A150)))))))/10))*1+1</f>
        <v>202 &amp; 502</v>
      </c>
      <c r="B151" s="109"/>
      <c r="C151" s="41"/>
      <c r="D151" s="41"/>
      <c r="E151" s="41">
        <v>0</v>
      </c>
      <c r="F151" s="41">
        <f>D151+E151</f>
        <v>0</v>
      </c>
      <c r="G151" s="41">
        <v>0</v>
      </c>
      <c r="H151" s="41">
        <f>F151*(($H$124)+1)+(IF(G151&lt;101,G151,IF(G151&lt;201,G151/2,IF(G151&lt;=301,G151/3,G151/4))))</f>
        <v>0</v>
      </c>
      <c r="I151" s="35"/>
    </row>
    <row r="152" spans="1:20" s="36" customFormat="1" ht="15.75" hidden="1" customHeight="1" x14ac:dyDescent="0.25">
      <c r="A152" s="108" t="str">
        <f ca="1">(SUMPRODUCT(MID(0&amp;(LEFT(A151,SUM(LEN(A151)-LEN(SUBSTITUTE(A151,{"0","1","2"},""))))), LARGE(INDEX(ISNUMBER(--MID((LEFT(A151,SUM(LEN(A151)-LEN(SUBSTITUTE(A151,{"0","1","2"},""))))), ROW(INDIRECT("1:"&amp;LEN((LEFT(A151,SUM(LEN(A151)-LEN(SUBSTITUTE(A151,{"0","1","2"},"")))))))), 1)) * ROW(INDIRECT("1:"&amp;LEN((LEFT(A151,SUM(LEN(A151)-LEN(SUBSTITUTE(A151,{"0","1","2"},"")))))))), 0), ROW(INDIRECT("1:"&amp;LEN((LEFT(A151,SUM(LEN(A151)-LEN(SUBSTITUTE(A151,{"0","1","2"},"")))))))))+1, 1) * 10^ROW(INDIRECT("1:"&amp;LEN((LEFT(A151,SUM(LEN(A151)-LEN(SUBSTITUTE(A151,{"0","1","2"},""))))))))/10))*1+1&amp;""&amp;" &amp; "&amp;""&amp;(SUMPRODUCT(MID(0&amp;(--TRIM(RIGHT(SUBSTITUTE(LEFT(A151,_xlfn.AGGREGATE(16,6,FIND({0,1,2,3,4,5,6,7,8,9},A151,ROW(INDIRECT("1:"&amp;LEN(A151)))),1))," ",REPT(" ",LEN(A151))),LEN(A151)))), LARGE(INDEX(ISNUMBER(--MID((--TRIM(RIGHT(SUBSTITUTE(LEFT(A151,_xlfn.AGGREGATE(16,6,FIND({0,1,2,3,4,5,6,7,8,9},A151,ROW(INDIRECT("1:"&amp;LEN(A151)))),1))," ",REPT(" ",LEN(A151))),LEN(A151)))), ROW(INDIRECT("1:"&amp;LEN((--TRIM(RIGHT(SUBSTITUTE(LEFT(A151,_xlfn.AGGREGATE(16,6,FIND({0,1,2,3,4,5,6,7,8,9},A151,ROW(INDIRECT("1:"&amp;LEN(A151)))),1))," ",REPT(" ",LEN(A151))),LEN(A151))))))), 1)) * ROW(INDIRECT("1:"&amp;LEN((--TRIM(RIGHT(SUBSTITUTE(LEFT(A151,_xlfn.AGGREGATE(16,6,FIND({0,1,2,3,4,5,6,7,8,9},A151,ROW(INDIRECT("1:"&amp;LEN(A151)))),1))," ",REPT(" ",LEN(A151))),LEN(A151))))))), 0), ROW(INDIRECT("1:"&amp;LEN((--TRIM(RIGHT(SUBSTITUTE(LEFT(A151,_xlfn.AGGREGATE(16,6,FIND({0,1,2,3,4,5,6,7,8,9},A151,ROW(INDIRECT("1:"&amp;LEN(A151)))),1))," ",REPT(" ",LEN(A151))),LEN(A151))))))))+1, 1) * 10^ROW(INDIRECT("1:"&amp;LEN((--TRIM(RIGHT(SUBSTITUTE(LEFT(A151,_xlfn.AGGREGATE(16,6,FIND({0,1,2,3,4,5,6,7,8,9},A151,ROW(INDIRECT("1:"&amp;LEN(A151)))),1))," ",REPT(" ",LEN(A151))),LEN(A151)))))))/10))*1+1</f>
        <v>203 &amp; 503</v>
      </c>
      <c r="B152" s="109"/>
      <c r="C152" s="41"/>
      <c r="D152" s="41"/>
      <c r="E152" s="41">
        <v>0</v>
      </c>
      <c r="F152" s="41">
        <f>D152+E152</f>
        <v>0</v>
      </c>
      <c r="G152" s="41">
        <v>0</v>
      </c>
      <c r="H152" s="41">
        <f>F152*(($H$124)+1)+(IF(G152&lt;101,G152,IF(G152&lt;201,G152/2,IF(G152&lt;=301,G152/3,G152/4))))</f>
        <v>0</v>
      </c>
      <c r="I152" s="35"/>
    </row>
    <row r="153" spans="1:20" s="36" customFormat="1" ht="15.75" hidden="1" customHeight="1" x14ac:dyDescent="0.25">
      <c r="A153" s="108" t="str">
        <f ca="1">(SUMPRODUCT(MID(0&amp;(LEFT(A152,SUM(LEN(A152)-LEN(SUBSTITUTE(A152,{"0","1","2"},""))))), LARGE(INDEX(ISNUMBER(--MID((LEFT(A152,SUM(LEN(A152)-LEN(SUBSTITUTE(A152,{"0","1","2"},""))))), ROW(INDIRECT("1:"&amp;LEN((LEFT(A152,SUM(LEN(A152)-LEN(SUBSTITUTE(A152,{"0","1","2"},"")))))))), 1)) * ROW(INDIRECT("1:"&amp;LEN((LEFT(A152,SUM(LEN(A152)-LEN(SUBSTITUTE(A152,{"0","1","2"},"")))))))), 0), ROW(INDIRECT("1:"&amp;LEN((LEFT(A152,SUM(LEN(A152)-LEN(SUBSTITUTE(A152,{"0","1","2"},"")))))))))+1, 1) * 10^ROW(INDIRECT("1:"&amp;LEN((LEFT(A152,SUM(LEN(A152)-LEN(SUBSTITUTE(A152,{"0","1","2"},""))))))))/10))*1+1&amp;""&amp;" &amp; "&amp;""&amp;(SUMPRODUCT(MID(0&amp;(--TRIM(RIGHT(SUBSTITUTE(LEFT(A152,_xlfn.AGGREGATE(16,6,FIND({0,1,2,3,4,5,6,7,8,9},A152,ROW(INDIRECT("1:"&amp;LEN(A152)))),1))," ",REPT(" ",LEN(A152))),LEN(A152)))), LARGE(INDEX(ISNUMBER(--MID((--TRIM(RIGHT(SUBSTITUTE(LEFT(A152,_xlfn.AGGREGATE(16,6,FIND({0,1,2,3,4,5,6,7,8,9},A152,ROW(INDIRECT("1:"&amp;LEN(A152)))),1))," ",REPT(" ",LEN(A152))),LEN(A152)))), ROW(INDIRECT("1:"&amp;LEN((--TRIM(RIGHT(SUBSTITUTE(LEFT(A152,_xlfn.AGGREGATE(16,6,FIND({0,1,2,3,4,5,6,7,8,9},A152,ROW(INDIRECT("1:"&amp;LEN(A152)))),1))," ",REPT(" ",LEN(A152))),LEN(A152))))))), 1)) * ROW(INDIRECT("1:"&amp;LEN((--TRIM(RIGHT(SUBSTITUTE(LEFT(A152,_xlfn.AGGREGATE(16,6,FIND({0,1,2,3,4,5,6,7,8,9},A152,ROW(INDIRECT("1:"&amp;LEN(A152)))),1))," ",REPT(" ",LEN(A152))),LEN(A152))))))), 0), ROW(INDIRECT("1:"&amp;LEN((--TRIM(RIGHT(SUBSTITUTE(LEFT(A152,_xlfn.AGGREGATE(16,6,FIND({0,1,2,3,4,5,6,7,8,9},A152,ROW(INDIRECT("1:"&amp;LEN(A152)))),1))," ",REPT(" ",LEN(A152))),LEN(A152))))))))+1, 1) * 10^ROW(INDIRECT("1:"&amp;LEN((--TRIM(RIGHT(SUBSTITUTE(LEFT(A152,_xlfn.AGGREGATE(16,6,FIND({0,1,2,3,4,5,6,7,8,9},A152,ROW(INDIRECT("1:"&amp;LEN(A152)))),1))," ",REPT(" ",LEN(A152))),LEN(A152)))))))/10))*1+1</f>
        <v>204 &amp; 504</v>
      </c>
      <c r="B153" s="109"/>
      <c r="C153" s="41"/>
      <c r="D153" s="41"/>
      <c r="E153" s="41">
        <v>0</v>
      </c>
      <c r="F153" s="41">
        <f>D153+E153</f>
        <v>0</v>
      </c>
      <c r="G153" s="41">
        <v>0</v>
      </c>
      <c r="H153" s="41">
        <f>F153*(($H$124)+1)+(IF(G153&lt;101,G153,IF(G153&lt;201,G153/2,IF(G153&lt;=301,G153/3,G153/4))))</f>
        <v>0</v>
      </c>
      <c r="I153" s="35"/>
    </row>
    <row r="154" spans="1:20" s="36" customFormat="1" ht="15.75" hidden="1" customHeight="1" x14ac:dyDescent="0.25">
      <c r="A154" s="108" t="str">
        <f ca="1">(SUMPRODUCT(MID(0&amp;(LEFT(A153,SUM(LEN(A153)-LEN(SUBSTITUTE(A153,{"0","1","2"},""))))), LARGE(INDEX(ISNUMBER(--MID((LEFT(A153,SUM(LEN(A153)-LEN(SUBSTITUTE(A153,{"0","1","2"},""))))), ROW(INDIRECT("1:"&amp;LEN((LEFT(A153,SUM(LEN(A153)-LEN(SUBSTITUTE(A153,{"0","1","2"},"")))))))), 1)) * ROW(INDIRECT("1:"&amp;LEN((LEFT(A153,SUM(LEN(A153)-LEN(SUBSTITUTE(A153,{"0","1","2"},"")))))))), 0), ROW(INDIRECT("1:"&amp;LEN((LEFT(A153,SUM(LEN(A153)-LEN(SUBSTITUTE(A153,{"0","1","2"},"")))))))))+1, 1) * 10^ROW(INDIRECT("1:"&amp;LEN((LEFT(A153,SUM(LEN(A153)-LEN(SUBSTITUTE(A153,{"0","1","2"},""))))))))/10))*1+1&amp;""&amp;" &amp; "&amp;""&amp;(SUMPRODUCT(MID(0&amp;(--TRIM(RIGHT(SUBSTITUTE(LEFT(A153,_xlfn.AGGREGATE(16,6,FIND({0,1,2,3,4,5,6,7,8,9},A153,ROW(INDIRECT("1:"&amp;LEN(A153)))),1))," ",REPT(" ",LEN(A153))),LEN(A153)))), LARGE(INDEX(ISNUMBER(--MID((--TRIM(RIGHT(SUBSTITUTE(LEFT(A153,_xlfn.AGGREGATE(16,6,FIND({0,1,2,3,4,5,6,7,8,9},A153,ROW(INDIRECT("1:"&amp;LEN(A153)))),1))," ",REPT(" ",LEN(A153))),LEN(A153)))), ROW(INDIRECT("1:"&amp;LEN((--TRIM(RIGHT(SUBSTITUTE(LEFT(A153,_xlfn.AGGREGATE(16,6,FIND({0,1,2,3,4,5,6,7,8,9},A153,ROW(INDIRECT("1:"&amp;LEN(A153)))),1))," ",REPT(" ",LEN(A153))),LEN(A153))))))), 1)) * ROW(INDIRECT("1:"&amp;LEN((--TRIM(RIGHT(SUBSTITUTE(LEFT(A153,_xlfn.AGGREGATE(16,6,FIND({0,1,2,3,4,5,6,7,8,9},A153,ROW(INDIRECT("1:"&amp;LEN(A153)))),1))," ",REPT(" ",LEN(A153))),LEN(A153))))))), 0), ROW(INDIRECT("1:"&amp;LEN((--TRIM(RIGHT(SUBSTITUTE(LEFT(A153,_xlfn.AGGREGATE(16,6,FIND({0,1,2,3,4,5,6,7,8,9},A153,ROW(INDIRECT("1:"&amp;LEN(A153)))),1))," ",REPT(" ",LEN(A153))),LEN(A153))))))))+1, 1) * 10^ROW(INDIRECT("1:"&amp;LEN((--TRIM(RIGHT(SUBSTITUTE(LEFT(A153,_xlfn.AGGREGATE(16,6,FIND({0,1,2,3,4,5,6,7,8,9},A153,ROW(INDIRECT("1:"&amp;LEN(A153)))),1))," ",REPT(" ",LEN(A153))),LEN(A153)))))))/10))*1+1</f>
        <v>205 &amp; 505</v>
      </c>
      <c r="B154" s="109"/>
      <c r="C154" s="41"/>
      <c r="D154" s="41"/>
      <c r="E154" s="41">
        <v>0</v>
      </c>
      <c r="F154" s="41">
        <f>D154+E154</f>
        <v>0</v>
      </c>
      <c r="G154" s="41">
        <v>0</v>
      </c>
      <c r="H154" s="41">
        <f>F154*(($H$124)+1)+(IF(G154&lt;101,G154,IF(G154&lt;201,G154/2,IF(G154&lt;=301,G154/3,G154/4))))</f>
        <v>0</v>
      </c>
      <c r="I154" s="35"/>
    </row>
    <row r="155" spans="1:20" s="34" customFormat="1" x14ac:dyDescent="0.25">
      <c r="A155" s="107" t="s">
        <v>64</v>
      </c>
      <c r="B155" s="107"/>
      <c r="C155" s="107"/>
      <c r="D155" s="107"/>
      <c r="E155" s="107"/>
      <c r="F155" s="107"/>
      <c r="G155" s="107"/>
      <c r="H155" s="107"/>
      <c r="T155" s="36"/>
    </row>
    <row r="156" spans="1:20" s="34" customFormat="1" x14ac:dyDescent="0.25">
      <c r="A156" s="44" t="s">
        <v>157</v>
      </c>
      <c r="B156" s="151" t="s">
        <v>408</v>
      </c>
      <c r="C156" s="152"/>
      <c r="D156" s="152"/>
      <c r="E156" s="152"/>
      <c r="F156" s="152"/>
      <c r="G156" s="152"/>
      <c r="H156" s="153"/>
      <c r="T156" s="36"/>
    </row>
    <row r="157" spans="1:20" s="34" customFormat="1" hidden="1" x14ac:dyDescent="0.25">
      <c r="A157" s="44" t="s">
        <v>157</v>
      </c>
      <c r="B157" s="146" t="str">
        <f>(IF(H123="Saleable area Loading :","We have considered Saleable area of Flats as per our Calculation.","We considered Saleable area of Flat as per Builder area Sheet."))</f>
        <v>We have considered Saleable area of Flats as per our Calculation.</v>
      </c>
      <c r="C157" s="147"/>
      <c r="D157" s="147"/>
      <c r="E157" s="147"/>
      <c r="F157" s="147"/>
      <c r="G157" s="147"/>
      <c r="H157" s="148"/>
      <c r="T157" s="36"/>
    </row>
    <row r="158" spans="1:20" s="34" customFormat="1" hidden="1" x14ac:dyDescent="0.25">
      <c r="A158" s="44" t="s">
        <v>157</v>
      </c>
      <c r="B158" s="146" t="str">
        <f>(IF(H115="Saleable area Loading :","We have considered Saleable area of Commercial as per our Calculation.","We considered Saleable area of Commercial as per Builder area Sheet."))</f>
        <v>We have considered Saleable area of Commercial as per our Calculation.</v>
      </c>
      <c r="C158" s="147"/>
      <c r="D158" s="147"/>
      <c r="E158" s="147"/>
      <c r="F158" s="147"/>
      <c r="G158" s="147"/>
      <c r="H158" s="148"/>
      <c r="T158" s="36"/>
    </row>
    <row r="159" spans="1:20" s="34" customFormat="1" hidden="1" x14ac:dyDescent="0.25">
      <c r="A159" s="44" t="s">
        <v>157</v>
      </c>
      <c r="B159" s="146" t="s">
        <v>122</v>
      </c>
      <c r="C159" s="147"/>
      <c r="D159" s="147"/>
      <c r="E159" s="147"/>
      <c r="F159" s="147"/>
      <c r="G159" s="147"/>
      <c r="H159" s="148"/>
      <c r="T159" s="36"/>
    </row>
    <row r="160" spans="1:20" s="34" customFormat="1" ht="33.75" hidden="1" customHeight="1" x14ac:dyDescent="0.25">
      <c r="A160" s="44" t="s">
        <v>157</v>
      </c>
      <c r="B160" s="146" t="s">
        <v>123</v>
      </c>
      <c r="C160" s="147"/>
      <c r="D160" s="147"/>
      <c r="E160" s="147"/>
      <c r="F160" s="147"/>
      <c r="G160" s="147"/>
      <c r="H160" s="148"/>
      <c r="T160" s="36"/>
    </row>
    <row r="161" spans="1:20" s="34" customFormat="1" x14ac:dyDescent="0.25">
      <c r="A161" s="44" t="s">
        <v>157</v>
      </c>
      <c r="B161" s="157" t="s">
        <v>156</v>
      </c>
      <c r="C161" s="158"/>
      <c r="D161" s="158"/>
      <c r="E161" s="158"/>
      <c r="F161" s="158"/>
      <c r="G161" s="158"/>
      <c r="H161" s="159"/>
    </row>
    <row r="162" spans="1:20" s="34" customFormat="1" x14ac:dyDescent="0.25">
      <c r="A162" s="44" t="s">
        <v>157</v>
      </c>
      <c r="B162" s="157" t="s">
        <v>124</v>
      </c>
      <c r="C162" s="158"/>
      <c r="D162" s="158"/>
      <c r="E162" s="158"/>
      <c r="F162" s="158"/>
      <c r="G162" s="158"/>
      <c r="H162" s="159"/>
    </row>
    <row r="163" spans="1:20" s="34" customFormat="1" ht="34.5" customHeight="1" x14ac:dyDescent="0.25">
      <c r="A163" s="44" t="s">
        <v>157</v>
      </c>
      <c r="B163" s="151" t="s">
        <v>158</v>
      </c>
      <c r="C163" s="152"/>
      <c r="D163" s="152"/>
      <c r="E163" s="152"/>
      <c r="F163" s="152"/>
      <c r="G163" s="152"/>
      <c r="H163" s="153"/>
    </row>
    <row r="164" spans="1:20" s="34" customFormat="1" x14ac:dyDescent="0.25">
      <c r="A164" s="44" t="s">
        <v>157</v>
      </c>
      <c r="B164" s="157" t="s">
        <v>125</v>
      </c>
      <c r="C164" s="158"/>
      <c r="D164" s="158"/>
      <c r="E164" s="158"/>
      <c r="F164" s="158"/>
      <c r="G164" s="158"/>
      <c r="H164" s="159"/>
    </row>
    <row r="165" spans="1:20" s="34" customFormat="1" ht="32.25" hidden="1" customHeight="1" x14ac:dyDescent="0.25">
      <c r="A165" s="44" t="s">
        <v>157</v>
      </c>
      <c r="B165" s="146" t="s">
        <v>182</v>
      </c>
      <c r="C165" s="147"/>
      <c r="D165" s="147"/>
      <c r="E165" s="147"/>
      <c r="F165" s="147"/>
      <c r="G165" s="147"/>
      <c r="H165" s="148"/>
    </row>
    <row r="166" spans="1:20" s="34" customFormat="1" ht="38.25" hidden="1" customHeight="1" x14ac:dyDescent="0.25">
      <c r="A166" s="44" t="s">
        <v>157</v>
      </c>
      <c r="B166" s="146" t="s">
        <v>354</v>
      </c>
      <c r="C166" s="147"/>
      <c r="D166" s="147"/>
      <c r="E166" s="147"/>
      <c r="F166" s="147"/>
      <c r="G166" s="147"/>
      <c r="H166" s="148"/>
    </row>
    <row r="167" spans="1:20" s="34" customFormat="1" hidden="1" x14ac:dyDescent="0.25">
      <c r="A167" s="44" t="s">
        <v>157</v>
      </c>
      <c r="B167" s="146" t="s">
        <v>356</v>
      </c>
      <c r="C167" s="147"/>
      <c r="D167" s="147"/>
      <c r="E167" s="147"/>
      <c r="F167" s="147"/>
      <c r="G167" s="147"/>
      <c r="H167" s="148"/>
    </row>
    <row r="168" spans="1:20" s="34" customFormat="1" hidden="1" x14ac:dyDescent="0.25">
      <c r="A168" s="44" t="s">
        <v>157</v>
      </c>
      <c r="B168" s="146" t="str">
        <f ca="1">IF(G52&gt;EDATE(E3,-48),"NO REMARK FOR CC","REMARK FOR CC")</f>
        <v>NO REMARK FOR CC</v>
      </c>
      <c r="C168" s="147"/>
      <c r="D168" s="147"/>
      <c r="E168" s="147"/>
      <c r="F168" s="147"/>
      <c r="G168" s="147"/>
      <c r="H168" s="148"/>
    </row>
    <row r="169" spans="1:20" s="34" customFormat="1" ht="81.75" hidden="1" customHeight="1" x14ac:dyDescent="0.25">
      <c r="A169" s="44" t="s">
        <v>157</v>
      </c>
      <c r="B169" s="146" t="s">
        <v>357</v>
      </c>
      <c r="C169" s="147"/>
      <c r="D169" s="147"/>
      <c r="E169" s="147"/>
      <c r="F169" s="147"/>
      <c r="G169" s="147"/>
      <c r="H169" s="148"/>
    </row>
    <row r="170" spans="1:20" x14ac:dyDescent="0.25">
      <c r="A170" s="166" t="s">
        <v>57</v>
      </c>
      <c r="B170" s="166"/>
      <c r="C170" s="166"/>
      <c r="D170" s="166"/>
      <c r="E170" s="166"/>
      <c r="F170" s="166"/>
      <c r="G170" s="166"/>
      <c r="H170" s="166"/>
      <c r="T170" s="34"/>
    </row>
    <row r="171" spans="1:20" x14ac:dyDescent="0.25">
      <c r="A171" s="122" t="s">
        <v>58</v>
      </c>
      <c r="B171" s="122"/>
      <c r="C171" s="122"/>
      <c r="D171" s="122"/>
      <c r="E171" s="122"/>
      <c r="F171" s="122"/>
      <c r="G171" s="122"/>
      <c r="H171" s="122"/>
      <c r="T171" s="34"/>
    </row>
    <row r="172" spans="1:20" ht="15.75" customHeight="1" x14ac:dyDescent="0.25">
      <c r="A172" s="140" t="s">
        <v>59</v>
      </c>
      <c r="B172" s="140"/>
      <c r="C172" s="140"/>
      <c r="D172" s="140"/>
      <c r="E172" s="140"/>
      <c r="F172" s="140"/>
      <c r="G172" s="140"/>
      <c r="H172" s="140"/>
      <c r="T172" s="34"/>
    </row>
    <row r="173" spans="1:20" x14ac:dyDescent="0.25">
      <c r="A173" s="122" t="s">
        <v>60</v>
      </c>
      <c r="B173" s="122"/>
      <c r="C173" s="122"/>
      <c r="D173" s="122"/>
      <c r="E173" s="122"/>
      <c r="F173" s="122"/>
      <c r="G173" s="122"/>
      <c r="H173" s="122"/>
      <c r="T173" s="34"/>
    </row>
    <row r="174" spans="1:20" x14ac:dyDescent="0.25">
      <c r="A174" s="122" t="s">
        <v>61</v>
      </c>
      <c r="B174" s="122"/>
      <c r="C174" s="122"/>
      <c r="D174" s="122"/>
      <c r="E174" s="122"/>
      <c r="F174" s="122"/>
      <c r="G174" s="122"/>
      <c r="H174" s="122"/>
      <c r="T174" s="34"/>
    </row>
    <row r="175" spans="1:20" x14ac:dyDescent="0.25">
      <c r="A175" s="122" t="s">
        <v>126</v>
      </c>
      <c r="B175" s="122"/>
      <c r="C175" s="122"/>
      <c r="D175" s="122"/>
      <c r="E175" s="122"/>
      <c r="F175" s="122"/>
      <c r="G175" s="122"/>
      <c r="H175" s="122"/>
      <c r="T175" s="34"/>
    </row>
    <row r="176" spans="1:20" ht="33.950000000000003" customHeight="1" x14ac:dyDescent="0.25">
      <c r="A176" s="113" t="s">
        <v>127</v>
      </c>
      <c r="B176" s="113"/>
      <c r="C176" s="113"/>
      <c r="D176" s="113"/>
      <c r="E176" s="113"/>
      <c r="F176" s="113"/>
      <c r="G176" s="113"/>
      <c r="H176" s="113"/>
    </row>
    <row r="177" spans="1:8" x14ac:dyDescent="0.25">
      <c r="A177" s="162" t="s">
        <v>73</v>
      </c>
      <c r="B177" s="162"/>
      <c r="C177" s="162" t="s">
        <v>406</v>
      </c>
      <c r="D177" s="162"/>
      <c r="E177" s="162" t="s">
        <v>103</v>
      </c>
      <c r="F177" s="162"/>
      <c r="G177" s="162" t="s">
        <v>405</v>
      </c>
      <c r="H177" s="162"/>
    </row>
    <row r="178" spans="1:8" x14ac:dyDescent="0.25">
      <c r="A178" s="161" t="s">
        <v>75</v>
      </c>
      <c r="B178" s="161"/>
      <c r="C178" s="161"/>
      <c r="D178" s="161"/>
      <c r="E178" s="161"/>
      <c r="F178" s="161"/>
      <c r="G178" s="161"/>
      <c r="H178" s="161"/>
    </row>
    <row r="179" spans="1:8" x14ac:dyDescent="0.25">
      <c r="A179" s="161"/>
      <c r="B179" s="161"/>
      <c r="C179" s="161"/>
      <c r="D179" s="161"/>
      <c r="E179" s="161"/>
      <c r="F179" s="161"/>
      <c r="G179" s="161"/>
      <c r="H179" s="161"/>
    </row>
    <row r="180" spans="1:8" x14ac:dyDescent="0.25">
      <c r="A180" s="161"/>
      <c r="B180" s="161"/>
      <c r="C180" s="161"/>
      <c r="D180" s="161"/>
      <c r="E180" s="161"/>
      <c r="F180" s="161"/>
      <c r="G180" s="161"/>
      <c r="H180" s="161"/>
    </row>
    <row r="181" spans="1:8" x14ac:dyDescent="0.25">
      <c r="A181" s="161"/>
      <c r="B181" s="161"/>
      <c r="C181" s="161"/>
      <c r="D181" s="161"/>
      <c r="E181" s="161"/>
      <c r="F181" s="161"/>
      <c r="G181" s="161"/>
      <c r="H181" s="161"/>
    </row>
    <row r="182" spans="1:8" x14ac:dyDescent="0.25">
      <c r="A182" s="37" t="s">
        <v>62</v>
      </c>
      <c r="B182" s="38"/>
      <c r="C182" s="38"/>
      <c r="D182" s="37" t="str">
        <f>E9</f>
        <v>Raghav Vista</v>
      </c>
      <c r="F182" s="38"/>
      <c r="G182" s="38"/>
      <c r="H182" s="38"/>
    </row>
    <row r="183" spans="1:8" x14ac:dyDescent="0.25">
      <c r="A183" s="38"/>
      <c r="B183" s="38"/>
      <c r="C183" s="38"/>
      <c r="D183" s="38"/>
      <c r="E183" s="38"/>
      <c r="F183" s="38"/>
      <c r="G183" s="38"/>
      <c r="H183" s="38"/>
    </row>
    <row r="184" spans="1:8" x14ac:dyDescent="0.25">
      <c r="A184" s="38"/>
      <c r="B184" s="38"/>
      <c r="C184" s="38"/>
      <c r="D184" s="38"/>
      <c r="E184" s="38"/>
      <c r="F184" s="38"/>
      <c r="G184" s="38"/>
      <c r="H184" s="38"/>
    </row>
    <row r="185" spans="1:8" ht="15" customHeight="1" x14ac:dyDescent="0.25"/>
    <row r="226" spans="1:1" x14ac:dyDescent="0.25">
      <c r="A226" s="40" t="s">
        <v>168</v>
      </c>
    </row>
    <row r="270" spans="1:9" x14ac:dyDescent="0.25">
      <c r="A270" s="40" t="s">
        <v>63</v>
      </c>
      <c r="I270" s="21"/>
    </row>
  </sheetData>
  <mergeCells count="326">
    <mergeCell ref="B169:H169"/>
    <mergeCell ref="C115:C116"/>
    <mergeCell ref="B123:B124"/>
    <mergeCell ref="B158:H158"/>
    <mergeCell ref="B166:H166"/>
    <mergeCell ref="A94:E94"/>
    <mergeCell ref="A111:B111"/>
    <mergeCell ref="E111:F111"/>
    <mergeCell ref="A99:E99"/>
    <mergeCell ref="G111:H111"/>
    <mergeCell ref="C105:D105"/>
    <mergeCell ref="E105:F105"/>
    <mergeCell ref="G105:H105"/>
    <mergeCell ref="A106:B106"/>
    <mergeCell ref="C106:D106"/>
    <mergeCell ref="E106:F106"/>
    <mergeCell ref="G106:H106"/>
    <mergeCell ref="A110:B110"/>
    <mergeCell ref="C110:D110"/>
    <mergeCell ref="E110:F110"/>
    <mergeCell ref="B164:H164"/>
    <mergeCell ref="A138:B138"/>
    <mergeCell ref="B165:H165"/>
    <mergeCell ref="A142:B142"/>
    <mergeCell ref="L131:M131"/>
    <mergeCell ref="A136:B136"/>
    <mergeCell ref="A133:B133"/>
    <mergeCell ref="A134:B134"/>
    <mergeCell ref="A144:B144"/>
    <mergeCell ref="A40:B40"/>
    <mergeCell ref="C40:H40"/>
    <mergeCell ref="F115:F116"/>
    <mergeCell ref="C104:D104"/>
    <mergeCell ref="E104:F104"/>
    <mergeCell ref="B115:B116"/>
    <mergeCell ref="A115:A116"/>
    <mergeCell ref="C123:C124"/>
    <mergeCell ref="G123:G124"/>
    <mergeCell ref="L130:M130"/>
    <mergeCell ref="L127:M127"/>
    <mergeCell ref="A128:B128"/>
    <mergeCell ref="G112:H112"/>
    <mergeCell ref="L128:M128"/>
    <mergeCell ref="A129:B129"/>
    <mergeCell ref="L129:M129"/>
    <mergeCell ref="A81:B81"/>
    <mergeCell ref="E79:F88"/>
    <mergeCell ref="G79:H88"/>
    <mergeCell ref="L121:M121"/>
    <mergeCell ref="L120:M120"/>
    <mergeCell ref="L119:M119"/>
    <mergeCell ref="L118:M118"/>
    <mergeCell ref="A86:B86"/>
    <mergeCell ref="C109:D109"/>
    <mergeCell ref="E109:F109"/>
    <mergeCell ref="G109:H109"/>
    <mergeCell ref="A90:E90"/>
    <mergeCell ref="A117:H117"/>
    <mergeCell ref="E115:E116"/>
    <mergeCell ref="F91:H91"/>
    <mergeCell ref="A91:E91"/>
    <mergeCell ref="E112:F112"/>
    <mergeCell ref="A118:B118"/>
    <mergeCell ref="A112:B112"/>
    <mergeCell ref="A92:E92"/>
    <mergeCell ref="A89:E89"/>
    <mergeCell ref="F93:H93"/>
    <mergeCell ref="A93:E93"/>
    <mergeCell ref="F37:H37"/>
    <mergeCell ref="C51:E51"/>
    <mergeCell ref="C50:E50"/>
    <mergeCell ref="G50:H50"/>
    <mergeCell ref="A51:B51"/>
    <mergeCell ref="G57:H57"/>
    <mergeCell ref="G59:H59"/>
    <mergeCell ref="G51:H51"/>
    <mergeCell ref="A39:B39"/>
    <mergeCell ref="C39:H39"/>
    <mergeCell ref="C56:H56"/>
    <mergeCell ref="A52:B54"/>
    <mergeCell ref="C55:E55"/>
    <mergeCell ref="C52:E53"/>
    <mergeCell ref="C57:E57"/>
    <mergeCell ref="G55:H55"/>
    <mergeCell ref="A57:B58"/>
    <mergeCell ref="A38:H38"/>
    <mergeCell ref="A59:B61"/>
    <mergeCell ref="C61:H61"/>
    <mergeCell ref="C59:E60"/>
    <mergeCell ref="E43:H43"/>
    <mergeCell ref="A43:D43"/>
    <mergeCell ref="A37:B37"/>
    <mergeCell ref="G60:H60"/>
    <mergeCell ref="E42:H42"/>
    <mergeCell ref="A41:H41"/>
    <mergeCell ref="A78:B78"/>
    <mergeCell ref="A46:D46"/>
    <mergeCell ref="A47:D47"/>
    <mergeCell ref="A44:D44"/>
    <mergeCell ref="E44:H44"/>
    <mergeCell ref="E45:H45"/>
    <mergeCell ref="E46:H46"/>
    <mergeCell ref="E47:H47"/>
    <mergeCell ref="C58:H58"/>
    <mergeCell ref="A48:H48"/>
    <mergeCell ref="D66:H66"/>
    <mergeCell ref="A66:C66"/>
    <mergeCell ref="A45:D45"/>
    <mergeCell ref="A49:B49"/>
    <mergeCell ref="C49:H49"/>
    <mergeCell ref="A67:C67"/>
    <mergeCell ref="D67:H67"/>
    <mergeCell ref="D68:H68"/>
    <mergeCell ref="G53:H53"/>
    <mergeCell ref="G52:H52"/>
    <mergeCell ref="C54:H54"/>
    <mergeCell ref="A63:H63"/>
    <mergeCell ref="A77:B77"/>
    <mergeCell ref="A75:B75"/>
    <mergeCell ref="C75:H75"/>
    <mergeCell ref="A70:C70"/>
    <mergeCell ref="D70:H70"/>
    <mergeCell ref="C77:H77"/>
    <mergeCell ref="A71:C71"/>
    <mergeCell ref="D71:H71"/>
    <mergeCell ref="A74:C74"/>
    <mergeCell ref="D74:H74"/>
    <mergeCell ref="A73:C73"/>
    <mergeCell ref="A64:C64"/>
    <mergeCell ref="A68:C68"/>
    <mergeCell ref="A69:C69"/>
    <mergeCell ref="A65:C65"/>
    <mergeCell ref="A36:B36"/>
    <mergeCell ref="C36:E36"/>
    <mergeCell ref="A31:D31"/>
    <mergeCell ref="E31:H31"/>
    <mergeCell ref="A32:D32"/>
    <mergeCell ref="E32:H32"/>
    <mergeCell ref="C33:E33"/>
    <mergeCell ref="F36:H36"/>
    <mergeCell ref="F33:H33"/>
    <mergeCell ref="A34:B34"/>
    <mergeCell ref="A33:B33"/>
    <mergeCell ref="C34:E34"/>
    <mergeCell ref="A35:B35"/>
    <mergeCell ref="C35:E35"/>
    <mergeCell ref="F34:H34"/>
    <mergeCell ref="F35:H35"/>
    <mergeCell ref="C37:E37"/>
    <mergeCell ref="A42:D42"/>
    <mergeCell ref="A25:D25"/>
    <mergeCell ref="E25:H25"/>
    <mergeCell ref="A30:D30"/>
    <mergeCell ref="E30:H30"/>
    <mergeCell ref="A27:D27"/>
    <mergeCell ref="E20:F20"/>
    <mergeCell ref="G20:H20"/>
    <mergeCell ref="A21:B21"/>
    <mergeCell ref="C21:D21"/>
    <mergeCell ref="E21:F21"/>
    <mergeCell ref="G21:H21"/>
    <mergeCell ref="A22:B22"/>
    <mergeCell ref="C22:D22"/>
    <mergeCell ref="E22:F22"/>
    <mergeCell ref="G22:H22"/>
    <mergeCell ref="E23:H24"/>
    <mergeCell ref="E27:H27"/>
    <mergeCell ref="A29:D29"/>
    <mergeCell ref="E29:H29"/>
    <mergeCell ref="A26:D26"/>
    <mergeCell ref="E26:H26"/>
    <mergeCell ref="A28:D28"/>
    <mergeCell ref="E28:H28"/>
    <mergeCell ref="E14:H14"/>
    <mergeCell ref="A15:D15"/>
    <mergeCell ref="A11:D11"/>
    <mergeCell ref="E11:H11"/>
    <mergeCell ref="A23:D24"/>
    <mergeCell ref="A12:D12"/>
    <mergeCell ref="E12:H12"/>
    <mergeCell ref="A17:B17"/>
    <mergeCell ref="A14:D14"/>
    <mergeCell ref="A19:B19"/>
    <mergeCell ref="C19:D19"/>
    <mergeCell ref="E19:F19"/>
    <mergeCell ref="G19:H19"/>
    <mergeCell ref="A20:B20"/>
    <mergeCell ref="C20:D20"/>
    <mergeCell ref="E15:H15"/>
    <mergeCell ref="A16:B16"/>
    <mergeCell ref="C16:H16"/>
    <mergeCell ref="C17:H17"/>
    <mergeCell ref="A18:B18"/>
    <mergeCell ref="C18:H18"/>
    <mergeCell ref="A13:D13"/>
    <mergeCell ref="E13:H13"/>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178:H181"/>
    <mergeCell ref="A177:B177"/>
    <mergeCell ref="E177:F177"/>
    <mergeCell ref="C177:D177"/>
    <mergeCell ref="G177:H177"/>
    <mergeCell ref="A102:H102"/>
    <mergeCell ref="A100:E100"/>
    <mergeCell ref="F100:H100"/>
    <mergeCell ref="A101:E101"/>
    <mergeCell ref="F101:H101"/>
    <mergeCell ref="A131:H131"/>
    <mergeCell ref="A109:B109"/>
    <mergeCell ref="A140:B140"/>
    <mergeCell ref="A104:B104"/>
    <mergeCell ref="A173:H173"/>
    <mergeCell ref="A107:H107"/>
    <mergeCell ref="A176:H176"/>
    <mergeCell ref="A174:H174"/>
    <mergeCell ref="A170:H170"/>
    <mergeCell ref="G108:H108"/>
    <mergeCell ref="B161:H161"/>
    <mergeCell ref="A146:B146"/>
    <mergeCell ref="A135:B135"/>
    <mergeCell ref="C112:D112"/>
    <mergeCell ref="B163:H163"/>
    <mergeCell ref="G115:G116"/>
    <mergeCell ref="A145:B145"/>
    <mergeCell ref="A153:B153"/>
    <mergeCell ref="B156:H156"/>
    <mergeCell ref="B157:H157"/>
    <mergeCell ref="B159:H159"/>
    <mergeCell ref="F89:H89"/>
    <mergeCell ref="F94:H94"/>
    <mergeCell ref="A127:B127"/>
    <mergeCell ref="A121:B121"/>
    <mergeCell ref="A120:B120"/>
    <mergeCell ref="F95:H95"/>
    <mergeCell ref="A97:E97"/>
    <mergeCell ref="B162:H162"/>
    <mergeCell ref="A122:H122"/>
    <mergeCell ref="A175:H175"/>
    <mergeCell ref="A172:H172"/>
    <mergeCell ref="A132:B132"/>
    <mergeCell ref="A108:B108"/>
    <mergeCell ref="D123:D124"/>
    <mergeCell ref="E123:E124"/>
    <mergeCell ref="F90:H90"/>
    <mergeCell ref="G104:H104"/>
    <mergeCell ref="F96:H96"/>
    <mergeCell ref="C103:D103"/>
    <mergeCell ref="C111:D111"/>
    <mergeCell ref="A126:H126"/>
    <mergeCell ref="A141:B141"/>
    <mergeCell ref="B160:H160"/>
    <mergeCell ref="A150:B150"/>
    <mergeCell ref="A151:B151"/>
    <mergeCell ref="A154:B154"/>
    <mergeCell ref="B168:H168"/>
    <mergeCell ref="B167:H167"/>
    <mergeCell ref="F92:H92"/>
    <mergeCell ref="A96:E96"/>
    <mergeCell ref="D115:D116"/>
    <mergeCell ref="G110:H110"/>
    <mergeCell ref="F123:F124"/>
    <mergeCell ref="A171:H171"/>
    <mergeCell ref="A95:E95"/>
    <mergeCell ref="A85:B85"/>
    <mergeCell ref="I15:P15"/>
    <mergeCell ref="F99:H99"/>
    <mergeCell ref="F97:H97"/>
    <mergeCell ref="A139:B139"/>
    <mergeCell ref="A114:H114"/>
    <mergeCell ref="G103:H103"/>
    <mergeCell ref="A98:E98"/>
    <mergeCell ref="A119:B119"/>
    <mergeCell ref="A62:B62"/>
    <mergeCell ref="C62:E62"/>
    <mergeCell ref="D64:H64"/>
    <mergeCell ref="F98:H98"/>
    <mergeCell ref="E103:F103"/>
    <mergeCell ref="A103:B103"/>
    <mergeCell ref="A105:B105"/>
    <mergeCell ref="C108:D108"/>
    <mergeCell ref="D72:H72"/>
    <mergeCell ref="D65:H65"/>
    <mergeCell ref="G62:H62"/>
    <mergeCell ref="A55:B56"/>
    <mergeCell ref="A125:H125"/>
    <mergeCell ref="A84:B84"/>
    <mergeCell ref="A50:B50"/>
    <mergeCell ref="D69:H69"/>
    <mergeCell ref="A155:H155"/>
    <mergeCell ref="A147:B147"/>
    <mergeCell ref="A148:B148"/>
    <mergeCell ref="A143:H143"/>
    <mergeCell ref="A137:H137"/>
    <mergeCell ref="A152:B152"/>
    <mergeCell ref="A149:H149"/>
    <mergeCell ref="A72:C72"/>
    <mergeCell ref="D73:H73"/>
    <mergeCell ref="A79:B79"/>
    <mergeCell ref="G78:H78"/>
    <mergeCell ref="A87:B87"/>
    <mergeCell ref="A88:B88"/>
    <mergeCell ref="A83:B83"/>
    <mergeCell ref="A82:B82"/>
    <mergeCell ref="E78:F78"/>
    <mergeCell ref="A80:B80"/>
    <mergeCell ref="E108:F108"/>
    <mergeCell ref="A113:H113"/>
    <mergeCell ref="A123:A124"/>
    <mergeCell ref="A130:B130"/>
  </mergeCells>
  <dataValidations count="18">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15:E116">
      <formula1>"Attached Loft area,Attached Otla area,Attached Mezzanine area"</formula1>
    </dataValidation>
    <dataValidation type="list" allowBlank="1" showInputMessage="1" showErrorMessage="1" sqref="G177:H177">
      <formula1>"Kunal Kadam,Pranita Mhatre,Shruti Fule,Pooja Kawale,Gaurav Panchal,Shruti Tathare, Dipti Gothawade,Saurav Panse, Sachin Sawant"</formula1>
    </dataValidation>
    <dataValidation type="list" allowBlank="1" showInputMessage="1" showErrorMessage="1" sqref="F89:H89">
      <formula1>"On Saleable Area,On Builtup Area,On Carpet Area,On Plot Area"</formula1>
    </dataValidation>
    <dataValidation type="list" allowBlank="1" showInputMessage="1" showErrorMessage="1" sqref="F100:H100">
      <formula1>OFFSET($S$89,1,MATCH($G20,$S$89:$W$89,0)-1,15,1)</formula1>
    </dataValidation>
    <dataValidation type="list" allowBlank="1" showInputMessage="1" showErrorMessage="1" sqref="B115:B116">
      <formula1>"Shop No. (Sale Plan),Sale / Rehab,Sale / Mhada"</formula1>
    </dataValidation>
    <dataValidation type="list" allowBlank="1" showInputMessage="1" showErrorMessage="1" sqref="B123:B124">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23:E124">
      <formula1>"Fungible area,Balcony Area,Chajja Area,Cornice Area,AP Area,WS Area"</formula1>
    </dataValidation>
    <dataValidation type="list" allowBlank="1" showInputMessage="1" showErrorMessage="1" sqref="H116 H124">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list" allowBlank="1" showInputMessage="1" showErrorMessage="1" sqref="H115 H123">
      <formula1>"Saleable area Loading :,Builder Saleable Area"</formula1>
    </dataValidation>
    <dataValidation type="list" allowBlank="1" showInputMessage="1" showErrorMessage="1" sqref="D115:D116">
      <formula1>"Carpet area,RERA Carpet area"</formula1>
    </dataValidation>
    <dataValidation type="list" allowBlank="1" showInputMessage="1" showErrorMessage="1" sqref="D123:D124">
      <formula1>"Carpet Area,Carpet + Encl Balcony Area,RERA Carpet area"</formula1>
    </dataValidation>
  </dataValidations>
  <hyperlinks>
    <hyperlink ref="I71" r:id="rId1"/>
    <hyperlink ref="C40" r:id="rId2"/>
  </hyperlinks>
  <printOptions horizontalCentered="1"/>
  <pageMargins left="0.39370078740157483" right="0.39370078740157483" top="0.82677165354330717" bottom="0.78740157480314965" header="0.15748031496062992" footer="0.19685039370078741"/>
  <pageSetup paperSize="2" orientation="portrait" r:id="rId3"/>
  <headerFooter>
    <oddHeader>&amp;C&amp;G</oddHeader>
    <oddFooter>&amp;L&amp;"Times New Roman,Bold"&amp;12Ref No: &amp;F&amp;C&amp;G&amp;R&amp;"Times New Roman,Bold"&amp;12&amp;P</oddFooter>
  </headerFooter>
  <rowBreaks count="3" manualBreakCount="3">
    <brk id="181" max="16383" man="1"/>
    <brk id="225" max="16383" man="1"/>
    <brk id="269" max="16383" man="1"/>
  </rowBreaks>
  <drawing r:id="rId4"/>
  <legacyDrawing r:id="rId5"/>
  <legacyDrawingHF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256" t="s">
        <v>104</v>
      </c>
      <c r="C3" s="256"/>
      <c r="D3" s="256"/>
      <c r="E3" s="256"/>
      <c r="F3" s="256"/>
      <c r="G3" s="256"/>
      <c r="H3" s="256"/>
    </row>
    <row r="4" spans="1:9" x14ac:dyDescent="0.25">
      <c r="A4" s="2"/>
      <c r="B4" s="3" t="s">
        <v>105</v>
      </c>
      <c r="C4" s="3" t="s">
        <v>106</v>
      </c>
      <c r="D4" s="3" t="s">
        <v>65</v>
      </c>
      <c r="E4" s="3" t="s">
        <v>107</v>
      </c>
      <c r="F4" s="3" t="s">
        <v>113</v>
      </c>
      <c r="G4" s="3" t="s">
        <v>114</v>
      </c>
      <c r="H4" s="3" t="s">
        <v>108</v>
      </c>
    </row>
    <row r="5" spans="1:9" ht="15" customHeight="1" x14ac:dyDescent="0.25">
      <c r="A5" s="2"/>
      <c r="B5" s="5" t="s">
        <v>109</v>
      </c>
      <c r="C5" s="6"/>
      <c r="D5" s="5"/>
      <c r="E5" s="5"/>
      <c r="F5" s="7">
        <f>E5*1.6</f>
        <v>0</v>
      </c>
      <c r="G5" s="7" t="e">
        <f>H5/F5</f>
        <v>#DIV/0!</v>
      </c>
      <c r="H5" s="8"/>
    </row>
    <row r="6" spans="1:9" x14ac:dyDescent="0.25">
      <c r="A6" s="2"/>
      <c r="B6" s="5" t="s">
        <v>109</v>
      </c>
      <c r="C6" s="9"/>
      <c r="D6" s="5"/>
      <c r="E6" s="5"/>
      <c r="F6" s="7">
        <f t="shared" ref="F6:F11" si="0">E6*1.6</f>
        <v>0</v>
      </c>
      <c r="G6" s="7" t="e">
        <f t="shared" ref="G6:G11" si="1">H6/F6</f>
        <v>#DIV/0!</v>
      </c>
      <c r="H6" s="8"/>
    </row>
    <row r="7" spans="1:9" ht="15" customHeight="1" x14ac:dyDescent="0.25">
      <c r="A7" s="2"/>
      <c r="B7" s="5" t="s">
        <v>109</v>
      </c>
      <c r="C7" s="6"/>
      <c r="D7" s="5"/>
      <c r="E7" s="5"/>
      <c r="F7" s="7">
        <f t="shared" si="0"/>
        <v>0</v>
      </c>
      <c r="G7" s="7" t="e">
        <f t="shared" si="1"/>
        <v>#DIV/0!</v>
      </c>
      <c r="H7" s="8"/>
    </row>
    <row r="8" spans="1:9" x14ac:dyDescent="0.25">
      <c r="A8" s="2"/>
      <c r="B8" s="5" t="s">
        <v>109</v>
      </c>
      <c r="C8" s="9"/>
      <c r="D8" s="5"/>
      <c r="E8" s="5"/>
      <c r="F8" s="7">
        <f t="shared" si="0"/>
        <v>0</v>
      </c>
      <c r="G8" s="7" t="e">
        <f t="shared" si="1"/>
        <v>#DIV/0!</v>
      </c>
      <c r="H8" s="8"/>
    </row>
    <row r="9" spans="1:9" ht="15" customHeight="1" x14ac:dyDescent="0.25">
      <c r="A9" s="2"/>
      <c r="B9" s="5" t="s">
        <v>109</v>
      </c>
      <c r="C9" s="9"/>
      <c r="D9" s="5"/>
      <c r="E9" s="5"/>
      <c r="F9" s="7">
        <f t="shared" si="0"/>
        <v>0</v>
      </c>
      <c r="G9" s="7" t="e">
        <f t="shared" si="1"/>
        <v>#DIV/0!</v>
      </c>
      <c r="H9" s="8"/>
    </row>
    <row r="10" spans="1:9" ht="15" customHeight="1" x14ac:dyDescent="0.25">
      <c r="A10" s="2"/>
      <c r="B10" s="5" t="s">
        <v>110</v>
      </c>
      <c r="C10" s="6"/>
      <c r="D10" s="5"/>
      <c r="E10" s="5"/>
      <c r="F10" s="7">
        <f t="shared" si="0"/>
        <v>0</v>
      </c>
      <c r="G10" s="7" t="e">
        <f t="shared" si="1"/>
        <v>#DIV/0!</v>
      </c>
      <c r="H10" s="8"/>
    </row>
    <row r="11" spans="1:9" ht="15" customHeight="1" x14ac:dyDescent="0.25">
      <c r="A11" s="2"/>
      <c r="B11" s="5" t="s">
        <v>110</v>
      </c>
      <c r="C11" s="6"/>
      <c r="D11" s="5"/>
      <c r="E11" s="5"/>
      <c r="F11" s="7">
        <f t="shared" si="0"/>
        <v>0</v>
      </c>
      <c r="G11" s="7" t="e">
        <f t="shared" si="1"/>
        <v>#DIV/0!</v>
      </c>
      <c r="H11" s="8"/>
    </row>
    <row r="12" spans="1:9" ht="15" customHeight="1" x14ac:dyDescent="0.25">
      <c r="A12" s="2"/>
      <c r="B12" s="10" t="s">
        <v>111</v>
      </c>
      <c r="C12" s="5"/>
      <c r="D12" s="5"/>
      <c r="E12" s="5"/>
      <c r="F12" s="5"/>
      <c r="G12" s="11" t="e">
        <f>AVERAGE(G5:G11)</f>
        <v>#DIV/0!</v>
      </c>
      <c r="H12" s="5"/>
    </row>
    <row r="13" spans="1:9" ht="15" customHeight="1" x14ac:dyDescent="0.25">
      <c r="B13" s="10" t="s">
        <v>112</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5" x14ac:dyDescent="0.25"/>
  <cols>
    <col min="4" max="4" width="13.85546875" bestFit="1" customWidth="1"/>
    <col min="5" max="5" width="10.42578125" bestFit="1" customWidth="1"/>
    <col min="6" max="6" width="12.42578125" bestFit="1" customWidth="1"/>
    <col min="7" max="7" width="18.140625" customWidth="1"/>
    <col min="8" max="8" width="10.5703125" bestFit="1" customWidth="1"/>
  </cols>
  <sheetData>
    <row r="3" spans="2:11" x14ac:dyDescent="0.25">
      <c r="J3">
        <v>1</v>
      </c>
      <c r="K3">
        <v>2</v>
      </c>
    </row>
    <row r="4" spans="2:11" x14ac:dyDescent="0.25">
      <c r="B4" s="51"/>
      <c r="C4" s="51" t="s">
        <v>11</v>
      </c>
      <c r="D4" s="52" t="s">
        <v>183</v>
      </c>
      <c r="E4" s="52" t="s">
        <v>193</v>
      </c>
      <c r="F4" s="52" t="s">
        <v>176</v>
      </c>
      <c r="G4" s="52" t="s">
        <v>198</v>
      </c>
      <c r="H4" s="52" t="s">
        <v>216</v>
      </c>
      <c r="J4" t="s">
        <v>198</v>
      </c>
      <c r="K4" t="s">
        <v>214</v>
      </c>
    </row>
    <row r="5" spans="2:11" x14ac:dyDescent="0.25">
      <c r="B5" s="51"/>
      <c r="C5" s="51"/>
      <c r="D5" s="52" t="s">
        <v>184</v>
      </c>
      <c r="E5" s="52" t="s">
        <v>191</v>
      </c>
      <c r="F5" s="52" t="s">
        <v>213</v>
      </c>
      <c r="G5" s="52" t="s">
        <v>199</v>
      </c>
      <c r="H5" s="52" t="s">
        <v>217</v>
      </c>
    </row>
    <row r="6" spans="2:11" x14ac:dyDescent="0.25">
      <c r="B6" s="51"/>
      <c r="C6" s="51"/>
      <c r="D6" s="52" t="s">
        <v>185</v>
      </c>
      <c r="E6" s="52" t="s">
        <v>192</v>
      </c>
      <c r="F6" s="52" t="s">
        <v>214</v>
      </c>
      <c r="G6" s="52" t="s">
        <v>200</v>
      </c>
      <c r="H6" s="52" t="s">
        <v>230</v>
      </c>
    </row>
    <row r="7" spans="2:11" x14ac:dyDescent="0.25">
      <c r="B7" s="51"/>
      <c r="C7" s="51"/>
      <c r="D7" s="52" t="s">
        <v>186</v>
      </c>
      <c r="E7" s="52" t="s">
        <v>194</v>
      </c>
      <c r="F7" s="52" t="s">
        <v>215</v>
      </c>
      <c r="G7" s="52" t="s">
        <v>201</v>
      </c>
      <c r="H7" s="52" t="s">
        <v>218</v>
      </c>
    </row>
    <row r="8" spans="2:11" x14ac:dyDescent="0.25">
      <c r="B8" s="51"/>
      <c r="C8" s="51"/>
      <c r="D8" s="52" t="s">
        <v>187</v>
      </c>
      <c r="E8" s="52" t="s">
        <v>195</v>
      </c>
      <c r="F8" s="52"/>
      <c r="G8" s="52" t="s">
        <v>202</v>
      </c>
      <c r="H8" s="52" t="s">
        <v>219</v>
      </c>
    </row>
    <row r="9" spans="2:11" x14ac:dyDescent="0.25">
      <c r="B9" s="51"/>
      <c r="C9" s="51"/>
      <c r="D9" s="52" t="s">
        <v>188</v>
      </c>
      <c r="E9" s="52" t="s">
        <v>193</v>
      </c>
      <c r="F9" s="52"/>
      <c r="G9" s="52" t="s">
        <v>203</v>
      </c>
      <c r="H9" s="52" t="s">
        <v>220</v>
      </c>
    </row>
    <row r="10" spans="2:11" x14ac:dyDescent="0.25">
      <c r="B10" s="51"/>
      <c r="C10" s="51"/>
      <c r="D10" s="52" t="s">
        <v>189</v>
      </c>
      <c r="E10" s="52" t="s">
        <v>196</v>
      </c>
      <c r="F10" s="52"/>
      <c r="G10" s="52" t="s">
        <v>204</v>
      </c>
      <c r="H10" s="52" t="s">
        <v>221</v>
      </c>
    </row>
    <row r="11" spans="2:11" x14ac:dyDescent="0.25">
      <c r="B11" s="51"/>
      <c r="C11" s="51"/>
      <c r="D11" s="52" t="s">
        <v>190</v>
      </c>
      <c r="E11" s="52" t="s">
        <v>197</v>
      </c>
      <c r="F11" s="52"/>
      <c r="G11" s="52" t="s">
        <v>205</v>
      </c>
      <c r="H11" s="52" t="s">
        <v>222</v>
      </c>
    </row>
    <row r="12" spans="2:11" x14ac:dyDescent="0.25">
      <c r="B12" s="51"/>
      <c r="C12" s="51"/>
      <c r="D12" s="52"/>
      <c r="E12" s="52"/>
      <c r="F12" s="52"/>
      <c r="G12" s="52" t="s">
        <v>206</v>
      </c>
      <c r="H12" s="52" t="s">
        <v>223</v>
      </c>
    </row>
    <row r="13" spans="2:11" x14ac:dyDescent="0.25">
      <c r="B13" s="51"/>
      <c r="C13" s="51"/>
      <c r="D13" s="52"/>
      <c r="E13" s="52"/>
      <c r="F13" s="52"/>
      <c r="G13" s="52" t="s">
        <v>207</v>
      </c>
      <c r="H13" s="52" t="s">
        <v>224</v>
      </c>
    </row>
    <row r="14" spans="2:11" x14ac:dyDescent="0.25">
      <c r="B14" s="51"/>
      <c r="C14" s="51"/>
      <c r="D14" s="52"/>
      <c r="E14" s="52"/>
      <c r="F14" s="52"/>
      <c r="G14" s="52" t="s">
        <v>208</v>
      </c>
      <c r="H14" s="52" t="s">
        <v>225</v>
      </c>
    </row>
    <row r="15" spans="2:11" x14ac:dyDescent="0.25">
      <c r="B15" s="51"/>
      <c r="C15" s="51"/>
      <c r="D15" s="52"/>
      <c r="E15" s="52"/>
      <c r="F15" s="52"/>
      <c r="G15" s="52" t="s">
        <v>209</v>
      </c>
      <c r="H15" s="52" t="s">
        <v>226</v>
      </c>
    </row>
    <row r="16" spans="2:11" x14ac:dyDescent="0.25">
      <c r="B16" s="51"/>
      <c r="C16" s="51"/>
      <c r="D16" s="52"/>
      <c r="E16" s="52"/>
      <c r="F16" s="52"/>
      <c r="G16" s="52" t="s">
        <v>210</v>
      </c>
      <c r="H16" s="52" t="s">
        <v>227</v>
      </c>
    </row>
    <row r="17" spans="2:8" x14ac:dyDescent="0.25">
      <c r="B17" s="51"/>
      <c r="C17" s="51"/>
      <c r="D17" s="52"/>
      <c r="E17" s="52"/>
      <c r="F17" s="52"/>
      <c r="G17" s="52" t="s">
        <v>211</v>
      </c>
      <c r="H17" s="52" t="s">
        <v>228</v>
      </c>
    </row>
    <row r="18" spans="2:8" x14ac:dyDescent="0.25">
      <c r="B18" s="51"/>
      <c r="C18" s="51"/>
      <c r="D18" s="52"/>
      <c r="E18" s="52"/>
      <c r="F18" s="52"/>
      <c r="G18" s="52" t="s">
        <v>212</v>
      </c>
      <c r="H18" s="52" t="s">
        <v>229</v>
      </c>
    </row>
    <row r="24" spans="2:8" x14ac:dyDescent="0.25">
      <c r="C24" t="s">
        <v>173</v>
      </c>
    </row>
    <row r="25" spans="2:8" x14ac:dyDescent="0.25">
      <c r="C25" t="s">
        <v>231</v>
      </c>
    </row>
    <row r="26" spans="2:8" x14ac:dyDescent="0.25">
      <c r="C26" t="s">
        <v>232</v>
      </c>
    </row>
    <row r="27" spans="2:8" x14ac:dyDescent="0.25">
      <c r="C27" t="s">
        <v>233</v>
      </c>
    </row>
    <row r="28" spans="2:8" x14ac:dyDescent="0.25">
      <c r="C28" t="s">
        <v>234</v>
      </c>
    </row>
    <row r="29" spans="2:8" x14ac:dyDescent="0.25">
      <c r="C29" t="s">
        <v>235</v>
      </c>
    </row>
    <row r="30" spans="2:8" x14ac:dyDescent="0.25">
      <c r="C30" t="s">
        <v>173</v>
      </c>
    </row>
    <row r="33" spans="3:11" x14ac:dyDescent="0.25">
      <c r="J33">
        <v>1</v>
      </c>
      <c r="K33">
        <v>2</v>
      </c>
    </row>
    <row r="34" spans="3:11" x14ac:dyDescent="0.25">
      <c r="C34" s="54" t="s">
        <v>241</v>
      </c>
      <c r="D34" s="52" t="s">
        <v>239</v>
      </c>
      <c r="E34" s="52" t="s">
        <v>244</v>
      </c>
      <c r="F34" s="52" t="s">
        <v>242</v>
      </c>
      <c r="G34" s="52" t="s">
        <v>243</v>
      </c>
      <c r="H34" s="52" t="s">
        <v>245</v>
      </c>
      <c r="J34" t="s">
        <v>198</v>
      </c>
      <c r="K34" t="s">
        <v>214</v>
      </c>
    </row>
    <row r="35" spans="3:11" x14ac:dyDescent="0.25">
      <c r="C35" s="51" t="s">
        <v>240</v>
      </c>
      <c r="D35" s="52" t="s">
        <v>174</v>
      </c>
      <c r="E35" s="52" t="s">
        <v>249</v>
      </c>
      <c r="F35" s="52" t="s">
        <v>251</v>
      </c>
      <c r="G35" s="52" t="s">
        <v>253</v>
      </c>
      <c r="H35" s="52"/>
    </row>
    <row r="36" spans="3:11" x14ac:dyDescent="0.25">
      <c r="C36" s="51"/>
      <c r="D36" s="52" t="s">
        <v>246</v>
      </c>
      <c r="E36" s="52" t="s">
        <v>250</v>
      </c>
      <c r="F36" s="52" t="s">
        <v>252</v>
      </c>
      <c r="G36" s="52" t="s">
        <v>254</v>
      </c>
      <c r="H36" s="52"/>
    </row>
    <row r="37" spans="3:11" x14ac:dyDescent="0.25">
      <c r="C37" s="51"/>
      <c r="D37" s="52" t="s">
        <v>247</v>
      </c>
      <c r="E37" s="52"/>
      <c r="F37" s="52"/>
      <c r="G37" s="52" t="s">
        <v>255</v>
      </c>
      <c r="H37" s="52"/>
    </row>
    <row r="38" spans="3:11" x14ac:dyDescent="0.25">
      <c r="C38" s="51"/>
      <c r="D38" s="52" t="s">
        <v>248</v>
      </c>
      <c r="E38" s="52"/>
      <c r="F38" s="52"/>
      <c r="G38" s="52" t="s">
        <v>255</v>
      </c>
      <c r="H38" s="52"/>
    </row>
    <row r="39" spans="3:11" x14ac:dyDescent="0.25">
      <c r="C39" s="51"/>
      <c r="D39" s="52"/>
      <c r="E39" s="52"/>
      <c r="F39" s="52"/>
      <c r="G39" s="52" t="s">
        <v>256</v>
      </c>
      <c r="H39" s="52"/>
    </row>
    <row r="40" spans="3:11" x14ac:dyDescent="0.25">
      <c r="C40" s="51"/>
      <c r="D40" s="52"/>
      <c r="E40" s="52"/>
      <c r="F40" s="52"/>
      <c r="G40" s="52" t="s">
        <v>257</v>
      </c>
      <c r="H40" s="52"/>
    </row>
    <row r="41" spans="3:11" x14ac:dyDescent="0.25">
      <c r="C41" s="51"/>
      <c r="D41" s="52"/>
      <c r="E41" s="52"/>
      <c r="F41" s="52"/>
      <c r="G41" s="52"/>
      <c r="H41" s="52"/>
    </row>
    <row r="43" spans="3:11" x14ac:dyDescent="0.25">
      <c r="C43" t="s">
        <v>258</v>
      </c>
    </row>
    <row r="44" spans="3:11" x14ac:dyDescent="0.25">
      <c r="C44" t="s">
        <v>176</v>
      </c>
      <c r="D44" t="s">
        <v>259</v>
      </c>
    </row>
    <row r="45" spans="3:11" x14ac:dyDescent="0.25">
      <c r="D45" t="s">
        <v>260</v>
      </c>
    </row>
    <row r="46" spans="3:11" x14ac:dyDescent="0.25">
      <c r="D46" t="s">
        <v>261</v>
      </c>
    </row>
    <row r="47" spans="3:11" x14ac:dyDescent="0.25">
      <c r="D47" t="s">
        <v>262</v>
      </c>
    </row>
    <row r="48" spans="3:11" x14ac:dyDescent="0.25">
      <c r="D48" t="s">
        <v>263</v>
      </c>
    </row>
    <row r="49" spans="3:4" x14ac:dyDescent="0.25">
      <c r="C49" t="s">
        <v>183</v>
      </c>
      <c r="D49" t="s">
        <v>264</v>
      </c>
    </row>
    <row r="50" spans="3:4" x14ac:dyDescent="0.25">
      <c r="D50" t="s">
        <v>265</v>
      </c>
    </row>
    <row r="51" spans="3:4" x14ac:dyDescent="0.25">
      <c r="D51" t="s">
        <v>266</v>
      </c>
    </row>
    <row r="52" spans="3:4" x14ac:dyDescent="0.25">
      <c r="D52" t="s">
        <v>269</v>
      </c>
    </row>
    <row r="53" spans="3:4" x14ac:dyDescent="0.25">
      <c r="D53" t="s">
        <v>267</v>
      </c>
    </row>
    <row r="54" spans="3:4" x14ac:dyDescent="0.25">
      <c r="D54" t="s">
        <v>268</v>
      </c>
    </row>
    <row r="55" spans="3:4" x14ac:dyDescent="0.25">
      <c r="D55" t="s">
        <v>270</v>
      </c>
    </row>
    <row r="56" spans="3:4" x14ac:dyDescent="0.25">
      <c r="D56" t="s">
        <v>271</v>
      </c>
    </row>
    <row r="57" spans="3:4" x14ac:dyDescent="0.25">
      <c r="D57" t="s">
        <v>272</v>
      </c>
    </row>
    <row r="58" spans="3:4" x14ac:dyDescent="0.25">
      <c r="D58" t="s">
        <v>274</v>
      </c>
    </row>
    <row r="59" spans="3:4" x14ac:dyDescent="0.25">
      <c r="D59" t="s">
        <v>283</v>
      </c>
    </row>
    <row r="60" spans="3:4" x14ac:dyDescent="0.25">
      <c r="C60" t="s">
        <v>198</v>
      </c>
      <c r="D60" t="s">
        <v>275</v>
      </c>
    </row>
    <row r="61" spans="3:4" x14ac:dyDescent="0.25">
      <c r="D61" t="s">
        <v>273</v>
      </c>
    </row>
    <row r="62" spans="3:4" x14ac:dyDescent="0.25">
      <c r="D62" t="s">
        <v>263</v>
      </c>
    </row>
    <row r="63" spans="3:4" x14ac:dyDescent="0.25">
      <c r="D63" t="s">
        <v>276</v>
      </c>
    </row>
    <row r="64" spans="3:4" x14ac:dyDescent="0.25">
      <c r="D64" t="s">
        <v>277</v>
      </c>
    </row>
    <row r="65" spans="3:4" x14ac:dyDescent="0.25">
      <c r="D65" t="s">
        <v>278</v>
      </c>
    </row>
    <row r="66" spans="3:4" x14ac:dyDescent="0.25">
      <c r="D66" t="s">
        <v>279</v>
      </c>
    </row>
    <row r="67" spans="3:4" x14ac:dyDescent="0.25">
      <c r="C67" t="s">
        <v>193</v>
      </c>
      <c r="D67" t="s">
        <v>280</v>
      </c>
    </row>
    <row r="68" spans="3:4" x14ac:dyDescent="0.25">
      <c r="D68" t="s">
        <v>281</v>
      </c>
    </row>
    <row r="69" spans="3:4" x14ac:dyDescent="0.25">
      <c r="D69" t="s">
        <v>282</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D54"/>
  <sheetViews>
    <sheetView topLeftCell="A40" zoomScaleNormal="100" workbookViewId="0">
      <selection activeCell="C47" sqref="C47"/>
    </sheetView>
  </sheetViews>
  <sheetFormatPr defaultRowHeight="15" x14ac:dyDescent="0.25"/>
  <cols>
    <col min="2" max="2" width="3" bestFit="1" customWidth="1"/>
    <col min="3" max="3" width="155.28515625" customWidth="1"/>
  </cols>
  <sheetData>
    <row r="2" spans="2:3" ht="15" customHeight="1" x14ac:dyDescent="0.25">
      <c r="B2" s="55">
        <v>1</v>
      </c>
      <c r="C2" s="57" t="s">
        <v>288</v>
      </c>
    </row>
    <row r="3" spans="2:3" x14ac:dyDescent="0.25">
      <c r="B3" s="55">
        <v>2</v>
      </c>
      <c r="C3" s="56" t="s">
        <v>289</v>
      </c>
    </row>
    <row r="4" spans="2:3" x14ac:dyDescent="0.25">
      <c r="B4" s="55">
        <v>3</v>
      </c>
      <c r="C4" s="55" t="s">
        <v>290</v>
      </c>
    </row>
    <row r="5" spans="2:3" x14ac:dyDescent="0.25">
      <c r="B5" s="55">
        <v>4</v>
      </c>
      <c r="C5" s="56" t="s">
        <v>291</v>
      </c>
    </row>
    <row r="6" spans="2:3" x14ac:dyDescent="0.25">
      <c r="B6" s="55">
        <v>5</v>
      </c>
      <c r="C6" s="55" t="s">
        <v>292</v>
      </c>
    </row>
    <row r="7" spans="2:3" ht="30" x14ac:dyDescent="0.25">
      <c r="B7" s="55">
        <v>6</v>
      </c>
      <c r="C7" s="56" t="s">
        <v>293</v>
      </c>
    </row>
    <row r="8" spans="2:3" ht="75" x14ac:dyDescent="0.25">
      <c r="B8" s="55">
        <v>7</v>
      </c>
      <c r="C8" s="56" t="s">
        <v>294</v>
      </c>
    </row>
    <row r="9" spans="2:3" x14ac:dyDescent="0.25">
      <c r="B9" s="55">
        <v>8</v>
      </c>
      <c r="C9" s="55" t="s">
        <v>295</v>
      </c>
    </row>
    <row r="10" spans="2:3" x14ac:dyDescent="0.25">
      <c r="B10" s="55">
        <v>9</v>
      </c>
      <c r="C10" s="55" t="s">
        <v>296</v>
      </c>
    </row>
    <row r="11" spans="2:3" x14ac:dyDescent="0.25">
      <c r="B11" s="55">
        <v>10</v>
      </c>
      <c r="C11" s="55" t="s">
        <v>297</v>
      </c>
    </row>
    <row r="12" spans="2:3" x14ac:dyDescent="0.25">
      <c r="B12" s="55">
        <v>11</v>
      </c>
      <c r="C12" s="55" t="s">
        <v>298</v>
      </c>
    </row>
    <row r="13" spans="2:3" x14ac:dyDescent="0.25">
      <c r="B13" s="55">
        <v>12</v>
      </c>
      <c r="C13" s="55" t="s">
        <v>299</v>
      </c>
    </row>
    <row r="14" spans="2:3" x14ac:dyDescent="0.25">
      <c r="B14" s="55">
        <v>13</v>
      </c>
      <c r="C14" s="55" t="s">
        <v>300</v>
      </c>
    </row>
    <row r="15" spans="2:3" x14ac:dyDescent="0.25">
      <c r="B15" s="55">
        <v>14</v>
      </c>
      <c r="C15" s="55" t="s">
        <v>290</v>
      </c>
    </row>
    <row r="16" spans="2:3" x14ac:dyDescent="0.25">
      <c r="B16" s="55">
        <v>15</v>
      </c>
      <c r="C16" s="55" t="s">
        <v>302</v>
      </c>
    </row>
    <row r="17" spans="2:3" x14ac:dyDescent="0.25">
      <c r="B17" s="74">
        <v>16</v>
      </c>
      <c r="C17" s="60" t="s">
        <v>303</v>
      </c>
    </row>
    <row r="18" spans="2:3" x14ac:dyDescent="0.25">
      <c r="B18" s="59">
        <v>17</v>
      </c>
      <c r="C18" s="60" t="s">
        <v>304</v>
      </c>
    </row>
    <row r="19" spans="2:3" x14ac:dyDescent="0.25">
      <c r="B19" s="58">
        <v>18</v>
      </c>
      <c r="C19" s="55" t="s">
        <v>305</v>
      </c>
    </row>
    <row r="20" spans="2:3" x14ac:dyDescent="0.25">
      <c r="B20" s="59">
        <v>19</v>
      </c>
      <c r="C20" s="55" t="s">
        <v>341</v>
      </c>
    </row>
    <row r="21" spans="2:3" x14ac:dyDescent="0.25">
      <c r="B21" s="55">
        <v>20</v>
      </c>
      <c r="C21" s="55" t="s">
        <v>306</v>
      </c>
    </row>
    <row r="22" spans="2:3" x14ac:dyDescent="0.25">
      <c r="B22" s="59">
        <v>21</v>
      </c>
      <c r="C22" s="55" t="s">
        <v>305</v>
      </c>
    </row>
    <row r="23" spans="2:3" s="69" customFormat="1" ht="29.25" customHeight="1" x14ac:dyDescent="0.25">
      <c r="B23" s="68">
        <v>22</v>
      </c>
      <c r="C23" s="57" t="s">
        <v>333</v>
      </c>
    </row>
    <row r="24" spans="2:3" s="69" customFormat="1" ht="30.75" customHeight="1" x14ac:dyDescent="0.25">
      <c r="B24" s="70">
        <v>23</v>
      </c>
      <c r="C24" s="57" t="s">
        <v>334</v>
      </c>
    </row>
    <row r="25" spans="2:3" x14ac:dyDescent="0.25">
      <c r="B25" s="55">
        <v>24</v>
      </c>
      <c r="C25" s="55" t="s">
        <v>337</v>
      </c>
    </row>
    <row r="26" spans="2:3" x14ac:dyDescent="0.25">
      <c r="B26" s="59">
        <v>25</v>
      </c>
      <c r="C26" s="55" t="s">
        <v>335</v>
      </c>
    </row>
    <row r="27" spans="2:3" x14ac:dyDescent="0.25">
      <c r="B27" s="70">
        <v>26</v>
      </c>
      <c r="C27" s="55" t="s">
        <v>336</v>
      </c>
    </row>
    <row r="28" spans="2:3" x14ac:dyDescent="0.25">
      <c r="B28" s="59">
        <v>27</v>
      </c>
      <c r="C28" s="55" t="s">
        <v>338</v>
      </c>
    </row>
    <row r="29" spans="2:3" ht="60" x14ac:dyDescent="0.25">
      <c r="B29" s="73">
        <v>28</v>
      </c>
      <c r="C29" s="56" t="s">
        <v>339</v>
      </c>
    </row>
    <row r="30" spans="2:3" x14ac:dyDescent="0.25">
      <c r="B30" s="70">
        <v>29</v>
      </c>
      <c r="C30" s="55" t="s">
        <v>340</v>
      </c>
    </row>
    <row r="31" spans="2:3" ht="30" x14ac:dyDescent="0.25">
      <c r="B31" s="70">
        <v>30</v>
      </c>
      <c r="C31" s="56" t="s">
        <v>342</v>
      </c>
    </row>
    <row r="32" spans="2:3" x14ac:dyDescent="0.25">
      <c r="B32" s="70">
        <v>31</v>
      </c>
      <c r="C32" s="55" t="s">
        <v>343</v>
      </c>
    </row>
    <row r="33" spans="2:4" x14ac:dyDescent="0.25">
      <c r="B33" s="70">
        <v>32</v>
      </c>
      <c r="C33" s="55" t="s">
        <v>344</v>
      </c>
    </row>
    <row r="34" spans="2:4" ht="36.75" customHeight="1" x14ac:dyDescent="0.25">
      <c r="B34" s="70">
        <v>33</v>
      </c>
      <c r="C34" s="60" t="s">
        <v>345</v>
      </c>
    </row>
    <row r="35" spans="2:4" x14ac:dyDescent="0.25">
      <c r="B35" s="68">
        <v>34</v>
      </c>
      <c r="C35" s="55" t="s">
        <v>353</v>
      </c>
    </row>
    <row r="36" spans="2:4" ht="60" x14ac:dyDescent="0.25">
      <c r="B36" s="68">
        <v>35</v>
      </c>
      <c r="C36" s="56" t="s">
        <v>357</v>
      </c>
    </row>
    <row r="37" spans="2:4" x14ac:dyDescent="0.25">
      <c r="B37" s="55">
        <v>36</v>
      </c>
      <c r="C37" s="56" t="s">
        <v>368</v>
      </c>
    </row>
    <row r="38" spans="2:4" x14ac:dyDescent="0.25">
      <c r="B38" s="55">
        <f t="shared" ref="B38:B44" si="0">B37+1</f>
        <v>37</v>
      </c>
      <c r="C38" s="55" t="s">
        <v>364</v>
      </c>
    </row>
    <row r="39" spans="2:4" x14ac:dyDescent="0.25">
      <c r="B39" s="55">
        <f t="shared" si="0"/>
        <v>38</v>
      </c>
      <c r="C39" s="55" t="s">
        <v>365</v>
      </c>
    </row>
    <row r="40" spans="2:4" x14ac:dyDescent="0.25">
      <c r="B40" s="55">
        <f t="shared" si="0"/>
        <v>39</v>
      </c>
      <c r="C40" s="55" t="s">
        <v>366</v>
      </c>
    </row>
    <row r="41" spans="2:4" x14ac:dyDescent="0.25">
      <c r="B41" s="55">
        <f t="shared" si="0"/>
        <v>40</v>
      </c>
      <c r="C41" s="55" t="s">
        <v>367</v>
      </c>
    </row>
    <row r="42" spans="2:4" ht="30.75" thickBot="1" x14ac:dyDescent="0.3">
      <c r="B42" s="77">
        <f t="shared" si="0"/>
        <v>41</v>
      </c>
      <c r="C42" s="78" t="s">
        <v>369</v>
      </c>
    </row>
    <row r="43" spans="2:4" ht="30" x14ac:dyDescent="0.25">
      <c r="B43" s="81">
        <f t="shared" si="0"/>
        <v>42</v>
      </c>
      <c r="C43" s="86" t="s">
        <v>374</v>
      </c>
      <c r="D43" t="s">
        <v>375</v>
      </c>
    </row>
    <row r="44" spans="2:4" ht="15.75" thickBot="1" x14ac:dyDescent="0.3">
      <c r="B44" s="83">
        <f t="shared" si="0"/>
        <v>43</v>
      </c>
      <c r="C44" s="85" t="s">
        <v>370</v>
      </c>
    </row>
    <row r="45" spans="2:4" ht="15.75" thickBot="1" x14ac:dyDescent="0.3">
      <c r="B45" s="79">
        <f t="shared" ref="B45:B54" si="1">B44+1</f>
        <v>44</v>
      </c>
      <c r="C45" s="80" t="s">
        <v>371</v>
      </c>
    </row>
    <row r="46" spans="2:4" ht="30" x14ac:dyDescent="0.25">
      <c r="B46" s="81">
        <f t="shared" si="1"/>
        <v>45</v>
      </c>
      <c r="C46" s="82" t="s">
        <v>372</v>
      </c>
    </row>
    <row r="47" spans="2:4" ht="15.75" thickBot="1" x14ac:dyDescent="0.3">
      <c r="B47" s="83">
        <f t="shared" si="1"/>
        <v>46</v>
      </c>
      <c r="C47" s="84" t="s">
        <v>373</v>
      </c>
    </row>
    <row r="48" spans="2:4" x14ac:dyDescent="0.25">
      <c r="B48" s="87">
        <f t="shared" si="1"/>
        <v>47</v>
      </c>
      <c r="C48" s="88" t="s">
        <v>376</v>
      </c>
    </row>
    <row r="49" spans="2:4" x14ac:dyDescent="0.25">
      <c r="B49" s="87">
        <f t="shared" si="1"/>
        <v>48</v>
      </c>
      <c r="C49" s="88" t="s">
        <v>377</v>
      </c>
    </row>
    <row r="50" spans="2:4" x14ac:dyDescent="0.25">
      <c r="B50" s="87">
        <f t="shared" si="1"/>
        <v>49</v>
      </c>
      <c r="C50" s="88" t="s">
        <v>379</v>
      </c>
      <c r="D50" t="s">
        <v>378</v>
      </c>
    </row>
    <row r="51" spans="2:4" ht="30" x14ac:dyDescent="0.25">
      <c r="B51" s="89">
        <f t="shared" si="1"/>
        <v>50</v>
      </c>
      <c r="C51" s="90" t="s">
        <v>380</v>
      </c>
    </row>
    <row r="52" spans="2:4" x14ac:dyDescent="0.25">
      <c r="B52" s="89">
        <f t="shared" si="1"/>
        <v>51</v>
      </c>
      <c r="C52" s="91" t="s">
        <v>383</v>
      </c>
      <c r="D52" t="s">
        <v>384</v>
      </c>
    </row>
    <row r="53" spans="2:4" x14ac:dyDescent="0.25">
      <c r="B53" s="89">
        <f t="shared" si="1"/>
        <v>52</v>
      </c>
      <c r="C53" s="91" t="s">
        <v>386</v>
      </c>
      <c r="D53" t="s">
        <v>387</v>
      </c>
    </row>
    <row r="54" spans="2:4" ht="45" x14ac:dyDescent="0.25">
      <c r="B54" s="89">
        <f t="shared" si="1"/>
        <v>53</v>
      </c>
      <c r="C54" s="60" t="s">
        <v>391</v>
      </c>
      <c r="D54" t="s">
        <v>390</v>
      </c>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140625" defaultRowHeight="15" x14ac:dyDescent="0.25"/>
  <cols>
    <col min="1" max="1" width="9.140625" style="51"/>
    <col min="2" max="2" width="12.28515625" style="51" customWidth="1"/>
    <col min="3" max="16384" width="9.140625" style="51"/>
  </cols>
  <sheetData>
    <row r="2" spans="1:12" x14ac:dyDescent="0.25">
      <c r="B2" s="62" t="s">
        <v>307</v>
      </c>
      <c r="C2" s="257"/>
      <c r="D2" s="257"/>
    </row>
    <row r="3" spans="1:12" x14ac:dyDescent="0.25">
      <c r="D3" s="63"/>
      <c r="E3" s="63"/>
      <c r="F3" s="63"/>
      <c r="G3" s="63"/>
      <c r="H3" s="63"/>
      <c r="I3" s="63"/>
    </row>
    <row r="4" spans="1:12" x14ac:dyDescent="0.25">
      <c r="A4" s="62" t="s">
        <v>65</v>
      </c>
      <c r="B4" s="64" t="s">
        <v>308</v>
      </c>
      <c r="C4" s="258" t="s">
        <v>309</v>
      </c>
      <c r="D4" s="258"/>
      <c r="E4" s="258"/>
      <c r="F4" s="64"/>
      <c r="G4" s="259" t="s">
        <v>310</v>
      </c>
      <c r="H4" s="259"/>
      <c r="I4" s="259"/>
      <c r="J4" s="260" t="s">
        <v>311</v>
      </c>
      <c r="K4" s="260"/>
      <c r="L4" s="260"/>
    </row>
    <row r="5" spans="1:12" x14ac:dyDescent="0.25">
      <c r="A5" s="62"/>
      <c r="B5" s="64"/>
      <c r="C5" s="64" t="s">
        <v>312</v>
      </c>
      <c r="D5" s="64" t="s">
        <v>313</v>
      </c>
      <c r="E5" s="64" t="s">
        <v>314</v>
      </c>
      <c r="F5" s="64"/>
      <c r="G5" s="64" t="s">
        <v>312</v>
      </c>
      <c r="H5" s="64" t="s">
        <v>313</v>
      </c>
      <c r="I5" s="64" t="s">
        <v>314</v>
      </c>
      <c r="J5" s="64" t="s">
        <v>312</v>
      </c>
      <c r="K5" s="64" t="s">
        <v>313</v>
      </c>
      <c r="L5" s="64" t="s">
        <v>314</v>
      </c>
    </row>
    <row r="6" spans="1:12" x14ac:dyDescent="0.25">
      <c r="B6" s="52" t="s">
        <v>315</v>
      </c>
      <c r="C6" s="52"/>
      <c r="D6" s="52"/>
      <c r="E6" s="52">
        <f>C6*D6</f>
        <v>0</v>
      </c>
      <c r="F6" s="52" t="s">
        <v>332</v>
      </c>
      <c r="G6" s="52"/>
      <c r="H6" s="52"/>
      <c r="I6" s="52">
        <f>G6*H6</f>
        <v>0</v>
      </c>
      <c r="J6" s="52"/>
      <c r="K6" s="52"/>
      <c r="L6" s="52">
        <f>J6*K6</f>
        <v>0</v>
      </c>
    </row>
    <row r="7" spans="1:12" x14ac:dyDescent="0.25">
      <c r="B7" s="52"/>
      <c r="C7" s="52"/>
      <c r="D7" s="52"/>
      <c r="E7" s="52">
        <f t="shared" ref="E7:E41" si="0">C7*D7</f>
        <v>0</v>
      </c>
      <c r="F7" s="52" t="s">
        <v>332</v>
      </c>
      <c r="G7" s="52"/>
      <c r="H7" s="52"/>
      <c r="I7" s="52">
        <f t="shared" ref="I7:I35" si="1">G7*H7</f>
        <v>0</v>
      </c>
      <c r="J7" s="52"/>
      <c r="K7" s="52"/>
      <c r="L7" s="52">
        <f t="shared" ref="L7:L35" si="2">J7*K7</f>
        <v>0</v>
      </c>
    </row>
    <row r="8" spans="1:12" x14ac:dyDescent="0.25">
      <c r="B8" s="52"/>
      <c r="C8" s="52"/>
      <c r="D8" s="52"/>
      <c r="E8" s="52">
        <f t="shared" si="0"/>
        <v>0</v>
      </c>
      <c r="F8" s="52"/>
      <c r="G8" s="52"/>
      <c r="H8" s="52"/>
      <c r="I8" s="52">
        <f t="shared" si="1"/>
        <v>0</v>
      </c>
      <c r="J8" s="52"/>
      <c r="K8" s="52"/>
      <c r="L8" s="52">
        <f t="shared" si="2"/>
        <v>0</v>
      </c>
    </row>
    <row r="9" spans="1:12" x14ac:dyDescent="0.25">
      <c r="B9" s="52"/>
      <c r="C9" s="52"/>
      <c r="D9" s="52"/>
      <c r="E9" s="52">
        <f t="shared" si="0"/>
        <v>0</v>
      </c>
      <c r="F9" s="52" t="s">
        <v>316</v>
      </c>
      <c r="G9" s="52"/>
      <c r="H9" s="52"/>
      <c r="I9" s="52">
        <f t="shared" si="1"/>
        <v>0</v>
      </c>
      <c r="J9" s="52"/>
      <c r="K9" s="52"/>
      <c r="L9" s="52">
        <f t="shared" si="2"/>
        <v>0</v>
      </c>
    </row>
    <row r="10" spans="1:12" x14ac:dyDescent="0.25">
      <c r="B10" s="52" t="s">
        <v>317</v>
      </c>
      <c r="C10" s="52"/>
      <c r="D10" s="52"/>
      <c r="E10" s="52">
        <f t="shared" si="0"/>
        <v>0</v>
      </c>
      <c r="F10" s="52" t="s">
        <v>316</v>
      </c>
      <c r="G10" s="52"/>
      <c r="H10" s="52"/>
      <c r="I10" s="52">
        <f t="shared" si="1"/>
        <v>0</v>
      </c>
      <c r="J10" s="52"/>
      <c r="K10" s="52"/>
      <c r="L10" s="52">
        <f t="shared" si="2"/>
        <v>0</v>
      </c>
    </row>
    <row r="11" spans="1:12" x14ac:dyDescent="0.25">
      <c r="B11" s="52"/>
      <c r="C11" s="52"/>
      <c r="D11" s="52"/>
      <c r="E11" s="52">
        <f t="shared" si="0"/>
        <v>0</v>
      </c>
      <c r="F11" s="52" t="s">
        <v>318</v>
      </c>
      <c r="G11" s="52"/>
      <c r="H11" s="52"/>
      <c r="I11" s="52">
        <f t="shared" si="1"/>
        <v>0</v>
      </c>
      <c r="J11" s="52"/>
      <c r="K11" s="52"/>
      <c r="L11" s="52">
        <f t="shared" si="2"/>
        <v>0</v>
      </c>
    </row>
    <row r="12" spans="1:12" x14ac:dyDescent="0.25">
      <c r="B12" s="52"/>
      <c r="C12" s="52"/>
      <c r="D12" s="52"/>
      <c r="E12" s="52">
        <f t="shared" si="0"/>
        <v>0</v>
      </c>
      <c r="F12" s="52"/>
      <c r="G12" s="52"/>
      <c r="H12" s="52"/>
      <c r="I12" s="52">
        <f t="shared" si="1"/>
        <v>0</v>
      </c>
      <c r="J12" s="52"/>
      <c r="K12" s="52"/>
      <c r="L12" s="52">
        <f t="shared" si="2"/>
        <v>0</v>
      </c>
    </row>
    <row r="13" spans="1:12" x14ac:dyDescent="0.25">
      <c r="B13" s="52"/>
      <c r="C13" s="52"/>
      <c r="D13" s="52"/>
      <c r="E13" s="52">
        <f t="shared" si="0"/>
        <v>0</v>
      </c>
      <c r="F13" s="52"/>
      <c r="G13" s="52"/>
      <c r="H13" s="52"/>
      <c r="I13" s="52">
        <f t="shared" si="1"/>
        <v>0</v>
      </c>
      <c r="J13" s="52"/>
      <c r="K13" s="52"/>
      <c r="L13" s="52">
        <f t="shared" si="2"/>
        <v>0</v>
      </c>
    </row>
    <row r="14" spans="1:12" x14ac:dyDescent="0.25">
      <c r="B14" s="52" t="s">
        <v>319</v>
      </c>
      <c r="C14" s="52"/>
      <c r="D14" s="52"/>
      <c r="E14" s="52">
        <f t="shared" si="0"/>
        <v>0</v>
      </c>
      <c r="F14" s="52" t="s">
        <v>316</v>
      </c>
      <c r="G14" s="52"/>
      <c r="H14" s="52"/>
      <c r="I14" s="52">
        <f t="shared" si="1"/>
        <v>0</v>
      </c>
      <c r="J14" s="52"/>
      <c r="K14" s="52"/>
      <c r="L14" s="52">
        <f t="shared" si="2"/>
        <v>0</v>
      </c>
    </row>
    <row r="15" spans="1:12" x14ac:dyDescent="0.25">
      <c r="B15" s="52"/>
      <c r="C15" s="52"/>
      <c r="D15" s="52"/>
      <c r="E15" s="52">
        <f t="shared" si="0"/>
        <v>0</v>
      </c>
      <c r="F15" s="52" t="s">
        <v>318</v>
      </c>
      <c r="G15" s="52"/>
      <c r="H15" s="52"/>
      <c r="I15" s="52">
        <f t="shared" si="1"/>
        <v>0</v>
      </c>
      <c r="J15" s="52"/>
      <c r="K15" s="52"/>
      <c r="L15" s="52">
        <f t="shared" si="2"/>
        <v>0</v>
      </c>
    </row>
    <row r="16" spans="1:12" x14ac:dyDescent="0.25">
      <c r="B16" s="52"/>
      <c r="C16" s="52"/>
      <c r="D16" s="52"/>
      <c r="E16" s="52">
        <f t="shared" si="0"/>
        <v>0</v>
      </c>
      <c r="F16" s="52"/>
      <c r="G16" s="52"/>
      <c r="H16" s="52"/>
      <c r="I16" s="52">
        <f t="shared" si="1"/>
        <v>0</v>
      </c>
      <c r="J16" s="52"/>
      <c r="K16" s="52"/>
      <c r="L16" s="52">
        <f t="shared" si="2"/>
        <v>0</v>
      </c>
    </row>
    <row r="17" spans="2:12" x14ac:dyDescent="0.25">
      <c r="B17" s="52"/>
      <c r="C17" s="52"/>
      <c r="D17" s="52"/>
      <c r="E17" s="52">
        <f t="shared" si="0"/>
        <v>0</v>
      </c>
      <c r="F17" s="52"/>
      <c r="G17" s="52"/>
      <c r="H17" s="52"/>
      <c r="I17" s="52">
        <f t="shared" si="1"/>
        <v>0</v>
      </c>
      <c r="J17" s="52"/>
      <c r="K17" s="52"/>
      <c r="L17" s="52">
        <f t="shared" si="2"/>
        <v>0</v>
      </c>
    </row>
    <row r="18" spans="2:12" x14ac:dyDescent="0.25">
      <c r="B18" s="52" t="s">
        <v>320</v>
      </c>
      <c r="C18" s="52"/>
      <c r="D18" s="52"/>
      <c r="E18" s="52">
        <f t="shared" si="0"/>
        <v>0</v>
      </c>
      <c r="F18" s="52" t="s">
        <v>316</v>
      </c>
      <c r="G18" s="52"/>
      <c r="H18" s="52"/>
      <c r="I18" s="52">
        <f t="shared" si="1"/>
        <v>0</v>
      </c>
      <c r="J18" s="52"/>
      <c r="K18" s="52"/>
      <c r="L18" s="52">
        <f t="shared" si="2"/>
        <v>0</v>
      </c>
    </row>
    <row r="19" spans="2:12" x14ac:dyDescent="0.25">
      <c r="B19" s="52"/>
      <c r="C19" s="52"/>
      <c r="D19" s="52"/>
      <c r="E19" s="52">
        <f t="shared" si="0"/>
        <v>0</v>
      </c>
      <c r="F19" s="52" t="s">
        <v>318</v>
      </c>
      <c r="G19" s="52"/>
      <c r="H19" s="52"/>
      <c r="I19" s="52">
        <f t="shared" si="1"/>
        <v>0</v>
      </c>
      <c r="J19" s="52"/>
      <c r="K19" s="52"/>
      <c r="L19" s="52">
        <f t="shared" si="2"/>
        <v>0</v>
      </c>
    </row>
    <row r="20" spans="2:12" x14ac:dyDescent="0.25">
      <c r="B20" s="52"/>
      <c r="C20" s="52"/>
      <c r="D20" s="52"/>
      <c r="E20" s="52">
        <f t="shared" si="0"/>
        <v>0</v>
      </c>
      <c r="F20" s="52"/>
      <c r="G20" s="52"/>
      <c r="H20" s="52"/>
      <c r="I20" s="52">
        <f t="shared" si="1"/>
        <v>0</v>
      </c>
      <c r="J20" s="52"/>
      <c r="K20" s="52"/>
      <c r="L20" s="52">
        <f t="shared" si="2"/>
        <v>0</v>
      </c>
    </row>
    <row r="21" spans="2:12" x14ac:dyDescent="0.25">
      <c r="B21" s="52" t="s">
        <v>321</v>
      </c>
      <c r="C21" s="52"/>
      <c r="D21" s="52"/>
      <c r="E21" s="52">
        <f t="shared" si="0"/>
        <v>0</v>
      </c>
      <c r="F21" s="52" t="s">
        <v>316</v>
      </c>
      <c r="G21" s="52"/>
      <c r="H21" s="52"/>
      <c r="I21" s="52">
        <f t="shared" si="1"/>
        <v>0</v>
      </c>
      <c r="J21" s="52"/>
      <c r="K21" s="52"/>
      <c r="L21" s="52">
        <f t="shared" si="2"/>
        <v>0</v>
      </c>
    </row>
    <row r="22" spans="2:12" x14ac:dyDescent="0.25">
      <c r="B22" s="52"/>
      <c r="C22" s="52"/>
      <c r="D22" s="52"/>
      <c r="E22" s="52">
        <f t="shared" si="0"/>
        <v>0</v>
      </c>
      <c r="F22" s="52" t="s">
        <v>318</v>
      </c>
      <c r="G22" s="52"/>
      <c r="H22" s="52"/>
      <c r="I22" s="52">
        <f t="shared" si="1"/>
        <v>0</v>
      </c>
      <c r="J22" s="52"/>
      <c r="K22" s="52"/>
      <c r="L22" s="52">
        <f t="shared" si="2"/>
        <v>0</v>
      </c>
    </row>
    <row r="23" spans="2:12" x14ac:dyDescent="0.25">
      <c r="B23" s="52"/>
      <c r="C23" s="52"/>
      <c r="D23" s="52"/>
      <c r="E23" s="52">
        <f t="shared" si="0"/>
        <v>0</v>
      </c>
      <c r="F23" s="52"/>
      <c r="G23" s="52"/>
      <c r="H23" s="52"/>
      <c r="I23" s="52">
        <f t="shared" si="1"/>
        <v>0</v>
      </c>
      <c r="J23" s="52"/>
      <c r="K23" s="52"/>
      <c r="L23" s="52">
        <f t="shared" si="2"/>
        <v>0</v>
      </c>
    </row>
    <row r="24" spans="2:12" x14ac:dyDescent="0.25">
      <c r="B24" s="52" t="s">
        <v>322</v>
      </c>
      <c r="C24" s="52"/>
      <c r="D24" s="52"/>
      <c r="E24" s="52">
        <f t="shared" si="0"/>
        <v>0</v>
      </c>
      <c r="F24" s="52" t="s">
        <v>323</v>
      </c>
      <c r="G24" s="52"/>
      <c r="H24" s="52"/>
      <c r="I24" s="52">
        <f t="shared" si="1"/>
        <v>0</v>
      </c>
      <c r="J24" s="52"/>
      <c r="K24" s="52"/>
      <c r="L24" s="52">
        <f t="shared" si="2"/>
        <v>0</v>
      </c>
    </row>
    <row r="25" spans="2:12" x14ac:dyDescent="0.25">
      <c r="B25" s="52"/>
      <c r="C25" s="52"/>
      <c r="D25" s="52"/>
      <c r="E25" s="52">
        <f>C25*D25</f>
        <v>0</v>
      </c>
      <c r="F25" s="52" t="s">
        <v>323</v>
      </c>
      <c r="G25" s="52"/>
      <c r="H25" s="52"/>
      <c r="I25" s="52">
        <f>G25*H25</f>
        <v>0</v>
      </c>
      <c r="J25" s="52"/>
      <c r="K25" s="52"/>
      <c r="L25" s="52">
        <f>J25*K25</f>
        <v>0</v>
      </c>
    </row>
    <row r="26" spans="2:12" x14ac:dyDescent="0.25">
      <c r="B26" s="52"/>
      <c r="C26" s="52"/>
      <c r="D26" s="52"/>
      <c r="E26" s="52">
        <f>C26*D26</f>
        <v>0</v>
      </c>
      <c r="F26" s="52" t="s">
        <v>323</v>
      </c>
      <c r="G26" s="52"/>
      <c r="H26" s="52"/>
      <c r="I26" s="52">
        <f>G26*H26</f>
        <v>0</v>
      </c>
      <c r="J26" s="52"/>
      <c r="K26" s="52"/>
      <c r="L26" s="52">
        <f>J26*K26</f>
        <v>0</v>
      </c>
    </row>
    <row r="27" spans="2:12" x14ac:dyDescent="0.25">
      <c r="B27" s="52"/>
      <c r="C27" s="52"/>
      <c r="D27" s="52"/>
      <c r="E27" s="52">
        <f>C27*D27</f>
        <v>0</v>
      </c>
      <c r="F27" s="52" t="s">
        <v>323</v>
      </c>
      <c r="G27" s="52"/>
      <c r="H27" s="52"/>
      <c r="I27" s="52">
        <f>G27*H27</f>
        <v>0</v>
      </c>
      <c r="J27" s="52"/>
      <c r="K27" s="52"/>
      <c r="L27" s="52">
        <f>J27*K27</f>
        <v>0</v>
      </c>
    </row>
    <row r="28" spans="2:12" x14ac:dyDescent="0.25">
      <c r="B28" s="52" t="s">
        <v>324</v>
      </c>
      <c r="C28" s="52"/>
      <c r="D28" s="52"/>
      <c r="E28" s="52">
        <f t="shared" si="0"/>
        <v>0</v>
      </c>
      <c r="F28" s="52" t="s">
        <v>323</v>
      </c>
      <c r="G28" s="52"/>
      <c r="H28" s="52"/>
      <c r="I28" s="52">
        <f t="shared" si="1"/>
        <v>0</v>
      </c>
      <c r="J28" s="52"/>
      <c r="K28" s="52"/>
      <c r="L28" s="52">
        <f t="shared" si="2"/>
        <v>0</v>
      </c>
    </row>
    <row r="29" spans="2:12" x14ac:dyDescent="0.25">
      <c r="B29" s="52" t="s">
        <v>325</v>
      </c>
      <c r="C29" s="52"/>
      <c r="D29" s="52"/>
      <c r="E29" s="52">
        <f t="shared" si="0"/>
        <v>0</v>
      </c>
      <c r="F29" s="52" t="s">
        <v>323</v>
      </c>
      <c r="G29" s="52"/>
      <c r="H29" s="52"/>
      <c r="I29" s="52">
        <f t="shared" si="1"/>
        <v>0</v>
      </c>
      <c r="J29" s="52"/>
      <c r="K29" s="52"/>
      <c r="L29" s="52">
        <f t="shared" si="2"/>
        <v>0</v>
      </c>
    </row>
    <row r="30" spans="2:12" x14ac:dyDescent="0.25">
      <c r="B30" s="52" t="s">
        <v>329</v>
      </c>
      <c r="C30" s="52"/>
      <c r="D30" s="52"/>
      <c r="E30" s="52">
        <f t="shared" si="0"/>
        <v>0</v>
      </c>
      <c r="F30" s="52"/>
      <c r="G30" s="52"/>
      <c r="H30" s="52"/>
      <c r="I30" s="52">
        <f t="shared" si="1"/>
        <v>0</v>
      </c>
      <c r="J30" s="52"/>
      <c r="K30" s="52"/>
      <c r="L30" s="52">
        <f t="shared" si="2"/>
        <v>0</v>
      </c>
    </row>
    <row r="31" spans="2:12" x14ac:dyDescent="0.25">
      <c r="B31" s="52"/>
      <c r="C31" s="52"/>
      <c r="D31" s="52"/>
      <c r="E31" s="52">
        <f>C31*D31</f>
        <v>0</v>
      </c>
      <c r="F31" s="52"/>
      <c r="G31" s="52"/>
      <c r="H31" s="52"/>
      <c r="I31" s="52">
        <f>G31*H31</f>
        <v>0</v>
      </c>
      <c r="J31" s="52"/>
      <c r="K31" s="52"/>
      <c r="L31" s="52">
        <f>J31*K31</f>
        <v>0</v>
      </c>
    </row>
    <row r="32" spans="2:12" x14ac:dyDescent="0.25">
      <c r="B32" s="52"/>
      <c r="C32" s="52"/>
      <c r="D32" s="52"/>
      <c r="E32" s="52">
        <f>C32*D32</f>
        <v>0</v>
      </c>
      <c r="F32" s="52"/>
      <c r="G32" s="52"/>
      <c r="H32" s="52"/>
      <c r="I32" s="52">
        <f>G32*H32</f>
        <v>0</v>
      </c>
      <c r="J32" s="52"/>
      <c r="K32" s="52"/>
      <c r="L32" s="52">
        <f>J32*K32</f>
        <v>0</v>
      </c>
    </row>
    <row r="33" spans="2:12" x14ac:dyDescent="0.25">
      <c r="B33" s="52" t="s">
        <v>326</v>
      </c>
      <c r="C33" s="52"/>
      <c r="D33" s="52"/>
      <c r="E33" s="52">
        <f t="shared" si="0"/>
        <v>0</v>
      </c>
      <c r="F33" s="52"/>
      <c r="G33" s="52"/>
      <c r="H33" s="52"/>
      <c r="I33" s="52">
        <f t="shared" si="1"/>
        <v>0</v>
      </c>
      <c r="J33" s="52"/>
      <c r="K33" s="52"/>
      <c r="L33" s="52">
        <f t="shared" si="2"/>
        <v>0</v>
      </c>
    </row>
    <row r="34" spans="2:12" x14ac:dyDescent="0.25">
      <c r="B34" s="52" t="s">
        <v>330</v>
      </c>
      <c r="C34" s="52"/>
      <c r="D34" s="52"/>
      <c r="E34" s="52">
        <f t="shared" si="0"/>
        <v>0</v>
      </c>
      <c r="F34" s="52"/>
      <c r="G34" s="52"/>
      <c r="H34" s="52"/>
      <c r="I34" s="52">
        <f t="shared" si="1"/>
        <v>0</v>
      </c>
      <c r="J34" s="52"/>
      <c r="K34" s="52"/>
      <c r="L34" s="52">
        <f t="shared" si="2"/>
        <v>0</v>
      </c>
    </row>
    <row r="35" spans="2:12" x14ac:dyDescent="0.25">
      <c r="B35" s="52" t="s">
        <v>327</v>
      </c>
      <c r="C35" s="52"/>
      <c r="D35" s="52"/>
      <c r="E35" s="52">
        <f t="shared" si="0"/>
        <v>0</v>
      </c>
      <c r="F35" s="52"/>
      <c r="G35" s="52"/>
      <c r="H35" s="52"/>
      <c r="I35" s="52">
        <f t="shared" si="1"/>
        <v>0</v>
      </c>
      <c r="J35" s="52"/>
      <c r="K35" s="52"/>
      <c r="L35" s="52">
        <f t="shared" si="2"/>
        <v>0</v>
      </c>
    </row>
    <row r="36" spans="2:12" x14ac:dyDescent="0.25">
      <c r="B36" s="52" t="s">
        <v>328</v>
      </c>
      <c r="C36" s="52"/>
      <c r="D36" s="52"/>
      <c r="E36" s="52">
        <f t="shared" si="0"/>
        <v>0</v>
      </c>
      <c r="F36" s="52"/>
      <c r="G36" s="52"/>
      <c r="H36" s="52"/>
      <c r="I36" s="52">
        <f t="shared" ref="I36:I41" si="3">G36*H36</f>
        <v>0</v>
      </c>
      <c r="J36" s="52"/>
      <c r="K36" s="52"/>
      <c r="L36" s="52">
        <f t="shared" ref="L36:L41" si="4">J36*K36</f>
        <v>0</v>
      </c>
    </row>
    <row r="37" spans="2:12" x14ac:dyDescent="0.25">
      <c r="B37" s="52"/>
      <c r="C37" s="52"/>
      <c r="D37" s="52"/>
      <c r="E37" s="52">
        <f>C37*D37</f>
        <v>0</v>
      </c>
      <c r="F37" s="52"/>
      <c r="G37" s="52"/>
      <c r="H37" s="52"/>
      <c r="I37" s="52">
        <f t="shared" si="3"/>
        <v>0</v>
      </c>
      <c r="J37" s="52"/>
      <c r="K37" s="52"/>
      <c r="L37" s="52">
        <f t="shared" si="4"/>
        <v>0</v>
      </c>
    </row>
    <row r="38" spans="2:12" x14ac:dyDescent="0.25">
      <c r="B38" s="52" t="s">
        <v>331</v>
      </c>
      <c r="C38" s="52"/>
      <c r="D38" s="52"/>
      <c r="E38" s="52">
        <f>C38*D38</f>
        <v>0</v>
      </c>
      <c r="F38" s="52"/>
      <c r="G38" s="52"/>
      <c r="H38" s="52"/>
      <c r="I38" s="52">
        <f t="shared" si="3"/>
        <v>0</v>
      </c>
      <c r="J38" s="52"/>
      <c r="K38" s="52"/>
      <c r="L38" s="52">
        <f t="shared" si="4"/>
        <v>0</v>
      </c>
    </row>
    <row r="39" spans="2:12" x14ac:dyDescent="0.25">
      <c r="B39" s="52"/>
      <c r="C39" s="52"/>
      <c r="D39" s="52"/>
      <c r="E39" s="52">
        <f t="shared" si="0"/>
        <v>0</v>
      </c>
      <c r="F39" s="52"/>
      <c r="G39" s="52"/>
      <c r="H39" s="52"/>
      <c r="I39" s="52">
        <f t="shared" si="3"/>
        <v>0</v>
      </c>
      <c r="J39" s="52"/>
      <c r="K39" s="52"/>
      <c r="L39" s="52">
        <f t="shared" si="4"/>
        <v>0</v>
      </c>
    </row>
    <row r="40" spans="2:12" x14ac:dyDescent="0.25">
      <c r="B40" s="52"/>
      <c r="C40" s="52"/>
      <c r="D40" s="52"/>
      <c r="E40" s="52">
        <f t="shared" si="0"/>
        <v>0</v>
      </c>
      <c r="F40" s="52"/>
      <c r="G40" s="52"/>
      <c r="H40" s="52"/>
      <c r="I40" s="52">
        <f t="shared" si="3"/>
        <v>0</v>
      </c>
      <c r="J40" s="52"/>
      <c r="K40" s="52"/>
      <c r="L40" s="52">
        <f t="shared" si="4"/>
        <v>0</v>
      </c>
    </row>
    <row r="41" spans="2:12" x14ac:dyDescent="0.25">
      <c r="B41" s="52"/>
      <c r="C41" s="52"/>
      <c r="D41" s="52"/>
      <c r="E41" s="52">
        <f t="shared" si="0"/>
        <v>0</v>
      </c>
      <c r="F41" s="52"/>
      <c r="G41" s="52"/>
      <c r="H41" s="52"/>
      <c r="I41" s="52">
        <f t="shared" si="3"/>
        <v>0</v>
      </c>
      <c r="J41" s="52"/>
      <c r="K41" s="52"/>
      <c r="L41" s="52">
        <f t="shared" si="4"/>
        <v>0</v>
      </c>
    </row>
    <row r="42" spans="2:12" x14ac:dyDescent="0.25">
      <c r="B42" s="52" t="s">
        <v>154</v>
      </c>
      <c r="C42" s="52"/>
      <c r="D42" s="52">
        <f>E42*10.764</f>
        <v>0</v>
      </c>
      <c r="E42" s="67">
        <f>SUM(E6:E41)</f>
        <v>0</v>
      </c>
      <c r="F42" s="52"/>
      <c r="G42" s="52"/>
      <c r="H42" s="52">
        <f>I42*10.764</f>
        <v>0</v>
      </c>
      <c r="I42" s="66">
        <f>SUM(I6:I41)</f>
        <v>0</v>
      </c>
      <c r="J42" s="52"/>
      <c r="K42" s="52">
        <f>L42*10.764</f>
        <v>0</v>
      </c>
      <c r="L42" s="65">
        <f>SUM(L6:L41)</f>
        <v>0</v>
      </c>
    </row>
    <row r="44" spans="2:12" x14ac:dyDescent="0.25">
      <c r="D44" s="51">
        <f>D42+H42</f>
        <v>0</v>
      </c>
      <c r="E44" s="51">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cp:lastModifiedBy>
  <cp:lastPrinted>2025-07-31T05:40:49Z</cp:lastPrinted>
  <dcterms:created xsi:type="dcterms:W3CDTF">2019-07-16T09:29:46Z</dcterms:created>
  <dcterms:modified xsi:type="dcterms:W3CDTF">2025-07-31T05:44:24Z</dcterms:modified>
</cp:coreProperties>
</file>