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30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8" i="1" l="1"/>
  <c r="C71" i="1"/>
  <c r="E3" i="1" l="1"/>
  <c r="D58" i="1" s="1"/>
  <c r="C90" i="1" l="1"/>
  <c r="C76" i="1"/>
  <c r="L239" i="1" l="1"/>
  <c r="L242" i="1"/>
  <c r="L241" i="1"/>
  <c r="L240" i="1"/>
  <c r="L238" i="1"/>
  <c r="L232" i="1"/>
  <c r="L231" i="1"/>
  <c r="L230" i="1"/>
  <c r="L229" i="1"/>
  <c r="L228" i="1"/>
  <c r="L227" i="1"/>
  <c r="J94" i="1"/>
  <c r="J93" i="1"/>
  <c r="J92" i="1"/>
  <c r="J91" i="1"/>
  <c r="H84" i="1"/>
  <c r="J88" i="1" l="1"/>
  <c r="C87" i="1" s="1"/>
  <c r="D87" i="1" s="1"/>
  <c r="D96" i="1"/>
  <c r="D94" i="1"/>
  <c r="D92" i="1"/>
  <c r="D90" i="1"/>
  <c r="D95" i="1"/>
  <c r="D91" i="1"/>
  <c r="J87" i="1"/>
  <c r="J89" i="1"/>
  <c r="J90" i="1" s="1"/>
  <c r="J95" i="1" s="1"/>
  <c r="J96" i="1" s="1"/>
  <c r="C88" i="1" s="1"/>
  <c r="D93" i="1"/>
  <c r="D89" i="1"/>
  <c r="J86" i="1"/>
  <c r="D260" i="1"/>
  <c r="D259" i="1"/>
  <c r="D258" i="1"/>
  <c r="D257" i="1"/>
  <c r="D256" i="1"/>
  <c r="D255" i="1"/>
  <c r="D253" i="1"/>
  <c r="D252" i="1"/>
  <c r="D251" i="1"/>
  <c r="D250" i="1"/>
  <c r="D249" i="1"/>
  <c r="D248" i="1"/>
  <c r="D298" i="1"/>
  <c r="D297" i="1"/>
  <c r="D296" i="1"/>
  <c r="D295" i="1"/>
  <c r="D294" i="1"/>
  <c r="D293" i="1"/>
  <c r="D291" i="1"/>
  <c r="D290" i="1"/>
  <c r="D289" i="1"/>
  <c r="D288" i="1"/>
  <c r="D287" i="1"/>
  <c r="D286" i="1"/>
  <c r="D284" i="1"/>
  <c r="D283" i="1"/>
  <c r="D282" i="1"/>
  <c r="D281" i="1"/>
  <c r="D280" i="1"/>
  <c r="D279" i="1"/>
  <c r="D277" i="1"/>
  <c r="D276" i="1"/>
  <c r="D275" i="1"/>
  <c r="D274" i="1"/>
  <c r="D273" i="1"/>
  <c r="D272" i="1"/>
  <c r="D246" i="1"/>
  <c r="D245" i="1"/>
  <c r="D244" i="1"/>
  <c r="D243" i="1"/>
  <c r="D242" i="1"/>
  <c r="D241" i="1"/>
  <c r="D239" i="1"/>
  <c r="J239" i="1" s="1"/>
  <c r="D238" i="1"/>
  <c r="J238" i="1" s="1"/>
  <c r="D237" i="1"/>
  <c r="J237" i="1" s="1"/>
  <c r="D236" i="1"/>
  <c r="J236" i="1" s="1"/>
  <c r="D235" i="1"/>
  <c r="J235" i="1" s="1"/>
  <c r="D234" i="1"/>
  <c r="J234" i="1" s="1"/>
  <c r="D270" i="1"/>
  <c r="D269" i="1"/>
  <c r="D268" i="1"/>
  <c r="D267" i="1"/>
  <c r="D266" i="1"/>
  <c r="D265" i="1"/>
  <c r="D231" i="1"/>
  <c r="D230" i="1"/>
  <c r="D228" i="1"/>
  <c r="D227" i="1"/>
  <c r="C66" i="1"/>
  <c r="C13" i="1"/>
  <c r="E87" i="1" l="1"/>
  <c r="I83" i="1" s="1"/>
  <c r="C85" i="1" s="1"/>
  <c r="D88" i="1"/>
  <c r="G87" i="1"/>
  <c r="G293" i="1"/>
  <c r="G286" i="1"/>
  <c r="G279" i="1"/>
  <c r="G272" i="1"/>
  <c r="A266" i="1"/>
  <c r="A267" i="1" s="1"/>
  <c r="A268" i="1" s="1"/>
  <c r="A269" i="1" s="1"/>
  <c r="A270" i="1" s="1"/>
  <c r="G265" i="1"/>
  <c r="G255" i="1"/>
  <c r="G248" i="1"/>
  <c r="G241" i="1"/>
  <c r="D232" i="1"/>
  <c r="D229" i="1"/>
  <c r="D219" i="1"/>
  <c r="D218" i="1"/>
  <c r="D217" i="1"/>
  <c r="D216" i="1"/>
  <c r="D215" i="1"/>
  <c r="D214" i="1"/>
  <c r="D213" i="1"/>
  <c r="D212" i="1"/>
  <c r="D211" i="1"/>
  <c r="D210" i="1"/>
  <c r="D209" i="1"/>
  <c r="A209" i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G208" i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D208" i="1"/>
  <c r="D207" i="1"/>
  <c r="D206" i="1"/>
  <c r="D205" i="1"/>
  <c r="D204" i="1"/>
  <c r="D203" i="1"/>
  <c r="D202" i="1"/>
  <c r="A202" i="1"/>
  <c r="A203" i="1" s="1"/>
  <c r="A204" i="1" s="1"/>
  <c r="A205" i="1" s="1"/>
  <c r="A206" i="1" s="1"/>
  <c r="A207" i="1" s="1"/>
  <c r="G201" i="1"/>
  <c r="G202" i="1" s="1"/>
  <c r="G203" i="1" s="1"/>
  <c r="G204" i="1" s="1"/>
  <c r="G205" i="1" s="1"/>
  <c r="G206" i="1" s="1"/>
  <c r="G207" i="1" s="1"/>
  <c r="D201" i="1"/>
  <c r="D200" i="1"/>
  <c r="D199" i="1"/>
  <c r="D198" i="1"/>
  <c r="D197" i="1"/>
  <c r="D196" i="1"/>
  <c r="D195" i="1"/>
  <c r="D194" i="1"/>
  <c r="D193" i="1"/>
  <c r="D192" i="1"/>
  <c r="D191" i="1"/>
  <c r="A191" i="1"/>
  <c r="A192" i="1" s="1"/>
  <c r="A193" i="1" s="1"/>
  <c r="A194" i="1" s="1"/>
  <c r="A195" i="1" s="1"/>
  <c r="A196" i="1" s="1"/>
  <c r="A197" i="1" s="1"/>
  <c r="A198" i="1" s="1"/>
  <c r="A199" i="1" s="1"/>
  <c r="A200" i="1" s="1"/>
  <c r="G190" i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D190" i="1"/>
  <c r="D189" i="1"/>
  <c r="D188" i="1"/>
  <c r="D187" i="1"/>
  <c r="D186" i="1"/>
  <c r="D185" i="1"/>
  <c r="D184" i="1"/>
  <c r="A184" i="1"/>
  <c r="A185" i="1" s="1"/>
  <c r="A186" i="1" s="1"/>
  <c r="A187" i="1" s="1"/>
  <c r="A188" i="1" s="1"/>
  <c r="A189" i="1" s="1"/>
  <c r="G183" i="1"/>
  <c r="G184" i="1" s="1"/>
  <c r="G185" i="1" s="1"/>
  <c r="G186" i="1" s="1"/>
  <c r="G187" i="1" s="1"/>
  <c r="G188" i="1" s="1"/>
  <c r="G189" i="1" s="1"/>
  <c r="D183" i="1"/>
  <c r="D176" i="1"/>
  <c r="D177" i="1"/>
  <c r="D178" i="1"/>
  <c r="D179" i="1"/>
  <c r="D180" i="1"/>
  <c r="D181" i="1"/>
  <c r="D165" i="1"/>
  <c r="D166" i="1"/>
  <c r="D167" i="1"/>
  <c r="D168" i="1"/>
  <c r="D169" i="1"/>
  <c r="D170" i="1"/>
  <c r="D171" i="1"/>
  <c r="D172" i="1"/>
  <c r="D173" i="1"/>
  <c r="D174" i="1"/>
  <c r="D175" i="1"/>
  <c r="D164" i="1"/>
  <c r="D163" i="1"/>
  <c r="D162" i="1"/>
  <c r="J162" i="1" s="1"/>
  <c r="D154" i="1"/>
  <c r="D155" i="1"/>
  <c r="D156" i="1"/>
  <c r="D157" i="1"/>
  <c r="D158" i="1"/>
  <c r="D159" i="1"/>
  <c r="D160" i="1"/>
  <c r="D161" i="1"/>
  <c r="J161" i="1" s="1"/>
  <c r="D153" i="1"/>
  <c r="D146" i="1"/>
  <c r="D147" i="1"/>
  <c r="D148" i="1"/>
  <c r="D149" i="1"/>
  <c r="D150" i="1"/>
  <c r="D151" i="1"/>
  <c r="D152" i="1"/>
  <c r="D145" i="1"/>
  <c r="G170" i="1"/>
  <c r="G163" i="1"/>
  <c r="A171" i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64" i="1"/>
  <c r="A165" i="1" s="1"/>
  <c r="A166" i="1" s="1"/>
  <c r="A167" i="1" s="1"/>
  <c r="A168" i="1" s="1"/>
  <c r="A169" i="1" s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G152" i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A146" i="1"/>
  <c r="A147" i="1" s="1"/>
  <c r="A148" i="1" s="1"/>
  <c r="A149" i="1" s="1"/>
  <c r="A150" i="1" s="1"/>
  <c r="A151" i="1" s="1"/>
  <c r="G145" i="1"/>
  <c r="G146" i="1" s="1"/>
  <c r="G147" i="1" s="1"/>
  <c r="G148" i="1" s="1"/>
  <c r="G149" i="1" s="1"/>
  <c r="G150" i="1" s="1"/>
  <c r="G151" i="1" s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30" i="1"/>
  <c r="D129" i="1"/>
  <c r="D128" i="1"/>
  <c r="J128" i="1" s="1"/>
  <c r="D127" i="1"/>
  <c r="J127" i="1" s="1"/>
  <c r="D126" i="1"/>
  <c r="J126" i="1" s="1"/>
  <c r="G133" i="1"/>
  <c r="A134" i="1"/>
  <c r="A135" i="1" s="1"/>
  <c r="A136" i="1" s="1"/>
  <c r="A137" i="1" s="1"/>
  <c r="A138" i="1" s="1"/>
  <c r="A139" i="1" s="1"/>
  <c r="A140" i="1" s="1"/>
  <c r="A141" i="1" s="1"/>
  <c r="A142" i="1" s="1"/>
  <c r="A143" i="1" s="1"/>
  <c r="P255" i="1"/>
  <c r="O272" i="1"/>
  <c r="O279" i="1"/>
  <c r="P241" i="1"/>
  <c r="P272" i="1"/>
  <c r="O255" i="1"/>
  <c r="O248" i="1"/>
  <c r="P286" i="1"/>
  <c r="P248" i="1"/>
  <c r="O241" i="1"/>
  <c r="P293" i="1"/>
  <c r="P279" i="1"/>
  <c r="O293" i="1"/>
  <c r="O286" i="1"/>
  <c r="E118" i="1" l="1"/>
  <c r="G171" i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14" i="1"/>
  <c r="C114" i="1"/>
  <c r="E114" i="1"/>
  <c r="C118" i="1"/>
  <c r="C113" i="1"/>
  <c r="E113" i="1"/>
  <c r="G119" i="1"/>
  <c r="E119" i="1"/>
  <c r="C119" i="1"/>
  <c r="N293" i="1"/>
  <c r="O294" i="1"/>
  <c r="P273" i="1"/>
  <c r="P274" i="1" s="1"/>
  <c r="P275" i="1" s="1"/>
  <c r="P276" i="1" s="1"/>
  <c r="P277" i="1" s="1"/>
  <c r="P280" i="1"/>
  <c r="P281" i="1" s="1"/>
  <c r="P282" i="1" s="1"/>
  <c r="P283" i="1" s="1"/>
  <c r="P284" i="1" s="1"/>
  <c r="P287" i="1"/>
  <c r="P288" i="1" s="1"/>
  <c r="P289" i="1" s="1"/>
  <c r="P290" i="1" s="1"/>
  <c r="P291" i="1" s="1"/>
  <c r="P294" i="1"/>
  <c r="P295" i="1" s="1"/>
  <c r="P296" i="1" s="1"/>
  <c r="P297" i="1" s="1"/>
  <c r="P298" i="1" s="1"/>
  <c r="N272" i="1"/>
  <c r="O273" i="1"/>
  <c r="N286" i="1"/>
  <c r="O287" i="1"/>
  <c r="N279" i="1"/>
  <c r="O280" i="1"/>
  <c r="N255" i="1"/>
  <c r="O256" i="1"/>
  <c r="P256" i="1"/>
  <c r="P257" i="1" s="1"/>
  <c r="P258" i="1" s="1"/>
  <c r="P259" i="1" s="1"/>
  <c r="P260" i="1" s="1"/>
  <c r="N248" i="1"/>
  <c r="O249" i="1"/>
  <c r="P249" i="1"/>
  <c r="P250" i="1" s="1"/>
  <c r="P251" i="1" s="1"/>
  <c r="P252" i="1" s="1"/>
  <c r="P253" i="1" s="1"/>
  <c r="P242" i="1"/>
  <c r="P243" i="1" s="1"/>
  <c r="P244" i="1" s="1"/>
  <c r="P245" i="1" s="1"/>
  <c r="P246" i="1" s="1"/>
  <c r="N241" i="1"/>
  <c r="O242" i="1"/>
  <c r="G164" i="1"/>
  <c r="G165" i="1" s="1"/>
  <c r="G166" i="1" s="1"/>
  <c r="G167" i="1" s="1"/>
  <c r="G168" i="1" s="1"/>
  <c r="G169" i="1" s="1"/>
  <c r="C120" i="1" l="1"/>
  <c r="G118" i="1"/>
  <c r="G120" i="1" s="1"/>
  <c r="J227" i="1"/>
  <c r="C115" i="1"/>
  <c r="E120" i="1"/>
  <c r="E115" i="1"/>
  <c r="O288" i="1"/>
  <c r="N287" i="1"/>
  <c r="N294" i="1"/>
  <c r="O295" i="1"/>
  <c r="O281" i="1"/>
  <c r="N280" i="1"/>
  <c r="O274" i="1"/>
  <c r="N273" i="1"/>
  <c r="N256" i="1"/>
  <c r="O257" i="1"/>
  <c r="N249" i="1"/>
  <c r="O250" i="1"/>
  <c r="N242" i="1"/>
  <c r="O243" i="1"/>
  <c r="O234" i="1"/>
  <c r="P234" i="1"/>
  <c r="G113" i="1" l="1"/>
  <c r="G115" i="1" s="1"/>
  <c r="N295" i="1"/>
  <c r="O296" i="1"/>
  <c r="N274" i="1"/>
  <c r="O275" i="1"/>
  <c r="N281" i="1"/>
  <c r="O282" i="1"/>
  <c r="N288" i="1"/>
  <c r="O289" i="1"/>
  <c r="N257" i="1"/>
  <c r="O258" i="1"/>
  <c r="N250" i="1"/>
  <c r="O251" i="1"/>
  <c r="N243" i="1"/>
  <c r="O244" i="1"/>
  <c r="B302" i="1"/>
  <c r="B301" i="1"/>
  <c r="O283" i="1" l="1"/>
  <c r="N282" i="1"/>
  <c r="O297" i="1"/>
  <c r="N296" i="1"/>
  <c r="O290" i="1"/>
  <c r="N289" i="1"/>
  <c r="N275" i="1"/>
  <c r="O276" i="1"/>
  <c r="N258" i="1"/>
  <c r="O259" i="1"/>
  <c r="N251" i="1"/>
  <c r="O252" i="1"/>
  <c r="N244" i="1"/>
  <c r="O245" i="1"/>
  <c r="E27" i="1"/>
  <c r="N290" i="1" l="1"/>
  <c r="O291" i="1"/>
  <c r="N291" i="1" s="1"/>
  <c r="N283" i="1"/>
  <c r="O284" i="1"/>
  <c r="N284" i="1" s="1"/>
  <c r="N276" i="1"/>
  <c r="O277" i="1"/>
  <c r="N277" i="1" s="1"/>
  <c r="N297" i="1"/>
  <c r="O298" i="1"/>
  <c r="N298" i="1" s="1"/>
  <c r="N259" i="1"/>
  <c r="O260" i="1"/>
  <c r="N260" i="1" s="1"/>
  <c r="N252" i="1"/>
  <c r="O253" i="1"/>
  <c r="N253" i="1" s="1"/>
  <c r="N245" i="1"/>
  <c r="O246" i="1"/>
  <c r="N246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21" i="1"/>
  <c r="A301" i="1"/>
  <c r="G234" i="1"/>
  <c r="G227" i="1"/>
  <c r="A228" i="1"/>
  <c r="A229" i="1" s="1"/>
  <c r="A230" i="1" s="1"/>
  <c r="A231" i="1" s="1"/>
  <c r="A232" i="1" s="1"/>
  <c r="A127" i="1"/>
  <c r="A128" i="1" s="1"/>
  <c r="A129" i="1" s="1"/>
  <c r="A130" i="1" s="1"/>
  <c r="A131" i="1" s="1"/>
  <c r="A132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26" i="1"/>
  <c r="G127" i="1" s="1"/>
  <c r="G128" i="1" s="1"/>
  <c r="G129" i="1" s="1"/>
  <c r="G130" i="1" s="1"/>
  <c r="G131" i="1" s="1"/>
  <c r="G132" i="1" s="1"/>
  <c r="F110" i="1"/>
  <c r="J80" i="1"/>
  <c r="J79" i="1"/>
  <c r="J78" i="1"/>
  <c r="J77" i="1"/>
  <c r="C64" i="1"/>
  <c r="D52" i="1"/>
  <c r="G46" i="1"/>
  <c r="G47" i="1" s="1"/>
  <c r="C46" i="1"/>
  <c r="E40" i="1"/>
  <c r="E41" i="1" s="1"/>
  <c r="E24" i="1"/>
  <c r="E22" i="1"/>
  <c r="E7" i="1"/>
  <c r="H65" i="1"/>
  <c r="H70" i="1"/>
  <c r="A302" i="1" l="1"/>
  <c r="A303" i="1" s="1"/>
  <c r="A304" i="1" s="1"/>
  <c r="A305" i="1" s="1"/>
  <c r="A306" i="1" s="1"/>
  <c r="A307" i="1" s="1"/>
  <c r="J75" i="1"/>
  <c r="J76" i="1" s="1"/>
  <c r="J81" i="1" s="1"/>
  <c r="J82" i="1" s="1"/>
  <c r="C74" i="1" s="1"/>
  <c r="D81" i="1"/>
  <c r="D79" i="1"/>
  <c r="D77" i="1"/>
  <c r="D75" i="1"/>
  <c r="J73" i="1"/>
  <c r="D82" i="1"/>
  <c r="J74" i="1"/>
  <c r="D76" i="1"/>
  <c r="D78" i="1"/>
  <c r="D80" i="1"/>
  <c r="J72" i="1"/>
  <c r="N234" i="1"/>
  <c r="O235" i="1"/>
  <c r="P235" i="1"/>
  <c r="P236" i="1" s="1"/>
  <c r="P237" i="1" s="1"/>
  <c r="P238" i="1" s="1"/>
  <c r="P239" i="1" s="1"/>
  <c r="C73" i="1" l="1"/>
  <c r="D73" i="1" s="1"/>
  <c r="E73" i="1"/>
  <c r="D74" i="1"/>
  <c r="N235" i="1"/>
  <c r="O236" i="1"/>
  <c r="G73" i="1" l="1"/>
  <c r="D62" i="1" s="1"/>
  <c r="F63" i="1" s="1"/>
  <c r="I69" i="1"/>
  <c r="I64" i="1"/>
  <c r="N236" i="1"/>
  <c r="O237" i="1"/>
  <c r="D63" i="1" l="1"/>
  <c r="N237" i="1"/>
  <c r="O238" i="1"/>
  <c r="N238" i="1" l="1"/>
  <c r="O239" i="1"/>
  <c r="N239" i="1" s="1"/>
</calcChain>
</file>

<file path=xl/sharedStrings.xml><?xml version="1.0" encoding="utf-8"?>
<sst xmlns="http://schemas.openxmlformats.org/spreadsheetml/2006/main" count="484" uniqueCount="239">
  <si>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</si>
  <si>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</si>
  <si>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</si>
  <si>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</si>
  <si>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</si>
  <si>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</si>
  <si>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</si>
  <si>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</si>
  <si>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</si>
  <si>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</si>
  <si>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</si>
  <si>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</si>
  <si>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</si>
  <si>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</si>
  <si>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</si>
  <si>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</si>
  <si>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</si>
  <si>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</si>
  <si>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</si>
  <si>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</si>
  <si>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</si>
  <si>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</si>
  <si>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</si>
  <si>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</si>
  <si>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</si>
  <si>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</si>
  <si>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</si>
  <si>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</si>
  <si>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</si>
  <si>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</si>
  <si>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</si>
  <si>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</si>
  <si>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</si>
  <si>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</si>
  <si>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</si>
  <si>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</si>
  <si>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</si>
  <si>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</si>
  <si>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</si>
  <si>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</si>
  <si>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</si>
  <si>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</si>
  <si>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</si>
  <si>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</si>
  <si>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</si>
  <si>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</si>
  <si>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</si>
  <si>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</si>
  <si>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</si>
  <si>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</si>
  <si>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</si>
  <si>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</si>
  <si>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</si>
  <si>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</si>
  <si>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</si>
  <si>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</si>
  <si>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</si>
  <si>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</si>
  <si>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</si>
  <si>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</si>
  <si>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</si>
  <si>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</si>
  <si>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</si>
  <si>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</si>
  <si>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</si>
  <si>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</si>
  <si>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</si>
  <si>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</si>
  <si>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</si>
  <si>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</si>
  <si>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</si>
  <si>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</si>
  <si>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</si>
  <si>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</si>
  <si>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</si>
  <si>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</si>
  <si>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</si>
  <si>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</si>
  <si>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</si>
  <si>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</si>
  <si>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</si>
  <si>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</si>
  <si>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</si>
  <si>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</si>
  <si>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</si>
  <si>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</si>
  <si>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</si>
  <si>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</si>
  <si>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</si>
  <si>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</si>
  <si>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</si>
  <si>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</si>
  <si>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</si>
  <si>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</si>
  <si>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</si>
  <si>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</si>
  <si>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</si>
  <si>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</si>
  <si>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</si>
  <si>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</si>
  <si>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</si>
  <si>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</si>
  <si>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</si>
  <si>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</si>
  <si>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</si>
  <si>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</si>
  <si>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</si>
  <si>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</si>
  <si>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</si>
  <si>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</si>
  <si>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</si>
  <si>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</si>
  <si>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</si>
  <si>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</si>
  <si>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</si>
  <si>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</si>
  <si>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</si>
  <si>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</si>
  <si>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</si>
  <si>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</si>
  <si>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</si>
  <si>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</si>
  <si>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</si>
  <si>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</si>
  <si>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</si>
  <si>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</si>
  <si>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</si>
  <si>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</si>
  <si>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</si>
  <si>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</si>
  <si>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</si>
  <si>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</si>
  <si>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</si>
  <si>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</si>
  <si>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</si>
  <si>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</si>
  <si>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</si>
  <si>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</si>
  <si>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</si>
  <si>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</si>
  <si>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</si>
  <si>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</si>
  <si>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</si>
  <si>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</si>
  <si>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</si>
  <si>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</si>
  <si>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</si>
  <si>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</si>
  <si>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</si>
  <si>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</si>
  <si>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</si>
  <si>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</si>
  <si>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</si>
  <si>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</si>
  <si>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</si>
  <si>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</si>
  <si>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</si>
  <si>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</si>
  <si>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</si>
  <si>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</si>
  <si>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</si>
  <si>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</si>
  <si>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Basement Floor for Club House</t>
  </si>
  <si>
    <t xml:space="preserve">Commercial Bulding </t>
  </si>
  <si>
    <t>Ground Floor for Commercial &amp; Parking</t>
  </si>
  <si>
    <t>Shop</t>
  </si>
  <si>
    <t>1st Floor for Commercial &amp; Parking</t>
  </si>
  <si>
    <t>Office</t>
  </si>
  <si>
    <t>2nd Floor for Commercial &amp; Parking</t>
  </si>
  <si>
    <t>1st &amp; 2nd Podium floor for Parking</t>
  </si>
  <si>
    <t>3rd floor for Residential</t>
  </si>
  <si>
    <t>2BHK</t>
  </si>
  <si>
    <t>3BHK</t>
  </si>
  <si>
    <t>Axis Sanpada</t>
  </si>
  <si>
    <t>Sai World Legend</t>
  </si>
  <si>
    <t>Varsha - 8879325648</t>
  </si>
  <si>
    <t>Commercial Building,
Building No.01 (Arista),
Building No.02 (Belista)</t>
  </si>
  <si>
    <t>P51700025002</t>
  </si>
  <si>
    <t>1618, 1619A, 1625 &amp; 1626A, &amp; Plot No. 6 (P), 7 &amp; 8, Sheet No. 92, 93 &amp; 94</t>
  </si>
  <si>
    <t>Ulhasnagar - 1</t>
  </si>
  <si>
    <t>Thane</t>
  </si>
  <si>
    <t>Ulhasnagar</t>
  </si>
  <si>
    <t>Kalyan Murbad Road</t>
  </si>
  <si>
    <t>CTS No</t>
  </si>
  <si>
    <t>260 m  from Shahad Railway Station</t>
  </si>
  <si>
    <t>Shahad East</t>
  </si>
  <si>
    <t>Open Land</t>
  </si>
  <si>
    <t>Ram Mandir</t>
  </si>
  <si>
    <t>Shahad Fatak Road</t>
  </si>
  <si>
    <t>Dattawadi</t>
  </si>
  <si>
    <t>Commercial Building = G/St + 1st &amp; 2nd Floor.</t>
  </si>
  <si>
    <t>UMP/NRV/BP/40/16/06</t>
  </si>
  <si>
    <t>Commercial Building</t>
  </si>
  <si>
    <t>Flats - 408, Shops - 18, Offices - 74</t>
  </si>
  <si>
    <t>We considered Gross carpet area = Net carpet + Balcony + E.P Area.</t>
  </si>
  <si>
    <t>M/s. Paradise Lifestyles Private Limited</t>
  </si>
  <si>
    <t>O. Certificate No.: 
Commercial Building</t>
  </si>
  <si>
    <t>UMP/NRV/BP/40/16/07
Approved upto = G/St + 1st &amp; 2nd Floor.</t>
  </si>
  <si>
    <t>Total</t>
  </si>
  <si>
    <t>Builder Saleable area</t>
  </si>
  <si>
    <t>Approved Plans, CC, Sale Plans, Cost Sheet, Builder Saleable Area.</t>
  </si>
  <si>
    <t>Residential - 400/-
Commercial - 600/-</t>
  </si>
  <si>
    <t xml:space="preserve">300/- </t>
  </si>
  <si>
    <t>Development Charges per Sq. Ft.( on Saleable area)</t>
  </si>
  <si>
    <t>Floor Rise Rate  per Sq. Ft.( on Saleable area)</t>
  </si>
  <si>
    <t>Club Membership  per Sq. Ft.( on Saleable area)</t>
  </si>
  <si>
    <t>31st &amp; 36th Floor for Residential (Part Refuge Area)</t>
  </si>
  <si>
    <t>28th to 30th, 32nd to 35th Floor for Residential</t>
  </si>
  <si>
    <t>6th, 11th, 16th, 21st, 26th Floor for Residential (Part Refuge Area)</t>
  </si>
  <si>
    <t>4th &amp; 5th, 7th to 10th, 12th to 15th, 17th to 20th, 22nd to 25th, 27th Floor for Residential</t>
  </si>
  <si>
    <t>Building No.2 (Belista)</t>
  </si>
  <si>
    <t>Stilt Floor (Parking)</t>
  </si>
  <si>
    <t>Building No.1 (Arista)</t>
  </si>
  <si>
    <t>Building No.2
 (Belista)</t>
  </si>
  <si>
    <t>Building No.1
(Arista)</t>
  </si>
  <si>
    <t>Commercial Building = G/St + 1st &amp; 2nd Floor.
Building No.1 (Arista) &amp; Building No.2 (Belista) 
= G/St + 2P + 3rd to 27th Floor + 28th to 36th Floor</t>
  </si>
  <si>
    <t>Building No.1 (Arista) &amp; Building No.2 (Belista) 
= G/St + 2P + 3rd to 27th Floor + 28th to 36th Floor</t>
  </si>
  <si>
    <t>Valid Up to:  
Commercial Building = G/St + 1st &amp; 2nd Floor.
Building No.1 (Arista) = G/St + 2P + 3rd to 36th Floor
Building No.2 (Belista) = G/St + 2P + 3rd to 36th Floor</t>
  </si>
  <si>
    <t>03 Buildings</t>
  </si>
  <si>
    <t>Building No.2 (Belista)  = G/St + 2P + 3rd to 27th Floor + 28th to 36th Floor</t>
  </si>
  <si>
    <t>5,50,000/-</t>
  </si>
  <si>
    <t>5500 to 5800</t>
  </si>
  <si>
    <t>smith Pal</t>
  </si>
  <si>
    <t>Location Link</t>
  </si>
  <si>
    <t>https://goo.gl/maps/Xo3ipeLnAwNUUSM59?coh=178572&amp;entry=tt</t>
  </si>
  <si>
    <t>5800 to 5850 26/05/2023</t>
  </si>
  <si>
    <t>80/- from 3rd Floor</t>
  </si>
  <si>
    <t>5850 to 6000</t>
  </si>
  <si>
    <t>rushikesh</t>
  </si>
  <si>
    <t>Verbal</t>
  </si>
  <si>
    <t>Building No.1 (Arista) = G/St + 2P + 3rd to 27th Floor + 28th to 36th Floor
Building No.2 (Belista)  = G/St + 2P + 3rd to 27th Floor + 28th to 36th Floor</t>
  </si>
  <si>
    <t>Mangesh Bapardekar</t>
  </si>
  <si>
    <t>Office No. 1031, Wing J, Akshar Business Park, Plot No. 03 Sector 25, Near APMC Market, 
Vashi, Navi Mumbai, Maharashtra 400703 TEL: 022-46090378/79/80 
E mail : vsjcapf@gmail.com. Web site : www.vsjadon.com</t>
  </si>
  <si>
    <t xml:space="preserve">O. Certificate No.: 
</t>
  </si>
  <si>
    <t>UMP/NRV/BP/40/16/38
Approved upto = Building No.1 &amp; 2 = Gr/St + P1 to P2 + 3rd to 36th Floor
Total Flats = 408 Nos.</t>
  </si>
  <si>
    <t>Completed</t>
  </si>
  <si>
    <t>We have updated OC for building no. 1 &amp; 2 (On 30/07/2025).</t>
  </si>
  <si>
    <t>On Site, we meet Mr. Dhiraj : 8657766989.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</si>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</sst>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0" fontId="24" fillId="0" borderId="0" applyNumberFormat="0" applyFill="0" applyBorder="0" applyAlignment="0" applyProtection="0"/>
  </cellStyleXfs>
  <cellXfs count="179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17" fillId="0" borderId="13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2" fillId="0" borderId="0" xfId="1" applyFont="1"/>
    <xf numFmtId="0" fontId="12" fillId="2" borderId="1" xfId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 applyProtection="1">
      <alignment horizontal="center" vertical="center"/>
      <protection hidden="1"/>
    </xf>
    <xf numFmtId="0" fontId="7" fillId="0" borderId="12" xfId="1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7" fillId="3" borderId="0" xfId="1" applyFont="1" applyFill="1"/>
    <xf numFmtId="14" fontId="7" fillId="3" borderId="0" xfId="1" applyNumberFormat="1" applyFont="1" applyFill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23" fillId="0" borderId="2" xfId="0" applyNumberFormat="1" applyFont="1" applyBorder="1" applyAlignment="1" applyProtection="1">
      <alignment horizontal="center" vertical="center" wrapText="1"/>
      <protection locked="0"/>
    </xf>
    <xf numFmtId="1" fontId="23" fillId="0" borderId="18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7" fillId="2" borderId="1" xfId="1" applyFont="1" applyFill="1" applyBorder="1" applyAlignment="1" applyProtection="1">
      <alignment horizontal="left"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12" fillId="2" borderId="8" xfId="1" applyFont="1" applyFill="1" applyBorder="1" applyAlignment="1" applyProtection="1">
      <alignment horizontal="left" vertical="top" wrapText="1"/>
      <protection locked="0"/>
    </xf>
    <xf numFmtId="0" fontId="12" fillId="2" borderId="21" xfId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24" fillId="0" borderId="1" xfId="8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324969</xdr:colOff>
      <xdr:row>364</xdr:row>
      <xdr:rowOff>112057</xdr:rowOff>
    </xdr:from>
    <xdr:to>
      <xdr:col>6</xdr:col>
      <xdr:colOff>662394</xdr:colOff>
      <xdr:row>382</xdr:row>
      <xdr:rowOff>81351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2998" y="78609263"/>
          <a:ext cx="4808572" cy="360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302556</xdr:colOff>
      <xdr:row>383</xdr:row>
      <xdr:rowOff>27599</xdr:rowOff>
    </xdr:from>
    <xdr:to>
      <xdr:col>6</xdr:col>
      <xdr:colOff>636645</xdr:colOff>
      <xdr:row>401</xdr:row>
      <xdr:rowOff>1749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0585" y="82357217"/>
          <a:ext cx="4805236" cy="360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10</xdr:col>
      <xdr:colOff>582489</xdr:colOff>
      <xdr:row>338</xdr:row>
      <xdr:rowOff>95063</xdr:rowOff>
    </xdr:from>
    <xdr:to>
      <xdr:col>12</xdr:col>
      <xdr:colOff>425956</xdr:colOff>
      <xdr:row>341</xdr:row>
      <xdr:rowOff>73334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659254" y="70165445"/>
          <a:ext cx="1345055" cy="58338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/>
            <a:t>Commercial Building</a:t>
          </a:r>
          <a:endParaRPr lang="en-IN"/>
        </a:p>
      </xdr:txBody>
    </xdr:sp>
    <xdr:clientData/>
  </xdr:twoCellAnchor>
  <xdr:twoCellAnchor>
    <xdr:from>
      <xdr:col>11</xdr:col>
      <xdr:colOff>211790</xdr:colOff>
      <xdr:row>320</xdr:row>
      <xdr:rowOff>0</xdr:rowOff>
    </xdr:from>
    <xdr:to>
      <xdr:col>16</xdr:col>
      <xdr:colOff>446554</xdr:colOff>
      <xdr:row>321</xdr:row>
      <xdr:rowOff>172435</xdr:rowOff>
    </xdr:to>
    <xdr:sp macro="" textlink="">
      <xdr:nvSpPr>
        <xdr:cNvPr id="6" name="TextBox 25">
          <a:extLst>
            <a:ext uri="{FF2B5EF4-FFF2-40B4-BE49-F238E27FC236}">
              <a16:creationId xmlns:a16="http://schemas.microsoft.com/office/drawing/2014/main" id="{DDEA0899-C288-4103-9CF2-997BA0DC159F}"/>
            </a:ext>
          </a:extLst>
        </xdr:cNvPr>
        <xdr:cNvSpPr txBox="1"/>
      </xdr:nvSpPr>
      <xdr:spPr>
        <a:xfrm>
          <a:off x="9365315" y="68732400"/>
          <a:ext cx="1730189" cy="3724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Belista</a:t>
          </a:r>
        </a:p>
      </xdr:txBody>
    </xdr:sp>
    <xdr:clientData/>
  </xdr:twoCellAnchor>
  <xdr:twoCellAnchor>
    <xdr:from>
      <xdr:col>16</xdr:col>
      <xdr:colOff>300878</xdr:colOff>
      <xdr:row>320</xdr:row>
      <xdr:rowOff>11207</xdr:rowOff>
    </xdr:from>
    <xdr:to>
      <xdr:col>20</xdr:col>
      <xdr:colOff>32497</xdr:colOff>
      <xdr:row>322</xdr:row>
      <xdr:rowOff>14908</xdr:rowOff>
    </xdr:to>
    <xdr:sp macro="" textlink="">
      <xdr:nvSpPr>
        <xdr:cNvPr id="7" name="TextBox 24">
          <a:extLst>
            <a:ext uri="{FF2B5EF4-FFF2-40B4-BE49-F238E27FC236}">
              <a16:creationId xmlns:a16="http://schemas.microsoft.com/office/drawing/2014/main" id="{E6223560-27FF-451A-AC35-A72643FD1528}"/>
            </a:ext>
          </a:extLst>
        </xdr:cNvPr>
        <xdr:cNvSpPr txBox="1"/>
      </xdr:nvSpPr>
      <xdr:spPr>
        <a:xfrm>
          <a:off x="10949828" y="68743607"/>
          <a:ext cx="2170019" cy="40375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2000" b="1">
              <a:solidFill>
                <a:srgbClr val="FF0000"/>
              </a:solidFill>
            </a:rPr>
            <a:t>Arista</a:t>
          </a:r>
        </a:p>
      </xdr:txBody>
    </xdr:sp>
    <xdr:clientData/>
  </xdr:twoCellAnchor>
  <xdr:twoCellAnchor>
    <xdr:from>
      <xdr:col>18</xdr:col>
      <xdr:colOff>259413</xdr:colOff>
      <xdr:row>321</xdr:row>
      <xdr:rowOff>138954</xdr:rowOff>
    </xdr:from>
    <xdr:to>
      <xdr:col>18</xdr:col>
      <xdr:colOff>405090</xdr:colOff>
      <xdr:row>323</xdr:row>
      <xdr:rowOff>62194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AA29D05C-6D00-4812-9640-7D5A59D43369}"/>
            </a:ext>
          </a:extLst>
        </xdr:cNvPr>
        <xdr:cNvCxnSpPr/>
      </xdr:nvCxnSpPr>
      <xdr:spPr>
        <a:xfrm flipH="1">
          <a:off x="12127563" y="69071379"/>
          <a:ext cx="145677" cy="32329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44823</xdr:colOff>
      <xdr:row>337</xdr:row>
      <xdr:rowOff>104493</xdr:rowOff>
    </xdr:from>
    <xdr:to>
      <xdr:col>17</xdr:col>
      <xdr:colOff>430866</xdr:colOff>
      <xdr:row>339</xdr:row>
      <xdr:rowOff>76903</xdr:rowOff>
    </xdr:to>
    <xdr:sp macro="" textlink="">
      <xdr:nvSpPr>
        <xdr:cNvPr id="11" name="TextBox 25">
          <a:extLst>
            <a:ext uri="{FF2B5EF4-FFF2-40B4-BE49-F238E27FC236}">
              <a16:creationId xmlns:a16="http://schemas.microsoft.com/office/drawing/2014/main" id="{6078BF65-BD09-4FF4-946B-5C1A6ECA45C2}"/>
            </a:ext>
          </a:extLst>
        </xdr:cNvPr>
        <xdr:cNvSpPr txBox="1"/>
      </xdr:nvSpPr>
      <xdr:spPr>
        <a:xfrm>
          <a:off x="9903198" y="72227793"/>
          <a:ext cx="1786218" cy="3724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Belist</a:t>
          </a:r>
        </a:p>
      </xdr:txBody>
    </xdr:sp>
    <xdr:clientData/>
  </xdr:twoCellAnchor>
  <xdr:twoCellAnchor>
    <xdr:from>
      <xdr:col>9</xdr:col>
      <xdr:colOff>330894</xdr:colOff>
      <xdr:row>324</xdr:row>
      <xdr:rowOff>170890</xdr:rowOff>
    </xdr:from>
    <xdr:to>
      <xdr:col>10</xdr:col>
      <xdr:colOff>132229</xdr:colOff>
      <xdr:row>326</xdr:row>
      <xdr:rowOff>35859</xdr:rowOff>
    </xdr:to>
    <xdr:sp macro="" textlink="">
      <xdr:nvSpPr>
        <xdr:cNvPr id="27" name="TextBox 24">
          <a:extLst>
            <a:ext uri="{FF2B5EF4-FFF2-40B4-BE49-F238E27FC236}">
              <a16:creationId xmlns:a16="http://schemas.microsoft.com/office/drawing/2014/main" id="{078AB41F-1BC7-4884-BE86-0014B95C4EE2}"/>
            </a:ext>
          </a:extLst>
        </xdr:cNvPr>
        <xdr:cNvSpPr txBox="1"/>
      </xdr:nvSpPr>
      <xdr:spPr>
        <a:xfrm>
          <a:off x="8589629" y="70196449"/>
          <a:ext cx="619365" cy="268381"/>
        </a:xfrm>
        <a:prstGeom prst="rect">
          <a:avLst/>
        </a:prstGeom>
        <a:solidFill>
          <a:schemeClr val="bg2"/>
        </a:solidFill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400" b="1">
              <a:solidFill>
                <a:srgbClr val="FF0000"/>
              </a:solidFill>
            </a:rPr>
            <a:t>Arista</a:t>
          </a:r>
        </a:p>
      </xdr:txBody>
    </xdr:sp>
    <xdr:clientData/>
  </xdr:twoCellAnchor>
  <xdr:twoCellAnchor>
    <xdr:from>
      <xdr:col>8</xdr:col>
      <xdr:colOff>161897</xdr:colOff>
      <xdr:row>323</xdr:row>
      <xdr:rowOff>25213</xdr:rowOff>
    </xdr:from>
    <xdr:to>
      <xdr:col>8</xdr:col>
      <xdr:colOff>921123</xdr:colOff>
      <xdr:row>324</xdr:row>
      <xdr:rowOff>103094</xdr:rowOff>
    </xdr:to>
    <xdr:sp macro="" textlink="">
      <xdr:nvSpPr>
        <xdr:cNvPr id="28" name="TextBox 24">
          <a:extLst>
            <a:ext uri="{FF2B5EF4-FFF2-40B4-BE49-F238E27FC236}">
              <a16:creationId xmlns:a16="http://schemas.microsoft.com/office/drawing/2014/main" id="{82575F54-3119-4B86-B871-5F1A11005767}"/>
            </a:ext>
          </a:extLst>
        </xdr:cNvPr>
        <xdr:cNvSpPr txBox="1"/>
      </xdr:nvSpPr>
      <xdr:spPr>
        <a:xfrm>
          <a:off x="7176779" y="69860272"/>
          <a:ext cx="759226" cy="268381"/>
        </a:xfrm>
        <a:prstGeom prst="rect">
          <a:avLst/>
        </a:prstGeom>
        <a:solidFill>
          <a:schemeClr val="bg2"/>
        </a:solidFill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400" b="1">
              <a:solidFill>
                <a:srgbClr val="FF0000"/>
              </a:solidFill>
            </a:rPr>
            <a:t>Belista</a:t>
          </a:r>
        </a:p>
      </xdr:txBody>
    </xdr:sp>
    <xdr:clientData/>
  </xdr:twoCellAnchor>
  <xdr:twoCellAnchor>
    <xdr:from>
      <xdr:col>8</xdr:col>
      <xdr:colOff>554692</xdr:colOff>
      <xdr:row>332</xdr:row>
      <xdr:rowOff>40927</xdr:rowOff>
    </xdr:from>
    <xdr:to>
      <xdr:col>8</xdr:col>
      <xdr:colOff>1230086</xdr:colOff>
      <xdr:row>333</xdr:row>
      <xdr:rowOff>107602</xdr:rowOff>
    </xdr:to>
    <xdr:sp macro="" textlink="">
      <xdr:nvSpPr>
        <xdr:cNvPr id="29" name="TextBox 24">
          <a:extLst>
            <a:ext uri="{FF2B5EF4-FFF2-40B4-BE49-F238E27FC236}">
              <a16:creationId xmlns:a16="http://schemas.microsoft.com/office/drawing/2014/main" id="{026E7981-340F-4ED6-B342-9A2983F90BDA}"/>
            </a:ext>
          </a:extLst>
        </xdr:cNvPr>
        <xdr:cNvSpPr txBox="1"/>
      </xdr:nvSpPr>
      <xdr:spPr>
        <a:xfrm>
          <a:off x="7569574" y="71680133"/>
          <a:ext cx="675394" cy="268381"/>
        </a:xfrm>
        <a:prstGeom prst="rect">
          <a:avLst/>
        </a:prstGeom>
        <a:solidFill>
          <a:schemeClr val="bg2"/>
        </a:solidFill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400" b="1">
              <a:solidFill>
                <a:srgbClr val="FF0000"/>
              </a:solidFill>
            </a:rPr>
            <a:t>Arista</a:t>
          </a:r>
        </a:p>
      </xdr:txBody>
    </xdr:sp>
    <xdr:clientData/>
  </xdr:twoCellAnchor>
  <xdr:twoCellAnchor>
    <xdr:from>
      <xdr:col>12</xdr:col>
      <xdr:colOff>209871</xdr:colOff>
      <xdr:row>332</xdr:row>
      <xdr:rowOff>40927</xdr:rowOff>
    </xdr:from>
    <xdr:to>
      <xdr:col>16</xdr:col>
      <xdr:colOff>117450</xdr:colOff>
      <xdr:row>333</xdr:row>
      <xdr:rowOff>107602</xdr:rowOff>
    </xdr:to>
    <xdr:sp macro="" textlink="">
      <xdr:nvSpPr>
        <xdr:cNvPr id="30" name="TextBox 24">
          <a:extLst>
            <a:ext uri="{FF2B5EF4-FFF2-40B4-BE49-F238E27FC236}">
              <a16:creationId xmlns:a16="http://schemas.microsoft.com/office/drawing/2014/main" id="{76B8816B-C613-43F5-87AE-ACBD5D9748F9}"/>
            </a:ext>
          </a:extLst>
        </xdr:cNvPr>
        <xdr:cNvSpPr txBox="1"/>
      </xdr:nvSpPr>
      <xdr:spPr>
        <a:xfrm>
          <a:off x="10788224" y="71680133"/>
          <a:ext cx="759226" cy="268381"/>
        </a:xfrm>
        <a:prstGeom prst="rect">
          <a:avLst/>
        </a:prstGeom>
        <a:solidFill>
          <a:schemeClr val="bg2"/>
        </a:solidFill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400" b="1">
              <a:solidFill>
                <a:srgbClr val="FF0000"/>
              </a:solidFill>
            </a:rPr>
            <a:t>Belista</a:t>
          </a:r>
        </a:p>
      </xdr:txBody>
    </xdr:sp>
    <xdr:clientData/>
  </xdr:twoCellAnchor>
  <xdr:twoCellAnchor>
    <xdr:from>
      <xdr:col>10</xdr:col>
      <xdr:colOff>93169</xdr:colOff>
      <xdr:row>332</xdr:row>
      <xdr:rowOff>40927</xdr:rowOff>
    </xdr:from>
    <xdr:to>
      <xdr:col>10</xdr:col>
      <xdr:colOff>692524</xdr:colOff>
      <xdr:row>333</xdr:row>
      <xdr:rowOff>107602</xdr:rowOff>
    </xdr:to>
    <xdr:sp macro="" textlink="">
      <xdr:nvSpPr>
        <xdr:cNvPr id="31" name="TextBox 24">
          <a:extLst>
            <a:ext uri="{FF2B5EF4-FFF2-40B4-BE49-F238E27FC236}">
              <a16:creationId xmlns:a16="http://schemas.microsoft.com/office/drawing/2014/main" id="{FA753EB0-C31B-47CB-91C8-F47E3B4789F1}"/>
            </a:ext>
          </a:extLst>
        </xdr:cNvPr>
        <xdr:cNvSpPr txBox="1"/>
      </xdr:nvSpPr>
      <xdr:spPr>
        <a:xfrm>
          <a:off x="9169934" y="71680133"/>
          <a:ext cx="599355" cy="268381"/>
        </a:xfrm>
        <a:prstGeom prst="rect">
          <a:avLst/>
        </a:prstGeom>
        <a:solidFill>
          <a:schemeClr val="bg2"/>
        </a:solidFill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100" b="1">
              <a:solidFill>
                <a:srgbClr val="FF0000"/>
              </a:solidFill>
            </a:rPr>
            <a:t>Arista</a:t>
          </a:r>
        </a:p>
      </xdr:txBody>
    </xdr:sp>
    <xdr:clientData/>
  </xdr:twoCellAnchor>
  <xdr:twoCellAnchor>
    <xdr:from>
      <xdr:col>11</xdr:col>
      <xdr:colOff>27456</xdr:colOff>
      <xdr:row>332</xdr:row>
      <xdr:rowOff>40927</xdr:rowOff>
    </xdr:from>
    <xdr:to>
      <xdr:col>11</xdr:col>
      <xdr:colOff>608480</xdr:colOff>
      <xdr:row>333</xdr:row>
      <xdr:rowOff>107602</xdr:rowOff>
    </xdr:to>
    <xdr:sp macro="" textlink="">
      <xdr:nvSpPr>
        <xdr:cNvPr id="33" name="TextBox 24">
          <a:extLst>
            <a:ext uri="{FF2B5EF4-FFF2-40B4-BE49-F238E27FC236}">
              <a16:creationId xmlns:a16="http://schemas.microsoft.com/office/drawing/2014/main" id="{6E9D8231-67B1-4A2C-9D4F-D51CE3AAB0FF}"/>
            </a:ext>
          </a:extLst>
        </xdr:cNvPr>
        <xdr:cNvSpPr txBox="1"/>
      </xdr:nvSpPr>
      <xdr:spPr>
        <a:xfrm>
          <a:off x="9855015" y="71680133"/>
          <a:ext cx="581024" cy="268381"/>
        </a:xfrm>
        <a:prstGeom prst="rect">
          <a:avLst/>
        </a:prstGeom>
        <a:solidFill>
          <a:schemeClr val="bg2"/>
        </a:solidFill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100" b="1">
              <a:solidFill>
                <a:srgbClr val="FF0000"/>
              </a:solidFill>
            </a:rPr>
            <a:t>Belista</a:t>
          </a:r>
        </a:p>
      </xdr:txBody>
    </xdr:sp>
    <xdr:clientData/>
  </xdr:twoCellAnchor>
  <xdr:twoCellAnchor>
    <xdr:from>
      <xdr:col>10</xdr:col>
      <xdr:colOff>249891</xdr:colOff>
      <xdr:row>333</xdr:row>
      <xdr:rowOff>157442</xdr:rowOff>
    </xdr:from>
    <xdr:to>
      <xdr:col>10</xdr:col>
      <xdr:colOff>316566</xdr:colOff>
      <xdr:row>335</xdr:row>
      <xdr:rowOff>119342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037CAC9F-EE33-4431-A138-91FC18C06632}"/>
            </a:ext>
          </a:extLst>
        </xdr:cNvPr>
        <xdr:cNvCxnSpPr/>
      </xdr:nvCxnSpPr>
      <xdr:spPr>
        <a:xfrm>
          <a:off x="9326656" y="71998354"/>
          <a:ext cx="66675" cy="365312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287431</xdr:colOff>
      <xdr:row>332</xdr:row>
      <xdr:rowOff>191086</xdr:rowOff>
    </xdr:from>
    <xdr:to>
      <xdr:col>11</xdr:col>
      <xdr:colOff>406933</xdr:colOff>
      <xdr:row>334</xdr:row>
      <xdr:rowOff>20170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A80A8860-6C59-4F84-B4AF-FA538B1CC541}"/>
            </a:ext>
          </a:extLst>
        </xdr:cNvPr>
        <xdr:cNvCxnSpPr/>
      </xdr:nvCxnSpPr>
      <xdr:spPr>
        <a:xfrm flipH="1">
          <a:off x="10114990" y="71830292"/>
          <a:ext cx="119502" cy="232496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19027</xdr:colOff>
      <xdr:row>320</xdr:row>
      <xdr:rowOff>148479</xdr:rowOff>
    </xdr:from>
    <xdr:to>
      <xdr:col>9</xdr:col>
      <xdr:colOff>603253</xdr:colOff>
      <xdr:row>322</xdr:row>
      <xdr:rowOff>13448</xdr:rowOff>
    </xdr:to>
    <xdr:sp macro="" textlink="">
      <xdr:nvSpPr>
        <xdr:cNvPr id="39" name="TextBox 24">
          <a:extLst>
            <a:ext uri="{FF2B5EF4-FFF2-40B4-BE49-F238E27FC236}">
              <a16:creationId xmlns:a16="http://schemas.microsoft.com/office/drawing/2014/main" id="{CBCD8E5F-5B22-4E6A-930C-703FCD067DB3}"/>
            </a:ext>
          </a:extLst>
        </xdr:cNvPr>
        <xdr:cNvSpPr txBox="1"/>
      </xdr:nvSpPr>
      <xdr:spPr>
        <a:xfrm>
          <a:off x="8277762" y="69378420"/>
          <a:ext cx="584226" cy="268381"/>
        </a:xfrm>
        <a:prstGeom prst="rect">
          <a:avLst/>
        </a:prstGeom>
        <a:solidFill>
          <a:schemeClr val="bg2"/>
        </a:solidFill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100" b="1">
              <a:solidFill>
                <a:srgbClr val="FF0000"/>
              </a:solidFill>
            </a:rPr>
            <a:t>Arista</a:t>
          </a:r>
        </a:p>
      </xdr:txBody>
    </xdr:sp>
    <xdr:clientData/>
  </xdr:twoCellAnchor>
  <xdr:twoCellAnchor>
    <xdr:from>
      <xdr:col>25</xdr:col>
      <xdr:colOff>358405</xdr:colOff>
      <xdr:row>323</xdr:row>
      <xdr:rowOff>47625</xdr:rowOff>
    </xdr:from>
    <xdr:to>
      <xdr:col>26</xdr:col>
      <xdr:colOff>278282</xdr:colOff>
      <xdr:row>324</xdr:row>
      <xdr:rowOff>125506</xdr:rowOff>
    </xdr:to>
    <xdr:sp macro="" textlink="">
      <xdr:nvSpPr>
        <xdr:cNvPr id="40" name="TextBox 24">
          <a:extLst>
            <a:ext uri="{FF2B5EF4-FFF2-40B4-BE49-F238E27FC236}">
              <a16:creationId xmlns:a16="http://schemas.microsoft.com/office/drawing/2014/main" id="{D2E03FCA-18D6-4216-9E48-55D17B6D49C1}"/>
            </a:ext>
          </a:extLst>
        </xdr:cNvPr>
        <xdr:cNvSpPr txBox="1"/>
      </xdr:nvSpPr>
      <xdr:spPr>
        <a:xfrm>
          <a:off x="17738729" y="69882684"/>
          <a:ext cx="581024" cy="268381"/>
        </a:xfrm>
        <a:prstGeom prst="rect">
          <a:avLst/>
        </a:prstGeom>
        <a:solidFill>
          <a:schemeClr val="bg2"/>
        </a:solidFill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100" b="1">
              <a:solidFill>
                <a:srgbClr val="FF0000"/>
              </a:solidFill>
            </a:rPr>
            <a:t>Belista</a:t>
          </a:r>
        </a:p>
      </xdr:txBody>
    </xdr:sp>
    <xdr:clientData/>
  </xdr:twoCellAnchor>
  <xdr:twoCellAnchor>
    <xdr:from>
      <xdr:col>9</xdr:col>
      <xdr:colOff>175749</xdr:colOff>
      <xdr:row>322</xdr:row>
      <xdr:rowOff>63288</xdr:rowOff>
    </xdr:from>
    <xdr:to>
      <xdr:col>9</xdr:col>
      <xdr:colOff>298453</xdr:colOff>
      <xdr:row>324</xdr:row>
      <xdr:rowOff>34713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BFB2A579-B99E-45E8-A334-2EF1FEA06906}"/>
            </a:ext>
          </a:extLst>
        </xdr:cNvPr>
        <xdr:cNvCxnSpPr/>
      </xdr:nvCxnSpPr>
      <xdr:spPr>
        <a:xfrm>
          <a:off x="8434484" y="69696641"/>
          <a:ext cx="122704" cy="363631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2057</xdr:colOff>
      <xdr:row>324</xdr:row>
      <xdr:rowOff>96931</xdr:rowOff>
    </xdr:from>
    <xdr:to>
      <xdr:col>26</xdr:col>
      <xdr:colOff>121559</xdr:colOff>
      <xdr:row>325</xdr:row>
      <xdr:rowOff>127721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85D7806A-4758-45C1-A232-6F448F0F612C}"/>
            </a:ext>
          </a:extLst>
        </xdr:cNvPr>
        <xdr:cNvCxnSpPr/>
      </xdr:nvCxnSpPr>
      <xdr:spPr>
        <a:xfrm flipH="1">
          <a:off x="18043528" y="70122490"/>
          <a:ext cx="119502" cy="232496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152880</xdr:colOff>
      <xdr:row>342</xdr:row>
      <xdr:rowOff>189939</xdr:rowOff>
    </xdr:from>
    <xdr:to>
      <xdr:col>11</xdr:col>
      <xdr:colOff>541244</xdr:colOff>
      <xdr:row>344</xdr:row>
      <xdr:rowOff>187725</xdr:rowOff>
    </xdr:to>
    <xdr:sp macro="" textlink="">
      <xdr:nvSpPr>
        <xdr:cNvPr id="43" name="TextBox 24">
          <a:extLst>
            <a:ext uri="{FF2B5EF4-FFF2-40B4-BE49-F238E27FC236}">
              <a16:creationId xmlns:a16="http://schemas.microsoft.com/office/drawing/2014/main" id="{E266588A-D7FE-4B89-BB95-2C58BA76C110}"/>
            </a:ext>
          </a:extLst>
        </xdr:cNvPr>
        <xdr:cNvSpPr txBox="1"/>
      </xdr:nvSpPr>
      <xdr:spPr>
        <a:xfrm>
          <a:off x="9229645" y="73846204"/>
          <a:ext cx="1139158" cy="401197"/>
        </a:xfrm>
        <a:prstGeom prst="rect">
          <a:avLst/>
        </a:prstGeom>
        <a:solidFill>
          <a:schemeClr val="bg2"/>
        </a:solidFill>
        <a:ln>
          <a:solidFill>
            <a:sysClr val="windowText" lastClr="000000"/>
          </a:solidFill>
        </a:ln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400" b="1">
              <a:solidFill>
                <a:srgbClr val="FF0000"/>
              </a:solidFill>
            </a:rPr>
            <a:t>Commercial</a:t>
          </a:r>
          <a:r>
            <a:rPr lang="en-IN" sz="1400" b="1" baseline="0">
              <a:solidFill>
                <a:srgbClr val="FF0000"/>
              </a:solidFill>
            </a:rPr>
            <a:t> Bldg</a:t>
          </a:r>
        </a:p>
      </xdr:txBody>
    </xdr:sp>
    <xdr:clientData/>
  </xdr:twoCellAnchor>
  <xdr:twoCellAnchor>
    <xdr:from>
      <xdr:col>8</xdr:col>
      <xdr:colOff>471115</xdr:colOff>
      <xdr:row>321</xdr:row>
      <xdr:rowOff>57978</xdr:rowOff>
    </xdr:from>
    <xdr:to>
      <xdr:col>19</xdr:col>
      <xdr:colOff>253707</xdr:colOff>
      <xdr:row>357</xdr:row>
      <xdr:rowOff>40210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7341815" y="65691578"/>
          <a:ext cx="6113542" cy="7062482"/>
          <a:chOff x="175023" y="228600"/>
          <a:chExt cx="6002831" cy="7131780"/>
        </a:xfrm>
      </xdr:grpSpPr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18365" y="289449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46480" y="289449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89823" y="22860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32423" y="22860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023" y="22860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68480" y="5560380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748944" y="5560380"/>
            <a:ext cx="190196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86618" y="5560380"/>
            <a:ext cx="144475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342900</xdr:colOff>
      <xdr:row>321</xdr:row>
      <xdr:rowOff>88900</xdr:rowOff>
    </xdr:from>
    <xdr:to>
      <xdr:col>7</xdr:col>
      <xdr:colOff>520631</xdr:colOff>
      <xdr:row>355</xdr:row>
      <xdr:rowOff>100322</xdr:rowOff>
    </xdr:to>
    <xdr:grpSp>
      <xdr:nvGrpSpPr>
        <xdr:cNvPr id="17" name="Group 16"/>
        <xdr:cNvGrpSpPr/>
      </xdr:nvGrpSpPr>
      <xdr:grpSpPr>
        <a:xfrm>
          <a:off x="342900" y="65722500"/>
          <a:ext cx="6178481" cy="6697972"/>
          <a:chOff x="342900" y="65525650"/>
          <a:chExt cx="6178481" cy="6697972"/>
        </a:xfrm>
      </xdr:grpSpPr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2434" y="69595622"/>
            <a:ext cx="1968947" cy="2628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" y="69595622"/>
            <a:ext cx="1968947" cy="2628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11387" y="655256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47667" y="69595622"/>
            <a:ext cx="1968947" cy="2628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0778" y="655256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6</xdr:col>
      <xdr:colOff>873992</xdr:colOff>
      <xdr:row>32</xdr:row>
      <xdr:rowOff>39538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1882" y="3059206"/>
          <a:ext cx="5793375" cy="3087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Xo3ipeLnAwNUUSM59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64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11" customWidth="1"/>
    <col min="2" max="2" width="12" style="11" customWidth="1"/>
    <col min="3" max="3" width="12.81640625" style="11" customWidth="1"/>
    <col min="4" max="4" width="14.1796875" style="11" customWidth="1"/>
    <col min="5" max="7" width="11.81640625" style="11" customWidth="1"/>
    <col min="8" max="8" width="12.453125" style="11" customWidth="1"/>
    <col min="9" max="9" width="17.453125" style="3" customWidth="1"/>
    <col min="10" max="10" width="11.453125" style="3" customWidth="1"/>
    <col min="11" max="12" width="11.1796875" style="3" bestFit="1" customWidth="1"/>
    <col min="13" max="13" width="11.81640625" style="3" customWidth="1"/>
    <col min="14" max="14" width="12.54296875" style="3" hidden="1" customWidth="1"/>
    <col min="15" max="15" width="9.81640625" style="3" hidden="1" customWidth="1"/>
    <col min="16" max="16" width="11.81640625" style="3" hidden="1" customWidth="1"/>
    <col min="17" max="247" width="9.1796875" style="3"/>
    <col min="248" max="248" width="8.81640625" style="3" customWidth="1"/>
    <col min="249" max="249" width="9.81640625" style="3" customWidth="1"/>
    <col min="250" max="250" width="14.453125" style="3" customWidth="1"/>
    <col min="251" max="251" width="7.179687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81640625" style="3" customWidth="1"/>
    <col min="505" max="505" width="9.81640625" style="3" customWidth="1"/>
    <col min="506" max="506" width="14.453125" style="3" customWidth="1"/>
    <col min="507" max="507" width="7.179687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81640625" style="3" customWidth="1"/>
    <col min="761" max="761" width="9.81640625" style="3" customWidth="1"/>
    <col min="762" max="762" width="14.453125" style="3" customWidth="1"/>
    <col min="763" max="763" width="7.179687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81640625" style="3" customWidth="1"/>
    <col min="1017" max="1017" width="9.81640625" style="3" customWidth="1"/>
    <col min="1018" max="1018" width="14.453125" style="3" customWidth="1"/>
    <col min="1019" max="1019" width="7.179687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81640625" style="3" customWidth="1"/>
    <col min="1273" max="1273" width="9.81640625" style="3" customWidth="1"/>
    <col min="1274" max="1274" width="14.453125" style="3" customWidth="1"/>
    <col min="1275" max="1275" width="7.179687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81640625" style="3" customWidth="1"/>
    <col min="1529" max="1529" width="9.81640625" style="3" customWidth="1"/>
    <col min="1530" max="1530" width="14.453125" style="3" customWidth="1"/>
    <col min="1531" max="1531" width="7.179687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81640625" style="3" customWidth="1"/>
    <col min="1785" max="1785" width="9.81640625" style="3" customWidth="1"/>
    <col min="1786" max="1786" width="14.453125" style="3" customWidth="1"/>
    <col min="1787" max="1787" width="7.179687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81640625" style="3" customWidth="1"/>
    <col min="2041" max="2041" width="9.81640625" style="3" customWidth="1"/>
    <col min="2042" max="2042" width="14.453125" style="3" customWidth="1"/>
    <col min="2043" max="2043" width="7.179687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81640625" style="3" customWidth="1"/>
    <col min="2297" max="2297" width="9.81640625" style="3" customWidth="1"/>
    <col min="2298" max="2298" width="14.453125" style="3" customWidth="1"/>
    <col min="2299" max="2299" width="7.179687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81640625" style="3" customWidth="1"/>
    <col min="2553" max="2553" width="9.81640625" style="3" customWidth="1"/>
    <col min="2554" max="2554" width="14.453125" style="3" customWidth="1"/>
    <col min="2555" max="2555" width="7.179687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81640625" style="3" customWidth="1"/>
    <col min="2809" max="2809" width="9.81640625" style="3" customWidth="1"/>
    <col min="2810" max="2810" width="14.453125" style="3" customWidth="1"/>
    <col min="2811" max="2811" width="7.179687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81640625" style="3" customWidth="1"/>
    <col min="3065" max="3065" width="9.81640625" style="3" customWidth="1"/>
    <col min="3066" max="3066" width="14.453125" style="3" customWidth="1"/>
    <col min="3067" max="3067" width="7.179687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81640625" style="3" customWidth="1"/>
    <col min="3321" max="3321" width="9.81640625" style="3" customWidth="1"/>
    <col min="3322" max="3322" width="14.453125" style="3" customWidth="1"/>
    <col min="3323" max="3323" width="7.179687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81640625" style="3" customWidth="1"/>
    <col min="3577" max="3577" width="9.81640625" style="3" customWidth="1"/>
    <col min="3578" max="3578" width="14.453125" style="3" customWidth="1"/>
    <col min="3579" max="3579" width="7.179687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81640625" style="3" customWidth="1"/>
    <col min="3833" max="3833" width="9.81640625" style="3" customWidth="1"/>
    <col min="3834" max="3834" width="14.453125" style="3" customWidth="1"/>
    <col min="3835" max="3835" width="7.179687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81640625" style="3" customWidth="1"/>
    <col min="4089" max="4089" width="9.81640625" style="3" customWidth="1"/>
    <col min="4090" max="4090" width="14.453125" style="3" customWidth="1"/>
    <col min="4091" max="4091" width="7.179687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81640625" style="3" customWidth="1"/>
    <col min="4345" max="4345" width="9.81640625" style="3" customWidth="1"/>
    <col min="4346" max="4346" width="14.453125" style="3" customWidth="1"/>
    <col min="4347" max="4347" width="7.179687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81640625" style="3" customWidth="1"/>
    <col min="4601" max="4601" width="9.81640625" style="3" customWidth="1"/>
    <col min="4602" max="4602" width="14.453125" style="3" customWidth="1"/>
    <col min="4603" max="4603" width="7.179687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81640625" style="3" customWidth="1"/>
    <col min="4857" max="4857" width="9.81640625" style="3" customWidth="1"/>
    <col min="4858" max="4858" width="14.453125" style="3" customWidth="1"/>
    <col min="4859" max="4859" width="7.179687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81640625" style="3" customWidth="1"/>
    <col min="5113" max="5113" width="9.81640625" style="3" customWidth="1"/>
    <col min="5114" max="5114" width="14.453125" style="3" customWidth="1"/>
    <col min="5115" max="5115" width="7.179687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81640625" style="3" customWidth="1"/>
    <col min="5369" max="5369" width="9.81640625" style="3" customWidth="1"/>
    <col min="5370" max="5370" width="14.453125" style="3" customWidth="1"/>
    <col min="5371" max="5371" width="7.179687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81640625" style="3" customWidth="1"/>
    <col min="5625" max="5625" width="9.81640625" style="3" customWidth="1"/>
    <col min="5626" max="5626" width="14.453125" style="3" customWidth="1"/>
    <col min="5627" max="5627" width="7.179687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81640625" style="3" customWidth="1"/>
    <col min="5881" max="5881" width="9.81640625" style="3" customWidth="1"/>
    <col min="5882" max="5882" width="14.453125" style="3" customWidth="1"/>
    <col min="5883" max="5883" width="7.179687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81640625" style="3" customWidth="1"/>
    <col min="6137" max="6137" width="9.81640625" style="3" customWidth="1"/>
    <col min="6138" max="6138" width="14.453125" style="3" customWidth="1"/>
    <col min="6139" max="6139" width="7.179687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81640625" style="3" customWidth="1"/>
    <col min="6393" max="6393" width="9.81640625" style="3" customWidth="1"/>
    <col min="6394" max="6394" width="14.453125" style="3" customWidth="1"/>
    <col min="6395" max="6395" width="7.179687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81640625" style="3" customWidth="1"/>
    <col min="6649" max="6649" width="9.81640625" style="3" customWidth="1"/>
    <col min="6650" max="6650" width="14.453125" style="3" customWidth="1"/>
    <col min="6651" max="6651" width="7.179687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81640625" style="3" customWidth="1"/>
    <col min="6905" max="6905" width="9.81640625" style="3" customWidth="1"/>
    <col min="6906" max="6906" width="14.453125" style="3" customWidth="1"/>
    <col min="6907" max="6907" width="7.179687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81640625" style="3" customWidth="1"/>
    <col min="7161" max="7161" width="9.81640625" style="3" customWidth="1"/>
    <col min="7162" max="7162" width="14.453125" style="3" customWidth="1"/>
    <col min="7163" max="7163" width="7.179687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81640625" style="3" customWidth="1"/>
    <col min="7417" max="7417" width="9.81640625" style="3" customWidth="1"/>
    <col min="7418" max="7418" width="14.453125" style="3" customWidth="1"/>
    <col min="7419" max="7419" width="7.179687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81640625" style="3" customWidth="1"/>
    <col min="7673" max="7673" width="9.81640625" style="3" customWidth="1"/>
    <col min="7674" max="7674" width="14.453125" style="3" customWidth="1"/>
    <col min="7675" max="7675" width="7.179687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81640625" style="3" customWidth="1"/>
    <col min="7929" max="7929" width="9.81640625" style="3" customWidth="1"/>
    <col min="7930" max="7930" width="14.453125" style="3" customWidth="1"/>
    <col min="7931" max="7931" width="7.179687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81640625" style="3" customWidth="1"/>
    <col min="8185" max="8185" width="9.81640625" style="3" customWidth="1"/>
    <col min="8186" max="8186" width="14.453125" style="3" customWidth="1"/>
    <col min="8187" max="8187" width="7.179687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81640625" style="3" customWidth="1"/>
    <col min="8441" max="8441" width="9.81640625" style="3" customWidth="1"/>
    <col min="8442" max="8442" width="14.453125" style="3" customWidth="1"/>
    <col min="8443" max="8443" width="7.179687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81640625" style="3" customWidth="1"/>
    <col min="8697" max="8697" width="9.81640625" style="3" customWidth="1"/>
    <col min="8698" max="8698" width="14.453125" style="3" customWidth="1"/>
    <col min="8699" max="8699" width="7.179687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81640625" style="3" customWidth="1"/>
    <col min="8953" max="8953" width="9.81640625" style="3" customWidth="1"/>
    <col min="8954" max="8954" width="14.453125" style="3" customWidth="1"/>
    <col min="8955" max="8955" width="7.179687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81640625" style="3" customWidth="1"/>
    <col min="9209" max="9209" width="9.81640625" style="3" customWidth="1"/>
    <col min="9210" max="9210" width="14.453125" style="3" customWidth="1"/>
    <col min="9211" max="9211" width="7.179687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81640625" style="3" customWidth="1"/>
    <col min="9465" max="9465" width="9.81640625" style="3" customWidth="1"/>
    <col min="9466" max="9466" width="14.453125" style="3" customWidth="1"/>
    <col min="9467" max="9467" width="7.179687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81640625" style="3" customWidth="1"/>
    <col min="9721" max="9721" width="9.81640625" style="3" customWidth="1"/>
    <col min="9722" max="9722" width="14.453125" style="3" customWidth="1"/>
    <col min="9723" max="9723" width="7.179687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81640625" style="3" customWidth="1"/>
    <col min="9977" max="9977" width="9.81640625" style="3" customWidth="1"/>
    <col min="9978" max="9978" width="14.453125" style="3" customWidth="1"/>
    <col min="9979" max="9979" width="7.179687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81640625" style="3" customWidth="1"/>
    <col min="10233" max="10233" width="9.81640625" style="3" customWidth="1"/>
    <col min="10234" max="10234" width="14.453125" style="3" customWidth="1"/>
    <col min="10235" max="10235" width="7.179687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81640625" style="3" customWidth="1"/>
    <col min="10489" max="10489" width="9.81640625" style="3" customWidth="1"/>
    <col min="10490" max="10490" width="14.453125" style="3" customWidth="1"/>
    <col min="10491" max="10491" width="7.179687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81640625" style="3" customWidth="1"/>
    <col min="10745" max="10745" width="9.81640625" style="3" customWidth="1"/>
    <col min="10746" max="10746" width="14.453125" style="3" customWidth="1"/>
    <col min="10747" max="10747" width="7.179687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81640625" style="3" customWidth="1"/>
    <col min="11001" max="11001" width="9.81640625" style="3" customWidth="1"/>
    <col min="11002" max="11002" width="14.453125" style="3" customWidth="1"/>
    <col min="11003" max="11003" width="7.179687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81640625" style="3" customWidth="1"/>
    <col min="11257" max="11257" width="9.81640625" style="3" customWidth="1"/>
    <col min="11258" max="11258" width="14.453125" style="3" customWidth="1"/>
    <col min="11259" max="11259" width="7.179687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81640625" style="3" customWidth="1"/>
    <col min="11513" max="11513" width="9.81640625" style="3" customWidth="1"/>
    <col min="11514" max="11514" width="14.453125" style="3" customWidth="1"/>
    <col min="11515" max="11515" width="7.179687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81640625" style="3" customWidth="1"/>
    <col min="11769" max="11769" width="9.81640625" style="3" customWidth="1"/>
    <col min="11770" max="11770" width="14.453125" style="3" customWidth="1"/>
    <col min="11771" max="11771" width="7.179687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81640625" style="3" customWidth="1"/>
    <col min="12025" max="12025" width="9.81640625" style="3" customWidth="1"/>
    <col min="12026" max="12026" width="14.453125" style="3" customWidth="1"/>
    <col min="12027" max="12027" width="7.179687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81640625" style="3" customWidth="1"/>
    <col min="12281" max="12281" width="9.81640625" style="3" customWidth="1"/>
    <col min="12282" max="12282" width="14.453125" style="3" customWidth="1"/>
    <col min="12283" max="12283" width="7.179687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81640625" style="3" customWidth="1"/>
    <col min="12537" max="12537" width="9.81640625" style="3" customWidth="1"/>
    <col min="12538" max="12538" width="14.453125" style="3" customWidth="1"/>
    <col min="12539" max="12539" width="7.179687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81640625" style="3" customWidth="1"/>
    <col min="12793" max="12793" width="9.81640625" style="3" customWidth="1"/>
    <col min="12794" max="12794" width="14.453125" style="3" customWidth="1"/>
    <col min="12795" max="12795" width="7.179687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81640625" style="3" customWidth="1"/>
    <col min="13049" max="13049" width="9.81640625" style="3" customWidth="1"/>
    <col min="13050" max="13050" width="14.453125" style="3" customWidth="1"/>
    <col min="13051" max="13051" width="7.179687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81640625" style="3" customWidth="1"/>
    <col min="13305" max="13305" width="9.81640625" style="3" customWidth="1"/>
    <col min="13306" max="13306" width="14.453125" style="3" customWidth="1"/>
    <col min="13307" max="13307" width="7.179687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81640625" style="3" customWidth="1"/>
    <col min="13561" max="13561" width="9.81640625" style="3" customWidth="1"/>
    <col min="13562" max="13562" width="14.453125" style="3" customWidth="1"/>
    <col min="13563" max="13563" width="7.179687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81640625" style="3" customWidth="1"/>
    <col min="13817" max="13817" width="9.81640625" style="3" customWidth="1"/>
    <col min="13818" max="13818" width="14.453125" style="3" customWidth="1"/>
    <col min="13819" max="13819" width="7.179687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81640625" style="3" customWidth="1"/>
    <col min="14073" max="14073" width="9.81640625" style="3" customWidth="1"/>
    <col min="14074" max="14074" width="14.453125" style="3" customWidth="1"/>
    <col min="14075" max="14075" width="7.179687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81640625" style="3" customWidth="1"/>
    <col min="14329" max="14329" width="9.81640625" style="3" customWidth="1"/>
    <col min="14330" max="14330" width="14.453125" style="3" customWidth="1"/>
    <col min="14331" max="14331" width="7.179687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81640625" style="3" customWidth="1"/>
    <col min="14585" max="14585" width="9.81640625" style="3" customWidth="1"/>
    <col min="14586" max="14586" width="14.453125" style="3" customWidth="1"/>
    <col min="14587" max="14587" width="7.179687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81640625" style="3" customWidth="1"/>
    <col min="14841" max="14841" width="9.81640625" style="3" customWidth="1"/>
    <col min="14842" max="14842" width="14.453125" style="3" customWidth="1"/>
    <col min="14843" max="14843" width="7.179687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81640625" style="3" customWidth="1"/>
    <col min="15097" max="15097" width="9.81640625" style="3" customWidth="1"/>
    <col min="15098" max="15098" width="14.453125" style="3" customWidth="1"/>
    <col min="15099" max="15099" width="7.179687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81640625" style="3" customWidth="1"/>
    <col min="15353" max="15353" width="9.81640625" style="3" customWidth="1"/>
    <col min="15354" max="15354" width="14.453125" style="3" customWidth="1"/>
    <col min="15355" max="15355" width="7.179687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81640625" style="3" customWidth="1"/>
    <col min="15609" max="15609" width="9.81640625" style="3" customWidth="1"/>
    <col min="15610" max="15610" width="14.453125" style="3" customWidth="1"/>
    <col min="15611" max="15611" width="7.179687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81640625" style="3" customWidth="1"/>
    <col min="15865" max="15865" width="9.81640625" style="3" customWidth="1"/>
    <col min="15866" max="15866" width="14.453125" style="3" customWidth="1"/>
    <col min="15867" max="15867" width="7.179687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81640625" style="3" customWidth="1"/>
    <col min="16121" max="16121" width="9.81640625" style="3" customWidth="1"/>
    <col min="16122" max="16122" width="14.453125" style="3" customWidth="1"/>
    <col min="16123" max="16123" width="7.179687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8" ht="46.5" customHeight="1" x14ac:dyDescent="0.35">
      <c r="A1" s="150" t="s">
        <v>232</v>
      </c>
      <c r="B1" s="150"/>
      <c r="C1" s="150"/>
      <c r="D1" s="150"/>
      <c r="E1" s="150"/>
      <c r="F1" s="150"/>
      <c r="G1" s="150"/>
      <c r="H1" s="150"/>
    </row>
    <row r="2" spans="1:8" ht="16.5" customHeight="1" x14ac:dyDescent="0.35">
      <c r="A2" s="100" t="s">
        <v>0</v>
      </c>
      <c r="B2" s="100"/>
      <c r="C2" s="100"/>
      <c r="D2" s="100"/>
      <c r="E2" s="100"/>
      <c r="F2" s="100"/>
      <c r="G2" s="100"/>
      <c r="H2" s="100"/>
    </row>
    <row r="3" spans="1:8" x14ac:dyDescent="0.35">
      <c r="A3" s="72" t="s">
        <v>1</v>
      </c>
      <c r="B3" s="72"/>
      <c r="C3" s="72"/>
      <c r="D3" s="72"/>
      <c r="E3" s="149" t="str">
        <f ca="1">TEXT(TODAY(),"DD/MM/YYYY")</f>
        <v>30/07/2025</v>
      </c>
      <c r="F3" s="149"/>
      <c r="G3" s="149"/>
      <c r="H3" s="149"/>
    </row>
    <row r="4" spans="1:8" ht="15" customHeight="1" x14ac:dyDescent="0.35">
      <c r="A4" s="72" t="s">
        <v>2</v>
      </c>
      <c r="B4" s="72"/>
      <c r="C4" s="72"/>
      <c r="D4" s="72"/>
      <c r="E4" s="144" t="s">
        <v>173</v>
      </c>
      <c r="F4" s="144"/>
      <c r="G4" s="144"/>
      <c r="H4" s="144"/>
    </row>
    <row r="5" spans="1:8" x14ac:dyDescent="0.35">
      <c r="A5" s="72" t="s">
        <v>3</v>
      </c>
      <c r="B5" s="72"/>
      <c r="C5" s="72"/>
      <c r="D5" s="72"/>
      <c r="E5" s="149">
        <v>45868</v>
      </c>
      <c r="F5" s="149"/>
      <c r="G5" s="149"/>
      <c r="H5" s="149"/>
    </row>
    <row r="6" spans="1:8" ht="16.5" customHeight="1" x14ac:dyDescent="0.35">
      <c r="A6" s="72" t="s">
        <v>4</v>
      </c>
      <c r="B6" s="72"/>
      <c r="C6" s="72"/>
      <c r="D6" s="72"/>
      <c r="E6" s="141" t="s">
        <v>195</v>
      </c>
      <c r="F6" s="141"/>
      <c r="G6" s="141"/>
      <c r="H6" s="141"/>
    </row>
    <row r="7" spans="1:8" ht="15" customHeight="1" x14ac:dyDescent="0.35">
      <c r="A7" s="72" t="s">
        <v>5</v>
      </c>
      <c r="B7" s="72"/>
      <c r="C7" s="72"/>
      <c r="D7" s="72"/>
      <c r="E7" s="141" t="str">
        <f>E6</f>
        <v>M/s. Paradise Lifestyles Private Limited</v>
      </c>
      <c r="F7" s="141"/>
      <c r="G7" s="141"/>
      <c r="H7" s="141"/>
    </row>
    <row r="8" spans="1:8" x14ac:dyDescent="0.35">
      <c r="A8" s="72" t="s">
        <v>6</v>
      </c>
      <c r="B8" s="72"/>
      <c r="C8" s="72"/>
      <c r="D8" s="72"/>
      <c r="E8" s="136" t="s">
        <v>174</v>
      </c>
      <c r="F8" s="136"/>
      <c r="G8" s="136"/>
      <c r="H8" s="136"/>
    </row>
    <row r="9" spans="1:8" x14ac:dyDescent="0.35">
      <c r="A9" s="72" t="s">
        <v>133</v>
      </c>
      <c r="B9" s="72"/>
      <c r="C9" s="72"/>
      <c r="D9" s="72"/>
      <c r="E9" s="72" t="s">
        <v>175</v>
      </c>
      <c r="F9" s="72"/>
      <c r="G9" s="72"/>
      <c r="H9" s="72"/>
    </row>
    <row r="10" spans="1:8" ht="49.5" customHeight="1" x14ac:dyDescent="0.35">
      <c r="A10" s="125" t="s">
        <v>7</v>
      </c>
      <c r="B10" s="125"/>
      <c r="C10" s="125"/>
      <c r="D10" s="125"/>
      <c r="E10" s="124" t="s">
        <v>176</v>
      </c>
      <c r="F10" s="125"/>
      <c r="G10" s="125"/>
      <c r="H10" s="125"/>
    </row>
    <row r="11" spans="1:8" ht="34.5" customHeight="1" x14ac:dyDescent="0.35">
      <c r="A11" s="72" t="s">
        <v>8</v>
      </c>
      <c r="B11" s="72"/>
      <c r="C11" s="72"/>
      <c r="D11" s="72"/>
      <c r="E11" s="124" t="s">
        <v>200</v>
      </c>
      <c r="F11" s="124"/>
      <c r="G11" s="124"/>
      <c r="H11" s="124"/>
    </row>
    <row r="12" spans="1:8" x14ac:dyDescent="0.35">
      <c r="A12" s="72" t="s">
        <v>9</v>
      </c>
      <c r="B12" s="72"/>
      <c r="C12" s="72"/>
      <c r="D12" s="72"/>
      <c r="E12" s="124" t="s">
        <v>177</v>
      </c>
      <c r="F12" s="125"/>
      <c r="G12" s="125"/>
      <c r="H12" s="125"/>
    </row>
    <row r="13" spans="1:8" ht="48.75" customHeight="1" x14ac:dyDescent="0.35">
      <c r="A13" s="141" t="s">
        <v>10</v>
      </c>
      <c r="B13" s="141"/>
      <c r="C13" s="141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Sai World Legend, CTS No.1618, 1619A, 1625 &amp; 1626A, &amp; Plot No. 6 (P), 7 &amp; 8, Sheet No. 92, 93 &amp; 94, near Ram Mandir, Kalyan Murbad Road, Ulhasnagar - 1, Shahad East, Ulhasnagar, Thane.</v>
      </c>
      <c r="D13" s="141"/>
      <c r="E13" s="141"/>
      <c r="F13" s="141"/>
      <c r="G13" s="141"/>
      <c r="H13" s="141"/>
    </row>
    <row r="14" spans="1:8" x14ac:dyDescent="0.35">
      <c r="A14" s="124" t="s">
        <v>183</v>
      </c>
      <c r="B14" s="124"/>
      <c r="C14" s="124" t="s">
        <v>178</v>
      </c>
      <c r="D14" s="124"/>
      <c r="E14" s="124"/>
      <c r="F14" s="124"/>
      <c r="G14" s="124"/>
      <c r="H14" s="124"/>
    </row>
    <row r="15" spans="1:8" ht="15.75" customHeight="1" x14ac:dyDescent="0.35">
      <c r="A15" s="141" t="s">
        <v>11</v>
      </c>
      <c r="B15" s="141"/>
      <c r="C15" s="125" t="s">
        <v>182</v>
      </c>
      <c r="D15" s="125"/>
      <c r="E15" s="141" t="s">
        <v>79</v>
      </c>
      <c r="F15" s="141"/>
      <c r="G15" s="124" t="s">
        <v>179</v>
      </c>
      <c r="H15" s="124"/>
    </row>
    <row r="16" spans="1:8" x14ac:dyDescent="0.35">
      <c r="A16" s="72" t="s">
        <v>13</v>
      </c>
      <c r="B16" s="72"/>
      <c r="C16" s="124" t="s">
        <v>185</v>
      </c>
      <c r="D16" s="124"/>
      <c r="E16" s="141" t="s">
        <v>12</v>
      </c>
      <c r="F16" s="141"/>
      <c r="G16" s="147" t="s">
        <v>180</v>
      </c>
      <c r="H16" s="147"/>
    </row>
    <row r="17" spans="1:8" x14ac:dyDescent="0.35">
      <c r="A17" s="72" t="s">
        <v>80</v>
      </c>
      <c r="B17" s="72"/>
      <c r="C17" s="124" t="s">
        <v>181</v>
      </c>
      <c r="D17" s="124"/>
      <c r="E17" s="141" t="s">
        <v>14</v>
      </c>
      <c r="F17" s="141"/>
      <c r="G17" s="124">
        <v>421001</v>
      </c>
      <c r="H17" s="124"/>
    </row>
    <row r="18" spans="1:8" ht="32.25" customHeight="1" x14ac:dyDescent="0.35">
      <c r="A18" s="72" t="s">
        <v>134</v>
      </c>
      <c r="B18" s="72"/>
      <c r="C18" s="148" t="s">
        <v>187</v>
      </c>
      <c r="D18" s="148"/>
      <c r="E18" s="141" t="s">
        <v>15</v>
      </c>
      <c r="F18" s="141"/>
      <c r="G18" s="124" t="s">
        <v>184</v>
      </c>
      <c r="H18" s="124"/>
    </row>
    <row r="19" spans="1:8" ht="15" customHeight="1" x14ac:dyDescent="0.35">
      <c r="A19" s="141" t="s">
        <v>84</v>
      </c>
      <c r="B19" s="141"/>
      <c r="C19" s="141"/>
      <c r="D19" s="141"/>
      <c r="E19" s="125" t="s">
        <v>16</v>
      </c>
      <c r="F19" s="125"/>
      <c r="G19" s="125"/>
      <c r="H19" s="125"/>
    </row>
    <row r="20" spans="1:8" ht="18.75" customHeight="1" x14ac:dyDescent="0.35">
      <c r="A20" s="141"/>
      <c r="B20" s="141"/>
      <c r="C20" s="141"/>
      <c r="D20" s="141"/>
      <c r="E20" s="125"/>
      <c r="F20" s="125"/>
      <c r="G20" s="125"/>
      <c r="H20" s="125"/>
    </row>
    <row r="21" spans="1:8" ht="15" customHeight="1" x14ac:dyDescent="0.35">
      <c r="A21" s="141" t="s">
        <v>17</v>
      </c>
      <c r="B21" s="141"/>
      <c r="C21" s="141"/>
      <c r="D21" s="141"/>
      <c r="E21" s="124" t="s">
        <v>18</v>
      </c>
      <c r="F21" s="124"/>
      <c r="G21" s="124"/>
      <c r="H21" s="124"/>
    </row>
    <row r="22" spans="1:8" ht="15" customHeight="1" x14ac:dyDescent="0.35">
      <c r="A22" s="72" t="s">
        <v>19</v>
      </c>
      <c r="B22" s="72"/>
      <c r="C22" s="72"/>
      <c r="D22" s="72"/>
      <c r="E22" s="124" t="str">
        <f>IF(AND(G16="Mumbai"),"Upper Class","Middle Class")</f>
        <v>Middle Class</v>
      </c>
      <c r="F22" s="124"/>
      <c r="G22" s="124"/>
      <c r="H22" s="124"/>
    </row>
    <row r="23" spans="1:8" x14ac:dyDescent="0.35">
      <c r="A23" s="72" t="s">
        <v>20</v>
      </c>
      <c r="B23" s="72"/>
      <c r="C23" s="72"/>
      <c r="D23" s="72"/>
      <c r="E23" s="124" t="s">
        <v>21</v>
      </c>
      <c r="F23" s="124"/>
      <c r="G23" s="124"/>
      <c r="H23" s="124"/>
    </row>
    <row r="24" spans="1:8" ht="15.75" customHeight="1" x14ac:dyDescent="0.35">
      <c r="A24" s="72" t="s">
        <v>22</v>
      </c>
      <c r="B24" s="72"/>
      <c r="C24" s="72"/>
      <c r="D24" s="72"/>
      <c r="E24" s="124" t="str">
        <f>IF(AND(G16="Mumbai"),"Developed","Developing")</f>
        <v>Developing</v>
      </c>
      <c r="F24" s="124"/>
      <c r="G24" s="124"/>
      <c r="H24" s="124"/>
    </row>
    <row r="25" spans="1:8" x14ac:dyDescent="0.35">
      <c r="A25" s="72" t="s">
        <v>23</v>
      </c>
      <c r="B25" s="72"/>
      <c r="C25" s="72"/>
      <c r="D25" s="72"/>
      <c r="E25" s="124" t="s">
        <v>24</v>
      </c>
      <c r="F25" s="124"/>
      <c r="G25" s="124"/>
      <c r="H25" s="124"/>
    </row>
    <row r="26" spans="1:8" x14ac:dyDescent="0.35">
      <c r="A26" s="72" t="s">
        <v>91</v>
      </c>
      <c r="B26" s="72"/>
      <c r="C26" s="72"/>
      <c r="D26" s="72"/>
      <c r="E26" s="124" t="s">
        <v>92</v>
      </c>
      <c r="F26" s="124"/>
      <c r="G26" s="124"/>
      <c r="H26" s="124"/>
    </row>
    <row r="27" spans="1:8" ht="15" customHeight="1" x14ac:dyDescent="0.35">
      <c r="A27" s="141" t="s">
        <v>35</v>
      </c>
      <c r="B27" s="141"/>
      <c r="C27" s="141"/>
      <c r="D27" s="141"/>
      <c r="E27" s="144" t="str">
        <f>IF(ISNUMBER(SEARCH("Shops",D53)),"Residential + Commercial",IF(SEARCH("Offices",D53),"Residential + Commercial",IF(SEARCH("Flats",D53),"Residential","")))</f>
        <v>Residential + Commercial</v>
      </c>
      <c r="F27" s="144"/>
      <c r="G27" s="144"/>
      <c r="H27" s="144"/>
    </row>
    <row r="28" spans="1:8" x14ac:dyDescent="0.35">
      <c r="A28" s="141" t="s">
        <v>103</v>
      </c>
      <c r="B28" s="141"/>
      <c r="C28" s="141"/>
      <c r="D28" s="141"/>
      <c r="E28" s="141" t="s">
        <v>36</v>
      </c>
      <c r="F28" s="141"/>
      <c r="G28" s="141"/>
      <c r="H28" s="141"/>
    </row>
    <row r="29" spans="1:8" s="6" customFormat="1" x14ac:dyDescent="0.35">
      <c r="A29" s="146" t="s">
        <v>104</v>
      </c>
      <c r="B29" s="146"/>
      <c r="C29" s="145" t="s">
        <v>29</v>
      </c>
      <c r="D29" s="145"/>
      <c r="E29" s="145"/>
      <c r="F29" s="145" t="s">
        <v>31</v>
      </c>
      <c r="G29" s="145"/>
      <c r="H29" s="145"/>
    </row>
    <row r="30" spans="1:8" s="6" customFormat="1" x14ac:dyDescent="0.35">
      <c r="A30" s="127" t="s">
        <v>25</v>
      </c>
      <c r="B30" s="127" t="s">
        <v>30</v>
      </c>
      <c r="C30" s="79" t="s">
        <v>30</v>
      </c>
      <c r="D30" s="79"/>
      <c r="E30" s="79"/>
      <c r="F30" s="79" t="s">
        <v>186</v>
      </c>
      <c r="G30" s="79"/>
      <c r="H30" s="79"/>
    </row>
    <row r="31" spans="1:8" x14ac:dyDescent="0.35">
      <c r="A31" s="127" t="s">
        <v>26</v>
      </c>
      <c r="B31" s="127" t="s">
        <v>30</v>
      </c>
      <c r="C31" s="79" t="s">
        <v>30</v>
      </c>
      <c r="D31" s="79"/>
      <c r="E31" s="79"/>
      <c r="F31" s="79" t="s">
        <v>187</v>
      </c>
      <c r="G31" s="79"/>
      <c r="H31" s="79"/>
    </row>
    <row r="32" spans="1:8" s="6" customFormat="1" x14ac:dyDescent="0.35">
      <c r="A32" s="127" t="s">
        <v>28</v>
      </c>
      <c r="B32" s="127" t="s">
        <v>30</v>
      </c>
      <c r="C32" s="79" t="s">
        <v>30</v>
      </c>
      <c r="D32" s="79"/>
      <c r="E32" s="79"/>
      <c r="F32" s="79" t="s">
        <v>188</v>
      </c>
      <c r="G32" s="79"/>
      <c r="H32" s="79"/>
    </row>
    <row r="33" spans="1:8" x14ac:dyDescent="0.35">
      <c r="A33" s="127" t="s">
        <v>27</v>
      </c>
      <c r="B33" s="127" t="s">
        <v>30</v>
      </c>
      <c r="C33" s="79" t="s">
        <v>30</v>
      </c>
      <c r="D33" s="79"/>
      <c r="E33" s="79"/>
      <c r="F33" s="79" t="s">
        <v>189</v>
      </c>
      <c r="G33" s="79"/>
      <c r="H33" s="79"/>
    </row>
    <row r="34" spans="1:8" x14ac:dyDescent="0.35">
      <c r="A34" s="72" t="s">
        <v>32</v>
      </c>
      <c r="B34" s="72"/>
      <c r="C34" s="72"/>
      <c r="D34" s="72"/>
      <c r="E34" s="72"/>
      <c r="F34" s="72"/>
      <c r="G34" s="72"/>
      <c r="H34" s="72"/>
    </row>
    <row r="35" spans="1:8" ht="15.75" customHeight="1" x14ac:dyDescent="0.35">
      <c r="A35" s="100" t="s">
        <v>33</v>
      </c>
      <c r="B35" s="100"/>
      <c r="C35" s="142">
        <v>19.2426092</v>
      </c>
      <c r="D35" s="142"/>
      <c r="E35" s="100" t="s">
        <v>34</v>
      </c>
      <c r="F35" s="100"/>
      <c r="G35" s="143">
        <v>73.159254000000004</v>
      </c>
      <c r="H35" s="143"/>
    </row>
    <row r="36" spans="1:8" ht="15.75" customHeight="1" x14ac:dyDescent="0.35">
      <c r="A36" s="100" t="s">
        <v>223</v>
      </c>
      <c r="B36" s="100"/>
      <c r="C36" s="171" t="s">
        <v>224</v>
      </c>
      <c r="D36" s="172"/>
      <c r="E36" s="172"/>
      <c r="F36" s="172"/>
      <c r="G36" s="172"/>
      <c r="H36" s="172"/>
    </row>
    <row r="37" spans="1:8" x14ac:dyDescent="0.35">
      <c r="A37" s="136" t="s">
        <v>37</v>
      </c>
      <c r="B37" s="136"/>
      <c r="C37" s="136"/>
      <c r="D37" s="136"/>
      <c r="E37" s="136"/>
      <c r="F37" s="136"/>
      <c r="G37" s="136"/>
      <c r="H37" s="136"/>
    </row>
    <row r="38" spans="1:8" x14ac:dyDescent="0.35">
      <c r="A38" s="72" t="s">
        <v>38</v>
      </c>
      <c r="B38" s="72"/>
      <c r="C38" s="72"/>
      <c r="D38" s="72"/>
      <c r="E38" s="128">
        <v>26158.69</v>
      </c>
      <c r="F38" s="128"/>
      <c r="G38" s="128"/>
      <c r="H38" s="128"/>
    </row>
    <row r="39" spans="1:8" x14ac:dyDescent="0.35">
      <c r="A39" s="72" t="s">
        <v>39</v>
      </c>
      <c r="B39" s="72"/>
      <c r="C39" s="72"/>
      <c r="D39" s="72"/>
      <c r="E39" s="131">
        <v>1.1000000000000001</v>
      </c>
      <c r="F39" s="131"/>
      <c r="G39" s="131"/>
      <c r="H39" s="131"/>
    </row>
    <row r="40" spans="1:8" x14ac:dyDescent="0.35">
      <c r="A40" s="72" t="s">
        <v>40</v>
      </c>
      <c r="B40" s="72"/>
      <c r="C40" s="72"/>
      <c r="D40" s="72"/>
      <c r="E40" s="131">
        <f>E42/E38-E39</f>
        <v>1.2567877443404085</v>
      </c>
      <c r="F40" s="131"/>
      <c r="G40" s="131"/>
      <c r="H40" s="131"/>
    </row>
    <row r="41" spans="1:8" x14ac:dyDescent="0.35">
      <c r="A41" s="72" t="s">
        <v>41</v>
      </c>
      <c r="B41" s="72"/>
      <c r="C41" s="72"/>
      <c r="D41" s="72"/>
      <c r="E41" s="131">
        <f>E39+E40</f>
        <v>2.3567877443404086</v>
      </c>
      <c r="F41" s="131"/>
      <c r="G41" s="131"/>
      <c r="H41" s="131"/>
    </row>
    <row r="42" spans="1:8" x14ac:dyDescent="0.35">
      <c r="A42" s="72" t="s">
        <v>102</v>
      </c>
      <c r="B42" s="72"/>
      <c r="C42" s="72"/>
      <c r="D42" s="72"/>
      <c r="E42" s="132">
        <v>61650.48</v>
      </c>
      <c r="F42" s="132"/>
      <c r="G42" s="132"/>
      <c r="H42" s="132"/>
    </row>
    <row r="43" spans="1:8" x14ac:dyDescent="0.35">
      <c r="A43" s="125" t="s">
        <v>42</v>
      </c>
      <c r="B43" s="125"/>
      <c r="C43" s="125"/>
      <c r="D43" s="125"/>
      <c r="E43" s="125" t="s">
        <v>218</v>
      </c>
      <c r="F43" s="125"/>
      <c r="G43" s="125"/>
      <c r="H43" s="125"/>
    </row>
    <row r="44" spans="1:8" x14ac:dyDescent="0.35">
      <c r="A44" s="66" t="s">
        <v>43</v>
      </c>
      <c r="B44" s="66"/>
      <c r="C44" s="66"/>
      <c r="D44" s="66"/>
      <c r="E44" s="66"/>
      <c r="F44" s="66"/>
      <c r="G44" s="66"/>
      <c r="H44" s="66"/>
    </row>
    <row r="45" spans="1:8" x14ac:dyDescent="0.35">
      <c r="A45" s="124" t="s">
        <v>44</v>
      </c>
      <c r="B45" s="124"/>
      <c r="C45" s="99" t="s">
        <v>191</v>
      </c>
      <c r="D45" s="99"/>
      <c r="E45" s="99"/>
      <c r="F45" s="46" t="s">
        <v>45</v>
      </c>
      <c r="G45" s="135">
        <v>44292</v>
      </c>
      <c r="H45" s="135"/>
    </row>
    <row r="46" spans="1:8" x14ac:dyDescent="0.35">
      <c r="A46" s="125" t="s">
        <v>46</v>
      </c>
      <c r="B46" s="125"/>
      <c r="C46" s="99" t="str">
        <f>C45</f>
        <v>UMP/NRV/BP/40/16/06</v>
      </c>
      <c r="D46" s="99"/>
      <c r="E46" s="99"/>
      <c r="F46" s="46" t="s">
        <v>45</v>
      </c>
      <c r="G46" s="135">
        <f>G45</f>
        <v>44292</v>
      </c>
      <c r="H46" s="135"/>
    </row>
    <row r="47" spans="1:8" s="5" customFormat="1" x14ac:dyDescent="0.35">
      <c r="A47" s="124" t="s">
        <v>47</v>
      </c>
      <c r="B47" s="124"/>
      <c r="C47" s="99" t="s">
        <v>191</v>
      </c>
      <c r="D47" s="73"/>
      <c r="E47" s="73"/>
      <c r="F47" s="8" t="s">
        <v>45</v>
      </c>
      <c r="G47" s="135">
        <f>G46</f>
        <v>44292</v>
      </c>
      <c r="H47" s="135"/>
    </row>
    <row r="48" spans="1:8" s="5" customFormat="1" ht="69" customHeight="1" x14ac:dyDescent="0.35">
      <c r="A48" s="124"/>
      <c r="B48" s="124"/>
      <c r="C48" s="167" t="s">
        <v>217</v>
      </c>
      <c r="D48" s="168"/>
      <c r="E48" s="168"/>
      <c r="F48" s="168"/>
      <c r="G48" s="168"/>
      <c r="H48" s="169"/>
    </row>
    <row r="49" spans="1:14" ht="37.5" customHeight="1" x14ac:dyDescent="0.35">
      <c r="A49" s="137" t="s">
        <v>196</v>
      </c>
      <c r="B49" s="137"/>
      <c r="C49" s="138" t="s">
        <v>197</v>
      </c>
      <c r="D49" s="139"/>
      <c r="E49" s="139" t="s">
        <v>48</v>
      </c>
      <c r="F49" s="48" t="s">
        <v>45</v>
      </c>
      <c r="G49" s="161">
        <v>44292</v>
      </c>
      <c r="H49" s="161"/>
    </row>
    <row r="50" spans="1:14" ht="64.5" customHeight="1" x14ac:dyDescent="0.35">
      <c r="A50" s="137" t="s">
        <v>233</v>
      </c>
      <c r="B50" s="137"/>
      <c r="C50" s="138" t="s">
        <v>234</v>
      </c>
      <c r="D50" s="139"/>
      <c r="E50" s="139" t="s">
        <v>48</v>
      </c>
      <c r="F50" s="64" t="s">
        <v>45</v>
      </c>
      <c r="G50" s="161">
        <v>45429</v>
      </c>
      <c r="H50" s="161"/>
    </row>
    <row r="51" spans="1:14" x14ac:dyDescent="0.35">
      <c r="A51" s="140" t="s">
        <v>50</v>
      </c>
      <c r="B51" s="140"/>
      <c r="C51" s="140"/>
      <c r="D51" s="140"/>
      <c r="E51" s="140"/>
      <c r="F51" s="140"/>
      <c r="G51" s="140"/>
      <c r="H51" s="140"/>
    </row>
    <row r="52" spans="1:14" x14ac:dyDescent="0.35">
      <c r="A52" s="141" t="s">
        <v>101</v>
      </c>
      <c r="B52" s="141"/>
      <c r="C52" s="141"/>
      <c r="D52" s="72">
        <f>E42</f>
        <v>61650.48</v>
      </c>
      <c r="E52" s="72"/>
      <c r="F52" s="72"/>
      <c r="G52" s="72"/>
      <c r="H52" s="72"/>
    </row>
    <row r="53" spans="1:14" x14ac:dyDescent="0.35">
      <c r="A53" s="124" t="s">
        <v>51</v>
      </c>
      <c r="B53" s="125"/>
      <c r="C53" s="125"/>
      <c r="D53" s="125" t="s">
        <v>193</v>
      </c>
      <c r="E53" s="125"/>
      <c r="F53" s="125"/>
      <c r="G53" s="125"/>
      <c r="H53" s="125"/>
      <c r="I53" s="34"/>
    </row>
    <row r="54" spans="1:14" ht="50.25" customHeight="1" x14ac:dyDescent="0.35">
      <c r="A54" s="117" t="s">
        <v>52</v>
      </c>
      <c r="B54" s="118"/>
      <c r="C54" s="162"/>
      <c r="D54" s="133" t="s">
        <v>215</v>
      </c>
      <c r="E54" s="134"/>
      <c r="F54" s="134"/>
      <c r="G54" s="134"/>
      <c r="H54" s="134"/>
    </row>
    <row r="55" spans="1:14" ht="15.75" customHeight="1" x14ac:dyDescent="0.35">
      <c r="A55" s="117" t="s">
        <v>99</v>
      </c>
      <c r="B55" s="118"/>
      <c r="C55" s="118"/>
      <c r="D55" s="121" t="s">
        <v>190</v>
      </c>
      <c r="E55" s="122"/>
      <c r="F55" s="122"/>
      <c r="G55" s="122"/>
      <c r="H55" s="123"/>
    </row>
    <row r="56" spans="1:14" ht="34.5" customHeight="1" x14ac:dyDescent="0.35">
      <c r="A56" s="119"/>
      <c r="B56" s="120"/>
      <c r="C56" s="120"/>
      <c r="D56" s="124" t="s">
        <v>216</v>
      </c>
      <c r="E56" s="125"/>
      <c r="F56" s="125"/>
      <c r="G56" s="125"/>
      <c r="H56" s="125"/>
    </row>
    <row r="57" spans="1:14" ht="15.75" customHeight="1" x14ac:dyDescent="0.35">
      <c r="A57" s="72" t="s">
        <v>49</v>
      </c>
      <c r="B57" s="72"/>
      <c r="C57" s="72"/>
      <c r="D57" s="129" t="s">
        <v>235</v>
      </c>
      <c r="E57" s="129"/>
      <c r="F57" s="129"/>
      <c r="G57" s="129"/>
      <c r="H57" s="129"/>
      <c r="J57" s="33"/>
      <c r="K57" s="34"/>
      <c r="N57" s="34"/>
    </row>
    <row r="58" spans="1:14" ht="15.75" customHeight="1" x14ac:dyDescent="0.35">
      <c r="A58" s="72" t="s">
        <v>97</v>
      </c>
      <c r="B58" s="72"/>
      <c r="C58" s="72"/>
      <c r="D58" s="130" t="str">
        <f ca="1">(IF(G50="NA","60 Years After Completion",IF(G50&lt;&gt;"NA",""&amp;60-ROUNDDOWN((E3-G50)/360,0)&amp;" Years"," ")))</f>
        <v>59 Years</v>
      </c>
      <c r="E58" s="130"/>
      <c r="F58" s="130"/>
      <c r="G58" s="130"/>
      <c r="H58" s="130"/>
      <c r="N58" s="34"/>
    </row>
    <row r="59" spans="1:14" ht="15.75" customHeight="1" x14ac:dyDescent="0.35">
      <c r="A59" s="72" t="s">
        <v>98</v>
      </c>
      <c r="B59" s="72"/>
      <c r="C59" s="72"/>
      <c r="D59" s="141" t="s">
        <v>24</v>
      </c>
      <c r="E59" s="141"/>
      <c r="F59" s="141"/>
      <c r="G59" s="141"/>
      <c r="H59" s="141"/>
      <c r="J59" s="13"/>
      <c r="K59" s="13"/>
    </row>
    <row r="60" spans="1:14" ht="15" hidden="1" customHeight="1" x14ac:dyDescent="0.35">
      <c r="A60" s="72" t="s">
        <v>81</v>
      </c>
      <c r="B60" s="72"/>
      <c r="C60" s="72"/>
      <c r="D60" s="124" t="s">
        <v>160</v>
      </c>
      <c r="E60" s="141"/>
      <c r="F60" s="141"/>
      <c r="G60" s="141"/>
      <c r="H60" s="141"/>
    </row>
    <row r="61" spans="1:14" x14ac:dyDescent="0.35">
      <c r="A61" s="141" t="s">
        <v>161</v>
      </c>
      <c r="B61" s="141"/>
      <c r="C61" s="141"/>
      <c r="D61" s="141" t="s">
        <v>30</v>
      </c>
      <c r="E61" s="141"/>
      <c r="F61" s="141"/>
      <c r="G61" s="141"/>
      <c r="H61" s="141"/>
      <c r="I61" s="45"/>
      <c r="J61" s="45"/>
      <c r="K61" s="45"/>
      <c r="L61" s="45"/>
      <c r="M61" s="45"/>
      <c r="N61" s="45"/>
    </row>
    <row r="62" spans="1:14" ht="15.75" customHeight="1" x14ac:dyDescent="0.35">
      <c r="A62" s="151" t="s">
        <v>96</v>
      </c>
      <c r="B62" s="151"/>
      <c r="C62" s="151"/>
      <c r="D62" s="133" t="str">
        <f ca="1">(IF(G73&gt;95%,"Nothing",IF(G73&gt;0%,"Cement, Aggregate, Steel, etc",IF(G73=0%,"Work not yet Started"))))</f>
        <v>Nothing</v>
      </c>
      <c r="E62" s="133"/>
      <c r="F62" s="133"/>
      <c r="G62" s="133"/>
      <c r="H62" s="133"/>
      <c r="J62" s="13"/>
    </row>
    <row r="63" spans="1:14" ht="33.75" customHeight="1" thickBot="1" x14ac:dyDescent="0.4">
      <c r="A63" s="141" t="s">
        <v>128</v>
      </c>
      <c r="B63" s="141"/>
      <c r="C63" s="141"/>
      <c r="D63" s="124" t="str">
        <f ca="1">(IF(D62="Nothing","Yes",IF(D62="Cement, Aggregate, Steel, etc","Under Construction",IF(D62="Work not yet Started","Work not yet Started"))))</f>
        <v>Yes</v>
      </c>
      <c r="E63" s="124"/>
      <c r="F63" s="124" t="str">
        <f ca="1">(IF(D62="Nothing","Yes",IF(D62="Cement, Aggregate, Steel, etc","Under Construction",IF(D62="Work not yet Started","Work not yet Started"))))</f>
        <v>Yes</v>
      </c>
      <c r="G63" s="124"/>
      <c r="H63" s="124"/>
    </row>
    <row r="64" spans="1:14" ht="15.75" customHeight="1" x14ac:dyDescent="0.35">
      <c r="A64" s="67" t="s">
        <v>152</v>
      </c>
      <c r="B64" s="67"/>
      <c r="C64" s="67" t="str">
        <f>D55</f>
        <v>Commercial Building = G/St + 1st &amp; 2nd Floor.</v>
      </c>
      <c r="D64" s="67"/>
      <c r="E64" s="67"/>
      <c r="F64" s="67"/>
      <c r="G64" s="67"/>
      <c r="H64" s="67"/>
      <c r="I64" s="37" t="e">
        <f>(IF(#REF!&gt;99%,"All work completed. Please provide OC.",IF(#REF!&gt;89.8%,"Plinth, RCC, Brick, Plaster, Flooring, Painting work Completed. Finishing work is in process.",IF(#REF!&lt;94%,(IF(#REF!=0,"Work not yet Started.",IF(#REF!=25%,"Piling work in process",IF(#REF!=50%,"Excavation work in process",IF(#REF!=100%,"Excavation work Completed. ","0")))&amp;(IF(#REF!=0%,"",IF(#REF!=#REF!,"Footing work is process",IF(#REF!=#REF!,"Footing work Completed",IF(#REF!=#REF!,"1st Basement Completed",IF(#REF!=#REF!,"1st &amp; 2nd Basement Completed",IF(#REF!=#REF!,"1st to 3rd Basement Completed",IF(#REF!=#REF!,"1st to 4th Basement Completed",IF(#REF!=#REF!,"Plinth work is process",IF(#REF!=#REF!,"Plinth work completed","0")))))))))))&amp;(IF(#REF!=(D65+F65+H65),", RCC Slab",IF(#REF!&gt;0,", RCC upto "&amp;#REF!&amp;" Slab",""))&amp;(IF(#REF!=H65,", Brickwork",IF(#REF!&gt;0,", Brickwork upto "&amp;#REF!&amp;" Floor",""))&amp;(IF(#REF!=H65,", Internal Plaster",IF(#REF!&gt;0,", Internal Plaster upto "&amp;#REF!&amp;" Floor",""))&amp;(IF(#REF!=H65,", External Plaster",IF(#REF!&gt;0,", External Plaster upto "&amp;#REF!&amp;" Floor",""))&amp;(IF(#REF!=H65,", Flooring",IF(#REF!&gt;0,", Flooring upto "&amp;#REF!&amp;" Floor",""))&amp;(IF(#REF!=H65,", Painting",IF(#REF!&gt;0,", Painting upto "&amp;#REF!&amp;" Floor",""))&amp;(IF(#REF!&gt;0,", Finishing upto "&amp;#REF!&amp;" Floor","")&amp;(IF(#REF!&gt;0.5," Completed",""))))))))))))))</f>
        <v>#REF!</v>
      </c>
      <c r="J64" s="15"/>
    </row>
    <row r="65" spans="1:10" x14ac:dyDescent="0.35">
      <c r="A65" s="63" t="s">
        <v>154</v>
      </c>
      <c r="B65" s="63">
        <v>0</v>
      </c>
      <c r="C65" s="63" t="s">
        <v>78</v>
      </c>
      <c r="D65" s="63">
        <v>1</v>
      </c>
      <c r="E65" s="63" t="s">
        <v>77</v>
      </c>
      <c r="F65" s="63">
        <v>0</v>
      </c>
      <c r="G65" s="63" t="s">
        <v>90</v>
      </c>
      <c r="H65" s="63">
        <f ca="1">--TRIM(RIGHT(SUBSTITUTE(LEFT(C64,_xlfn.AGGREGATE(16,6,FIND({0,1,2,3,4,5,6,7,8,9},C64,ROW(INDIRECT("1:"&amp;LEN(C64)))),1))," ",REPT(" ",LEN(C64))),LEN(C64)))</f>
        <v>2</v>
      </c>
      <c r="I65" s="13"/>
      <c r="J65" s="16"/>
    </row>
    <row r="66" spans="1:10" ht="17.25" customHeight="1" x14ac:dyDescent="0.35">
      <c r="A66" s="66" t="s">
        <v>100</v>
      </c>
      <c r="B66" s="66"/>
      <c r="C66" s="67" t="str">
        <f>I66</f>
        <v>All work Completed. OC Received.</v>
      </c>
      <c r="D66" s="67"/>
      <c r="E66" s="67"/>
      <c r="F66" s="67"/>
      <c r="G66" s="67"/>
      <c r="H66" s="67"/>
      <c r="I66" s="13" t="s">
        <v>115</v>
      </c>
      <c r="J66" s="16"/>
    </row>
    <row r="67" spans="1:10" s="2" customFormat="1" ht="17.25" customHeight="1" x14ac:dyDescent="0.35">
      <c r="A67" s="173" t="s">
        <v>95</v>
      </c>
      <c r="B67" s="173"/>
      <c r="C67" s="174">
        <v>1</v>
      </c>
      <c r="D67" s="175"/>
      <c r="E67" s="175" t="s">
        <v>94</v>
      </c>
      <c r="F67" s="175"/>
      <c r="G67" s="174">
        <v>1</v>
      </c>
      <c r="H67" s="175"/>
      <c r="I67" s="57"/>
      <c r="J67" s="58"/>
    </row>
    <row r="68" spans="1:10" s="2" customFormat="1" ht="17.25" customHeight="1" thickBot="1" x14ac:dyDescent="0.4">
      <c r="A68" s="173"/>
      <c r="B68" s="173"/>
      <c r="C68" s="175"/>
      <c r="D68" s="175"/>
      <c r="E68" s="175"/>
      <c r="F68" s="175"/>
      <c r="G68" s="175"/>
      <c r="H68" s="175"/>
      <c r="I68" s="57"/>
      <c r="J68" s="58"/>
    </row>
    <row r="69" spans="1:10" ht="36" customHeight="1" x14ac:dyDescent="0.35">
      <c r="A69" s="67" t="s">
        <v>152</v>
      </c>
      <c r="B69" s="67"/>
      <c r="C69" s="67" t="s">
        <v>230</v>
      </c>
      <c r="D69" s="67"/>
      <c r="E69" s="67"/>
      <c r="F69" s="67"/>
      <c r="G69" s="67"/>
      <c r="H69" s="67"/>
      <c r="I69" s="37" t="str">
        <f ca="1">(IF(E73&gt;99%,"All work completed. Please provide OC.",IF(E73&gt;89.8%,"Plinth, RCC, Brick, Plaster, Flooring, Painting work Completed. Finishing work is in process.",IF(E73&lt;94%,(IF(C73=0,"Work not yet Started.",IF(D73=25%,"Piling work in process",IF(D73=50%,"Excavation work in process",IF(D73=100%,"Excavation work Completed. ","0")))&amp;(IF(C74=0%,"",IF(C74=J75,"Footing work is process",IF(C74=J76,"Footing work Completed",IF(C74=J77,"1st Basement Completed",IF(C74=J78,"1st &amp; 2nd Basement Completed",IF(C74=J79,"1st to 3rd Basement Completed",IF(C74=J80,"1st to 4th Basement Completed",IF(C74=J81,"Plinth work is process",IF(C74=J82,"Plinth work completed","0")))))))))))&amp;(IF(C75=(D70+F70+H70),", RCC Slab",IF(C75&gt;0,", RCC upto "&amp;C75&amp;" Slab",""))&amp;(IF(C76=H70,", Brickwork",IF(C76&gt;0,", Brickwork upto "&amp;C76&amp;" Floor",""))&amp;(IF(C77=H70,", Internal Plaster",IF(C77&gt;0,", Internal Plaster upto "&amp;C77&amp;" Floor",""))&amp;(IF(C78=H70,", External Plaster",IF(C78&gt;0,", External Plaster upto "&amp;C78&amp;" Floor",""))&amp;(IF(C79=H70,", Flooring",IF(C79&gt;0,", Flooring upto "&amp;C79&amp;" Floor",""))&amp;(IF(C80=H70,", Painting",IF(C80&gt;0,", Painting upto "&amp;C80&amp;" Floor",""))&amp;(IF(C81&gt;0,", Finishing upto "&amp;C81&amp;" Floor","")&amp;(IF(C75&gt;0.5," Completed",""))))))))))))))</f>
        <v>All work completed. Please provide OC.</v>
      </c>
      <c r="J69" s="15"/>
    </row>
    <row r="70" spans="1:10" x14ac:dyDescent="0.35">
      <c r="A70" s="42" t="s">
        <v>154</v>
      </c>
      <c r="B70" s="44">
        <v>0</v>
      </c>
      <c r="C70" s="44" t="s">
        <v>78</v>
      </c>
      <c r="D70" s="44">
        <v>1</v>
      </c>
      <c r="E70" s="44" t="s">
        <v>77</v>
      </c>
      <c r="F70" s="44">
        <v>0</v>
      </c>
      <c r="G70" s="44" t="s">
        <v>90</v>
      </c>
      <c r="H70" s="43">
        <f ca="1">--TRIM(RIGHT(SUBSTITUTE(LEFT(C69,_xlfn.AGGREGATE(16,6,FIND({0,1,2,3,4,5,6,7,8,9},C69,ROW(INDIRECT("1:"&amp;LEN(C69)))),1))," ",REPT(" ",LEN(C69))),LEN(C69)))</f>
        <v>36</v>
      </c>
      <c r="I70" s="13"/>
      <c r="J70" s="16"/>
    </row>
    <row r="71" spans="1:10" x14ac:dyDescent="0.35">
      <c r="A71" s="65" t="s">
        <v>100</v>
      </c>
      <c r="B71" s="66"/>
      <c r="C71" s="67" t="str">
        <f>I71</f>
        <v>All work Completed. OC Received.</v>
      </c>
      <c r="D71" s="67"/>
      <c r="E71" s="67"/>
      <c r="F71" s="67"/>
      <c r="G71" s="67"/>
      <c r="H71" s="68"/>
      <c r="I71" s="13" t="s">
        <v>115</v>
      </c>
      <c r="J71" s="16"/>
    </row>
    <row r="72" spans="1:10" ht="15.75" customHeight="1" x14ac:dyDescent="0.35">
      <c r="A72" s="69" t="s">
        <v>53</v>
      </c>
      <c r="B72" s="70"/>
      <c r="C72" s="49" t="s">
        <v>151</v>
      </c>
      <c r="D72" s="49" t="s">
        <v>93</v>
      </c>
      <c r="E72" s="70" t="s">
        <v>95</v>
      </c>
      <c r="F72" s="70"/>
      <c r="G72" s="70" t="s">
        <v>94</v>
      </c>
      <c r="H72" s="71"/>
      <c r="I72" s="32" t="s">
        <v>153</v>
      </c>
      <c r="J72" s="17">
        <f ca="1">H70*25%</f>
        <v>9</v>
      </c>
    </row>
    <row r="73" spans="1:10" x14ac:dyDescent="0.35">
      <c r="A73" s="69" t="s">
        <v>140</v>
      </c>
      <c r="B73" s="70"/>
      <c r="C73" s="50">
        <f ca="1">J74</f>
        <v>36</v>
      </c>
      <c r="D73" s="53">
        <f ca="1">((100/H70)*C73)/100</f>
        <v>1</v>
      </c>
      <c r="E73" s="74">
        <f ca="1">(((C74/H70*10)+(40/(D70+F70+H70)*C75)+(7.5/(H70)*C76)+(7.5/(H70)*C77)+(10/H70*C78)+(10/H70*C79)+(5/H70*C80)+(5/H70*C81)+(5/H70*C82))/100)</f>
        <v>1</v>
      </c>
      <c r="F73" s="74"/>
      <c r="G73" s="74">
        <f ca="1">((((C73/H70)*20)+((C74/H70)*25)+(30/(H70+F70+D70)*C75)+(5/H70*C76)+(5/H70*C77)+(5/H70*C78)+(5/H70*C79)+(0/H70*C80)+(0/H70*C81)+(5/H70*C82))/100)</f>
        <v>1</v>
      </c>
      <c r="H73" s="75"/>
      <c r="I73" s="32" t="s">
        <v>110</v>
      </c>
      <c r="J73" s="36">
        <f ca="1">H70*50%</f>
        <v>18</v>
      </c>
    </row>
    <row r="74" spans="1:10" x14ac:dyDescent="0.35">
      <c r="A74" s="69" t="s">
        <v>54</v>
      </c>
      <c r="B74" s="70"/>
      <c r="C74" s="51">
        <f ca="1">J82</f>
        <v>36</v>
      </c>
      <c r="D74" s="53">
        <f ca="1">((100/H70)*C74)/100</f>
        <v>1</v>
      </c>
      <c r="E74" s="74"/>
      <c r="F74" s="74"/>
      <c r="G74" s="74"/>
      <c r="H74" s="75"/>
      <c r="I74" s="32" t="s">
        <v>111</v>
      </c>
      <c r="J74" s="36">
        <f ca="1">H70</f>
        <v>36</v>
      </c>
    </row>
    <row r="75" spans="1:10" ht="15.75" customHeight="1" x14ac:dyDescent="0.35">
      <c r="A75" s="78" t="s">
        <v>141</v>
      </c>
      <c r="B75" s="79"/>
      <c r="C75" s="51">
        <v>37</v>
      </c>
      <c r="D75" s="53">
        <f ca="1">((100/(D70+F70+H70))*C75)/100</f>
        <v>1</v>
      </c>
      <c r="E75" s="74"/>
      <c r="F75" s="74"/>
      <c r="G75" s="74"/>
      <c r="H75" s="75"/>
      <c r="I75" s="32" t="s">
        <v>112</v>
      </c>
      <c r="J75" s="39">
        <f ca="1">(IF(B70&gt;1,(H70/(B70+2)),H70/4))</f>
        <v>9</v>
      </c>
    </row>
    <row r="76" spans="1:10" ht="15.75" customHeight="1" x14ac:dyDescent="0.35">
      <c r="A76" s="69" t="s">
        <v>148</v>
      </c>
      <c r="B76" s="70" t="s">
        <v>142</v>
      </c>
      <c r="C76" s="51">
        <f>C75-1</f>
        <v>36</v>
      </c>
      <c r="D76" s="53">
        <f ca="1">((100/H70)*C76)/100</f>
        <v>1</v>
      </c>
      <c r="E76" s="74"/>
      <c r="F76" s="74"/>
      <c r="G76" s="74"/>
      <c r="H76" s="75"/>
      <c r="I76" s="32" t="s">
        <v>113</v>
      </c>
      <c r="J76" s="39">
        <f ca="1">(IF(B70&gt;1,(H70/(B70+2)+J75),H70/4+J75))</f>
        <v>18</v>
      </c>
    </row>
    <row r="77" spans="1:10" ht="15.75" customHeight="1" x14ac:dyDescent="0.35">
      <c r="A77" s="69" t="s">
        <v>149</v>
      </c>
      <c r="B77" s="70" t="s">
        <v>142</v>
      </c>
      <c r="C77" s="51">
        <v>36</v>
      </c>
      <c r="D77" s="53">
        <f ca="1">((100/H70)*C77)/100</f>
        <v>1</v>
      </c>
      <c r="E77" s="74"/>
      <c r="F77" s="74"/>
      <c r="G77" s="74"/>
      <c r="H77" s="75"/>
      <c r="I77" s="32" t="s">
        <v>158</v>
      </c>
      <c r="J77" s="39">
        <f>(IF(B70&gt;1,(H70/(B70+2)+J76),0))</f>
        <v>0</v>
      </c>
    </row>
    <row r="78" spans="1:10" ht="15" customHeight="1" x14ac:dyDescent="0.35">
      <c r="A78" s="69" t="s">
        <v>147</v>
      </c>
      <c r="B78" s="70" t="s">
        <v>144</v>
      </c>
      <c r="C78" s="51">
        <v>36</v>
      </c>
      <c r="D78" s="53">
        <f ca="1">((100/(H70))*C78)/100</f>
        <v>1</v>
      </c>
      <c r="E78" s="74"/>
      <c r="F78" s="74"/>
      <c r="G78" s="74"/>
      <c r="H78" s="75"/>
      <c r="I78" s="32" t="s">
        <v>155</v>
      </c>
      <c r="J78" s="39">
        <f>(IF(B70&gt;2,(H70/(B70+2)+J77),0))</f>
        <v>0</v>
      </c>
    </row>
    <row r="79" spans="1:10" ht="15.75" customHeight="1" x14ac:dyDescent="0.35">
      <c r="A79" s="69" t="s">
        <v>143</v>
      </c>
      <c r="B79" s="70" t="s">
        <v>143</v>
      </c>
      <c r="C79" s="51">
        <v>36</v>
      </c>
      <c r="D79" s="53">
        <f ca="1">((100/H70)*C79)/100</f>
        <v>1</v>
      </c>
      <c r="E79" s="74"/>
      <c r="F79" s="74"/>
      <c r="G79" s="74"/>
      <c r="H79" s="75"/>
      <c r="I79" s="32" t="s">
        <v>156</v>
      </c>
      <c r="J79" s="40">
        <f>(IF(B70&gt;3,(H70/(B70+2)+J78),0))</f>
        <v>0</v>
      </c>
    </row>
    <row r="80" spans="1:10" ht="15.75" customHeight="1" x14ac:dyDescent="0.35">
      <c r="A80" s="69" t="s">
        <v>150</v>
      </c>
      <c r="B80" s="70"/>
      <c r="C80" s="51">
        <v>36</v>
      </c>
      <c r="D80" s="53">
        <f ca="1">((100/H70)*C80)/100</f>
        <v>1</v>
      </c>
      <c r="E80" s="74"/>
      <c r="F80" s="74"/>
      <c r="G80" s="74"/>
      <c r="H80" s="75"/>
      <c r="I80" s="32" t="s">
        <v>157</v>
      </c>
      <c r="J80" s="39">
        <f>(IF(B70&gt;4,(H70/(B70+2)+J79),0))</f>
        <v>0</v>
      </c>
    </row>
    <row r="81" spans="1:10" ht="15.75" customHeight="1" x14ac:dyDescent="0.35">
      <c r="A81" s="69" t="s">
        <v>145</v>
      </c>
      <c r="B81" s="70" t="s">
        <v>145</v>
      </c>
      <c r="C81" s="51">
        <v>36</v>
      </c>
      <c r="D81" s="53">
        <f ca="1">((100/(H70))*C81)/100</f>
        <v>1</v>
      </c>
      <c r="E81" s="74"/>
      <c r="F81" s="74"/>
      <c r="G81" s="74"/>
      <c r="H81" s="75"/>
      <c r="I81" s="32" t="s">
        <v>159</v>
      </c>
      <c r="J81" s="39">
        <f ca="1">(IF(B70=1,(H70/(B70+3)+J76),IF(B70=0,(H70/4+J76),IF(B70&gt;1,0))))</f>
        <v>27</v>
      </c>
    </row>
    <row r="82" spans="1:10" ht="16" thickBot="1" x14ac:dyDescent="0.4">
      <c r="A82" s="80" t="s">
        <v>146</v>
      </c>
      <c r="B82" s="81"/>
      <c r="C82" s="52">
        <v>36</v>
      </c>
      <c r="D82" s="54">
        <f ca="1">((100/(H70))*C82)/100</f>
        <v>1</v>
      </c>
      <c r="E82" s="76"/>
      <c r="F82" s="76"/>
      <c r="G82" s="76"/>
      <c r="H82" s="77"/>
      <c r="I82" s="38" t="s">
        <v>114</v>
      </c>
      <c r="J82" s="41">
        <f ca="1">(IF(B70&gt;1.5,(H70/(B70+2)+J76+MAX(0,J77-J76)+MAX(0,J78-J77)+MAX(0,J79-J78)+MAX(0,J80-J79)+MAX(0,J81-J80)),IF(B70=1,(H70/(B70+3)+J81),IF(B70=0,H70/4+J81))))</f>
        <v>36</v>
      </c>
    </row>
    <row r="83" spans="1:10" hidden="1" x14ac:dyDescent="0.35">
      <c r="A83" s="152" t="s">
        <v>152</v>
      </c>
      <c r="B83" s="153"/>
      <c r="C83" s="154" t="s">
        <v>219</v>
      </c>
      <c r="D83" s="155"/>
      <c r="E83" s="155"/>
      <c r="F83" s="155"/>
      <c r="G83" s="155"/>
      <c r="H83" s="156"/>
      <c r="I83" s="37" t="str">
        <f ca="1">(IF(E87&gt;99%,"All work completed. Please provide OC.",IF(E87&gt;89.8%,"Plinth, RCC, Brick, Plaster, Flooring, Painting work Completed. Finishing work is in process.",IF(E87&lt;94%,(IF(C87=0,"Work not yet Started.",IF(D87=25%,"Piling work in process",IF(D87=50%,"Excavation work in process",IF(D87=100%,"Excavation work Completed. ","0")))&amp;(IF(C88=0%,"",IF(C88=J89,"Footing work is process",IF(C88=J90,"Footing work Completed",IF(C88=J91,"1st Basement Completed",IF(C88=J92,"1st &amp; 2nd Basement Completed",IF(C88=J93,"1st to 3rd Basement Completed",IF(C88=J94,"1st to 4th Basement Completed",IF(C88=J95,"Plinth work is process",IF(C88=J96,"Plinth work completed","0")))))))))))&amp;(IF(C89=(D84+F84+H84),", RCC Slab",IF(C89&gt;0,", RCC upto "&amp;C89&amp;" Slab",""))&amp;(IF(C90=H84,", Brickwork",IF(C90&gt;0,", Brickwork upto "&amp;C90&amp;" Floor",""))&amp;(IF(C91=H84,", Internal Plaster",IF(C91&gt;0,", Internal Plaster upto "&amp;C91&amp;" Floor",""))&amp;(IF(C92=H84,", External Plaster",IF(C92&gt;0,", External Plaster upto "&amp;C92&amp;" Floor",""))&amp;(IF(C93=H84,", Flooring",IF(C93&gt;0,", Flooring upto "&amp;C93&amp;" Floor",""))&amp;(IF(C94=H84,", Painting",IF(C94&gt;0,", Painting upto "&amp;C94&amp;" Floor",""))&amp;(IF(C95&gt;0,", Finishing upto "&amp;C95&amp;" Floor","")&amp;(IF(C89&gt;0.5," Completed",""))))))))))))))</f>
        <v>Excavation work Completed. Plinth work completed, RCC Slab, Brickwork, Internal Plaster upto 32 Floor, External Plaster upto 30 Floor, Flooring upto 7 Floor, Painting upto 6 Floor Completed</v>
      </c>
      <c r="J83" s="15"/>
    </row>
    <row r="84" spans="1:10" hidden="1" x14ac:dyDescent="0.35">
      <c r="A84" s="42" t="s">
        <v>154</v>
      </c>
      <c r="B84" s="44">
        <v>0</v>
      </c>
      <c r="C84" s="44" t="s">
        <v>78</v>
      </c>
      <c r="D84" s="44">
        <v>1</v>
      </c>
      <c r="E84" s="44" t="s">
        <v>77</v>
      </c>
      <c r="F84" s="44">
        <v>0</v>
      </c>
      <c r="G84" s="44" t="s">
        <v>90</v>
      </c>
      <c r="H84" s="43">
        <f ca="1">--TRIM(RIGHT(SUBSTITUTE(LEFT(C83,_xlfn.AGGREGATE(16,6,FIND({0,1,2,3,4,5,6,7,8,9},C83,ROW(INDIRECT("1:"&amp;LEN(C83)))),1))," ",REPT(" ",LEN(C83))),LEN(C83)))</f>
        <v>36</v>
      </c>
      <c r="I84" s="13"/>
      <c r="J84" s="16"/>
    </row>
    <row r="85" spans="1:10" ht="48.75" hidden="1" customHeight="1" x14ac:dyDescent="0.35">
      <c r="A85" s="65" t="s">
        <v>100</v>
      </c>
      <c r="B85" s="66"/>
      <c r="C85" s="67" t="str">
        <f ca="1">I83</f>
        <v>Excavation work Completed. Plinth work completed, RCC Slab, Brickwork, Internal Plaster upto 32 Floor, External Plaster upto 30 Floor, Flooring upto 7 Floor, Painting upto 6 Floor Completed</v>
      </c>
      <c r="D85" s="67"/>
      <c r="E85" s="67"/>
      <c r="F85" s="67"/>
      <c r="G85" s="67"/>
      <c r="H85" s="68"/>
      <c r="I85" s="13" t="s">
        <v>115</v>
      </c>
      <c r="J85" s="16"/>
    </row>
    <row r="86" spans="1:10" ht="15.75" hidden="1" customHeight="1" x14ac:dyDescent="0.35">
      <c r="A86" s="69" t="s">
        <v>53</v>
      </c>
      <c r="B86" s="70"/>
      <c r="C86" s="49" t="s">
        <v>151</v>
      </c>
      <c r="D86" s="49" t="s">
        <v>93</v>
      </c>
      <c r="E86" s="70" t="s">
        <v>95</v>
      </c>
      <c r="F86" s="70"/>
      <c r="G86" s="70" t="s">
        <v>94</v>
      </c>
      <c r="H86" s="71"/>
      <c r="I86" s="32" t="s">
        <v>153</v>
      </c>
      <c r="J86" s="17">
        <f ca="1">H84*25%</f>
        <v>9</v>
      </c>
    </row>
    <row r="87" spans="1:10" hidden="1" x14ac:dyDescent="0.35">
      <c r="A87" s="69" t="s">
        <v>140</v>
      </c>
      <c r="B87" s="70"/>
      <c r="C87" s="50">
        <f ca="1">J88</f>
        <v>36</v>
      </c>
      <c r="D87" s="53">
        <f ca="1">((100/H84)*C87)/100</f>
        <v>1</v>
      </c>
      <c r="E87" s="74">
        <f ca="1">(((C88/H84*10)+(40/(D84+F84+H84)*C89)+(7.5/(H84)*C90)+(7.5/(H84)*C91)+(10/H84*C92)+(10/H84*C93)+(5/H84*C94)+(5/H84*C95)+(5/H84*C96))/100)</f>
        <v>0.75277777777777777</v>
      </c>
      <c r="F87" s="74"/>
      <c r="G87" s="74">
        <f ca="1">((((C87/H84)*20)+((C88/H84)*25)+(30/(H84+F84+D84)*C89)+(5/H84*C90)+(5/H84*C91)+(5/H84*C92)+(5/H84*C93)+(0/H84*C94)+(0/H84*C95)+(5/H84*C96))/100)</f>
        <v>0.89583333333333348</v>
      </c>
      <c r="H87" s="75"/>
      <c r="I87" s="32" t="s">
        <v>110</v>
      </c>
      <c r="J87" s="36">
        <f ca="1">H84*50%</f>
        <v>18</v>
      </c>
    </row>
    <row r="88" spans="1:10" hidden="1" x14ac:dyDescent="0.35">
      <c r="A88" s="69" t="s">
        <v>54</v>
      </c>
      <c r="B88" s="70"/>
      <c r="C88" s="51">
        <f ca="1">J96</f>
        <v>36</v>
      </c>
      <c r="D88" s="53">
        <f ca="1">((100/H84)*C88)/100</f>
        <v>1</v>
      </c>
      <c r="E88" s="74"/>
      <c r="F88" s="74"/>
      <c r="G88" s="74"/>
      <c r="H88" s="75"/>
      <c r="I88" s="32" t="s">
        <v>111</v>
      </c>
      <c r="J88" s="36">
        <f ca="1">H84</f>
        <v>36</v>
      </c>
    </row>
    <row r="89" spans="1:10" ht="15.75" hidden="1" customHeight="1" x14ac:dyDescent="0.35">
      <c r="A89" s="78" t="s">
        <v>141</v>
      </c>
      <c r="B89" s="79"/>
      <c r="C89" s="51">
        <v>37</v>
      </c>
      <c r="D89" s="53">
        <f ca="1">((100/(D84+F84+H84))*C89)/100</f>
        <v>1</v>
      </c>
      <c r="E89" s="74"/>
      <c r="F89" s="74"/>
      <c r="G89" s="74"/>
      <c r="H89" s="75"/>
      <c r="I89" s="32" t="s">
        <v>112</v>
      </c>
      <c r="J89" s="39">
        <f ca="1">(IF(B84&gt;1,(H84/(B84+2)),H84/4))</f>
        <v>9</v>
      </c>
    </row>
    <row r="90" spans="1:10" ht="15.75" hidden="1" customHeight="1" x14ac:dyDescent="0.35">
      <c r="A90" s="69" t="s">
        <v>148</v>
      </c>
      <c r="B90" s="70" t="s">
        <v>142</v>
      </c>
      <c r="C90" s="51">
        <f>C89-1</f>
        <v>36</v>
      </c>
      <c r="D90" s="53">
        <f ca="1">((100/H84)*C90)/100</f>
        <v>1</v>
      </c>
      <c r="E90" s="74"/>
      <c r="F90" s="74"/>
      <c r="G90" s="74"/>
      <c r="H90" s="75"/>
      <c r="I90" s="32" t="s">
        <v>113</v>
      </c>
      <c r="J90" s="39">
        <f ca="1">(IF(B84&gt;1,(H84/(B84+2)+J89),H84/4+J89))</f>
        <v>18</v>
      </c>
    </row>
    <row r="91" spans="1:10" ht="15.75" hidden="1" customHeight="1" x14ac:dyDescent="0.35">
      <c r="A91" s="69" t="s">
        <v>149</v>
      </c>
      <c r="B91" s="70" t="s">
        <v>142</v>
      </c>
      <c r="C91" s="51">
        <v>32</v>
      </c>
      <c r="D91" s="53">
        <f ca="1">((100/H84)*C91)/100</f>
        <v>0.88888888888888884</v>
      </c>
      <c r="E91" s="74"/>
      <c r="F91" s="74"/>
      <c r="G91" s="74"/>
      <c r="H91" s="75"/>
      <c r="I91" s="32" t="s">
        <v>158</v>
      </c>
      <c r="J91" s="39">
        <f>(IF(B84&gt;1,(H84/(B84+2)+J90),0))</f>
        <v>0</v>
      </c>
    </row>
    <row r="92" spans="1:10" ht="15" hidden="1" customHeight="1" x14ac:dyDescent="0.35">
      <c r="A92" s="69" t="s">
        <v>147</v>
      </c>
      <c r="B92" s="70" t="s">
        <v>144</v>
      </c>
      <c r="C92" s="51">
        <v>30</v>
      </c>
      <c r="D92" s="53">
        <f ca="1">((100/(H84))*C92)/100</f>
        <v>0.83333333333333326</v>
      </c>
      <c r="E92" s="74"/>
      <c r="F92" s="74"/>
      <c r="G92" s="74"/>
      <c r="H92" s="75"/>
      <c r="I92" s="32" t="s">
        <v>155</v>
      </c>
      <c r="J92" s="39">
        <f>(IF(B84&gt;2,(H84/(B84+2)+J91),0))</f>
        <v>0</v>
      </c>
    </row>
    <row r="93" spans="1:10" ht="15.75" hidden="1" customHeight="1" x14ac:dyDescent="0.35">
      <c r="A93" s="69" t="s">
        <v>143</v>
      </c>
      <c r="B93" s="70" t="s">
        <v>143</v>
      </c>
      <c r="C93" s="50">
        <v>7</v>
      </c>
      <c r="D93" s="53">
        <f ca="1">((100/H84)*C93)/100</f>
        <v>0.19444444444444442</v>
      </c>
      <c r="E93" s="74"/>
      <c r="F93" s="74"/>
      <c r="G93" s="74"/>
      <c r="H93" s="75"/>
      <c r="I93" s="32" t="s">
        <v>156</v>
      </c>
      <c r="J93" s="40">
        <f>(IF(B84&gt;3,(H84/(B84+2)+J92),0))</f>
        <v>0</v>
      </c>
    </row>
    <row r="94" spans="1:10" ht="15.75" hidden="1" customHeight="1" x14ac:dyDescent="0.35">
      <c r="A94" s="69" t="s">
        <v>150</v>
      </c>
      <c r="B94" s="70"/>
      <c r="C94" s="50">
        <v>6</v>
      </c>
      <c r="D94" s="53">
        <f ca="1">((100/H84)*C94)/100</f>
        <v>0.16666666666666663</v>
      </c>
      <c r="E94" s="74"/>
      <c r="F94" s="74"/>
      <c r="G94" s="74"/>
      <c r="H94" s="75"/>
      <c r="I94" s="32" t="s">
        <v>157</v>
      </c>
      <c r="J94" s="39">
        <f>(IF(B84&gt;4,(H84/(B84+2)+J93),0))</f>
        <v>0</v>
      </c>
    </row>
    <row r="95" spans="1:10" ht="15.75" hidden="1" customHeight="1" x14ac:dyDescent="0.35">
      <c r="A95" s="69" t="s">
        <v>145</v>
      </c>
      <c r="B95" s="70" t="s">
        <v>145</v>
      </c>
      <c r="C95" s="50">
        <v>0</v>
      </c>
      <c r="D95" s="53">
        <f ca="1">((100/(H84))*C95)/100</f>
        <v>0</v>
      </c>
      <c r="E95" s="74"/>
      <c r="F95" s="74"/>
      <c r="G95" s="74"/>
      <c r="H95" s="75"/>
      <c r="I95" s="32" t="s">
        <v>159</v>
      </c>
      <c r="J95" s="39">
        <f ca="1">(IF(B84=1,(H84/(B84+3)+J90),IF(B84=0,(H84/4+J90),IF(B84&gt;1,0))))</f>
        <v>27</v>
      </c>
    </row>
    <row r="96" spans="1:10" ht="16" hidden="1" thickBot="1" x14ac:dyDescent="0.4">
      <c r="A96" s="80" t="s">
        <v>146</v>
      </c>
      <c r="B96" s="81"/>
      <c r="C96" s="52">
        <v>0</v>
      </c>
      <c r="D96" s="54">
        <f ca="1">((100/(H84))*C96)/100</f>
        <v>0</v>
      </c>
      <c r="E96" s="76"/>
      <c r="F96" s="76"/>
      <c r="G96" s="76"/>
      <c r="H96" s="77"/>
      <c r="I96" s="38" t="s">
        <v>114</v>
      </c>
      <c r="J96" s="41">
        <f ca="1">(IF(B84&gt;1.5,(H84/(B84+2)+J90+MAX(0,J91-J90)+MAX(0,J92-J91)+MAX(0,J93-J92)+MAX(0,J94-J93)+MAX(0,J95-J94)),IF(B84=1,(H84/(B84+3)+J95),IF(B84=0,H84/4+J95))))</f>
        <v>36</v>
      </c>
    </row>
    <row r="97" spans="1:12" x14ac:dyDescent="0.35">
      <c r="A97" s="136" t="s">
        <v>55</v>
      </c>
      <c r="B97" s="136"/>
      <c r="C97" s="136"/>
      <c r="D97" s="136"/>
      <c r="E97" s="136"/>
      <c r="F97" s="136"/>
      <c r="G97" s="136"/>
      <c r="H97" s="136"/>
    </row>
    <row r="98" spans="1:12" x14ac:dyDescent="0.35">
      <c r="A98" s="72" t="s">
        <v>82</v>
      </c>
      <c r="B98" s="72"/>
      <c r="C98" s="72"/>
      <c r="D98" s="72"/>
      <c r="E98" s="72"/>
      <c r="F98" s="165">
        <v>6000</v>
      </c>
      <c r="G98" s="165"/>
      <c r="H98" s="165"/>
      <c r="J98" s="3" t="s">
        <v>221</v>
      </c>
      <c r="K98" s="33">
        <v>45068</v>
      </c>
      <c r="L98" s="3" t="s">
        <v>222</v>
      </c>
    </row>
    <row r="99" spans="1:12" x14ac:dyDescent="0.35">
      <c r="A99" s="72" t="s">
        <v>88</v>
      </c>
      <c r="B99" s="72"/>
      <c r="C99" s="72"/>
      <c r="D99" s="72"/>
      <c r="E99" s="72"/>
      <c r="F99" s="73">
        <v>10000</v>
      </c>
      <c r="G99" s="73"/>
      <c r="H99" s="73"/>
      <c r="J99" s="3" t="s">
        <v>225</v>
      </c>
      <c r="L99" s="3" t="s">
        <v>222</v>
      </c>
    </row>
    <row r="100" spans="1:12" x14ac:dyDescent="0.35">
      <c r="A100" s="72" t="s">
        <v>89</v>
      </c>
      <c r="B100" s="72"/>
      <c r="C100" s="72"/>
      <c r="D100" s="72"/>
      <c r="E100" s="72"/>
      <c r="F100" s="73">
        <v>8000</v>
      </c>
      <c r="G100" s="73"/>
      <c r="H100" s="73"/>
      <c r="I100" s="60" t="s">
        <v>227</v>
      </c>
      <c r="J100" s="60" t="s">
        <v>228</v>
      </c>
      <c r="K100" s="60" t="s">
        <v>229</v>
      </c>
      <c r="L100" s="61">
        <v>45161</v>
      </c>
    </row>
    <row r="101" spans="1:12" s="7" customFormat="1" x14ac:dyDescent="0.3">
      <c r="A101" s="72" t="s">
        <v>204</v>
      </c>
      <c r="B101" s="72"/>
      <c r="C101" s="72"/>
      <c r="D101" s="72"/>
      <c r="E101" s="72"/>
      <c r="F101" s="73" t="s">
        <v>226</v>
      </c>
      <c r="G101" s="73"/>
      <c r="H101" s="73"/>
    </row>
    <row r="102" spans="1:12" s="7" customFormat="1" ht="30" customHeight="1" x14ac:dyDescent="0.3">
      <c r="A102" s="72" t="s">
        <v>203</v>
      </c>
      <c r="B102" s="72"/>
      <c r="C102" s="72"/>
      <c r="D102" s="72"/>
      <c r="E102" s="72"/>
      <c r="F102" s="99" t="s">
        <v>201</v>
      </c>
      <c r="G102" s="73"/>
      <c r="H102" s="73"/>
    </row>
    <row r="103" spans="1:12" s="7" customFormat="1" x14ac:dyDescent="0.3">
      <c r="A103" s="72" t="s">
        <v>205</v>
      </c>
      <c r="B103" s="72"/>
      <c r="C103" s="72"/>
      <c r="D103" s="72"/>
      <c r="E103" s="72"/>
      <c r="F103" s="73" t="s">
        <v>202</v>
      </c>
      <c r="G103" s="73"/>
      <c r="H103" s="73"/>
    </row>
    <row r="104" spans="1:12" s="7" customFormat="1" hidden="1" x14ac:dyDescent="0.3">
      <c r="A104" s="72" t="s">
        <v>105</v>
      </c>
      <c r="B104" s="72"/>
      <c r="C104" s="72"/>
      <c r="D104" s="72"/>
      <c r="E104" s="72"/>
      <c r="F104" s="73" t="s">
        <v>30</v>
      </c>
      <c r="G104" s="73"/>
      <c r="H104" s="73"/>
    </row>
    <row r="105" spans="1:12" s="7" customFormat="1" hidden="1" x14ac:dyDescent="0.3">
      <c r="A105" s="72" t="s">
        <v>106</v>
      </c>
      <c r="B105" s="72"/>
      <c r="C105" s="72"/>
      <c r="D105" s="72"/>
      <c r="E105" s="72"/>
      <c r="F105" s="73" t="s">
        <v>30</v>
      </c>
      <c r="G105" s="73"/>
      <c r="H105" s="73"/>
    </row>
    <row r="106" spans="1:12" s="7" customFormat="1" hidden="1" x14ac:dyDescent="0.3">
      <c r="A106" s="72" t="s">
        <v>107</v>
      </c>
      <c r="B106" s="72"/>
      <c r="C106" s="72"/>
      <c r="D106" s="72"/>
      <c r="E106" s="72"/>
      <c r="F106" s="73" t="s">
        <v>30</v>
      </c>
      <c r="G106" s="73"/>
      <c r="H106" s="73"/>
    </row>
    <row r="107" spans="1:12" s="7" customFormat="1" hidden="1" x14ac:dyDescent="0.3">
      <c r="A107" s="72" t="s">
        <v>108</v>
      </c>
      <c r="B107" s="72"/>
      <c r="C107" s="72"/>
      <c r="D107" s="72"/>
      <c r="E107" s="72"/>
      <c r="F107" s="73" t="s">
        <v>30</v>
      </c>
      <c r="G107" s="73"/>
      <c r="H107" s="73"/>
    </row>
    <row r="108" spans="1:12" s="7" customFormat="1" hidden="1" x14ac:dyDescent="0.3">
      <c r="A108" s="72" t="s">
        <v>109</v>
      </c>
      <c r="B108" s="72"/>
      <c r="C108" s="72"/>
      <c r="D108" s="72"/>
      <c r="E108" s="72"/>
      <c r="F108" s="73" t="s">
        <v>30</v>
      </c>
      <c r="G108" s="73"/>
      <c r="H108" s="73"/>
    </row>
    <row r="109" spans="1:12" x14ac:dyDescent="0.35">
      <c r="A109" s="72" t="s">
        <v>56</v>
      </c>
      <c r="B109" s="72"/>
      <c r="C109" s="72"/>
      <c r="D109" s="72"/>
      <c r="E109" s="72"/>
      <c r="F109" s="99" t="s">
        <v>220</v>
      </c>
      <c r="G109" s="99"/>
      <c r="H109" s="99"/>
    </row>
    <row r="110" spans="1:12" s="4" customFormat="1" x14ac:dyDescent="0.35">
      <c r="A110" s="136" t="s">
        <v>57</v>
      </c>
      <c r="B110" s="136"/>
      <c r="C110" s="136"/>
      <c r="D110" s="136"/>
      <c r="E110" s="136"/>
      <c r="F110" s="73">
        <f>F98*0.8</f>
        <v>4800</v>
      </c>
      <c r="G110" s="73"/>
      <c r="H110" s="73"/>
    </row>
    <row r="111" spans="1:12" s="1" customFormat="1" ht="15.75" customHeight="1" x14ac:dyDescent="0.35">
      <c r="A111" s="96" t="s">
        <v>83</v>
      </c>
      <c r="B111" s="96"/>
      <c r="C111" s="96"/>
      <c r="D111" s="96"/>
      <c r="E111" s="96"/>
      <c r="F111" s="96"/>
      <c r="G111" s="96"/>
      <c r="H111" s="96"/>
    </row>
    <row r="112" spans="1:12" s="1" customFormat="1" ht="15.75" customHeight="1" x14ac:dyDescent="0.35">
      <c r="A112" s="109" t="s">
        <v>58</v>
      </c>
      <c r="B112" s="109"/>
      <c r="C112" s="98" t="s">
        <v>86</v>
      </c>
      <c r="D112" s="98"/>
      <c r="E112" s="108" t="s">
        <v>59</v>
      </c>
      <c r="F112" s="108"/>
      <c r="G112" s="109" t="s">
        <v>60</v>
      </c>
      <c r="H112" s="109"/>
    </row>
    <row r="113" spans="1:14" s="1" customFormat="1" x14ac:dyDescent="0.35">
      <c r="A113" s="112" t="s">
        <v>192</v>
      </c>
      <c r="B113" s="47" t="s">
        <v>165</v>
      </c>
      <c r="C113" s="114">
        <f>COUNT(D126:D143)</f>
        <v>18</v>
      </c>
      <c r="D113" s="111"/>
      <c r="E113" s="115">
        <f>SUM(D126:D143)</f>
        <v>13519.691639999997</v>
      </c>
      <c r="F113" s="116"/>
      <c r="G113" s="115">
        <f>SUM(F126:F143)</f>
        <v>26465</v>
      </c>
      <c r="H113" s="116"/>
    </row>
    <row r="114" spans="1:14" s="1" customFormat="1" x14ac:dyDescent="0.35">
      <c r="A114" s="113"/>
      <c r="B114" s="47" t="s">
        <v>167</v>
      </c>
      <c r="C114" s="114">
        <f>COUNT(D145:D181)+COUNT(D183:D219)</f>
        <v>74</v>
      </c>
      <c r="D114" s="111"/>
      <c r="E114" s="115">
        <f>SUM(D145:D181)+SUM(D183:D219)</f>
        <v>24303.605040000006</v>
      </c>
      <c r="F114" s="116"/>
      <c r="G114" s="115">
        <f>SUM(F145:F181)+SUM(F183:F219)</f>
        <v>47550</v>
      </c>
      <c r="H114" s="116"/>
    </row>
    <row r="115" spans="1:14" s="59" customFormat="1" ht="15" x14ac:dyDescent="0.35">
      <c r="A115" s="96" t="s">
        <v>198</v>
      </c>
      <c r="B115" s="96"/>
      <c r="C115" s="97">
        <f>SUM(C113:D114)</f>
        <v>92</v>
      </c>
      <c r="D115" s="98"/>
      <c r="E115" s="107">
        <f>SUM(E113:F114)</f>
        <v>37823.296679999999</v>
      </c>
      <c r="F115" s="108"/>
      <c r="G115" s="109">
        <f>SUM(G113:H114)</f>
        <v>74015</v>
      </c>
      <c r="H115" s="109"/>
    </row>
    <row r="116" spans="1:14" s="1" customFormat="1" x14ac:dyDescent="0.35">
      <c r="A116" s="96" t="s">
        <v>76</v>
      </c>
      <c r="B116" s="96"/>
      <c r="C116" s="96"/>
      <c r="D116" s="96"/>
      <c r="E116" s="96"/>
      <c r="F116" s="96"/>
      <c r="G116" s="96"/>
      <c r="H116" s="96"/>
    </row>
    <row r="117" spans="1:14" s="1" customFormat="1" ht="15.75" customHeight="1" x14ac:dyDescent="0.35">
      <c r="A117" s="109" t="s">
        <v>58</v>
      </c>
      <c r="B117" s="109"/>
      <c r="C117" s="98" t="s">
        <v>86</v>
      </c>
      <c r="D117" s="98"/>
      <c r="E117" s="108" t="s">
        <v>59</v>
      </c>
      <c r="F117" s="108"/>
      <c r="G117" s="109" t="s">
        <v>60</v>
      </c>
      <c r="H117" s="109"/>
    </row>
    <row r="118" spans="1:14" s="1" customFormat="1" ht="40.5" customHeight="1" x14ac:dyDescent="0.35">
      <c r="A118" s="110" t="s">
        <v>214</v>
      </c>
      <c r="B118" s="110"/>
      <c r="C118" s="111">
        <f>COUNT(D227:D232)+COUNT(D234:D239)*19+COUNT(D241:D246)*5+COUNT(D248:D253)*7+COUNT(D255:D260)*2</f>
        <v>204</v>
      </c>
      <c r="D118" s="111"/>
      <c r="E118" s="101">
        <f>SUM(D227:D232)+SUM(D234:D239)*19+SUM(D241:D246)*5+SUM(D248:D253)*7+SUM(D255:D260)*2</f>
        <v>212537.01203279995</v>
      </c>
      <c r="F118" s="101"/>
      <c r="G118" s="101">
        <f>SUM(F227:F232)+SUM(F234:F239)*19+SUM(F241:F246)*5+SUM(F248:F253)*7+SUM(F255:F260)*2</f>
        <v>366180</v>
      </c>
      <c r="H118" s="101"/>
    </row>
    <row r="119" spans="1:14" s="1" customFormat="1" ht="40.5" customHeight="1" x14ac:dyDescent="0.35">
      <c r="A119" s="110" t="s">
        <v>213</v>
      </c>
      <c r="B119" s="110"/>
      <c r="C119" s="111">
        <f>COUNT(D265:D270)+COUNT(D272:D277)*19+COUNT(D279:D284)*5+COUNT(D286:D291)*7+COUNT(D293:D298)*2</f>
        <v>204</v>
      </c>
      <c r="D119" s="111"/>
      <c r="E119" s="101">
        <f>SUM(D265:D270)+SUM(D272:D277)*19+SUM(D279:D284)*5+SUM(D286:D291)*7+SUM(D293:D298)*2</f>
        <v>212537.01203279995</v>
      </c>
      <c r="F119" s="101"/>
      <c r="G119" s="101">
        <f>SUM(F265:F270)+SUM(F272:F277)*19+SUM(F279:F284)*5+SUM(F286:F291)*7+SUM(F293:F298)*2</f>
        <v>366180</v>
      </c>
      <c r="H119" s="101"/>
    </row>
    <row r="120" spans="1:14" s="59" customFormat="1" ht="15" x14ac:dyDescent="0.35">
      <c r="A120" s="96" t="s">
        <v>198</v>
      </c>
      <c r="B120" s="96"/>
      <c r="C120" s="98">
        <f>SUM(C118:D119)</f>
        <v>408</v>
      </c>
      <c r="D120" s="98"/>
      <c r="E120" s="107">
        <f>SUM(E118:F119)</f>
        <v>425074.02406559989</v>
      </c>
      <c r="F120" s="108"/>
      <c r="G120" s="109">
        <f>SUM(G118:H119)</f>
        <v>732360</v>
      </c>
      <c r="H120" s="109"/>
    </row>
    <row r="121" spans="1:14" s="4" customFormat="1" x14ac:dyDescent="0.35">
      <c r="A121" s="100" t="s">
        <v>61</v>
      </c>
      <c r="B121" s="100"/>
      <c r="C121" s="100"/>
      <c r="D121" s="100"/>
      <c r="E121" s="100"/>
      <c r="F121" s="100"/>
      <c r="G121" s="100"/>
      <c r="H121" s="100"/>
    </row>
    <row r="122" spans="1:14" x14ac:dyDescent="0.35">
      <c r="A122" s="100" t="s">
        <v>62</v>
      </c>
      <c r="B122" s="100"/>
      <c r="C122" s="100"/>
      <c r="D122" s="100"/>
      <c r="E122" s="100"/>
      <c r="F122" s="100"/>
      <c r="G122" s="100"/>
      <c r="H122" s="100"/>
    </row>
    <row r="123" spans="1:14" ht="47.25" customHeight="1" x14ac:dyDescent="0.35">
      <c r="A123" s="176" t="s">
        <v>130</v>
      </c>
      <c r="B123" s="176" t="s">
        <v>129</v>
      </c>
      <c r="C123" s="176" t="s">
        <v>63</v>
      </c>
      <c r="D123" s="176" t="s">
        <v>64</v>
      </c>
      <c r="E123" s="177" t="s">
        <v>65</v>
      </c>
      <c r="F123" s="176" t="s">
        <v>199</v>
      </c>
      <c r="G123" s="178" t="s">
        <v>66</v>
      </c>
      <c r="H123" s="178"/>
    </row>
    <row r="124" spans="1:14" x14ac:dyDescent="0.35">
      <c r="A124" s="100" t="s">
        <v>163</v>
      </c>
      <c r="B124" s="100"/>
      <c r="C124" s="100"/>
      <c r="D124" s="100"/>
      <c r="E124" s="100"/>
      <c r="F124" s="100"/>
      <c r="G124" s="100"/>
      <c r="H124" s="100"/>
    </row>
    <row r="125" spans="1:14" s="2" customFormat="1" x14ac:dyDescent="0.35">
      <c r="A125" s="102" t="s">
        <v>164</v>
      </c>
      <c r="B125" s="103"/>
      <c r="C125" s="103"/>
      <c r="D125" s="103"/>
      <c r="E125" s="103"/>
      <c r="F125" s="103"/>
      <c r="G125" s="103"/>
      <c r="H125" s="104"/>
      <c r="J125" s="31"/>
    </row>
    <row r="126" spans="1:14" s="2" customFormat="1" x14ac:dyDescent="0.35">
      <c r="A126" s="85">
        <v>1</v>
      </c>
      <c r="B126" s="86"/>
      <c r="C126" s="14" t="s">
        <v>165</v>
      </c>
      <c r="D126" s="14">
        <f>(3.65*10.5+1.2*1.95+2.3*1.95+1.5*3.65)*10.764</f>
        <v>544.9274999999999</v>
      </c>
      <c r="E126" s="14">
        <v>0</v>
      </c>
      <c r="F126" s="14">
        <v>1050</v>
      </c>
      <c r="G126" s="85" t="str">
        <f>A125</f>
        <v>Ground Floor for Commercial &amp; Parking</v>
      </c>
      <c r="H126" s="86"/>
      <c r="I126" s="31">
        <v>1050</v>
      </c>
      <c r="J126" s="2">
        <f>I126/D126</f>
        <v>1.926861830243473</v>
      </c>
      <c r="L126" s="126"/>
      <c r="M126" s="126"/>
      <c r="N126" s="31"/>
    </row>
    <row r="127" spans="1:14" s="2" customFormat="1" x14ac:dyDescent="0.35">
      <c r="A127" s="85">
        <f t="shared" ref="A127:A143" si="0">A126+1</f>
        <v>2</v>
      </c>
      <c r="B127" s="86"/>
      <c r="C127" s="14" t="s">
        <v>165</v>
      </c>
      <c r="D127" s="14">
        <f>(3.65*16.2+1.2*1.8+2.3*1.8+1.5*3.65)*10.764</f>
        <v>763.22141999999985</v>
      </c>
      <c r="E127" s="14">
        <v>0</v>
      </c>
      <c r="F127" s="14">
        <v>1495</v>
      </c>
      <c r="G127" s="85" t="str">
        <f t="shared" ref="G127:G143" si="1">G126</f>
        <v>Ground Floor for Commercial &amp; Parking</v>
      </c>
      <c r="H127" s="86"/>
      <c r="I127" s="31">
        <v>1495</v>
      </c>
      <c r="J127" s="2">
        <f t="shared" ref="J127:J128" si="2">I127/D127</f>
        <v>1.9588024665240662</v>
      </c>
      <c r="L127" s="126"/>
      <c r="M127" s="126"/>
      <c r="N127" s="31"/>
    </row>
    <row r="128" spans="1:14" s="2" customFormat="1" x14ac:dyDescent="0.35">
      <c r="A128" s="85">
        <f t="shared" si="0"/>
        <v>3</v>
      </c>
      <c r="B128" s="86"/>
      <c r="C128" s="14" t="s">
        <v>165</v>
      </c>
      <c r="D128" s="14">
        <f>(3.65*16.2+1.2*1.8+2.3*1.8+1.5*3.65)*10.764</f>
        <v>763.22141999999985</v>
      </c>
      <c r="E128" s="14">
        <v>0</v>
      </c>
      <c r="F128" s="14">
        <v>1495</v>
      </c>
      <c r="G128" s="85" t="str">
        <f t="shared" si="1"/>
        <v>Ground Floor for Commercial &amp; Parking</v>
      </c>
      <c r="H128" s="86"/>
      <c r="I128" s="31"/>
      <c r="J128" s="2">
        <f t="shared" si="2"/>
        <v>0</v>
      </c>
      <c r="L128" s="126"/>
      <c r="M128" s="126"/>
      <c r="N128" s="31"/>
    </row>
    <row r="129" spans="1:14" s="2" customFormat="1" x14ac:dyDescent="0.35">
      <c r="A129" s="85">
        <f t="shared" si="0"/>
        <v>4</v>
      </c>
      <c r="B129" s="86"/>
      <c r="C129" s="14" t="s">
        <v>165</v>
      </c>
      <c r="D129" s="14">
        <f>(3.65*16.2+1.2*1.8+2.3*1.8+1.5*3.65)*10.764</f>
        <v>763.22141999999985</v>
      </c>
      <c r="E129" s="14">
        <v>0</v>
      </c>
      <c r="F129" s="14">
        <v>1495</v>
      </c>
      <c r="G129" s="85" t="str">
        <f t="shared" si="1"/>
        <v>Ground Floor for Commercial &amp; Parking</v>
      </c>
      <c r="H129" s="86"/>
      <c r="I129" s="31"/>
      <c r="L129" s="126"/>
      <c r="M129" s="126"/>
      <c r="N129" s="31"/>
    </row>
    <row r="130" spans="1:14" s="2" customFormat="1" x14ac:dyDescent="0.35">
      <c r="A130" s="85">
        <f t="shared" si="0"/>
        <v>5</v>
      </c>
      <c r="B130" s="86"/>
      <c r="C130" s="14" t="s">
        <v>165</v>
      </c>
      <c r="D130" s="14">
        <f>(3.65*16.2+1.2*1.8+2.3*1.8+1.5*3.65)*10.764</f>
        <v>763.22141999999985</v>
      </c>
      <c r="E130" s="14">
        <v>0</v>
      </c>
      <c r="F130" s="14">
        <v>1495</v>
      </c>
      <c r="G130" s="85" t="str">
        <f t="shared" si="1"/>
        <v>Ground Floor for Commercial &amp; Parking</v>
      </c>
      <c r="H130" s="86"/>
      <c r="I130" s="31"/>
      <c r="L130" s="126"/>
      <c r="M130" s="126"/>
      <c r="N130" s="31"/>
    </row>
    <row r="131" spans="1:14" s="2" customFormat="1" x14ac:dyDescent="0.35">
      <c r="A131" s="85">
        <f t="shared" si="0"/>
        <v>6</v>
      </c>
      <c r="B131" s="86"/>
      <c r="C131" s="14" t="s">
        <v>165</v>
      </c>
      <c r="D131" s="14">
        <f t="shared" ref="D131:D143" si="3">(3.65*16.2+1.2*1.8+2.3*1.8+1.5*3.65)*10.764</f>
        <v>763.22141999999985</v>
      </c>
      <c r="E131" s="14">
        <v>0</v>
      </c>
      <c r="F131" s="14">
        <v>1495</v>
      </c>
      <c r="G131" s="85" t="str">
        <f t="shared" si="1"/>
        <v>Ground Floor for Commercial &amp; Parking</v>
      </c>
      <c r="H131" s="86"/>
      <c r="I131" s="31"/>
      <c r="L131" s="126"/>
      <c r="M131" s="126"/>
      <c r="N131" s="31"/>
    </row>
    <row r="132" spans="1:14" s="2" customFormat="1" x14ac:dyDescent="0.35">
      <c r="A132" s="85">
        <f t="shared" si="0"/>
        <v>7</v>
      </c>
      <c r="B132" s="86"/>
      <c r="C132" s="14" t="s">
        <v>165</v>
      </c>
      <c r="D132" s="14">
        <f t="shared" si="3"/>
        <v>763.22141999999985</v>
      </c>
      <c r="E132" s="14">
        <v>0</v>
      </c>
      <c r="F132" s="14">
        <v>1495</v>
      </c>
      <c r="G132" s="85" t="str">
        <f t="shared" si="1"/>
        <v>Ground Floor for Commercial &amp; Parking</v>
      </c>
      <c r="H132" s="86"/>
      <c r="I132" s="31"/>
      <c r="L132" s="126"/>
      <c r="M132" s="126"/>
      <c r="N132" s="31"/>
    </row>
    <row r="133" spans="1:14" s="2" customFormat="1" x14ac:dyDescent="0.35">
      <c r="A133" s="85">
        <v>8</v>
      </c>
      <c r="B133" s="86"/>
      <c r="C133" s="14" t="s">
        <v>165</v>
      </c>
      <c r="D133" s="14">
        <f t="shared" si="3"/>
        <v>763.22141999999985</v>
      </c>
      <c r="E133" s="14">
        <v>0</v>
      </c>
      <c r="F133" s="14">
        <v>1495</v>
      </c>
      <c r="G133" s="85" t="str">
        <f>A125</f>
        <v>Ground Floor for Commercial &amp; Parking</v>
      </c>
      <c r="H133" s="86"/>
      <c r="I133" s="31"/>
      <c r="L133" s="126"/>
      <c r="M133" s="126"/>
      <c r="N133" s="31"/>
    </row>
    <row r="134" spans="1:14" s="2" customFormat="1" x14ac:dyDescent="0.35">
      <c r="A134" s="85">
        <f t="shared" si="0"/>
        <v>9</v>
      </c>
      <c r="B134" s="86"/>
      <c r="C134" s="14" t="s">
        <v>165</v>
      </c>
      <c r="D134" s="14">
        <f t="shared" si="3"/>
        <v>763.22141999999985</v>
      </c>
      <c r="E134" s="14">
        <v>0</v>
      </c>
      <c r="F134" s="14">
        <v>1495</v>
      </c>
      <c r="G134" s="85" t="str">
        <f t="shared" si="1"/>
        <v>Ground Floor for Commercial &amp; Parking</v>
      </c>
      <c r="H134" s="86"/>
      <c r="I134" s="31"/>
      <c r="L134" s="126"/>
      <c r="M134" s="126"/>
      <c r="N134" s="31"/>
    </row>
    <row r="135" spans="1:14" s="2" customFormat="1" x14ac:dyDescent="0.35">
      <c r="A135" s="85">
        <f t="shared" si="0"/>
        <v>10</v>
      </c>
      <c r="B135" s="86"/>
      <c r="C135" s="14" t="s">
        <v>165</v>
      </c>
      <c r="D135" s="14">
        <f t="shared" si="3"/>
        <v>763.22141999999985</v>
      </c>
      <c r="E135" s="14">
        <v>0</v>
      </c>
      <c r="F135" s="14">
        <v>1495</v>
      </c>
      <c r="G135" s="85" t="str">
        <f t="shared" si="1"/>
        <v>Ground Floor for Commercial &amp; Parking</v>
      </c>
      <c r="H135" s="86"/>
      <c r="I135" s="31"/>
      <c r="L135" s="126"/>
      <c r="M135" s="126"/>
      <c r="N135" s="31"/>
    </row>
    <row r="136" spans="1:14" s="2" customFormat="1" x14ac:dyDescent="0.35">
      <c r="A136" s="85">
        <f t="shared" si="0"/>
        <v>11</v>
      </c>
      <c r="B136" s="86"/>
      <c r="C136" s="14" t="s">
        <v>165</v>
      </c>
      <c r="D136" s="14">
        <f t="shared" si="3"/>
        <v>763.22141999999985</v>
      </c>
      <c r="E136" s="14">
        <v>0</v>
      </c>
      <c r="F136" s="14">
        <v>1495</v>
      </c>
      <c r="G136" s="85" t="str">
        <f t="shared" si="1"/>
        <v>Ground Floor for Commercial &amp; Parking</v>
      </c>
      <c r="H136" s="86"/>
      <c r="I136" s="31"/>
      <c r="L136" s="126"/>
      <c r="M136" s="126"/>
      <c r="N136" s="31"/>
    </row>
    <row r="137" spans="1:14" s="2" customFormat="1" x14ac:dyDescent="0.35">
      <c r="A137" s="85">
        <f t="shared" si="0"/>
        <v>12</v>
      </c>
      <c r="B137" s="86"/>
      <c r="C137" s="14" t="s">
        <v>165</v>
      </c>
      <c r="D137" s="14">
        <f t="shared" si="3"/>
        <v>763.22141999999985</v>
      </c>
      <c r="E137" s="14">
        <v>0</v>
      </c>
      <c r="F137" s="14">
        <v>1495</v>
      </c>
      <c r="G137" s="85" t="str">
        <f t="shared" si="1"/>
        <v>Ground Floor for Commercial &amp; Parking</v>
      </c>
      <c r="H137" s="86"/>
      <c r="I137" s="31"/>
      <c r="L137" s="126"/>
      <c r="M137" s="126"/>
      <c r="N137" s="31"/>
    </row>
    <row r="138" spans="1:14" s="2" customFormat="1" x14ac:dyDescent="0.35">
      <c r="A138" s="85">
        <f t="shared" si="0"/>
        <v>13</v>
      </c>
      <c r="B138" s="86"/>
      <c r="C138" s="14" t="s">
        <v>165</v>
      </c>
      <c r="D138" s="14">
        <f t="shared" si="3"/>
        <v>763.22141999999985</v>
      </c>
      <c r="E138" s="14">
        <v>0</v>
      </c>
      <c r="F138" s="14">
        <v>1495</v>
      </c>
      <c r="G138" s="85" t="str">
        <f t="shared" si="1"/>
        <v>Ground Floor for Commercial &amp; Parking</v>
      </c>
      <c r="H138" s="86"/>
      <c r="I138" s="31"/>
      <c r="L138" s="126"/>
      <c r="M138" s="126"/>
      <c r="N138" s="31"/>
    </row>
    <row r="139" spans="1:14" s="2" customFormat="1" x14ac:dyDescent="0.35">
      <c r="A139" s="85">
        <f t="shared" si="0"/>
        <v>14</v>
      </c>
      <c r="B139" s="86"/>
      <c r="C139" s="14" t="s">
        <v>165</v>
      </c>
      <c r="D139" s="14">
        <f t="shared" si="3"/>
        <v>763.22141999999985</v>
      </c>
      <c r="E139" s="14">
        <v>0</v>
      </c>
      <c r="F139" s="14">
        <v>1495</v>
      </c>
      <c r="G139" s="85" t="str">
        <f t="shared" si="1"/>
        <v>Ground Floor for Commercial &amp; Parking</v>
      </c>
      <c r="H139" s="86"/>
      <c r="I139" s="31"/>
      <c r="L139" s="126"/>
      <c r="M139" s="126"/>
      <c r="N139" s="31"/>
    </row>
    <row r="140" spans="1:14" s="2" customFormat="1" x14ac:dyDescent="0.35">
      <c r="A140" s="85">
        <f t="shared" si="0"/>
        <v>15</v>
      </c>
      <c r="B140" s="86"/>
      <c r="C140" s="14" t="s">
        <v>165</v>
      </c>
      <c r="D140" s="14">
        <f t="shared" si="3"/>
        <v>763.22141999999985</v>
      </c>
      <c r="E140" s="14">
        <v>0</v>
      </c>
      <c r="F140" s="14">
        <v>1495</v>
      </c>
      <c r="G140" s="85" t="str">
        <f t="shared" si="1"/>
        <v>Ground Floor for Commercial &amp; Parking</v>
      </c>
      <c r="H140" s="86"/>
      <c r="I140" s="31"/>
      <c r="L140" s="126"/>
      <c r="M140" s="126"/>
      <c r="N140" s="31"/>
    </row>
    <row r="141" spans="1:14" s="2" customFormat="1" x14ac:dyDescent="0.35">
      <c r="A141" s="85">
        <f t="shared" si="0"/>
        <v>16</v>
      </c>
      <c r="B141" s="86"/>
      <c r="C141" s="14" t="s">
        <v>165</v>
      </c>
      <c r="D141" s="14">
        <f t="shared" si="3"/>
        <v>763.22141999999985</v>
      </c>
      <c r="E141" s="14">
        <v>0</v>
      </c>
      <c r="F141" s="14">
        <v>1495</v>
      </c>
      <c r="G141" s="85" t="str">
        <f t="shared" si="1"/>
        <v>Ground Floor for Commercial &amp; Parking</v>
      </c>
      <c r="H141" s="86"/>
      <c r="I141" s="31"/>
      <c r="L141" s="126"/>
      <c r="M141" s="126"/>
      <c r="N141" s="31"/>
    </row>
    <row r="142" spans="1:14" s="2" customFormat="1" x14ac:dyDescent="0.35">
      <c r="A142" s="85">
        <f t="shared" si="0"/>
        <v>17</v>
      </c>
      <c r="B142" s="86"/>
      <c r="C142" s="14" t="s">
        <v>165</v>
      </c>
      <c r="D142" s="14">
        <f t="shared" si="3"/>
        <v>763.22141999999985</v>
      </c>
      <c r="E142" s="14">
        <v>0</v>
      </c>
      <c r="F142" s="14">
        <v>1495</v>
      </c>
      <c r="G142" s="85" t="str">
        <f t="shared" si="1"/>
        <v>Ground Floor for Commercial &amp; Parking</v>
      </c>
      <c r="H142" s="86"/>
      <c r="I142" s="31"/>
      <c r="L142" s="126"/>
      <c r="M142" s="126"/>
      <c r="N142" s="31"/>
    </row>
    <row r="143" spans="1:14" s="2" customFormat="1" x14ac:dyDescent="0.35">
      <c r="A143" s="85">
        <f t="shared" si="0"/>
        <v>18</v>
      </c>
      <c r="B143" s="86"/>
      <c r="C143" s="14" t="s">
        <v>165</v>
      </c>
      <c r="D143" s="14">
        <f t="shared" si="3"/>
        <v>763.22141999999985</v>
      </c>
      <c r="E143" s="14">
        <v>0</v>
      </c>
      <c r="F143" s="14">
        <v>1495</v>
      </c>
      <c r="G143" s="85" t="str">
        <f t="shared" si="1"/>
        <v>Ground Floor for Commercial &amp; Parking</v>
      </c>
      <c r="H143" s="86"/>
      <c r="I143" s="31"/>
      <c r="L143" s="126"/>
      <c r="M143" s="126"/>
      <c r="N143" s="31"/>
    </row>
    <row r="144" spans="1:14" s="2" customFormat="1" x14ac:dyDescent="0.35">
      <c r="A144" s="102" t="s">
        <v>166</v>
      </c>
      <c r="B144" s="103"/>
      <c r="C144" s="103"/>
      <c r="D144" s="103"/>
      <c r="E144" s="103"/>
      <c r="F144" s="103"/>
      <c r="G144" s="103"/>
      <c r="H144" s="104"/>
      <c r="J144" s="31"/>
    </row>
    <row r="145" spans="1:14" s="2" customFormat="1" x14ac:dyDescent="0.35">
      <c r="A145" s="85">
        <v>1</v>
      </c>
      <c r="B145" s="86"/>
      <c r="C145" s="14" t="s">
        <v>167</v>
      </c>
      <c r="D145" s="14">
        <f>(3.65*7.8+1.2*1.8)*10.764</f>
        <v>329.70131999999995</v>
      </c>
      <c r="E145" s="14">
        <v>0</v>
      </c>
      <c r="F145" s="14">
        <v>645</v>
      </c>
      <c r="G145" s="85" t="str">
        <f>A144</f>
        <v>1st Floor for Commercial &amp; Parking</v>
      </c>
      <c r="H145" s="86"/>
      <c r="I145" s="31"/>
      <c r="L145" s="126"/>
      <c r="M145" s="126"/>
      <c r="N145" s="31"/>
    </row>
    <row r="146" spans="1:14" s="2" customFormat="1" x14ac:dyDescent="0.35">
      <c r="A146" s="85">
        <f t="shared" ref="A146:A181" si="4">A145+1</f>
        <v>2</v>
      </c>
      <c r="B146" s="86"/>
      <c r="C146" s="14" t="s">
        <v>167</v>
      </c>
      <c r="D146" s="14">
        <f t="shared" ref="D146:D161" si="5">(3.65*7.8+1.2*1.8)*10.764</f>
        <v>329.70131999999995</v>
      </c>
      <c r="E146" s="14">
        <v>0</v>
      </c>
      <c r="F146" s="14">
        <v>645</v>
      </c>
      <c r="G146" s="85" t="str">
        <f t="shared" ref="G146:G181" si="6">G145</f>
        <v>1st Floor for Commercial &amp; Parking</v>
      </c>
      <c r="H146" s="86"/>
      <c r="I146" s="31"/>
      <c r="L146" s="126"/>
      <c r="M146" s="126"/>
      <c r="N146" s="31"/>
    </row>
    <row r="147" spans="1:14" s="2" customFormat="1" x14ac:dyDescent="0.35">
      <c r="A147" s="85">
        <f t="shared" si="4"/>
        <v>3</v>
      </c>
      <c r="B147" s="86"/>
      <c r="C147" s="14" t="s">
        <v>167</v>
      </c>
      <c r="D147" s="14">
        <f t="shared" si="5"/>
        <v>329.70131999999995</v>
      </c>
      <c r="E147" s="14">
        <v>0</v>
      </c>
      <c r="F147" s="14">
        <v>645</v>
      </c>
      <c r="G147" s="85" t="str">
        <f t="shared" si="6"/>
        <v>1st Floor for Commercial &amp; Parking</v>
      </c>
      <c r="H147" s="86"/>
      <c r="I147" s="31"/>
      <c r="L147" s="126"/>
      <c r="M147" s="126"/>
      <c r="N147" s="31"/>
    </row>
    <row r="148" spans="1:14" s="2" customFormat="1" x14ac:dyDescent="0.35">
      <c r="A148" s="85">
        <f t="shared" si="4"/>
        <v>4</v>
      </c>
      <c r="B148" s="86"/>
      <c r="C148" s="14" t="s">
        <v>167</v>
      </c>
      <c r="D148" s="14">
        <f t="shared" si="5"/>
        <v>329.70131999999995</v>
      </c>
      <c r="E148" s="14">
        <v>0</v>
      </c>
      <c r="F148" s="14">
        <v>645</v>
      </c>
      <c r="G148" s="85" t="str">
        <f t="shared" si="6"/>
        <v>1st Floor for Commercial &amp; Parking</v>
      </c>
      <c r="H148" s="86"/>
      <c r="I148" s="31"/>
      <c r="L148" s="126"/>
      <c r="M148" s="126"/>
      <c r="N148" s="31"/>
    </row>
    <row r="149" spans="1:14" s="2" customFormat="1" x14ac:dyDescent="0.35">
      <c r="A149" s="85">
        <f t="shared" si="4"/>
        <v>5</v>
      </c>
      <c r="B149" s="86"/>
      <c r="C149" s="14" t="s">
        <v>167</v>
      </c>
      <c r="D149" s="14">
        <f t="shared" si="5"/>
        <v>329.70131999999995</v>
      </c>
      <c r="E149" s="14">
        <v>0</v>
      </c>
      <c r="F149" s="14">
        <v>645</v>
      </c>
      <c r="G149" s="85" t="str">
        <f t="shared" si="6"/>
        <v>1st Floor for Commercial &amp; Parking</v>
      </c>
      <c r="H149" s="86"/>
      <c r="I149" s="31"/>
      <c r="L149" s="126"/>
      <c r="M149" s="126"/>
      <c r="N149" s="31"/>
    </row>
    <row r="150" spans="1:14" s="2" customFormat="1" x14ac:dyDescent="0.35">
      <c r="A150" s="85">
        <f t="shared" si="4"/>
        <v>6</v>
      </c>
      <c r="B150" s="86"/>
      <c r="C150" s="14" t="s">
        <v>167</v>
      </c>
      <c r="D150" s="14">
        <f t="shared" si="5"/>
        <v>329.70131999999995</v>
      </c>
      <c r="E150" s="14">
        <v>0</v>
      </c>
      <c r="F150" s="14">
        <v>645</v>
      </c>
      <c r="G150" s="85" t="str">
        <f t="shared" si="6"/>
        <v>1st Floor for Commercial &amp; Parking</v>
      </c>
      <c r="H150" s="86"/>
      <c r="I150" s="31"/>
      <c r="L150" s="126"/>
      <c r="M150" s="126"/>
      <c r="N150" s="31"/>
    </row>
    <row r="151" spans="1:14" s="2" customFormat="1" x14ac:dyDescent="0.35">
      <c r="A151" s="85">
        <f t="shared" si="4"/>
        <v>7</v>
      </c>
      <c r="B151" s="86"/>
      <c r="C151" s="14" t="s">
        <v>167</v>
      </c>
      <c r="D151" s="14">
        <f t="shared" si="5"/>
        <v>329.70131999999995</v>
      </c>
      <c r="E151" s="14">
        <v>0</v>
      </c>
      <c r="F151" s="14">
        <v>645</v>
      </c>
      <c r="G151" s="85" t="str">
        <f t="shared" si="6"/>
        <v>1st Floor for Commercial &amp; Parking</v>
      </c>
      <c r="H151" s="86"/>
      <c r="I151" s="31"/>
      <c r="L151" s="126"/>
      <c r="M151" s="126"/>
      <c r="N151" s="31"/>
    </row>
    <row r="152" spans="1:14" s="2" customFormat="1" x14ac:dyDescent="0.35">
      <c r="A152" s="85">
        <v>8</v>
      </c>
      <c r="B152" s="86"/>
      <c r="C152" s="14" t="s">
        <v>167</v>
      </c>
      <c r="D152" s="14">
        <f t="shared" si="5"/>
        <v>329.70131999999995</v>
      </c>
      <c r="E152" s="14">
        <v>0</v>
      </c>
      <c r="F152" s="14">
        <v>645</v>
      </c>
      <c r="G152" s="85" t="str">
        <f>A144</f>
        <v>1st Floor for Commercial &amp; Parking</v>
      </c>
      <c r="H152" s="86"/>
      <c r="I152" s="31"/>
      <c r="L152" s="126"/>
      <c r="M152" s="126"/>
      <c r="N152" s="31"/>
    </row>
    <row r="153" spans="1:14" s="2" customFormat="1" x14ac:dyDescent="0.35">
      <c r="A153" s="85">
        <f t="shared" si="4"/>
        <v>9</v>
      </c>
      <c r="B153" s="86"/>
      <c r="C153" s="14" t="s">
        <v>167</v>
      </c>
      <c r="D153" s="14">
        <f t="shared" si="5"/>
        <v>329.70131999999995</v>
      </c>
      <c r="E153" s="14">
        <v>0</v>
      </c>
      <c r="F153" s="14">
        <v>645</v>
      </c>
      <c r="G153" s="85" t="str">
        <f t="shared" si="6"/>
        <v>1st Floor for Commercial &amp; Parking</v>
      </c>
      <c r="H153" s="86"/>
      <c r="I153" s="31"/>
      <c r="L153" s="126"/>
      <c r="M153" s="126"/>
      <c r="N153" s="31"/>
    </row>
    <row r="154" spans="1:14" s="2" customFormat="1" x14ac:dyDescent="0.35">
      <c r="A154" s="85">
        <f t="shared" si="4"/>
        <v>10</v>
      </c>
      <c r="B154" s="86"/>
      <c r="C154" s="14" t="s">
        <v>167</v>
      </c>
      <c r="D154" s="14">
        <f t="shared" si="5"/>
        <v>329.70131999999995</v>
      </c>
      <c r="E154" s="14">
        <v>0</v>
      </c>
      <c r="F154" s="14">
        <v>645</v>
      </c>
      <c r="G154" s="85" t="str">
        <f t="shared" si="6"/>
        <v>1st Floor for Commercial &amp; Parking</v>
      </c>
      <c r="H154" s="86"/>
      <c r="I154" s="31"/>
      <c r="L154" s="126"/>
      <c r="M154" s="126"/>
      <c r="N154" s="31"/>
    </row>
    <row r="155" spans="1:14" s="2" customFormat="1" x14ac:dyDescent="0.35">
      <c r="A155" s="85">
        <f t="shared" si="4"/>
        <v>11</v>
      </c>
      <c r="B155" s="86"/>
      <c r="C155" s="14" t="s">
        <v>167</v>
      </c>
      <c r="D155" s="14">
        <f t="shared" si="5"/>
        <v>329.70131999999995</v>
      </c>
      <c r="E155" s="14">
        <v>0</v>
      </c>
      <c r="F155" s="14">
        <v>645</v>
      </c>
      <c r="G155" s="85" t="str">
        <f t="shared" si="6"/>
        <v>1st Floor for Commercial &amp; Parking</v>
      </c>
      <c r="H155" s="86"/>
      <c r="I155" s="31"/>
      <c r="L155" s="126"/>
      <c r="M155" s="126"/>
      <c r="N155" s="31"/>
    </row>
    <row r="156" spans="1:14" s="2" customFormat="1" x14ac:dyDescent="0.35">
      <c r="A156" s="85">
        <f t="shared" si="4"/>
        <v>12</v>
      </c>
      <c r="B156" s="86"/>
      <c r="C156" s="14" t="s">
        <v>167</v>
      </c>
      <c r="D156" s="14">
        <f t="shared" si="5"/>
        <v>329.70131999999995</v>
      </c>
      <c r="E156" s="14">
        <v>0</v>
      </c>
      <c r="F156" s="14">
        <v>645</v>
      </c>
      <c r="G156" s="85" t="str">
        <f t="shared" si="6"/>
        <v>1st Floor for Commercial &amp; Parking</v>
      </c>
      <c r="H156" s="86"/>
      <c r="I156" s="31"/>
      <c r="L156" s="126"/>
      <c r="M156" s="126"/>
      <c r="N156" s="31"/>
    </row>
    <row r="157" spans="1:14" s="2" customFormat="1" x14ac:dyDescent="0.35">
      <c r="A157" s="85">
        <f t="shared" si="4"/>
        <v>13</v>
      </c>
      <c r="B157" s="86"/>
      <c r="C157" s="14" t="s">
        <v>167</v>
      </c>
      <c r="D157" s="14">
        <f t="shared" si="5"/>
        <v>329.70131999999995</v>
      </c>
      <c r="E157" s="14">
        <v>0</v>
      </c>
      <c r="F157" s="14">
        <v>645</v>
      </c>
      <c r="G157" s="85" t="str">
        <f t="shared" si="6"/>
        <v>1st Floor for Commercial &amp; Parking</v>
      </c>
      <c r="H157" s="86"/>
      <c r="I157" s="31"/>
      <c r="L157" s="126"/>
      <c r="M157" s="126"/>
      <c r="N157" s="31"/>
    </row>
    <row r="158" spans="1:14" s="2" customFormat="1" x14ac:dyDescent="0.35">
      <c r="A158" s="85">
        <f t="shared" si="4"/>
        <v>14</v>
      </c>
      <c r="B158" s="86"/>
      <c r="C158" s="14" t="s">
        <v>167</v>
      </c>
      <c r="D158" s="14">
        <f t="shared" si="5"/>
        <v>329.70131999999995</v>
      </c>
      <c r="E158" s="14">
        <v>0</v>
      </c>
      <c r="F158" s="14">
        <v>645</v>
      </c>
      <c r="G158" s="85" t="str">
        <f t="shared" si="6"/>
        <v>1st Floor for Commercial &amp; Parking</v>
      </c>
      <c r="H158" s="86"/>
      <c r="I158" s="31"/>
      <c r="L158" s="126"/>
      <c r="M158" s="126"/>
      <c r="N158" s="31"/>
    </row>
    <row r="159" spans="1:14" s="2" customFormat="1" x14ac:dyDescent="0.35">
      <c r="A159" s="85">
        <f t="shared" si="4"/>
        <v>15</v>
      </c>
      <c r="B159" s="86"/>
      <c r="C159" s="14" t="s">
        <v>167</v>
      </c>
      <c r="D159" s="14">
        <f t="shared" si="5"/>
        <v>329.70131999999995</v>
      </c>
      <c r="E159" s="14">
        <v>0</v>
      </c>
      <c r="F159" s="14">
        <v>645</v>
      </c>
      <c r="G159" s="85" t="str">
        <f t="shared" si="6"/>
        <v>1st Floor for Commercial &amp; Parking</v>
      </c>
      <c r="H159" s="86"/>
      <c r="I159" s="31"/>
      <c r="L159" s="126"/>
      <c r="M159" s="126"/>
      <c r="N159" s="31"/>
    </row>
    <row r="160" spans="1:14" s="2" customFormat="1" x14ac:dyDescent="0.35">
      <c r="A160" s="85">
        <f t="shared" si="4"/>
        <v>16</v>
      </c>
      <c r="B160" s="86"/>
      <c r="C160" s="14" t="s">
        <v>167</v>
      </c>
      <c r="D160" s="14">
        <f t="shared" si="5"/>
        <v>329.70131999999995</v>
      </c>
      <c r="E160" s="14">
        <v>0</v>
      </c>
      <c r="F160" s="14">
        <v>645</v>
      </c>
      <c r="G160" s="85" t="str">
        <f t="shared" si="6"/>
        <v>1st Floor for Commercial &amp; Parking</v>
      </c>
      <c r="H160" s="86"/>
      <c r="I160" s="31"/>
      <c r="L160" s="126"/>
      <c r="M160" s="126"/>
      <c r="N160" s="31"/>
    </row>
    <row r="161" spans="1:14" s="2" customFormat="1" x14ac:dyDescent="0.35">
      <c r="A161" s="85">
        <f t="shared" si="4"/>
        <v>17</v>
      </c>
      <c r="B161" s="86"/>
      <c r="C161" s="14" t="s">
        <v>167</v>
      </c>
      <c r="D161" s="14">
        <f t="shared" si="5"/>
        <v>329.70131999999995</v>
      </c>
      <c r="E161" s="14">
        <v>0</v>
      </c>
      <c r="F161" s="14">
        <v>645</v>
      </c>
      <c r="G161" s="85" t="str">
        <f t="shared" si="6"/>
        <v>1st Floor for Commercial &amp; Parking</v>
      </c>
      <c r="H161" s="86"/>
      <c r="I161" s="31">
        <v>645</v>
      </c>
      <c r="J161" s="2">
        <f>I161/D161</f>
        <v>1.9563160984614805</v>
      </c>
      <c r="L161" s="126"/>
      <c r="M161" s="126"/>
      <c r="N161" s="31"/>
    </row>
    <row r="162" spans="1:14" s="2" customFormat="1" x14ac:dyDescent="0.35">
      <c r="A162" s="85">
        <f t="shared" si="4"/>
        <v>18</v>
      </c>
      <c r="B162" s="86"/>
      <c r="C162" s="14" t="s">
        <v>167</v>
      </c>
      <c r="D162" s="14">
        <f>(3.65*7.2+1.2*1.8)*10.764</f>
        <v>306.12815999999998</v>
      </c>
      <c r="E162" s="14">
        <v>0</v>
      </c>
      <c r="F162" s="14">
        <v>600</v>
      </c>
      <c r="G162" s="85" t="str">
        <f t="shared" si="6"/>
        <v>1st Floor for Commercial &amp; Parking</v>
      </c>
      <c r="H162" s="86"/>
      <c r="I162" s="31">
        <v>600</v>
      </c>
      <c r="J162" s="2">
        <f>I162/D162</f>
        <v>1.9599634349221582</v>
      </c>
      <c r="L162" s="126"/>
      <c r="M162" s="126"/>
      <c r="N162" s="31"/>
    </row>
    <row r="163" spans="1:14" s="2" customFormat="1" x14ac:dyDescent="0.35">
      <c r="A163" s="85">
        <v>19</v>
      </c>
      <c r="B163" s="86"/>
      <c r="C163" s="14" t="s">
        <v>167</v>
      </c>
      <c r="D163" s="14">
        <f>(3.65*7.2+1.2*1.8)*10.764</f>
        <v>306.12815999999998</v>
      </c>
      <c r="E163" s="14">
        <v>0</v>
      </c>
      <c r="F163" s="14">
        <v>600</v>
      </c>
      <c r="G163" s="85" t="str">
        <f>A144</f>
        <v>1st Floor for Commercial &amp; Parking</v>
      </c>
      <c r="H163" s="86"/>
      <c r="I163" s="31"/>
      <c r="L163" s="126"/>
      <c r="M163" s="126"/>
      <c r="N163" s="31"/>
    </row>
    <row r="164" spans="1:14" s="2" customFormat="1" x14ac:dyDescent="0.35">
      <c r="A164" s="85">
        <f t="shared" si="4"/>
        <v>20</v>
      </c>
      <c r="B164" s="86"/>
      <c r="C164" s="14" t="s">
        <v>167</v>
      </c>
      <c r="D164" s="14">
        <f t="shared" ref="D164:D181" si="7">(3.65*7.8+1.2*1.8)*10.764</f>
        <v>329.70131999999995</v>
      </c>
      <c r="E164" s="14">
        <v>0</v>
      </c>
      <c r="F164" s="14">
        <v>645</v>
      </c>
      <c r="G164" s="85" t="str">
        <f t="shared" si="6"/>
        <v>1st Floor for Commercial &amp; Parking</v>
      </c>
      <c r="H164" s="86"/>
      <c r="I164" s="31"/>
      <c r="L164" s="126"/>
      <c r="M164" s="126"/>
      <c r="N164" s="31"/>
    </row>
    <row r="165" spans="1:14" s="2" customFormat="1" x14ac:dyDescent="0.35">
      <c r="A165" s="85">
        <f t="shared" si="4"/>
        <v>21</v>
      </c>
      <c r="B165" s="86"/>
      <c r="C165" s="14" t="s">
        <v>167</v>
      </c>
      <c r="D165" s="14">
        <f t="shared" si="7"/>
        <v>329.70131999999995</v>
      </c>
      <c r="E165" s="14">
        <v>0</v>
      </c>
      <c r="F165" s="14">
        <v>645</v>
      </c>
      <c r="G165" s="85" t="str">
        <f t="shared" si="6"/>
        <v>1st Floor for Commercial &amp; Parking</v>
      </c>
      <c r="H165" s="86"/>
      <c r="I165" s="31"/>
      <c r="L165" s="126"/>
      <c r="M165" s="126"/>
      <c r="N165" s="31"/>
    </row>
    <row r="166" spans="1:14" s="2" customFormat="1" x14ac:dyDescent="0.35">
      <c r="A166" s="85">
        <f t="shared" si="4"/>
        <v>22</v>
      </c>
      <c r="B166" s="86"/>
      <c r="C166" s="14" t="s">
        <v>167</v>
      </c>
      <c r="D166" s="14">
        <f t="shared" si="7"/>
        <v>329.70131999999995</v>
      </c>
      <c r="E166" s="14">
        <v>0</v>
      </c>
      <c r="F166" s="14">
        <v>645</v>
      </c>
      <c r="G166" s="85" t="str">
        <f t="shared" si="6"/>
        <v>1st Floor for Commercial &amp; Parking</v>
      </c>
      <c r="H166" s="86"/>
      <c r="I166" s="31"/>
      <c r="L166" s="126"/>
      <c r="M166" s="126"/>
      <c r="N166" s="31"/>
    </row>
    <row r="167" spans="1:14" s="2" customFormat="1" x14ac:dyDescent="0.35">
      <c r="A167" s="85">
        <f t="shared" si="4"/>
        <v>23</v>
      </c>
      <c r="B167" s="86"/>
      <c r="C167" s="14" t="s">
        <v>167</v>
      </c>
      <c r="D167" s="14">
        <f t="shared" si="7"/>
        <v>329.70131999999995</v>
      </c>
      <c r="E167" s="14">
        <v>0</v>
      </c>
      <c r="F167" s="14">
        <v>645</v>
      </c>
      <c r="G167" s="85" t="str">
        <f t="shared" si="6"/>
        <v>1st Floor for Commercial &amp; Parking</v>
      </c>
      <c r="H167" s="86"/>
      <c r="I167" s="31"/>
      <c r="L167" s="126"/>
      <c r="M167" s="126"/>
      <c r="N167" s="31"/>
    </row>
    <row r="168" spans="1:14" s="2" customFormat="1" x14ac:dyDescent="0.35">
      <c r="A168" s="85">
        <f t="shared" si="4"/>
        <v>24</v>
      </c>
      <c r="B168" s="86"/>
      <c r="C168" s="14" t="s">
        <v>167</v>
      </c>
      <c r="D168" s="14">
        <f t="shared" si="7"/>
        <v>329.70131999999995</v>
      </c>
      <c r="E168" s="14">
        <v>0</v>
      </c>
      <c r="F168" s="14">
        <v>645</v>
      </c>
      <c r="G168" s="85" t="str">
        <f t="shared" si="6"/>
        <v>1st Floor for Commercial &amp; Parking</v>
      </c>
      <c r="H168" s="86"/>
      <c r="I168" s="31"/>
      <c r="L168" s="126"/>
      <c r="M168" s="126"/>
      <c r="N168" s="31"/>
    </row>
    <row r="169" spans="1:14" s="2" customFormat="1" x14ac:dyDescent="0.35">
      <c r="A169" s="85">
        <f t="shared" si="4"/>
        <v>25</v>
      </c>
      <c r="B169" s="86"/>
      <c r="C169" s="14" t="s">
        <v>167</v>
      </c>
      <c r="D169" s="14">
        <f t="shared" si="7"/>
        <v>329.70131999999995</v>
      </c>
      <c r="E169" s="14">
        <v>0</v>
      </c>
      <c r="F169" s="14">
        <v>645</v>
      </c>
      <c r="G169" s="85" t="str">
        <f t="shared" si="6"/>
        <v>1st Floor for Commercial &amp; Parking</v>
      </c>
      <c r="H169" s="86"/>
      <c r="I169" s="31"/>
      <c r="L169" s="126"/>
      <c r="M169" s="126"/>
      <c r="N169" s="31"/>
    </row>
    <row r="170" spans="1:14" s="2" customFormat="1" x14ac:dyDescent="0.35">
      <c r="A170" s="85">
        <v>26</v>
      </c>
      <c r="B170" s="86"/>
      <c r="C170" s="14" t="s">
        <v>167</v>
      </c>
      <c r="D170" s="14">
        <f t="shared" si="7"/>
        <v>329.70131999999995</v>
      </c>
      <c r="E170" s="14">
        <v>0</v>
      </c>
      <c r="F170" s="14">
        <v>645</v>
      </c>
      <c r="G170" s="85" t="str">
        <f>A144</f>
        <v>1st Floor for Commercial &amp; Parking</v>
      </c>
      <c r="H170" s="86"/>
      <c r="I170" s="31"/>
      <c r="L170" s="126"/>
      <c r="M170" s="126"/>
      <c r="N170" s="31"/>
    </row>
    <row r="171" spans="1:14" s="2" customFormat="1" x14ac:dyDescent="0.35">
      <c r="A171" s="85">
        <f t="shared" si="4"/>
        <v>27</v>
      </c>
      <c r="B171" s="86"/>
      <c r="C171" s="14" t="s">
        <v>167</v>
      </c>
      <c r="D171" s="14">
        <f t="shared" si="7"/>
        <v>329.70131999999995</v>
      </c>
      <c r="E171" s="14">
        <v>0</v>
      </c>
      <c r="F171" s="14">
        <v>645</v>
      </c>
      <c r="G171" s="85" t="str">
        <f t="shared" si="6"/>
        <v>1st Floor for Commercial &amp; Parking</v>
      </c>
      <c r="H171" s="86"/>
      <c r="I171" s="31"/>
      <c r="L171" s="126"/>
      <c r="M171" s="126"/>
      <c r="N171" s="31"/>
    </row>
    <row r="172" spans="1:14" s="2" customFormat="1" x14ac:dyDescent="0.35">
      <c r="A172" s="85">
        <f t="shared" si="4"/>
        <v>28</v>
      </c>
      <c r="B172" s="86"/>
      <c r="C172" s="14" t="s">
        <v>167</v>
      </c>
      <c r="D172" s="14">
        <f t="shared" si="7"/>
        <v>329.70131999999995</v>
      </c>
      <c r="E172" s="14">
        <v>0</v>
      </c>
      <c r="F172" s="14">
        <v>645</v>
      </c>
      <c r="G172" s="85" t="str">
        <f t="shared" si="6"/>
        <v>1st Floor for Commercial &amp; Parking</v>
      </c>
      <c r="H172" s="86"/>
      <c r="I172" s="31"/>
      <c r="L172" s="126"/>
      <c r="M172" s="126"/>
      <c r="N172" s="31"/>
    </row>
    <row r="173" spans="1:14" s="2" customFormat="1" x14ac:dyDescent="0.35">
      <c r="A173" s="85">
        <f t="shared" si="4"/>
        <v>29</v>
      </c>
      <c r="B173" s="86"/>
      <c r="C173" s="14" t="s">
        <v>167</v>
      </c>
      <c r="D173" s="14">
        <f t="shared" si="7"/>
        <v>329.70131999999995</v>
      </c>
      <c r="E173" s="14">
        <v>0</v>
      </c>
      <c r="F173" s="14">
        <v>645</v>
      </c>
      <c r="G173" s="85" t="str">
        <f t="shared" si="6"/>
        <v>1st Floor for Commercial &amp; Parking</v>
      </c>
      <c r="H173" s="86"/>
      <c r="I173" s="31"/>
      <c r="L173" s="126"/>
      <c r="M173" s="126"/>
      <c r="N173" s="31"/>
    </row>
    <row r="174" spans="1:14" s="2" customFormat="1" x14ac:dyDescent="0.35">
      <c r="A174" s="85">
        <f t="shared" si="4"/>
        <v>30</v>
      </c>
      <c r="B174" s="86"/>
      <c r="C174" s="14" t="s">
        <v>167</v>
      </c>
      <c r="D174" s="14">
        <f t="shared" si="7"/>
        <v>329.70131999999995</v>
      </c>
      <c r="E174" s="14">
        <v>0</v>
      </c>
      <c r="F174" s="14">
        <v>645</v>
      </c>
      <c r="G174" s="85" t="str">
        <f t="shared" si="6"/>
        <v>1st Floor for Commercial &amp; Parking</v>
      </c>
      <c r="H174" s="86"/>
      <c r="I174" s="31"/>
      <c r="L174" s="126"/>
      <c r="M174" s="126"/>
      <c r="N174" s="31"/>
    </row>
    <row r="175" spans="1:14" s="2" customFormat="1" x14ac:dyDescent="0.35">
      <c r="A175" s="85">
        <f t="shared" si="4"/>
        <v>31</v>
      </c>
      <c r="B175" s="86"/>
      <c r="C175" s="14" t="s">
        <v>167</v>
      </c>
      <c r="D175" s="14">
        <f t="shared" si="7"/>
        <v>329.70131999999995</v>
      </c>
      <c r="E175" s="14">
        <v>0</v>
      </c>
      <c r="F175" s="14">
        <v>645</v>
      </c>
      <c r="G175" s="85" t="str">
        <f t="shared" si="6"/>
        <v>1st Floor for Commercial &amp; Parking</v>
      </c>
      <c r="H175" s="86"/>
      <c r="I175" s="31"/>
      <c r="L175" s="126"/>
      <c r="M175" s="126"/>
      <c r="N175" s="31"/>
    </row>
    <row r="176" spans="1:14" s="2" customFormat="1" x14ac:dyDescent="0.35">
      <c r="A176" s="85">
        <f t="shared" si="4"/>
        <v>32</v>
      </c>
      <c r="B176" s="86"/>
      <c r="C176" s="14" t="s">
        <v>167</v>
      </c>
      <c r="D176" s="14">
        <f t="shared" si="7"/>
        <v>329.70131999999995</v>
      </c>
      <c r="E176" s="14">
        <v>0</v>
      </c>
      <c r="F176" s="14">
        <v>645</v>
      </c>
      <c r="G176" s="85" t="str">
        <f t="shared" si="6"/>
        <v>1st Floor for Commercial &amp; Parking</v>
      </c>
      <c r="H176" s="86"/>
      <c r="I176" s="31"/>
      <c r="L176" s="126"/>
      <c r="M176" s="126"/>
      <c r="N176" s="31"/>
    </row>
    <row r="177" spans="1:14" s="2" customFormat="1" x14ac:dyDescent="0.35">
      <c r="A177" s="85">
        <f t="shared" si="4"/>
        <v>33</v>
      </c>
      <c r="B177" s="86"/>
      <c r="C177" s="14" t="s">
        <v>167</v>
      </c>
      <c r="D177" s="14">
        <f t="shared" si="7"/>
        <v>329.70131999999995</v>
      </c>
      <c r="E177" s="14">
        <v>0</v>
      </c>
      <c r="F177" s="14">
        <v>645</v>
      </c>
      <c r="G177" s="85" t="str">
        <f t="shared" si="6"/>
        <v>1st Floor for Commercial &amp; Parking</v>
      </c>
      <c r="H177" s="86"/>
      <c r="I177" s="31"/>
      <c r="L177" s="126"/>
      <c r="M177" s="126"/>
      <c r="N177" s="31"/>
    </row>
    <row r="178" spans="1:14" s="2" customFormat="1" x14ac:dyDescent="0.35">
      <c r="A178" s="85">
        <f t="shared" si="4"/>
        <v>34</v>
      </c>
      <c r="B178" s="86"/>
      <c r="C178" s="14" t="s">
        <v>167</v>
      </c>
      <c r="D178" s="14">
        <f t="shared" si="7"/>
        <v>329.70131999999995</v>
      </c>
      <c r="E178" s="14">
        <v>0</v>
      </c>
      <c r="F178" s="14">
        <v>645</v>
      </c>
      <c r="G178" s="85" t="str">
        <f t="shared" si="6"/>
        <v>1st Floor for Commercial &amp; Parking</v>
      </c>
      <c r="H178" s="86"/>
      <c r="I178" s="31"/>
      <c r="L178" s="126"/>
      <c r="M178" s="126"/>
      <c r="N178" s="31"/>
    </row>
    <row r="179" spans="1:14" s="2" customFormat="1" x14ac:dyDescent="0.35">
      <c r="A179" s="85">
        <f t="shared" si="4"/>
        <v>35</v>
      </c>
      <c r="B179" s="86"/>
      <c r="C179" s="14" t="s">
        <v>167</v>
      </c>
      <c r="D179" s="14">
        <f t="shared" si="7"/>
        <v>329.70131999999995</v>
      </c>
      <c r="E179" s="14">
        <v>0</v>
      </c>
      <c r="F179" s="14">
        <v>645</v>
      </c>
      <c r="G179" s="85" t="str">
        <f t="shared" si="6"/>
        <v>1st Floor for Commercial &amp; Parking</v>
      </c>
      <c r="H179" s="86"/>
      <c r="I179" s="31"/>
      <c r="L179" s="126"/>
      <c r="M179" s="126"/>
      <c r="N179" s="31"/>
    </row>
    <row r="180" spans="1:14" s="2" customFormat="1" x14ac:dyDescent="0.35">
      <c r="A180" s="85">
        <f t="shared" si="4"/>
        <v>36</v>
      </c>
      <c r="B180" s="86"/>
      <c r="C180" s="14" t="s">
        <v>167</v>
      </c>
      <c r="D180" s="14">
        <f t="shared" si="7"/>
        <v>329.70131999999995</v>
      </c>
      <c r="E180" s="14">
        <v>0</v>
      </c>
      <c r="F180" s="14">
        <v>645</v>
      </c>
      <c r="G180" s="85" t="str">
        <f t="shared" si="6"/>
        <v>1st Floor for Commercial &amp; Parking</v>
      </c>
      <c r="H180" s="86"/>
      <c r="I180" s="31"/>
      <c r="L180" s="126"/>
      <c r="M180" s="126"/>
      <c r="N180" s="31"/>
    </row>
    <row r="181" spans="1:14" s="2" customFormat="1" x14ac:dyDescent="0.35">
      <c r="A181" s="85">
        <f t="shared" si="4"/>
        <v>37</v>
      </c>
      <c r="B181" s="86"/>
      <c r="C181" s="14" t="s">
        <v>167</v>
      </c>
      <c r="D181" s="14">
        <f t="shared" si="7"/>
        <v>329.70131999999995</v>
      </c>
      <c r="E181" s="14">
        <v>0</v>
      </c>
      <c r="F181" s="14">
        <v>645</v>
      </c>
      <c r="G181" s="85" t="str">
        <f t="shared" si="6"/>
        <v>1st Floor for Commercial &amp; Parking</v>
      </c>
      <c r="H181" s="86"/>
      <c r="I181" s="31"/>
      <c r="L181" s="126"/>
      <c r="M181" s="126"/>
      <c r="N181" s="31"/>
    </row>
    <row r="182" spans="1:14" s="2" customFormat="1" x14ac:dyDescent="0.35">
      <c r="A182" s="102" t="s">
        <v>168</v>
      </c>
      <c r="B182" s="103"/>
      <c r="C182" s="103"/>
      <c r="D182" s="103"/>
      <c r="E182" s="103"/>
      <c r="F182" s="103"/>
      <c r="G182" s="103"/>
      <c r="H182" s="104"/>
      <c r="J182" s="31"/>
    </row>
    <row r="183" spans="1:14" s="2" customFormat="1" x14ac:dyDescent="0.35">
      <c r="A183" s="85">
        <v>1</v>
      </c>
      <c r="B183" s="86"/>
      <c r="C183" s="14" t="s">
        <v>167</v>
      </c>
      <c r="D183" s="14">
        <f>(3.65*7.8+1.2*1.8)*10.764</f>
        <v>329.70131999999995</v>
      </c>
      <c r="E183" s="14">
        <v>0</v>
      </c>
      <c r="F183" s="14">
        <v>645</v>
      </c>
      <c r="G183" s="85" t="str">
        <f>A182</f>
        <v>2nd Floor for Commercial &amp; Parking</v>
      </c>
      <c r="H183" s="86"/>
      <c r="I183" s="31"/>
      <c r="L183" s="126"/>
      <c r="M183" s="126"/>
      <c r="N183" s="31"/>
    </row>
    <row r="184" spans="1:14" s="2" customFormat="1" x14ac:dyDescent="0.35">
      <c r="A184" s="85">
        <f t="shared" ref="A184:A219" si="8">A183+1</f>
        <v>2</v>
      </c>
      <c r="B184" s="86"/>
      <c r="C184" s="14" t="s">
        <v>167</v>
      </c>
      <c r="D184" s="14">
        <f t="shared" ref="D184:D199" si="9">(3.65*7.8+1.2*1.8)*10.764</f>
        <v>329.70131999999995</v>
      </c>
      <c r="E184" s="14">
        <v>0</v>
      </c>
      <c r="F184" s="14">
        <v>645</v>
      </c>
      <c r="G184" s="85" t="str">
        <f t="shared" ref="G184:G219" si="10">G183</f>
        <v>2nd Floor for Commercial &amp; Parking</v>
      </c>
      <c r="H184" s="86"/>
      <c r="I184" s="31"/>
      <c r="L184" s="126"/>
      <c r="M184" s="126"/>
      <c r="N184" s="31"/>
    </row>
    <row r="185" spans="1:14" s="2" customFormat="1" x14ac:dyDescent="0.35">
      <c r="A185" s="85">
        <f t="shared" si="8"/>
        <v>3</v>
      </c>
      <c r="B185" s="86"/>
      <c r="C185" s="14" t="s">
        <v>167</v>
      </c>
      <c r="D185" s="14">
        <f t="shared" si="9"/>
        <v>329.70131999999995</v>
      </c>
      <c r="E185" s="14">
        <v>0</v>
      </c>
      <c r="F185" s="14">
        <v>645</v>
      </c>
      <c r="G185" s="85" t="str">
        <f t="shared" si="10"/>
        <v>2nd Floor for Commercial &amp; Parking</v>
      </c>
      <c r="H185" s="86"/>
      <c r="I185" s="31"/>
      <c r="L185" s="126"/>
      <c r="M185" s="126"/>
      <c r="N185" s="31"/>
    </row>
    <row r="186" spans="1:14" s="2" customFormat="1" x14ac:dyDescent="0.35">
      <c r="A186" s="85">
        <f t="shared" si="8"/>
        <v>4</v>
      </c>
      <c r="B186" s="86"/>
      <c r="C186" s="14" t="s">
        <v>167</v>
      </c>
      <c r="D186" s="14">
        <f t="shared" si="9"/>
        <v>329.70131999999995</v>
      </c>
      <c r="E186" s="14">
        <v>0</v>
      </c>
      <c r="F186" s="14">
        <v>645</v>
      </c>
      <c r="G186" s="85" t="str">
        <f t="shared" si="10"/>
        <v>2nd Floor for Commercial &amp; Parking</v>
      </c>
      <c r="H186" s="86"/>
      <c r="I186" s="31"/>
      <c r="L186" s="126"/>
      <c r="M186" s="126"/>
      <c r="N186" s="31"/>
    </row>
    <row r="187" spans="1:14" s="2" customFormat="1" x14ac:dyDescent="0.35">
      <c r="A187" s="85">
        <f t="shared" si="8"/>
        <v>5</v>
      </c>
      <c r="B187" s="86"/>
      <c r="C187" s="14" t="s">
        <v>167</v>
      </c>
      <c r="D187" s="14">
        <f t="shared" si="9"/>
        <v>329.70131999999995</v>
      </c>
      <c r="E187" s="14">
        <v>0</v>
      </c>
      <c r="F187" s="14">
        <v>645</v>
      </c>
      <c r="G187" s="85" t="str">
        <f t="shared" si="10"/>
        <v>2nd Floor for Commercial &amp; Parking</v>
      </c>
      <c r="H187" s="86"/>
      <c r="I187" s="31"/>
      <c r="L187" s="126"/>
      <c r="M187" s="126"/>
      <c r="N187" s="31"/>
    </row>
    <row r="188" spans="1:14" s="2" customFormat="1" x14ac:dyDescent="0.35">
      <c r="A188" s="85">
        <f t="shared" si="8"/>
        <v>6</v>
      </c>
      <c r="B188" s="86"/>
      <c r="C188" s="14" t="s">
        <v>167</v>
      </c>
      <c r="D188" s="14">
        <f t="shared" si="9"/>
        <v>329.70131999999995</v>
      </c>
      <c r="E188" s="14">
        <v>0</v>
      </c>
      <c r="F188" s="14">
        <v>645</v>
      </c>
      <c r="G188" s="85" t="str">
        <f t="shared" si="10"/>
        <v>2nd Floor for Commercial &amp; Parking</v>
      </c>
      <c r="H188" s="86"/>
      <c r="I188" s="31"/>
      <c r="L188" s="126"/>
      <c r="M188" s="126"/>
      <c r="N188" s="31"/>
    </row>
    <row r="189" spans="1:14" s="2" customFormat="1" x14ac:dyDescent="0.35">
      <c r="A189" s="85">
        <f t="shared" si="8"/>
        <v>7</v>
      </c>
      <c r="B189" s="86"/>
      <c r="C189" s="14" t="s">
        <v>167</v>
      </c>
      <c r="D189" s="14">
        <f t="shared" si="9"/>
        <v>329.70131999999995</v>
      </c>
      <c r="E189" s="14">
        <v>0</v>
      </c>
      <c r="F189" s="14">
        <v>645</v>
      </c>
      <c r="G189" s="85" t="str">
        <f t="shared" si="10"/>
        <v>2nd Floor for Commercial &amp; Parking</v>
      </c>
      <c r="H189" s="86"/>
      <c r="I189" s="31"/>
      <c r="L189" s="126"/>
      <c r="M189" s="126"/>
      <c r="N189" s="31"/>
    </row>
    <row r="190" spans="1:14" s="2" customFormat="1" x14ac:dyDescent="0.35">
      <c r="A190" s="85">
        <v>8</v>
      </c>
      <c r="B190" s="86"/>
      <c r="C190" s="14" t="s">
        <v>167</v>
      </c>
      <c r="D190" s="14">
        <f t="shared" si="9"/>
        <v>329.70131999999995</v>
      </c>
      <c r="E190" s="14">
        <v>0</v>
      </c>
      <c r="F190" s="14">
        <v>645</v>
      </c>
      <c r="G190" s="85" t="str">
        <f>A182</f>
        <v>2nd Floor for Commercial &amp; Parking</v>
      </c>
      <c r="H190" s="86"/>
      <c r="I190" s="31"/>
      <c r="L190" s="126"/>
      <c r="M190" s="126"/>
      <c r="N190" s="31"/>
    </row>
    <row r="191" spans="1:14" s="2" customFormat="1" x14ac:dyDescent="0.35">
      <c r="A191" s="85">
        <f t="shared" si="8"/>
        <v>9</v>
      </c>
      <c r="B191" s="86"/>
      <c r="C191" s="14" t="s">
        <v>167</v>
      </c>
      <c r="D191" s="14">
        <f t="shared" si="9"/>
        <v>329.70131999999995</v>
      </c>
      <c r="E191" s="14">
        <v>0</v>
      </c>
      <c r="F191" s="14">
        <v>645</v>
      </c>
      <c r="G191" s="85" t="str">
        <f t="shared" si="10"/>
        <v>2nd Floor for Commercial &amp; Parking</v>
      </c>
      <c r="H191" s="86"/>
      <c r="I191" s="31"/>
      <c r="L191" s="126"/>
      <c r="M191" s="126"/>
      <c r="N191" s="31"/>
    </row>
    <row r="192" spans="1:14" s="2" customFormat="1" x14ac:dyDescent="0.35">
      <c r="A192" s="85">
        <f t="shared" si="8"/>
        <v>10</v>
      </c>
      <c r="B192" s="86"/>
      <c r="C192" s="14" t="s">
        <v>167</v>
      </c>
      <c r="D192" s="14">
        <f t="shared" si="9"/>
        <v>329.70131999999995</v>
      </c>
      <c r="E192" s="14">
        <v>0</v>
      </c>
      <c r="F192" s="14">
        <v>645</v>
      </c>
      <c r="G192" s="85" t="str">
        <f t="shared" si="10"/>
        <v>2nd Floor for Commercial &amp; Parking</v>
      </c>
      <c r="H192" s="86"/>
      <c r="I192" s="31"/>
      <c r="L192" s="126"/>
      <c r="M192" s="126"/>
      <c r="N192" s="31"/>
    </row>
    <row r="193" spans="1:14" s="2" customFormat="1" x14ac:dyDescent="0.35">
      <c r="A193" s="85">
        <f t="shared" si="8"/>
        <v>11</v>
      </c>
      <c r="B193" s="86"/>
      <c r="C193" s="14" t="s">
        <v>167</v>
      </c>
      <c r="D193" s="14">
        <f t="shared" si="9"/>
        <v>329.70131999999995</v>
      </c>
      <c r="E193" s="14">
        <v>0</v>
      </c>
      <c r="F193" s="14">
        <v>645</v>
      </c>
      <c r="G193" s="85" t="str">
        <f t="shared" si="10"/>
        <v>2nd Floor for Commercial &amp; Parking</v>
      </c>
      <c r="H193" s="86"/>
      <c r="I193" s="31"/>
      <c r="L193" s="126"/>
      <c r="M193" s="126"/>
      <c r="N193" s="31"/>
    </row>
    <row r="194" spans="1:14" s="2" customFormat="1" x14ac:dyDescent="0.35">
      <c r="A194" s="85">
        <f t="shared" si="8"/>
        <v>12</v>
      </c>
      <c r="B194" s="86"/>
      <c r="C194" s="14" t="s">
        <v>167</v>
      </c>
      <c r="D194" s="14">
        <f t="shared" si="9"/>
        <v>329.70131999999995</v>
      </c>
      <c r="E194" s="14">
        <v>0</v>
      </c>
      <c r="F194" s="14">
        <v>645</v>
      </c>
      <c r="G194" s="85" t="str">
        <f t="shared" si="10"/>
        <v>2nd Floor for Commercial &amp; Parking</v>
      </c>
      <c r="H194" s="86"/>
      <c r="I194" s="31"/>
      <c r="L194" s="126"/>
      <c r="M194" s="126"/>
      <c r="N194" s="31"/>
    </row>
    <row r="195" spans="1:14" s="2" customFormat="1" x14ac:dyDescent="0.35">
      <c r="A195" s="85">
        <f t="shared" si="8"/>
        <v>13</v>
      </c>
      <c r="B195" s="86"/>
      <c r="C195" s="14" t="s">
        <v>167</v>
      </c>
      <c r="D195" s="14">
        <f t="shared" si="9"/>
        <v>329.70131999999995</v>
      </c>
      <c r="E195" s="14">
        <v>0</v>
      </c>
      <c r="F195" s="14">
        <v>645</v>
      </c>
      <c r="G195" s="85" t="str">
        <f t="shared" si="10"/>
        <v>2nd Floor for Commercial &amp; Parking</v>
      </c>
      <c r="H195" s="86"/>
      <c r="I195" s="31"/>
      <c r="L195" s="126"/>
      <c r="M195" s="126"/>
      <c r="N195" s="31"/>
    </row>
    <row r="196" spans="1:14" s="2" customFormat="1" x14ac:dyDescent="0.35">
      <c r="A196" s="85">
        <f t="shared" si="8"/>
        <v>14</v>
      </c>
      <c r="B196" s="86"/>
      <c r="C196" s="14" t="s">
        <v>167</v>
      </c>
      <c r="D196" s="14">
        <f t="shared" si="9"/>
        <v>329.70131999999995</v>
      </c>
      <c r="E196" s="14">
        <v>0</v>
      </c>
      <c r="F196" s="14">
        <v>645</v>
      </c>
      <c r="G196" s="85" t="str">
        <f t="shared" si="10"/>
        <v>2nd Floor for Commercial &amp; Parking</v>
      </c>
      <c r="H196" s="86"/>
      <c r="I196" s="31"/>
      <c r="L196" s="126"/>
      <c r="M196" s="126"/>
      <c r="N196" s="31"/>
    </row>
    <row r="197" spans="1:14" s="2" customFormat="1" x14ac:dyDescent="0.35">
      <c r="A197" s="85">
        <f t="shared" si="8"/>
        <v>15</v>
      </c>
      <c r="B197" s="86"/>
      <c r="C197" s="14" t="s">
        <v>167</v>
      </c>
      <c r="D197" s="14">
        <f t="shared" si="9"/>
        <v>329.70131999999995</v>
      </c>
      <c r="E197" s="14">
        <v>0</v>
      </c>
      <c r="F197" s="14">
        <v>645</v>
      </c>
      <c r="G197" s="85" t="str">
        <f t="shared" si="10"/>
        <v>2nd Floor for Commercial &amp; Parking</v>
      </c>
      <c r="H197" s="86"/>
      <c r="I197" s="31"/>
      <c r="L197" s="126"/>
      <c r="M197" s="126"/>
      <c r="N197" s="31"/>
    </row>
    <row r="198" spans="1:14" s="2" customFormat="1" x14ac:dyDescent="0.35">
      <c r="A198" s="85">
        <f t="shared" si="8"/>
        <v>16</v>
      </c>
      <c r="B198" s="86"/>
      <c r="C198" s="14" t="s">
        <v>167</v>
      </c>
      <c r="D198" s="14">
        <f t="shared" si="9"/>
        <v>329.70131999999995</v>
      </c>
      <c r="E198" s="14">
        <v>0</v>
      </c>
      <c r="F198" s="14">
        <v>645</v>
      </c>
      <c r="G198" s="85" t="str">
        <f t="shared" si="10"/>
        <v>2nd Floor for Commercial &amp; Parking</v>
      </c>
      <c r="H198" s="86"/>
      <c r="I198" s="31"/>
      <c r="L198" s="126"/>
      <c r="M198" s="126"/>
      <c r="N198" s="31"/>
    </row>
    <row r="199" spans="1:14" s="2" customFormat="1" x14ac:dyDescent="0.35">
      <c r="A199" s="85">
        <f t="shared" si="8"/>
        <v>17</v>
      </c>
      <c r="B199" s="86"/>
      <c r="C199" s="14" t="s">
        <v>167</v>
      </c>
      <c r="D199" s="14">
        <f t="shared" si="9"/>
        <v>329.70131999999995</v>
      </c>
      <c r="E199" s="14">
        <v>0</v>
      </c>
      <c r="F199" s="14">
        <v>645</v>
      </c>
      <c r="G199" s="85" t="str">
        <f t="shared" si="10"/>
        <v>2nd Floor for Commercial &amp; Parking</v>
      </c>
      <c r="H199" s="86"/>
      <c r="I199" s="31"/>
      <c r="L199" s="126"/>
      <c r="M199" s="126"/>
      <c r="N199" s="31"/>
    </row>
    <row r="200" spans="1:14" s="2" customFormat="1" x14ac:dyDescent="0.35">
      <c r="A200" s="85">
        <f t="shared" si="8"/>
        <v>18</v>
      </c>
      <c r="B200" s="86"/>
      <c r="C200" s="14" t="s">
        <v>167</v>
      </c>
      <c r="D200" s="14">
        <f>(3.65*7.2+1.2*1.8)*10.764</f>
        <v>306.12815999999998</v>
      </c>
      <c r="E200" s="14">
        <v>0</v>
      </c>
      <c r="F200" s="14">
        <v>600</v>
      </c>
      <c r="G200" s="85" t="str">
        <f t="shared" si="10"/>
        <v>2nd Floor for Commercial &amp; Parking</v>
      </c>
      <c r="H200" s="86"/>
      <c r="I200" s="31"/>
      <c r="L200" s="126"/>
      <c r="M200" s="126"/>
      <c r="N200" s="31"/>
    </row>
    <row r="201" spans="1:14" s="2" customFormat="1" x14ac:dyDescent="0.35">
      <c r="A201" s="85">
        <v>19</v>
      </c>
      <c r="B201" s="86"/>
      <c r="C201" s="14" t="s">
        <v>167</v>
      </c>
      <c r="D201" s="14">
        <f>(3.65*7.2+1.2*1.8)*10.764</f>
        <v>306.12815999999998</v>
      </c>
      <c r="E201" s="14">
        <v>0</v>
      </c>
      <c r="F201" s="14">
        <v>600</v>
      </c>
      <c r="G201" s="85" t="str">
        <f>A182</f>
        <v>2nd Floor for Commercial &amp; Parking</v>
      </c>
      <c r="H201" s="86"/>
      <c r="I201" s="31"/>
      <c r="L201" s="126"/>
      <c r="M201" s="126"/>
      <c r="N201" s="31"/>
    </row>
    <row r="202" spans="1:14" s="2" customFormat="1" x14ac:dyDescent="0.35">
      <c r="A202" s="85">
        <f t="shared" si="8"/>
        <v>20</v>
      </c>
      <c r="B202" s="86"/>
      <c r="C202" s="14" t="s">
        <v>167</v>
      </c>
      <c r="D202" s="14">
        <f t="shared" ref="D202:D219" si="11">(3.65*7.8+1.2*1.8)*10.764</f>
        <v>329.70131999999995</v>
      </c>
      <c r="E202" s="14">
        <v>0</v>
      </c>
      <c r="F202" s="14">
        <v>645</v>
      </c>
      <c r="G202" s="85" t="str">
        <f t="shared" si="10"/>
        <v>2nd Floor for Commercial &amp; Parking</v>
      </c>
      <c r="H202" s="86"/>
      <c r="I202" s="31"/>
      <c r="L202" s="126"/>
      <c r="M202" s="126"/>
      <c r="N202" s="31"/>
    </row>
    <row r="203" spans="1:14" s="2" customFormat="1" x14ac:dyDescent="0.35">
      <c r="A203" s="85">
        <f t="shared" si="8"/>
        <v>21</v>
      </c>
      <c r="B203" s="86"/>
      <c r="C203" s="14" t="s">
        <v>167</v>
      </c>
      <c r="D203" s="14">
        <f t="shared" si="11"/>
        <v>329.70131999999995</v>
      </c>
      <c r="E203" s="14">
        <v>0</v>
      </c>
      <c r="F203" s="14">
        <v>645</v>
      </c>
      <c r="G203" s="85" t="str">
        <f t="shared" si="10"/>
        <v>2nd Floor for Commercial &amp; Parking</v>
      </c>
      <c r="H203" s="86"/>
      <c r="I203" s="31"/>
      <c r="L203" s="126"/>
      <c r="M203" s="126"/>
      <c r="N203" s="31"/>
    </row>
    <row r="204" spans="1:14" s="2" customFormat="1" x14ac:dyDescent="0.35">
      <c r="A204" s="85">
        <f t="shared" si="8"/>
        <v>22</v>
      </c>
      <c r="B204" s="86"/>
      <c r="C204" s="14" t="s">
        <v>167</v>
      </c>
      <c r="D204" s="14">
        <f t="shared" si="11"/>
        <v>329.70131999999995</v>
      </c>
      <c r="E204" s="14">
        <v>0</v>
      </c>
      <c r="F204" s="14">
        <v>645</v>
      </c>
      <c r="G204" s="85" t="str">
        <f t="shared" si="10"/>
        <v>2nd Floor for Commercial &amp; Parking</v>
      </c>
      <c r="H204" s="86"/>
      <c r="I204" s="31"/>
      <c r="L204" s="126"/>
      <c r="M204" s="126"/>
      <c r="N204" s="31"/>
    </row>
    <row r="205" spans="1:14" s="2" customFormat="1" x14ac:dyDescent="0.35">
      <c r="A205" s="85">
        <f t="shared" si="8"/>
        <v>23</v>
      </c>
      <c r="B205" s="86"/>
      <c r="C205" s="14" t="s">
        <v>167</v>
      </c>
      <c r="D205" s="14">
        <f t="shared" si="11"/>
        <v>329.70131999999995</v>
      </c>
      <c r="E205" s="14">
        <v>0</v>
      </c>
      <c r="F205" s="14">
        <v>645</v>
      </c>
      <c r="G205" s="85" t="str">
        <f t="shared" si="10"/>
        <v>2nd Floor for Commercial &amp; Parking</v>
      </c>
      <c r="H205" s="86"/>
      <c r="I205" s="31"/>
      <c r="L205" s="126"/>
      <c r="M205" s="126"/>
      <c r="N205" s="31"/>
    </row>
    <row r="206" spans="1:14" s="2" customFormat="1" x14ac:dyDescent="0.35">
      <c r="A206" s="85">
        <f t="shared" si="8"/>
        <v>24</v>
      </c>
      <c r="B206" s="86"/>
      <c r="C206" s="14" t="s">
        <v>167</v>
      </c>
      <c r="D206" s="14">
        <f t="shared" si="11"/>
        <v>329.70131999999995</v>
      </c>
      <c r="E206" s="14">
        <v>0</v>
      </c>
      <c r="F206" s="14">
        <v>645</v>
      </c>
      <c r="G206" s="85" t="str">
        <f t="shared" si="10"/>
        <v>2nd Floor for Commercial &amp; Parking</v>
      </c>
      <c r="H206" s="86"/>
      <c r="I206" s="31"/>
      <c r="L206" s="126"/>
      <c r="M206" s="126"/>
      <c r="N206" s="31"/>
    </row>
    <row r="207" spans="1:14" s="2" customFormat="1" x14ac:dyDescent="0.35">
      <c r="A207" s="85">
        <f t="shared" si="8"/>
        <v>25</v>
      </c>
      <c r="B207" s="86"/>
      <c r="C207" s="14" t="s">
        <v>167</v>
      </c>
      <c r="D207" s="14">
        <f t="shared" si="11"/>
        <v>329.70131999999995</v>
      </c>
      <c r="E207" s="14">
        <v>0</v>
      </c>
      <c r="F207" s="14">
        <v>645</v>
      </c>
      <c r="G207" s="85" t="str">
        <f t="shared" si="10"/>
        <v>2nd Floor for Commercial &amp; Parking</v>
      </c>
      <c r="H207" s="86"/>
      <c r="I207" s="31"/>
      <c r="L207" s="126"/>
      <c r="M207" s="126"/>
      <c r="N207" s="31"/>
    </row>
    <row r="208" spans="1:14" s="2" customFormat="1" x14ac:dyDescent="0.35">
      <c r="A208" s="85">
        <v>26</v>
      </c>
      <c r="B208" s="86"/>
      <c r="C208" s="14" t="s">
        <v>167</v>
      </c>
      <c r="D208" s="14">
        <f t="shared" si="11"/>
        <v>329.70131999999995</v>
      </c>
      <c r="E208" s="14">
        <v>0</v>
      </c>
      <c r="F208" s="14">
        <v>645</v>
      </c>
      <c r="G208" s="85" t="str">
        <f>A182</f>
        <v>2nd Floor for Commercial &amp; Parking</v>
      </c>
      <c r="H208" s="86"/>
      <c r="I208" s="31"/>
      <c r="L208" s="126"/>
      <c r="M208" s="126"/>
      <c r="N208" s="31"/>
    </row>
    <row r="209" spans="1:14" s="2" customFormat="1" x14ac:dyDescent="0.35">
      <c r="A209" s="85">
        <f t="shared" si="8"/>
        <v>27</v>
      </c>
      <c r="B209" s="86"/>
      <c r="C209" s="14" t="s">
        <v>167</v>
      </c>
      <c r="D209" s="14">
        <f t="shared" si="11"/>
        <v>329.70131999999995</v>
      </c>
      <c r="E209" s="14">
        <v>0</v>
      </c>
      <c r="F209" s="14">
        <v>645</v>
      </c>
      <c r="G209" s="85" t="str">
        <f t="shared" si="10"/>
        <v>2nd Floor for Commercial &amp; Parking</v>
      </c>
      <c r="H209" s="86"/>
      <c r="I209" s="31"/>
      <c r="L209" s="126"/>
      <c r="M209" s="126"/>
      <c r="N209" s="31"/>
    </row>
    <row r="210" spans="1:14" s="2" customFormat="1" x14ac:dyDescent="0.35">
      <c r="A210" s="85">
        <f t="shared" si="8"/>
        <v>28</v>
      </c>
      <c r="B210" s="86"/>
      <c r="C210" s="14" t="s">
        <v>167</v>
      </c>
      <c r="D210" s="14">
        <f t="shared" si="11"/>
        <v>329.70131999999995</v>
      </c>
      <c r="E210" s="14">
        <v>0</v>
      </c>
      <c r="F210" s="14">
        <v>645</v>
      </c>
      <c r="G210" s="85" t="str">
        <f t="shared" si="10"/>
        <v>2nd Floor for Commercial &amp; Parking</v>
      </c>
      <c r="H210" s="86"/>
      <c r="I210" s="31"/>
      <c r="L210" s="126"/>
      <c r="M210" s="126"/>
      <c r="N210" s="31"/>
    </row>
    <row r="211" spans="1:14" s="2" customFormat="1" x14ac:dyDescent="0.35">
      <c r="A211" s="85">
        <f t="shared" si="8"/>
        <v>29</v>
      </c>
      <c r="B211" s="86"/>
      <c r="C211" s="14" t="s">
        <v>167</v>
      </c>
      <c r="D211" s="14">
        <f t="shared" si="11"/>
        <v>329.70131999999995</v>
      </c>
      <c r="E211" s="14">
        <v>0</v>
      </c>
      <c r="F211" s="14">
        <v>645</v>
      </c>
      <c r="G211" s="85" t="str">
        <f t="shared" si="10"/>
        <v>2nd Floor for Commercial &amp; Parking</v>
      </c>
      <c r="H211" s="86"/>
      <c r="I211" s="31"/>
      <c r="L211" s="126"/>
      <c r="M211" s="126"/>
      <c r="N211" s="31"/>
    </row>
    <row r="212" spans="1:14" s="2" customFormat="1" x14ac:dyDescent="0.35">
      <c r="A212" s="85">
        <f t="shared" si="8"/>
        <v>30</v>
      </c>
      <c r="B212" s="86"/>
      <c r="C212" s="14" t="s">
        <v>167</v>
      </c>
      <c r="D212" s="14">
        <f t="shared" si="11"/>
        <v>329.70131999999995</v>
      </c>
      <c r="E212" s="14">
        <v>0</v>
      </c>
      <c r="F212" s="14">
        <v>645</v>
      </c>
      <c r="G212" s="85" t="str">
        <f t="shared" si="10"/>
        <v>2nd Floor for Commercial &amp; Parking</v>
      </c>
      <c r="H212" s="86"/>
      <c r="I212" s="31"/>
      <c r="L212" s="126"/>
      <c r="M212" s="126"/>
      <c r="N212" s="31"/>
    </row>
    <row r="213" spans="1:14" s="2" customFormat="1" x14ac:dyDescent="0.35">
      <c r="A213" s="85">
        <f t="shared" si="8"/>
        <v>31</v>
      </c>
      <c r="B213" s="86"/>
      <c r="C213" s="14" t="s">
        <v>167</v>
      </c>
      <c r="D213" s="14">
        <f t="shared" si="11"/>
        <v>329.70131999999995</v>
      </c>
      <c r="E213" s="14">
        <v>0</v>
      </c>
      <c r="F213" s="14">
        <v>645</v>
      </c>
      <c r="G213" s="85" t="str">
        <f t="shared" si="10"/>
        <v>2nd Floor for Commercial &amp; Parking</v>
      </c>
      <c r="H213" s="86"/>
      <c r="I213" s="31"/>
      <c r="L213" s="126"/>
      <c r="M213" s="126"/>
      <c r="N213" s="31"/>
    </row>
    <row r="214" spans="1:14" s="2" customFormat="1" x14ac:dyDescent="0.35">
      <c r="A214" s="85">
        <f t="shared" si="8"/>
        <v>32</v>
      </c>
      <c r="B214" s="86"/>
      <c r="C214" s="14" t="s">
        <v>167</v>
      </c>
      <c r="D214" s="14">
        <f t="shared" si="11"/>
        <v>329.70131999999995</v>
      </c>
      <c r="E214" s="14">
        <v>0</v>
      </c>
      <c r="F214" s="14">
        <v>645</v>
      </c>
      <c r="G214" s="85" t="str">
        <f t="shared" si="10"/>
        <v>2nd Floor for Commercial &amp; Parking</v>
      </c>
      <c r="H214" s="86"/>
      <c r="I214" s="31"/>
      <c r="L214" s="126"/>
      <c r="M214" s="126"/>
      <c r="N214" s="31"/>
    </row>
    <row r="215" spans="1:14" s="2" customFormat="1" x14ac:dyDescent="0.35">
      <c r="A215" s="85">
        <f t="shared" si="8"/>
        <v>33</v>
      </c>
      <c r="B215" s="86"/>
      <c r="C215" s="14" t="s">
        <v>167</v>
      </c>
      <c r="D215" s="14">
        <f t="shared" si="11"/>
        <v>329.70131999999995</v>
      </c>
      <c r="E215" s="14">
        <v>0</v>
      </c>
      <c r="F215" s="14">
        <v>645</v>
      </c>
      <c r="G215" s="85" t="str">
        <f t="shared" si="10"/>
        <v>2nd Floor for Commercial &amp; Parking</v>
      </c>
      <c r="H215" s="86"/>
      <c r="I215" s="31"/>
      <c r="L215" s="126"/>
      <c r="M215" s="126"/>
      <c r="N215" s="31"/>
    </row>
    <row r="216" spans="1:14" s="2" customFormat="1" x14ac:dyDescent="0.35">
      <c r="A216" s="85">
        <f t="shared" si="8"/>
        <v>34</v>
      </c>
      <c r="B216" s="86"/>
      <c r="C216" s="14" t="s">
        <v>167</v>
      </c>
      <c r="D216" s="14">
        <f t="shared" si="11"/>
        <v>329.70131999999995</v>
      </c>
      <c r="E216" s="14">
        <v>0</v>
      </c>
      <c r="F216" s="14">
        <v>645</v>
      </c>
      <c r="G216" s="85" t="str">
        <f t="shared" si="10"/>
        <v>2nd Floor for Commercial &amp; Parking</v>
      </c>
      <c r="H216" s="86"/>
      <c r="I216" s="31"/>
      <c r="L216" s="126"/>
      <c r="M216" s="126"/>
      <c r="N216" s="31"/>
    </row>
    <row r="217" spans="1:14" s="2" customFormat="1" x14ac:dyDescent="0.35">
      <c r="A217" s="85">
        <f t="shared" si="8"/>
        <v>35</v>
      </c>
      <c r="B217" s="86"/>
      <c r="C217" s="14" t="s">
        <v>167</v>
      </c>
      <c r="D217" s="14">
        <f t="shared" si="11"/>
        <v>329.70131999999995</v>
      </c>
      <c r="E217" s="14">
        <v>0</v>
      </c>
      <c r="F217" s="14">
        <v>645</v>
      </c>
      <c r="G217" s="85" t="str">
        <f t="shared" si="10"/>
        <v>2nd Floor for Commercial &amp; Parking</v>
      </c>
      <c r="H217" s="86"/>
      <c r="I217" s="31"/>
      <c r="L217" s="126"/>
      <c r="M217" s="126"/>
      <c r="N217" s="31"/>
    </row>
    <row r="218" spans="1:14" s="2" customFormat="1" x14ac:dyDescent="0.35">
      <c r="A218" s="85">
        <f t="shared" si="8"/>
        <v>36</v>
      </c>
      <c r="B218" s="86"/>
      <c r="C218" s="14" t="s">
        <v>167</v>
      </c>
      <c r="D218" s="14">
        <f t="shared" si="11"/>
        <v>329.70131999999995</v>
      </c>
      <c r="E218" s="14">
        <v>0</v>
      </c>
      <c r="F218" s="14">
        <v>645</v>
      </c>
      <c r="G218" s="85" t="str">
        <f t="shared" si="10"/>
        <v>2nd Floor for Commercial &amp; Parking</v>
      </c>
      <c r="H218" s="86"/>
      <c r="I218" s="31"/>
      <c r="L218" s="126"/>
      <c r="M218" s="126"/>
      <c r="N218" s="31"/>
    </row>
    <row r="219" spans="1:14" s="2" customFormat="1" x14ac:dyDescent="0.35">
      <c r="A219" s="85">
        <f t="shared" si="8"/>
        <v>37</v>
      </c>
      <c r="B219" s="86"/>
      <c r="C219" s="14" t="s">
        <v>167</v>
      </c>
      <c r="D219" s="14">
        <f t="shared" si="11"/>
        <v>329.70131999999995</v>
      </c>
      <c r="E219" s="14">
        <v>0</v>
      </c>
      <c r="F219" s="14">
        <v>645</v>
      </c>
      <c r="G219" s="85" t="str">
        <f t="shared" si="10"/>
        <v>2nd Floor for Commercial &amp; Parking</v>
      </c>
      <c r="H219" s="86"/>
      <c r="I219" s="31"/>
      <c r="L219" s="126"/>
      <c r="M219" s="126"/>
      <c r="N219" s="31"/>
    </row>
    <row r="220" spans="1:14" s="2" customFormat="1" x14ac:dyDescent="0.35">
      <c r="A220" s="85"/>
      <c r="B220" s="166"/>
      <c r="C220" s="166"/>
      <c r="D220" s="166"/>
      <c r="E220" s="166"/>
      <c r="F220" s="166"/>
      <c r="G220" s="166"/>
      <c r="H220" s="86"/>
      <c r="I220" s="31"/>
      <c r="N220" s="31"/>
    </row>
    <row r="221" spans="1:14" ht="47.25" customHeight="1" x14ac:dyDescent="0.35">
      <c r="A221" s="55" t="s">
        <v>131</v>
      </c>
      <c r="B221" s="55" t="s">
        <v>132</v>
      </c>
      <c r="C221" s="30" t="s">
        <v>63</v>
      </c>
      <c r="D221" s="30" t="s">
        <v>64</v>
      </c>
      <c r="E221" s="56" t="s">
        <v>65</v>
      </c>
      <c r="F221" s="30" t="s">
        <v>199</v>
      </c>
      <c r="G221" s="105" t="s">
        <v>66</v>
      </c>
      <c r="H221" s="106"/>
      <c r="I221" s="31"/>
    </row>
    <row r="222" spans="1:14" x14ac:dyDescent="0.35">
      <c r="A222" s="100" t="s">
        <v>162</v>
      </c>
      <c r="B222" s="100"/>
      <c r="C222" s="100"/>
      <c r="D222" s="100"/>
      <c r="E222" s="100"/>
      <c r="F222" s="100"/>
      <c r="G222" s="100"/>
      <c r="H222" s="100"/>
    </row>
    <row r="223" spans="1:14" x14ac:dyDescent="0.35">
      <c r="A223" s="100" t="s">
        <v>212</v>
      </c>
      <c r="B223" s="100"/>
      <c r="C223" s="100"/>
      <c r="D223" s="100"/>
      <c r="E223" s="100"/>
      <c r="F223" s="100"/>
      <c r="G223" s="100"/>
      <c r="H223" s="100"/>
    </row>
    <row r="224" spans="1:14" x14ac:dyDescent="0.35">
      <c r="A224" s="100" t="s">
        <v>211</v>
      </c>
      <c r="B224" s="100"/>
      <c r="C224" s="100"/>
      <c r="D224" s="100"/>
      <c r="E224" s="100"/>
      <c r="F224" s="100"/>
      <c r="G224" s="100"/>
      <c r="H224" s="100"/>
    </row>
    <row r="225" spans="1:16" x14ac:dyDescent="0.35">
      <c r="A225" s="100" t="s">
        <v>169</v>
      </c>
      <c r="B225" s="100"/>
      <c r="C225" s="100"/>
      <c r="D225" s="100"/>
      <c r="E225" s="100"/>
      <c r="F225" s="100"/>
      <c r="G225" s="100"/>
      <c r="H225" s="100"/>
    </row>
    <row r="226" spans="1:16" s="2" customFormat="1" x14ac:dyDescent="0.35">
      <c r="A226" s="159" t="s">
        <v>170</v>
      </c>
      <c r="B226" s="159"/>
      <c r="C226" s="159"/>
      <c r="D226" s="159"/>
      <c r="E226" s="159"/>
      <c r="F226" s="159"/>
      <c r="G226" s="159"/>
      <c r="H226" s="159"/>
      <c r="I226" s="31"/>
      <c r="L226" s="126"/>
      <c r="M226" s="126"/>
    </row>
    <row r="227" spans="1:16" s="2" customFormat="1" ht="15.75" customHeight="1" x14ac:dyDescent="0.35">
      <c r="A227" s="163">
        <v>1</v>
      </c>
      <c r="B227" s="163"/>
      <c r="C227" s="14" t="s">
        <v>171</v>
      </c>
      <c r="D227" s="14">
        <f>(3.2*5.2+3.35*1.25+2.6*2.75+2.9*3.65+3.8*3.05+1.35*2.2+1.5*2.4+1*1.35+1.5*1.6+2.6*0.9+1.5*(3.2+2.2))*10.764</f>
        <v>763.30214999999987</v>
      </c>
      <c r="E227" s="14">
        <v>0</v>
      </c>
      <c r="F227" s="14">
        <v>1305</v>
      </c>
      <c r="G227" s="87" t="str">
        <f>A226</f>
        <v>3rd floor for Residential</v>
      </c>
      <c r="H227" s="88"/>
      <c r="I227" s="31">
        <v>6718000</v>
      </c>
      <c r="J227" s="2">
        <f>I227/F227</f>
        <v>5147.8927203065132</v>
      </c>
      <c r="L227" s="2">
        <f>400*F227</f>
        <v>522000</v>
      </c>
      <c r="N227" s="31"/>
    </row>
    <row r="228" spans="1:16" s="2" customFormat="1" ht="15.75" customHeight="1" x14ac:dyDescent="0.35">
      <c r="A228" s="163">
        <f>A227+1</f>
        <v>2</v>
      </c>
      <c r="B228" s="163"/>
      <c r="C228" s="14" t="s">
        <v>171</v>
      </c>
      <c r="D228" s="14">
        <f>(3.12*5.5+3.35*1.33+2.6*2.75+3.05*3.65+3.8*3.35+1.35*2.2+1.5*2.4+1*1.35+1.5*1.5+1.65*3.12+1.88*2.6+1.5*2.2+3.05*0.8)*10.764</f>
        <v>845.77053599999988</v>
      </c>
      <c r="E228" s="14">
        <v>0</v>
      </c>
      <c r="F228" s="14">
        <v>1435</v>
      </c>
      <c r="G228" s="89"/>
      <c r="H228" s="90"/>
      <c r="I228" s="31"/>
      <c r="L228" s="2">
        <f t="shared" ref="L228:L232" si="12">400*F228</f>
        <v>574000</v>
      </c>
      <c r="N228" s="31"/>
    </row>
    <row r="229" spans="1:16" s="2" customFormat="1" ht="15.75" customHeight="1" x14ac:dyDescent="0.35">
      <c r="A229" s="163">
        <f>A228+1</f>
        <v>3</v>
      </c>
      <c r="B229" s="163"/>
      <c r="C229" s="14" t="s">
        <v>171</v>
      </c>
      <c r="D229" s="14">
        <f>(3.12*5.5+3.35*1.33+2.6*2.75+3.05*3.65+3.8*3.4+1.5*2.4+1.35*2.2+1*1.35+1.5*1.5+1.65*3.12+1.88*2.6+3.05*0.8+1.52*3.7)*10.764</f>
        <v>872.831232</v>
      </c>
      <c r="E229" s="14">
        <v>0</v>
      </c>
      <c r="F229" s="14">
        <v>1460</v>
      </c>
      <c r="G229" s="89"/>
      <c r="H229" s="90"/>
      <c r="I229" s="31"/>
      <c r="L229" s="2">
        <f t="shared" si="12"/>
        <v>584000</v>
      </c>
      <c r="N229" s="31"/>
    </row>
    <row r="230" spans="1:16" s="2" customFormat="1" ht="15.75" customHeight="1" x14ac:dyDescent="0.35">
      <c r="A230" s="163">
        <f>A229+1</f>
        <v>4</v>
      </c>
      <c r="B230" s="163"/>
      <c r="C230" s="14" t="s">
        <v>172</v>
      </c>
      <c r="D230" s="14">
        <f>(6.1*3.35+3.55*2.32+3.5*2.75+3.95*3.2+2.75*1.65+3.5*4.07+3.55*4.15+2.4*1.65+1.5*2.4+1*5.6+0.6*1.4+1.52*(3.35+2.75)+1.07*3.2+1.52*7.2)*10.764</f>
        <v>1314.1875239999999</v>
      </c>
      <c r="E230" s="14">
        <v>0</v>
      </c>
      <c r="F230" s="14">
        <v>2250</v>
      </c>
      <c r="G230" s="89"/>
      <c r="H230" s="90"/>
      <c r="I230" s="31"/>
      <c r="L230" s="2">
        <f t="shared" si="12"/>
        <v>900000</v>
      </c>
      <c r="N230" s="31"/>
    </row>
    <row r="231" spans="1:16" s="2" customFormat="1" ht="15.75" customHeight="1" x14ac:dyDescent="0.35">
      <c r="A231" s="163">
        <f>A230+1</f>
        <v>5</v>
      </c>
      <c r="B231" s="163"/>
      <c r="C231" s="14" t="s">
        <v>172</v>
      </c>
      <c r="D231" s="14">
        <f>(5.8*3.2+3.55*2.32+3.42*2.75+3.65*3.05+2.4*1.5+3.57*3.57+3.55*3.57+2.4*1.5+1.5*2.25+1*5.4+0.6*1.4+1.52*(3.2+2.75+7.4)+1.37*3.05)*10.764</f>
        <v>1227.4985735999999</v>
      </c>
      <c r="E231" s="14">
        <v>0</v>
      </c>
      <c r="F231" s="14">
        <v>2160</v>
      </c>
      <c r="G231" s="89"/>
      <c r="H231" s="90"/>
      <c r="I231" s="31"/>
      <c r="L231" s="2">
        <f t="shared" si="12"/>
        <v>864000</v>
      </c>
      <c r="N231" s="31"/>
    </row>
    <row r="232" spans="1:16" s="2" customFormat="1" ht="15.75" customHeight="1" x14ac:dyDescent="0.35">
      <c r="A232" s="163">
        <f>A231+1</f>
        <v>6</v>
      </c>
      <c r="B232" s="163"/>
      <c r="C232" s="14" t="s">
        <v>172</v>
      </c>
      <c r="D232" s="14">
        <f>(5.8*3.2+3.55*2.32+3.42*2.75+3.65*3.05+2.4*1.5+3.57*3.57+3.55*3.57+2.4*1.5+1.5*2.25+1*5.4+0.6*1.4+1.52*(3.2+2.75+7.4)+1.37*3.05)*10.764</f>
        <v>1227.4985735999999</v>
      </c>
      <c r="E232" s="14">
        <v>0</v>
      </c>
      <c r="F232" s="14">
        <v>2160</v>
      </c>
      <c r="G232" s="91"/>
      <c r="H232" s="92"/>
      <c r="I232" s="31"/>
      <c r="L232" s="2">
        <f t="shared" si="12"/>
        <v>864000</v>
      </c>
      <c r="N232" s="31"/>
    </row>
    <row r="233" spans="1:16" s="2" customFormat="1" x14ac:dyDescent="0.35">
      <c r="A233" s="102" t="s">
        <v>209</v>
      </c>
      <c r="B233" s="103"/>
      <c r="C233" s="103"/>
      <c r="D233" s="103"/>
      <c r="E233" s="103"/>
      <c r="F233" s="103"/>
      <c r="G233" s="103"/>
      <c r="H233" s="104"/>
      <c r="I233" s="31"/>
    </row>
    <row r="234" spans="1:16" s="2" customFormat="1" ht="15.75" customHeight="1" x14ac:dyDescent="0.35">
      <c r="A234" s="85">
        <v>1</v>
      </c>
      <c r="B234" s="86"/>
      <c r="C234" s="14" t="s">
        <v>171</v>
      </c>
      <c r="D234" s="14">
        <f>(3.2*5.2+3.35*1.25+2.6*2.75+2.9*3.65+3.8*3.05+1.35*2.2+1.5*2.4+1*1.35+1.5*1.6+2.6*0.9+1.5*(3.2+2.2))*10.764</f>
        <v>763.30214999999987</v>
      </c>
      <c r="E234" s="14">
        <v>0</v>
      </c>
      <c r="F234" s="14">
        <v>1305</v>
      </c>
      <c r="G234" s="87" t="str">
        <f>A233</f>
        <v>4th &amp; 5th, 7th to 10th, 12th to 15th, 17th to 20th, 22nd to 25th, 27th Floor for Residential</v>
      </c>
      <c r="H234" s="88"/>
      <c r="I234" s="31">
        <v>1305</v>
      </c>
      <c r="J234" s="2">
        <f>I234/D234</f>
        <v>1.7096768298111047</v>
      </c>
      <c r="N234" s="2" t="str">
        <f t="shared" ref="N234:N239" ca="1" si="13">O234&amp;""&amp;",..,"&amp;""&amp;P234</f>
        <v>45701,..,2701</v>
      </c>
      <c r="O234" s="2">
        <f ca="1">(SUMPRODUCT(MID(0&amp;(LEFT(A233,SUM(LEN(A233)-LEN(SUBSTITUTE(A233,{0,1,2},""))))), LARGE(INDEX(ISNUMBER(--MID((LEFT(A233,SUM(LEN(A233)-LEN(SUBSTITUTE(A233,{0,1,2},""))))), ROW(INDIRECT("1:"&amp;LEN((LEFT(A233,SUM(LEN(A233)-LEN(SUBSTITUTE(A233,{0,1,2},"")))))))), 1)) * ROW(INDIRECT("1:"&amp;LEN((LEFT(A233,SUM(LEN(A233)-LEN(SUBSTITUTE(A233,{0,1,2},"")))))))), 0), ROW(INDIRECT("1:"&amp;LEN((LEFT(A233,SUM(LEN(A233)-LEN(SUBSTITUTE(A233,{0,1,2},"")))))))))+1, 1) * 10^ROW(INDIRECT("1:"&amp;LEN((LEFT(A233,SUM(LEN(A233)-LEN(SUBSTITUTE(A233,{0,1,2},""))))))))/10))*100+1</f>
        <v>45701</v>
      </c>
      <c r="P234" s="2">
        <f ca="1">(SUMPRODUCT(MID(0&amp;(--TRIM(RIGHT(SUBSTITUTE(LEFT(A233,_xlfn.AGGREGATE(16,6,FIND({0,1,2,3,4,5,6,7,8,9},A233,ROW(INDIRECT("1:"&amp;LEN(A233)))),1))," ",REPT(" ",LEN(A233))),LEN(A233)))), LARGE(INDEX(ISNUMBER(--MID((--TRIM(RIGHT(SUBSTITUTE(LEFT(A233,_xlfn.AGGREGATE(16,6,FIND({0,1,2,3,4,5,6,7,8,9},A233,ROW(INDIRECT("1:"&amp;LEN(A233)))),1))," ",REPT(" ",LEN(A233))),LEN(A233)))), ROW(INDIRECT("1:"&amp;LEN((--TRIM(RIGHT(SUBSTITUTE(LEFT(A233,_xlfn.AGGREGATE(16,6,FIND({0,1,2,3,4,5,6,7,8,9},A233,ROW(INDIRECT("1:"&amp;LEN(A233)))),1))," ",REPT(" ",LEN(A233))),LEN(A233))))))), 1)) * ROW(INDIRECT("1:"&amp;LEN((--TRIM(RIGHT(SUBSTITUTE(LEFT(A233,_xlfn.AGGREGATE(16,6,FIND({0,1,2,3,4,5,6,7,8,9},A233,ROW(INDIRECT("1:"&amp;LEN(A233)))),1))," ",REPT(" ",LEN(A233))),LEN(A233))))))), 0), ROW(INDIRECT("1:"&amp;LEN((--TRIM(RIGHT(SUBSTITUTE(LEFT(A233,_xlfn.AGGREGATE(16,6,FIND({0,1,2,3,4,5,6,7,8,9},A233,ROW(INDIRECT("1:"&amp;LEN(A233)))),1))," ",REPT(" ",LEN(A233))),LEN(A233))))))))+1, 1) * 10^ROW(INDIRECT("1:"&amp;LEN((--TRIM(RIGHT(SUBSTITUTE(LEFT(A233,_xlfn.AGGREGATE(16,6,FIND({0,1,2,3,4,5,6,7,8,9},A233,ROW(INDIRECT("1:"&amp;LEN(A233)))),1))," ",REPT(" ",LEN(A233))),LEN(A233)))))))/10))*100+1</f>
        <v>2701</v>
      </c>
    </row>
    <row r="235" spans="1:16" s="2" customFormat="1" ht="15.75" customHeight="1" x14ac:dyDescent="0.35">
      <c r="A235" s="85">
        <v>2</v>
      </c>
      <c r="B235" s="86"/>
      <c r="C235" s="14" t="s">
        <v>171</v>
      </c>
      <c r="D235" s="14">
        <f>(3.12*5.5+3.35*1.33+2.6*2.75+3.05*3.65+3.8*3.35+1.35*2.2+1.5*2.4+1*1.35+1.5*1.5+1.65*3.12+1.88*2.6+1.5*2.2+3.05*0.8)*10.764</f>
        <v>845.77053599999988</v>
      </c>
      <c r="E235" s="14">
        <v>0</v>
      </c>
      <c r="F235" s="14">
        <v>1435</v>
      </c>
      <c r="G235" s="89"/>
      <c r="H235" s="90"/>
      <c r="I235" s="31">
        <v>1435</v>
      </c>
      <c r="J235" s="2">
        <f t="shared" ref="J235:J239" si="14">I235/D235</f>
        <v>1.6966776908388308</v>
      </c>
      <c r="N235" s="2" t="str">
        <f t="shared" ca="1" si="13"/>
        <v>45702,..,2702</v>
      </c>
      <c r="O235" s="2">
        <f t="shared" ref="O235:P238" ca="1" si="15">O234+1</f>
        <v>45702</v>
      </c>
      <c r="P235" s="2">
        <f t="shared" ca="1" si="15"/>
        <v>2702</v>
      </c>
    </row>
    <row r="236" spans="1:16" s="2" customFormat="1" ht="15.75" customHeight="1" x14ac:dyDescent="0.35">
      <c r="A236" s="85">
        <v>3</v>
      </c>
      <c r="B236" s="86"/>
      <c r="C236" s="14" t="s">
        <v>171</v>
      </c>
      <c r="D236" s="14">
        <f>(3.12*5.5+3.35*1.33+2.6*2.75+3.05*3.65+3.8*3.4+1.5*2.4+1.35*2.2+1*1.35+1.5*1.5+1.65*3.12+1.88*2.6+3.05*0.8+1.52*3.7)*10.764</f>
        <v>872.831232</v>
      </c>
      <c r="E236" s="14">
        <v>0</v>
      </c>
      <c r="F236" s="14">
        <v>1460</v>
      </c>
      <c r="G236" s="89"/>
      <c r="H236" s="90"/>
      <c r="I236" s="31">
        <v>1460</v>
      </c>
      <c r="J236" s="2">
        <f t="shared" si="14"/>
        <v>1.6727174125684816</v>
      </c>
      <c r="N236" s="2" t="str">
        <f t="shared" ca="1" si="13"/>
        <v>45703,..,2703</v>
      </c>
      <c r="O236" s="2">
        <f t="shared" ca="1" si="15"/>
        <v>45703</v>
      </c>
      <c r="P236" s="2">
        <f t="shared" ca="1" si="15"/>
        <v>2703</v>
      </c>
    </row>
    <row r="237" spans="1:16" s="2" customFormat="1" ht="15.75" customHeight="1" x14ac:dyDescent="0.35">
      <c r="A237" s="85">
        <v>4</v>
      </c>
      <c r="B237" s="86"/>
      <c r="C237" s="14" t="s">
        <v>172</v>
      </c>
      <c r="D237" s="14">
        <f>(6.1*3.35+3.55*2.32+3.5*2.75+3.95*3.2+2.75*1.65+3.5*4.07+3.55*4.15+2.4*1.65+1.5*2.4+1*5.6+0.6*1.4+1.52*(3.35+2.75)+1.07*3.2+1.52*7.2)*10.764</f>
        <v>1314.1875239999999</v>
      </c>
      <c r="E237" s="14">
        <v>0</v>
      </c>
      <c r="F237" s="14">
        <v>2250</v>
      </c>
      <c r="G237" s="89"/>
      <c r="H237" s="90"/>
      <c r="I237" s="31">
        <v>2250</v>
      </c>
      <c r="J237" s="2">
        <f t="shared" si="14"/>
        <v>1.712084431567013</v>
      </c>
      <c r="N237" s="2" t="str">
        <f t="shared" ca="1" si="13"/>
        <v>45704,..,2704</v>
      </c>
      <c r="O237" s="2">
        <f t="shared" ca="1" si="15"/>
        <v>45704</v>
      </c>
      <c r="P237" s="2">
        <f t="shared" ca="1" si="15"/>
        <v>2704</v>
      </c>
    </row>
    <row r="238" spans="1:16" s="2" customFormat="1" ht="15.75" customHeight="1" x14ac:dyDescent="0.35">
      <c r="A238" s="85">
        <v>5</v>
      </c>
      <c r="B238" s="86"/>
      <c r="C238" s="14" t="s">
        <v>172</v>
      </c>
      <c r="D238" s="14">
        <f>(5.8*3.2+3.55*2.32+3.42*2.75+3.65*3.05+2.4*1.5+3.57*3.57+3.55*3.57+2.4*1.5+1.5*2.25+1*5.4+0.6*1.4+1.52*(3.2+2.75+7.4)+1.37*3.05)*10.764</f>
        <v>1227.4985735999999</v>
      </c>
      <c r="E238" s="14">
        <v>0</v>
      </c>
      <c r="F238" s="14">
        <v>2160</v>
      </c>
      <c r="G238" s="89"/>
      <c r="H238" s="90"/>
      <c r="I238" s="31">
        <v>2160</v>
      </c>
      <c r="J238" s="2">
        <f t="shared" si="14"/>
        <v>1.759676179227782</v>
      </c>
      <c r="L238" s="2">
        <f t="shared" ref="L238:L242" si="16">400*F238</f>
        <v>864000</v>
      </c>
      <c r="N238" s="2" t="str">
        <f t="shared" ca="1" si="13"/>
        <v>45705,..,2705</v>
      </c>
      <c r="O238" s="2">
        <f t="shared" ca="1" si="15"/>
        <v>45705</v>
      </c>
      <c r="P238" s="2">
        <f t="shared" ca="1" si="15"/>
        <v>2705</v>
      </c>
    </row>
    <row r="239" spans="1:16" s="2" customFormat="1" ht="15.75" customHeight="1" x14ac:dyDescent="0.35">
      <c r="A239" s="85">
        <v>6</v>
      </c>
      <c r="B239" s="86"/>
      <c r="C239" s="14" t="s">
        <v>172</v>
      </c>
      <c r="D239" s="14">
        <f>(5.8*3.2+3.55*2.32+3.42*2.75+3.65*3.05+2.4*1.5+3.57*3.57+3.55*3.57+2.4*1.5+1.5*2.25+1*5.4+0.6*1.4+1.52*(3.2+2.75+7.4)+1.37*3.05)*10.764</f>
        <v>1227.4985735999999</v>
      </c>
      <c r="E239" s="14">
        <v>0</v>
      </c>
      <c r="F239" s="14">
        <v>2160</v>
      </c>
      <c r="G239" s="91"/>
      <c r="H239" s="92"/>
      <c r="I239" s="31">
        <v>2160</v>
      </c>
      <c r="J239" s="2">
        <f t="shared" si="14"/>
        <v>1.759676179227782</v>
      </c>
      <c r="L239" s="2">
        <f>400*F239</f>
        <v>864000</v>
      </c>
      <c r="N239" s="2" t="str">
        <f t="shared" ca="1" si="13"/>
        <v>45706,..,2706</v>
      </c>
      <c r="O239" s="2">
        <f ca="1">O238+1</f>
        <v>45706</v>
      </c>
      <c r="P239" s="2">
        <f ca="1">P238+1</f>
        <v>2706</v>
      </c>
    </row>
    <row r="240" spans="1:16" s="2" customFormat="1" x14ac:dyDescent="0.35">
      <c r="A240" s="102" t="s">
        <v>208</v>
      </c>
      <c r="B240" s="103"/>
      <c r="C240" s="103"/>
      <c r="D240" s="103"/>
      <c r="E240" s="103"/>
      <c r="F240" s="103"/>
      <c r="G240" s="103"/>
      <c r="H240" s="104"/>
      <c r="I240" s="31"/>
      <c r="L240" s="2">
        <f t="shared" si="16"/>
        <v>0</v>
      </c>
    </row>
    <row r="241" spans="1:16" s="2" customFormat="1" ht="15.75" customHeight="1" x14ac:dyDescent="0.35">
      <c r="A241" s="85">
        <v>1</v>
      </c>
      <c r="B241" s="86"/>
      <c r="C241" s="14" t="s">
        <v>171</v>
      </c>
      <c r="D241" s="14">
        <f>(3.2*5.2+3.35*1.25+2.6*2.75+2.9*3.65+3.8*3.05+1.35*2.2+1.5*2.4+1*1.35+1.5*1.6+2.6*0.9+1.5*(3.2+2.2))*10.764</f>
        <v>763.30214999999987</v>
      </c>
      <c r="E241" s="14">
        <v>0</v>
      </c>
      <c r="F241" s="14">
        <v>1305</v>
      </c>
      <c r="G241" s="87" t="str">
        <f>A240</f>
        <v>6th, 11th, 16th, 21st, 26th Floor for Residential (Part Refuge Area)</v>
      </c>
      <c r="H241" s="88"/>
      <c r="I241" s="31"/>
      <c r="L241" s="2">
        <f t="shared" si="16"/>
        <v>522000</v>
      </c>
      <c r="N241" s="2" t="str">
        <f t="shared" ref="N241:N246" ca="1" si="17">O241&amp;""&amp;",..,"&amp;""&amp;P241</f>
        <v>6101,..,2601</v>
      </c>
      <c r="O241" s="2">
        <f ca="1">(SUMPRODUCT(MID(0&amp;(LEFT(A240,SUM(LEN(A240)-LEN(SUBSTITUTE(A240,{0,1,2},""))))), LARGE(INDEX(ISNUMBER(--MID((LEFT(A240,SUM(LEN(A240)-LEN(SUBSTITUTE(A240,{0,1,2},""))))), ROW(INDIRECT("1:"&amp;LEN((LEFT(A240,SUM(LEN(A240)-LEN(SUBSTITUTE(A240,{0,1,2},"")))))))), 1)) * ROW(INDIRECT("1:"&amp;LEN((LEFT(A240,SUM(LEN(A240)-LEN(SUBSTITUTE(A240,{0,1,2},"")))))))), 0), ROW(INDIRECT("1:"&amp;LEN((LEFT(A240,SUM(LEN(A240)-LEN(SUBSTITUTE(A240,{0,1,2},"")))))))))+1, 1) * 10^ROW(INDIRECT("1:"&amp;LEN((LEFT(A240,SUM(LEN(A240)-LEN(SUBSTITUTE(A240,{0,1,2},""))))))))/10))*100+1</f>
        <v>6101</v>
      </c>
      <c r="P241" s="2">
        <f ca="1">(SUMPRODUCT(MID(0&amp;(--TRIM(RIGHT(SUBSTITUTE(LEFT(A240,_xlfn.AGGREGATE(16,6,FIND({0,1,2,3,4,5,6,7,8,9},A240,ROW(INDIRECT("1:"&amp;LEN(A240)))),1))," ",REPT(" ",LEN(A240))),LEN(A240)))), LARGE(INDEX(ISNUMBER(--MID((--TRIM(RIGHT(SUBSTITUTE(LEFT(A240,_xlfn.AGGREGATE(16,6,FIND({0,1,2,3,4,5,6,7,8,9},A240,ROW(INDIRECT("1:"&amp;LEN(A240)))),1))," ",REPT(" ",LEN(A240))),LEN(A240)))), ROW(INDIRECT("1:"&amp;LEN((--TRIM(RIGHT(SUBSTITUTE(LEFT(A240,_xlfn.AGGREGATE(16,6,FIND({0,1,2,3,4,5,6,7,8,9},A240,ROW(INDIRECT("1:"&amp;LEN(A240)))),1))," ",REPT(" ",LEN(A240))),LEN(A240))))))), 1)) * ROW(INDIRECT("1:"&amp;LEN((--TRIM(RIGHT(SUBSTITUTE(LEFT(A240,_xlfn.AGGREGATE(16,6,FIND({0,1,2,3,4,5,6,7,8,9},A240,ROW(INDIRECT("1:"&amp;LEN(A240)))),1))," ",REPT(" ",LEN(A240))),LEN(A240))))))), 0), ROW(INDIRECT("1:"&amp;LEN((--TRIM(RIGHT(SUBSTITUTE(LEFT(A240,_xlfn.AGGREGATE(16,6,FIND({0,1,2,3,4,5,6,7,8,9},A240,ROW(INDIRECT("1:"&amp;LEN(A240)))),1))," ",REPT(" ",LEN(A240))),LEN(A240))))))))+1, 1) * 10^ROW(INDIRECT("1:"&amp;LEN((--TRIM(RIGHT(SUBSTITUTE(LEFT(A240,_xlfn.AGGREGATE(16,6,FIND({0,1,2,3,4,5,6,7,8,9},A240,ROW(INDIRECT("1:"&amp;LEN(A240)))),1))," ",REPT(" ",LEN(A240))),LEN(A240)))))))/10))*100+1</f>
        <v>2601</v>
      </c>
    </row>
    <row r="242" spans="1:16" s="2" customFormat="1" ht="15.75" customHeight="1" x14ac:dyDescent="0.35">
      <c r="A242" s="85">
        <v>2</v>
      </c>
      <c r="B242" s="86"/>
      <c r="C242" s="14" t="s">
        <v>171</v>
      </c>
      <c r="D242" s="14">
        <f>(3.12*5.5+3.35*1.33+2.6*2.75+3.05*3.65+3.8*3.35+1.35*2.2+1.5*2.4+1*1.35+1.5*1.5+1.65*3.12+1.88*2.6+1.5*2.2+3.05*0.8)*10.764</f>
        <v>845.77053599999988</v>
      </c>
      <c r="E242" s="14">
        <v>0</v>
      </c>
      <c r="F242" s="14">
        <v>1435</v>
      </c>
      <c r="G242" s="89"/>
      <c r="H242" s="90"/>
      <c r="I242" s="31"/>
      <c r="L242" s="2">
        <f t="shared" si="16"/>
        <v>574000</v>
      </c>
      <c r="N242" s="2" t="str">
        <f t="shared" ca="1" si="17"/>
        <v>6102,..,2602</v>
      </c>
      <c r="O242" s="2">
        <f t="shared" ref="O242:P242" ca="1" si="18">O241+1</f>
        <v>6102</v>
      </c>
      <c r="P242" s="2">
        <f t="shared" ca="1" si="18"/>
        <v>2602</v>
      </c>
    </row>
    <row r="243" spans="1:16" s="2" customFormat="1" ht="15.75" customHeight="1" x14ac:dyDescent="0.35">
      <c r="A243" s="85">
        <v>3</v>
      </c>
      <c r="B243" s="86"/>
      <c r="C243" s="14" t="s">
        <v>171</v>
      </c>
      <c r="D243" s="14">
        <f>(3.12*5.5+3.35*1.33+2.6*2.75+3.05*3.65+3.8*3.4+1.5*2.4+1.35*2.2+1*1.35+1.5*1.5+1.65*3.12+1.88*2.6+3.05*0.8+1.52*3.7)*10.764</f>
        <v>872.831232</v>
      </c>
      <c r="E243" s="14">
        <v>0</v>
      </c>
      <c r="F243" s="14">
        <v>1460</v>
      </c>
      <c r="G243" s="89"/>
      <c r="H243" s="90"/>
      <c r="I243" s="31"/>
      <c r="N243" s="2" t="str">
        <f t="shared" ca="1" si="17"/>
        <v>6103,..,2603</v>
      </c>
      <c r="O243" s="2">
        <f t="shared" ref="O243:P243" ca="1" si="19">O242+1</f>
        <v>6103</v>
      </c>
      <c r="P243" s="2">
        <f t="shared" ca="1" si="19"/>
        <v>2603</v>
      </c>
    </row>
    <row r="244" spans="1:16" s="2" customFormat="1" ht="15.75" customHeight="1" x14ac:dyDescent="0.35">
      <c r="A244" s="85">
        <v>4</v>
      </c>
      <c r="B244" s="86"/>
      <c r="C244" s="14" t="s">
        <v>172</v>
      </c>
      <c r="D244" s="14">
        <f>(6.1*3.35+3.55*2.32+3.5*2.75+3.95*3.2+2.75*1.65+3.5*4.07+3.55*4.15+2.4*1.65+1.5*2.4+1*5.6+0.6*1.4+1.52*(3.35+2.75)+1.07*3.2+1.52*7.2)*10.764</f>
        <v>1314.1875239999999</v>
      </c>
      <c r="E244" s="14">
        <v>0</v>
      </c>
      <c r="F244" s="14">
        <v>2250</v>
      </c>
      <c r="G244" s="89"/>
      <c r="H244" s="90"/>
      <c r="I244" s="31"/>
      <c r="N244" s="2" t="str">
        <f t="shared" ca="1" si="17"/>
        <v>6104,..,2604</v>
      </c>
      <c r="O244" s="2">
        <f t="shared" ref="O244:P244" ca="1" si="20">O243+1</f>
        <v>6104</v>
      </c>
      <c r="P244" s="2">
        <f t="shared" ca="1" si="20"/>
        <v>2604</v>
      </c>
    </row>
    <row r="245" spans="1:16" s="2" customFormat="1" ht="15.75" customHeight="1" x14ac:dyDescent="0.35">
      <c r="A245" s="85">
        <v>5</v>
      </c>
      <c r="B245" s="86"/>
      <c r="C245" s="14" t="s">
        <v>172</v>
      </c>
      <c r="D245" s="14">
        <f>(5.8*3.2+3.55*2.32+3.42*2.75+3.65*3.05+2.4*1.5+3.57*3.57+3.55*3.57+2.4*1.5+1.5*2.25+1*5.4+0.6*1.4+1.52*(3.2+2.75+7.4)+1.37*3.05)*10.764</f>
        <v>1227.4985735999999</v>
      </c>
      <c r="E245" s="14">
        <v>0</v>
      </c>
      <c r="F245" s="14">
        <v>2160</v>
      </c>
      <c r="G245" s="89"/>
      <c r="H245" s="90"/>
      <c r="I245" s="31"/>
      <c r="N245" s="2" t="str">
        <f t="shared" ca="1" si="17"/>
        <v>6105,..,2605</v>
      </c>
      <c r="O245" s="2">
        <f t="shared" ref="O245:P245" ca="1" si="21">O244+1</f>
        <v>6105</v>
      </c>
      <c r="P245" s="2">
        <f t="shared" ca="1" si="21"/>
        <v>2605</v>
      </c>
    </row>
    <row r="246" spans="1:16" s="2" customFormat="1" ht="15.75" customHeight="1" x14ac:dyDescent="0.35">
      <c r="A246" s="85">
        <v>6</v>
      </c>
      <c r="B246" s="86"/>
      <c r="C246" s="14" t="s">
        <v>172</v>
      </c>
      <c r="D246" s="14">
        <f>(5.8*3.2+3.55*2.32+3.42*2.75+3.65*3.05+2.4*1.5+3.57*3.57+3.55*3.57+2.4*1.5+1.5*2.25+1*5.4+0.6*1.4+1.52*(3.2+2.75+7.4)+1.37*3.05)*10.764</f>
        <v>1227.4985735999999</v>
      </c>
      <c r="E246" s="14">
        <v>0</v>
      </c>
      <c r="F246" s="14">
        <v>2160</v>
      </c>
      <c r="G246" s="91"/>
      <c r="H246" s="92"/>
      <c r="I246" s="31"/>
      <c r="N246" s="2" t="str">
        <f t="shared" ca="1" si="17"/>
        <v>6106,..,2606</v>
      </c>
      <c r="O246" s="2">
        <f ca="1">O245+1</f>
        <v>6106</v>
      </c>
      <c r="P246" s="2">
        <f ca="1">P245+1</f>
        <v>2606</v>
      </c>
    </row>
    <row r="247" spans="1:16" s="2" customFormat="1" x14ac:dyDescent="0.35">
      <c r="A247" s="102" t="s">
        <v>207</v>
      </c>
      <c r="B247" s="103"/>
      <c r="C247" s="103"/>
      <c r="D247" s="103"/>
      <c r="E247" s="103"/>
      <c r="F247" s="103"/>
      <c r="G247" s="103"/>
      <c r="H247" s="104"/>
      <c r="I247" s="31"/>
    </row>
    <row r="248" spans="1:16" s="2" customFormat="1" ht="15.75" customHeight="1" x14ac:dyDescent="0.35">
      <c r="A248" s="85">
        <v>1</v>
      </c>
      <c r="B248" s="86"/>
      <c r="C248" s="14" t="s">
        <v>171</v>
      </c>
      <c r="D248" s="14">
        <f>(3.2*5.2+3.35*1.25+2.6*2.75+2.9*3.65+3.8*3.05+1.35*2.2+1.5*2.4+1*1.35+1.5*1.6+2.6*0.9+1.5*(3.2+2.2))*10.764</f>
        <v>763.30214999999987</v>
      </c>
      <c r="E248" s="14">
        <v>0</v>
      </c>
      <c r="F248" s="14">
        <v>1305</v>
      </c>
      <c r="G248" s="87" t="str">
        <f>A247</f>
        <v>28th to 30th, 32nd to 35th Floor for Residential</v>
      </c>
      <c r="H248" s="88"/>
      <c r="I248" s="31"/>
      <c r="N248" s="2" t="str">
        <f t="shared" ref="N248:N253" ca="1" si="22">O248&amp;""&amp;",..,"&amp;""&amp;P248</f>
        <v>2801,..,3501</v>
      </c>
      <c r="O248" s="2">
        <f ca="1">(SUMPRODUCT(MID(0&amp;(LEFT(A247,SUM(LEN(A247)-LEN(SUBSTITUTE(A247,{0,1,2},""))))), LARGE(INDEX(ISNUMBER(--MID((LEFT(A247,SUM(LEN(A247)-LEN(SUBSTITUTE(A247,{0,1,2},""))))), ROW(INDIRECT("1:"&amp;LEN((LEFT(A247,SUM(LEN(A247)-LEN(SUBSTITUTE(A247,{0,1,2},"")))))))), 1)) * ROW(INDIRECT("1:"&amp;LEN((LEFT(A247,SUM(LEN(A247)-LEN(SUBSTITUTE(A247,{0,1,2},"")))))))), 0), ROW(INDIRECT("1:"&amp;LEN((LEFT(A247,SUM(LEN(A247)-LEN(SUBSTITUTE(A247,{0,1,2},"")))))))))+1, 1) * 10^ROW(INDIRECT("1:"&amp;LEN((LEFT(A247,SUM(LEN(A247)-LEN(SUBSTITUTE(A247,{0,1,2},""))))))))/10))*100+1</f>
        <v>2801</v>
      </c>
      <c r="P248" s="2">
        <f ca="1">(SUMPRODUCT(MID(0&amp;(--TRIM(RIGHT(SUBSTITUTE(LEFT(A247,_xlfn.AGGREGATE(16,6,FIND({0,1,2,3,4,5,6,7,8,9},A247,ROW(INDIRECT("1:"&amp;LEN(A247)))),1))," ",REPT(" ",LEN(A247))),LEN(A247)))), LARGE(INDEX(ISNUMBER(--MID((--TRIM(RIGHT(SUBSTITUTE(LEFT(A247,_xlfn.AGGREGATE(16,6,FIND({0,1,2,3,4,5,6,7,8,9},A247,ROW(INDIRECT("1:"&amp;LEN(A247)))),1))," ",REPT(" ",LEN(A247))),LEN(A247)))), ROW(INDIRECT("1:"&amp;LEN((--TRIM(RIGHT(SUBSTITUTE(LEFT(A247,_xlfn.AGGREGATE(16,6,FIND({0,1,2,3,4,5,6,7,8,9},A247,ROW(INDIRECT("1:"&amp;LEN(A247)))),1))," ",REPT(" ",LEN(A247))),LEN(A247))))))), 1)) * ROW(INDIRECT("1:"&amp;LEN((--TRIM(RIGHT(SUBSTITUTE(LEFT(A247,_xlfn.AGGREGATE(16,6,FIND({0,1,2,3,4,5,6,7,8,9},A247,ROW(INDIRECT("1:"&amp;LEN(A247)))),1))," ",REPT(" ",LEN(A247))),LEN(A247))))))), 0), ROW(INDIRECT("1:"&amp;LEN((--TRIM(RIGHT(SUBSTITUTE(LEFT(A247,_xlfn.AGGREGATE(16,6,FIND({0,1,2,3,4,5,6,7,8,9},A247,ROW(INDIRECT("1:"&amp;LEN(A247)))),1))," ",REPT(" ",LEN(A247))),LEN(A247))))))))+1, 1) * 10^ROW(INDIRECT("1:"&amp;LEN((--TRIM(RIGHT(SUBSTITUTE(LEFT(A247,_xlfn.AGGREGATE(16,6,FIND({0,1,2,3,4,5,6,7,8,9},A247,ROW(INDIRECT("1:"&amp;LEN(A247)))),1))," ",REPT(" ",LEN(A247))),LEN(A247)))))))/10))*100+1</f>
        <v>3501</v>
      </c>
    </row>
    <row r="249" spans="1:16" s="2" customFormat="1" ht="15.75" customHeight="1" x14ac:dyDescent="0.35">
      <c r="A249" s="85">
        <v>2</v>
      </c>
      <c r="B249" s="86"/>
      <c r="C249" s="14" t="s">
        <v>171</v>
      </c>
      <c r="D249" s="14">
        <f>(3.12*5.5+3.35*1.33+2.6*2.75+3.05*3.65+3.8*3.35+1.35*2.2+1.5*2.4+1*1.35+1.5*1.5+1.65*3.12+1.88*2.6+1.5*2.2+3.05*0.8)*10.764</f>
        <v>845.77053599999988</v>
      </c>
      <c r="E249" s="14">
        <v>0</v>
      </c>
      <c r="F249" s="14">
        <v>1435</v>
      </c>
      <c r="G249" s="89"/>
      <c r="H249" s="90"/>
      <c r="I249" s="31"/>
      <c r="N249" s="2" t="str">
        <f t="shared" ca="1" si="22"/>
        <v>2802,..,3502</v>
      </c>
      <c r="O249" s="2">
        <f t="shared" ref="O249:P249" ca="1" si="23">O248+1</f>
        <v>2802</v>
      </c>
      <c r="P249" s="2">
        <f t="shared" ca="1" si="23"/>
        <v>3502</v>
      </c>
    </row>
    <row r="250" spans="1:16" s="2" customFormat="1" ht="15.75" customHeight="1" x14ac:dyDescent="0.35">
      <c r="A250" s="85">
        <v>3</v>
      </c>
      <c r="B250" s="86"/>
      <c r="C250" s="14" t="s">
        <v>171</v>
      </c>
      <c r="D250" s="14">
        <f>(3.12*5.5+3.35*1.33+2.6*2.75+3.05*3.65+3.8*3.4+1.5*2.4+1.35*2.2+1*1.35+1.5*1.5+1.65*3.12+1.88*2.6+3.05*0.8+1.52*3.7)*10.764</f>
        <v>872.831232</v>
      </c>
      <c r="E250" s="14">
        <v>0</v>
      </c>
      <c r="F250" s="14">
        <v>1460</v>
      </c>
      <c r="G250" s="89"/>
      <c r="H250" s="90"/>
      <c r="I250" s="31"/>
      <c r="N250" s="2" t="str">
        <f t="shared" ca="1" si="22"/>
        <v>2803,..,3503</v>
      </c>
      <c r="O250" s="2">
        <f t="shared" ref="O250:P250" ca="1" si="24">O249+1</f>
        <v>2803</v>
      </c>
      <c r="P250" s="2">
        <f t="shared" ca="1" si="24"/>
        <v>3503</v>
      </c>
    </row>
    <row r="251" spans="1:16" s="2" customFormat="1" ht="15.75" customHeight="1" x14ac:dyDescent="0.35">
      <c r="A251" s="85">
        <v>4</v>
      </c>
      <c r="B251" s="86"/>
      <c r="C251" s="14" t="s">
        <v>172</v>
      </c>
      <c r="D251" s="14">
        <f>(6.1*3.35+3.55*2.32+3.5*2.75+3.95*3.2+2.75*1.65+3.5*4.07+3.55*4.15+2.4*1.65+1.5*2.4+1*5.6+0.6*1.4+1.52*(3.35+2.75)+1.07*3.2+1.52*7.2)*10.764</f>
        <v>1314.1875239999999</v>
      </c>
      <c r="E251" s="14">
        <v>0</v>
      </c>
      <c r="F251" s="14">
        <v>2250</v>
      </c>
      <c r="G251" s="89"/>
      <c r="H251" s="90"/>
      <c r="I251" s="31"/>
      <c r="N251" s="2" t="str">
        <f t="shared" ca="1" si="22"/>
        <v>2804,..,3504</v>
      </c>
      <c r="O251" s="2">
        <f t="shared" ref="O251:P251" ca="1" si="25">O250+1</f>
        <v>2804</v>
      </c>
      <c r="P251" s="2">
        <f t="shared" ca="1" si="25"/>
        <v>3504</v>
      </c>
    </row>
    <row r="252" spans="1:16" s="2" customFormat="1" ht="15.75" customHeight="1" x14ac:dyDescent="0.35">
      <c r="A252" s="85">
        <v>5</v>
      </c>
      <c r="B252" s="86"/>
      <c r="C252" s="14" t="s">
        <v>172</v>
      </c>
      <c r="D252" s="14">
        <f>(5.8*3.2+3.55*2.32+3.42*2.75+3.65*3.05+2.4*1.5+3.57*3.57+3.55*3.57+2.4*1.5+1.5*2.25+1*5.4+0.6*1.4+1.52*(3.2+2.75+7.4)+1.37*3.05)*10.764</f>
        <v>1227.4985735999999</v>
      </c>
      <c r="E252" s="14">
        <v>0</v>
      </c>
      <c r="F252" s="14">
        <v>2160</v>
      </c>
      <c r="G252" s="89"/>
      <c r="H252" s="90"/>
      <c r="I252" s="31"/>
      <c r="N252" s="2" t="str">
        <f t="shared" ca="1" si="22"/>
        <v>2805,..,3505</v>
      </c>
      <c r="O252" s="2">
        <f t="shared" ref="O252:P252" ca="1" si="26">O251+1</f>
        <v>2805</v>
      </c>
      <c r="P252" s="2">
        <f t="shared" ca="1" si="26"/>
        <v>3505</v>
      </c>
    </row>
    <row r="253" spans="1:16" s="2" customFormat="1" ht="15.75" customHeight="1" x14ac:dyDescent="0.35">
      <c r="A253" s="85">
        <v>6</v>
      </c>
      <c r="B253" s="86"/>
      <c r="C253" s="14" t="s">
        <v>172</v>
      </c>
      <c r="D253" s="14">
        <f>(5.8*3.2+3.55*2.32+3.42*2.75+3.65*3.05+2.4*1.5+3.57*3.57+3.55*3.57+2.4*1.5+1.5*2.25+1*5.4+0.6*1.4+1.52*(3.2+2.75+7.4)+1.37*3.05)*10.764</f>
        <v>1227.4985735999999</v>
      </c>
      <c r="E253" s="14">
        <v>0</v>
      </c>
      <c r="F253" s="14">
        <v>2160</v>
      </c>
      <c r="G253" s="91"/>
      <c r="H253" s="92"/>
      <c r="I253" s="31"/>
      <c r="N253" s="2" t="str">
        <f t="shared" ca="1" si="22"/>
        <v>2806,..,3506</v>
      </c>
      <c r="O253" s="2">
        <f ca="1">O252+1</f>
        <v>2806</v>
      </c>
      <c r="P253" s="2">
        <f ca="1">P252+1</f>
        <v>3506</v>
      </c>
    </row>
    <row r="254" spans="1:16" s="2" customFormat="1" x14ac:dyDescent="0.35">
      <c r="A254" s="102" t="s">
        <v>206</v>
      </c>
      <c r="B254" s="103"/>
      <c r="C254" s="103"/>
      <c r="D254" s="103"/>
      <c r="E254" s="103"/>
      <c r="F254" s="103"/>
      <c r="G254" s="103"/>
      <c r="H254" s="104"/>
      <c r="I254" s="31"/>
    </row>
    <row r="255" spans="1:16" s="2" customFormat="1" ht="15.75" customHeight="1" x14ac:dyDescent="0.35">
      <c r="A255" s="85">
        <v>1</v>
      </c>
      <c r="B255" s="86"/>
      <c r="C255" s="14" t="s">
        <v>171</v>
      </c>
      <c r="D255" s="14">
        <f>(3.2*5.2+3.35*1.25+2.6*2.75+2.9*3.65+3.8*3.05+1.35*2.2+1.5*2.4+1*1.35+1.5*1.6+2.6*0.9+1.5*(3.2+2.2))*10.764</f>
        <v>763.30214999999987</v>
      </c>
      <c r="E255" s="14">
        <v>0</v>
      </c>
      <c r="F255" s="14">
        <v>1305</v>
      </c>
      <c r="G255" s="87" t="str">
        <f>A254</f>
        <v>31st &amp; 36th Floor for Residential (Part Refuge Area)</v>
      </c>
      <c r="H255" s="88"/>
      <c r="I255" s="31"/>
      <c r="N255" s="2" t="str">
        <f t="shared" ref="N255:N260" ca="1" si="27">O255&amp;""&amp;",..,"&amp;""&amp;P255</f>
        <v>301,..,3601</v>
      </c>
      <c r="O255" s="2">
        <f ca="1">(SUMPRODUCT(MID(0&amp;(LEFT(A254,SUM(LEN(A254)-LEN(SUBSTITUTE(A254,{0,1,2},""))))), LARGE(INDEX(ISNUMBER(--MID((LEFT(A254,SUM(LEN(A254)-LEN(SUBSTITUTE(A254,{0,1,2},""))))), ROW(INDIRECT("1:"&amp;LEN((LEFT(A254,SUM(LEN(A254)-LEN(SUBSTITUTE(A254,{0,1,2},"")))))))), 1)) * ROW(INDIRECT("1:"&amp;LEN((LEFT(A254,SUM(LEN(A254)-LEN(SUBSTITUTE(A254,{0,1,2},"")))))))), 0), ROW(INDIRECT("1:"&amp;LEN((LEFT(A254,SUM(LEN(A254)-LEN(SUBSTITUTE(A254,{0,1,2},"")))))))))+1, 1) * 10^ROW(INDIRECT("1:"&amp;LEN((LEFT(A254,SUM(LEN(A254)-LEN(SUBSTITUTE(A254,{0,1,2},""))))))))/10))*100+1</f>
        <v>301</v>
      </c>
      <c r="P255" s="2">
        <f ca="1">(SUMPRODUCT(MID(0&amp;(--TRIM(RIGHT(SUBSTITUTE(LEFT(A254,_xlfn.AGGREGATE(16,6,FIND({0,1,2,3,4,5,6,7,8,9},A254,ROW(INDIRECT("1:"&amp;LEN(A254)))),1))," ",REPT(" ",LEN(A254))),LEN(A254)))), LARGE(INDEX(ISNUMBER(--MID((--TRIM(RIGHT(SUBSTITUTE(LEFT(A254,_xlfn.AGGREGATE(16,6,FIND({0,1,2,3,4,5,6,7,8,9},A254,ROW(INDIRECT("1:"&amp;LEN(A254)))),1))," ",REPT(" ",LEN(A254))),LEN(A254)))), ROW(INDIRECT("1:"&amp;LEN((--TRIM(RIGHT(SUBSTITUTE(LEFT(A254,_xlfn.AGGREGATE(16,6,FIND({0,1,2,3,4,5,6,7,8,9},A254,ROW(INDIRECT("1:"&amp;LEN(A254)))),1))," ",REPT(" ",LEN(A254))),LEN(A254))))))), 1)) * ROW(INDIRECT("1:"&amp;LEN((--TRIM(RIGHT(SUBSTITUTE(LEFT(A254,_xlfn.AGGREGATE(16,6,FIND({0,1,2,3,4,5,6,7,8,9},A254,ROW(INDIRECT("1:"&amp;LEN(A254)))),1))," ",REPT(" ",LEN(A254))),LEN(A254))))))), 0), ROW(INDIRECT("1:"&amp;LEN((--TRIM(RIGHT(SUBSTITUTE(LEFT(A254,_xlfn.AGGREGATE(16,6,FIND({0,1,2,3,4,5,6,7,8,9},A254,ROW(INDIRECT("1:"&amp;LEN(A254)))),1))," ",REPT(" ",LEN(A254))),LEN(A254))))))))+1, 1) * 10^ROW(INDIRECT("1:"&amp;LEN((--TRIM(RIGHT(SUBSTITUTE(LEFT(A254,_xlfn.AGGREGATE(16,6,FIND({0,1,2,3,4,5,6,7,8,9},A254,ROW(INDIRECT("1:"&amp;LEN(A254)))),1))," ",REPT(" ",LEN(A254))),LEN(A254)))))))/10))*100+1</f>
        <v>3601</v>
      </c>
    </row>
    <row r="256" spans="1:16" s="2" customFormat="1" ht="15.75" customHeight="1" x14ac:dyDescent="0.35">
      <c r="A256" s="85">
        <v>2</v>
      </c>
      <c r="B256" s="86"/>
      <c r="C256" s="14" t="s">
        <v>171</v>
      </c>
      <c r="D256" s="14">
        <f>(3.12*5.5+3.35*1.33+2.6*2.75+3.05*3.65+3.8*3.35+1.35*2.2+1.5*2.4+1*1.35+1.5*1.5+1.65*3.12+1.88*2.6+1.5*2.2+3.05*0.8)*10.764</f>
        <v>845.77053599999988</v>
      </c>
      <c r="E256" s="14">
        <v>0</v>
      </c>
      <c r="F256" s="14">
        <v>1435</v>
      </c>
      <c r="G256" s="89"/>
      <c r="H256" s="90"/>
      <c r="I256" s="31"/>
      <c r="N256" s="2" t="str">
        <f t="shared" ca="1" si="27"/>
        <v>302,..,3602</v>
      </c>
      <c r="O256" s="2">
        <f t="shared" ref="O256:P256" ca="1" si="28">O255+1</f>
        <v>302</v>
      </c>
      <c r="P256" s="2">
        <f t="shared" ca="1" si="28"/>
        <v>3602</v>
      </c>
    </row>
    <row r="257" spans="1:16" s="2" customFormat="1" ht="15.75" customHeight="1" x14ac:dyDescent="0.35">
      <c r="A257" s="85">
        <v>3</v>
      </c>
      <c r="B257" s="86"/>
      <c r="C257" s="14" t="s">
        <v>171</v>
      </c>
      <c r="D257" s="14">
        <f>(3.12*5.5+3.35*1.33+2.6*2.75+3.05*3.65+3.8*3.4+1.5*2.4+1.35*2.2+1*1.35+1.5*1.5+1.65*3.12+1.88*2.6+3.05*0.8+1.52*3.7)*10.764</f>
        <v>872.831232</v>
      </c>
      <c r="E257" s="14">
        <v>0</v>
      </c>
      <c r="F257" s="14">
        <v>1460</v>
      </c>
      <c r="G257" s="89"/>
      <c r="H257" s="90"/>
      <c r="I257" s="31"/>
      <c r="N257" s="2" t="str">
        <f t="shared" ca="1" si="27"/>
        <v>303,..,3603</v>
      </c>
      <c r="O257" s="2">
        <f t="shared" ref="O257:P257" ca="1" si="29">O256+1</f>
        <v>303</v>
      </c>
      <c r="P257" s="2">
        <f t="shared" ca="1" si="29"/>
        <v>3603</v>
      </c>
    </row>
    <row r="258" spans="1:16" s="2" customFormat="1" ht="15.75" customHeight="1" x14ac:dyDescent="0.35">
      <c r="A258" s="85">
        <v>4</v>
      </c>
      <c r="B258" s="86"/>
      <c r="C258" s="14" t="s">
        <v>172</v>
      </c>
      <c r="D258" s="14">
        <f>(6.1*3.35+3.55*2.32+3.5*2.75+3.95*3.2+2.75*1.65+3.5*4.07+3.55*4.15+2.4*1.65+1.5*2.4+1*5.6+0.6*1.4+1.52*(3.35+2.75)+1.07*3.2+1.52*7.2)*10.764</f>
        <v>1314.1875239999999</v>
      </c>
      <c r="E258" s="14">
        <v>0</v>
      </c>
      <c r="F258" s="14">
        <v>2250</v>
      </c>
      <c r="G258" s="89"/>
      <c r="H258" s="90"/>
      <c r="I258" s="31"/>
      <c r="N258" s="2" t="str">
        <f t="shared" ca="1" si="27"/>
        <v>304,..,3604</v>
      </c>
      <c r="O258" s="2">
        <f t="shared" ref="O258:P258" ca="1" si="30">O257+1</f>
        <v>304</v>
      </c>
      <c r="P258" s="2">
        <f t="shared" ca="1" si="30"/>
        <v>3604</v>
      </c>
    </row>
    <row r="259" spans="1:16" s="2" customFormat="1" ht="15.75" customHeight="1" x14ac:dyDescent="0.35">
      <c r="A259" s="85">
        <v>5</v>
      </c>
      <c r="B259" s="86"/>
      <c r="C259" s="14" t="s">
        <v>172</v>
      </c>
      <c r="D259" s="14">
        <f>(5.8*3.2+3.55*2.32+3.42*2.75+3.65*3.05+2.4*1.5+3.57*3.57+3.55*3.57+2.4*1.5+1.5*2.25+1*5.4+0.6*1.4+1.52*(3.2+2.75+7.4)+1.37*3.05)*10.764</f>
        <v>1227.4985735999999</v>
      </c>
      <c r="E259" s="14">
        <v>0</v>
      </c>
      <c r="F259" s="14">
        <v>2160</v>
      </c>
      <c r="G259" s="89"/>
      <c r="H259" s="90"/>
      <c r="I259" s="31"/>
      <c r="N259" s="2" t="str">
        <f t="shared" ca="1" si="27"/>
        <v>305,..,3605</v>
      </c>
      <c r="O259" s="2">
        <f t="shared" ref="O259:P259" ca="1" si="31">O258+1</f>
        <v>305</v>
      </c>
      <c r="P259" s="2">
        <f t="shared" ca="1" si="31"/>
        <v>3605</v>
      </c>
    </row>
    <row r="260" spans="1:16" s="2" customFormat="1" ht="15.75" customHeight="1" x14ac:dyDescent="0.35">
      <c r="A260" s="85">
        <v>6</v>
      </c>
      <c r="B260" s="86"/>
      <c r="C260" s="14" t="s">
        <v>172</v>
      </c>
      <c r="D260" s="14">
        <f>(5.8*3.2+3.55*2.32+3.42*2.75+3.65*3.05+2.4*1.5+3.57*3.57+3.55*3.57+2.4*1.5+1.5*2.25+1*5.4+0.6*1.4+1.52*(3.2+2.75+7.4)+1.37*3.05)*10.764</f>
        <v>1227.4985735999999</v>
      </c>
      <c r="E260" s="14">
        <v>0</v>
      </c>
      <c r="F260" s="14">
        <v>2160</v>
      </c>
      <c r="G260" s="91"/>
      <c r="H260" s="92"/>
      <c r="I260" s="31"/>
      <c r="N260" s="2" t="str">
        <f t="shared" ca="1" si="27"/>
        <v>306,..,3606</v>
      </c>
      <c r="O260" s="2">
        <f ca="1">O259+1</f>
        <v>306</v>
      </c>
      <c r="P260" s="2">
        <f ca="1">P259+1</f>
        <v>3606</v>
      </c>
    </row>
    <row r="261" spans="1:16" x14ac:dyDescent="0.35">
      <c r="A261" s="100" t="s">
        <v>210</v>
      </c>
      <c r="B261" s="100"/>
      <c r="C261" s="100"/>
      <c r="D261" s="100"/>
      <c r="E261" s="100"/>
      <c r="F261" s="100"/>
      <c r="G261" s="100"/>
      <c r="H261" s="100"/>
    </row>
    <row r="262" spans="1:16" x14ac:dyDescent="0.35">
      <c r="A262" s="100" t="s">
        <v>211</v>
      </c>
      <c r="B262" s="100"/>
      <c r="C262" s="100"/>
      <c r="D262" s="100"/>
      <c r="E262" s="100"/>
      <c r="F262" s="100"/>
      <c r="G262" s="100"/>
      <c r="H262" s="100"/>
    </row>
    <row r="263" spans="1:16" x14ac:dyDescent="0.35">
      <c r="A263" s="100" t="s">
        <v>169</v>
      </c>
      <c r="B263" s="100"/>
      <c r="C263" s="100"/>
      <c r="D263" s="100"/>
      <c r="E263" s="100"/>
      <c r="F263" s="100"/>
      <c r="G263" s="100"/>
      <c r="H263" s="100"/>
    </row>
    <row r="264" spans="1:16" s="2" customFormat="1" x14ac:dyDescent="0.35">
      <c r="A264" s="159" t="s">
        <v>170</v>
      </c>
      <c r="B264" s="159"/>
      <c r="C264" s="159"/>
      <c r="D264" s="159"/>
      <c r="E264" s="159"/>
      <c r="F264" s="159"/>
      <c r="G264" s="159"/>
      <c r="H264" s="159"/>
      <c r="I264" s="31"/>
      <c r="L264" s="126"/>
      <c r="M264" s="126"/>
    </row>
    <row r="265" spans="1:16" s="2" customFormat="1" ht="15.75" customHeight="1" x14ac:dyDescent="0.35">
      <c r="A265" s="163">
        <v>1</v>
      </c>
      <c r="B265" s="163"/>
      <c r="C265" s="14" t="s">
        <v>171</v>
      </c>
      <c r="D265" s="14">
        <f>(3.2*5.2+3.35*1.25+2.6*2.75+2.9*3.65+3.8*3.05+1.35*2.2+1.5*2.4+1*1.35+1.5*1.6+2.6*0.9+1.5*(3.2+2.2))*10.764</f>
        <v>763.30214999999987</v>
      </c>
      <c r="E265" s="14">
        <v>0</v>
      </c>
      <c r="F265" s="14">
        <v>1305</v>
      </c>
      <c r="G265" s="87" t="str">
        <f>A264</f>
        <v>3rd floor for Residential</v>
      </c>
      <c r="H265" s="88"/>
      <c r="I265" s="31"/>
      <c r="N265" s="31"/>
    </row>
    <row r="266" spans="1:16" s="2" customFormat="1" ht="15.75" customHeight="1" x14ac:dyDescent="0.35">
      <c r="A266" s="163">
        <f>A265+1</f>
        <v>2</v>
      </c>
      <c r="B266" s="163"/>
      <c r="C266" s="14" t="s">
        <v>171</v>
      </c>
      <c r="D266" s="14">
        <f>(3.12*5.5+3.35*1.33+2.6*2.75+3.05*3.65+3.8*3.35+1.35*2.2+1.5*2.4+1*1.35+1.5*1.5+1.65*3.12+1.88*2.6+1.5*2.2+3.05*0.8)*10.764</f>
        <v>845.77053599999988</v>
      </c>
      <c r="E266" s="14">
        <v>0</v>
      </c>
      <c r="F266" s="14">
        <v>1435</v>
      </c>
      <c r="G266" s="89"/>
      <c r="H266" s="90"/>
      <c r="I266" s="31"/>
      <c r="N266" s="31"/>
    </row>
    <row r="267" spans="1:16" s="2" customFormat="1" ht="15.75" customHeight="1" x14ac:dyDescent="0.35">
      <c r="A267" s="163">
        <f>A266+1</f>
        <v>3</v>
      </c>
      <c r="B267" s="163"/>
      <c r="C267" s="14" t="s">
        <v>171</v>
      </c>
      <c r="D267" s="14">
        <f>(3.12*5.5+3.35*1.33+2.6*2.75+3.05*3.65+3.8*3.4+1.5*2.4+1.35*2.2+1*1.35+1.5*1.5+1.65*3.12+1.88*2.6+3.05*0.8+1.52*3.7)*10.764</f>
        <v>872.831232</v>
      </c>
      <c r="E267" s="14">
        <v>0</v>
      </c>
      <c r="F267" s="14">
        <v>1460</v>
      </c>
      <c r="G267" s="89"/>
      <c r="H267" s="90"/>
      <c r="I267" s="31"/>
      <c r="N267" s="31"/>
    </row>
    <row r="268" spans="1:16" s="2" customFormat="1" ht="15.75" customHeight="1" x14ac:dyDescent="0.35">
      <c r="A268" s="163">
        <f>A267+1</f>
        <v>4</v>
      </c>
      <c r="B268" s="163"/>
      <c r="C268" s="14" t="s">
        <v>172</v>
      </c>
      <c r="D268" s="14">
        <f>(6.1*3.35+3.55*2.32+3.5*2.75+3.95*3.2+2.75*1.65+3.5*4.07+3.55*4.15+2.4*1.65+1.5*2.4+1*5.6+0.6*1.4+1.52*(3.35+2.75)+1.07*3.2+1.52*7.2)*10.764</f>
        <v>1314.1875239999999</v>
      </c>
      <c r="E268" s="14">
        <v>0</v>
      </c>
      <c r="F268" s="14">
        <v>2250</v>
      </c>
      <c r="G268" s="89"/>
      <c r="H268" s="90"/>
      <c r="I268" s="31"/>
      <c r="N268" s="31"/>
    </row>
    <row r="269" spans="1:16" s="2" customFormat="1" ht="15.75" customHeight="1" x14ac:dyDescent="0.35">
      <c r="A269" s="163">
        <f>A268+1</f>
        <v>5</v>
      </c>
      <c r="B269" s="163"/>
      <c r="C269" s="14" t="s">
        <v>172</v>
      </c>
      <c r="D269" s="14">
        <f>(5.8*3.2+3.55*2.32+3.42*2.75+3.65*3.05+2.4*1.5+3.57*3.57+3.55*3.57+2.4*1.5+1.5*2.25+1*5.4+0.6*1.4+1.52*(3.2+2.75+7.4)+1.37*3.05)*10.764</f>
        <v>1227.4985735999999</v>
      </c>
      <c r="E269" s="14">
        <v>0</v>
      </c>
      <c r="F269" s="14">
        <v>2160</v>
      </c>
      <c r="G269" s="89"/>
      <c r="H269" s="90"/>
      <c r="I269" s="31"/>
      <c r="N269" s="31"/>
    </row>
    <row r="270" spans="1:16" s="2" customFormat="1" ht="15.75" customHeight="1" x14ac:dyDescent="0.35">
      <c r="A270" s="163">
        <f>A269+1</f>
        <v>6</v>
      </c>
      <c r="B270" s="163"/>
      <c r="C270" s="14" t="s">
        <v>172</v>
      </c>
      <c r="D270" s="14">
        <f>(5.8*3.2+3.55*2.32+3.42*2.75+3.65*3.05+2.4*1.5+3.57*3.57+3.55*3.57+2.4*1.5+1.5*2.25+1*5.4+0.6*1.4+1.52*(3.2+2.75+7.4)+1.37*3.05)*10.764</f>
        <v>1227.4985735999999</v>
      </c>
      <c r="E270" s="14">
        <v>0</v>
      </c>
      <c r="F270" s="14">
        <v>2160</v>
      </c>
      <c r="G270" s="91"/>
      <c r="H270" s="92"/>
      <c r="I270" s="31"/>
      <c r="N270" s="31"/>
    </row>
    <row r="271" spans="1:16" s="2" customFormat="1" x14ac:dyDescent="0.35">
      <c r="A271" s="102" t="s">
        <v>209</v>
      </c>
      <c r="B271" s="103"/>
      <c r="C271" s="103"/>
      <c r="D271" s="103"/>
      <c r="E271" s="103"/>
      <c r="F271" s="103"/>
      <c r="G271" s="103"/>
      <c r="H271" s="104"/>
      <c r="I271" s="31"/>
    </row>
    <row r="272" spans="1:16" s="2" customFormat="1" ht="15.75" customHeight="1" x14ac:dyDescent="0.35">
      <c r="A272" s="85">
        <v>1</v>
      </c>
      <c r="B272" s="86"/>
      <c r="C272" s="14" t="s">
        <v>171</v>
      </c>
      <c r="D272" s="14">
        <f>(3.2*5.2+3.35*1.25+2.6*2.75+2.9*3.65+3.8*3.05+1.35*2.2+1.5*2.4+1*1.35+1.5*1.6+2.6*0.9+1.5*(3.2+2.2))*10.764</f>
        <v>763.30214999999987</v>
      </c>
      <c r="E272" s="14">
        <v>0</v>
      </c>
      <c r="F272" s="14">
        <v>1305</v>
      </c>
      <c r="G272" s="87" t="str">
        <f>A271</f>
        <v>4th &amp; 5th, 7th to 10th, 12th to 15th, 17th to 20th, 22nd to 25th, 27th Floor for Residential</v>
      </c>
      <c r="H272" s="88"/>
      <c r="I272" s="31"/>
      <c r="N272" s="2" t="str">
        <f t="shared" ref="N272:N277" ca="1" si="32">O272&amp;""&amp;",..,"&amp;""&amp;P272</f>
        <v>45701,..,2701</v>
      </c>
      <c r="O272" s="2">
        <f ca="1">(SUMPRODUCT(MID(0&amp;(LEFT(A271,SUM(LEN(A271)-LEN(SUBSTITUTE(A271,{0,1,2},""))))), LARGE(INDEX(ISNUMBER(--MID((LEFT(A271,SUM(LEN(A271)-LEN(SUBSTITUTE(A271,{0,1,2},""))))), ROW(INDIRECT("1:"&amp;LEN((LEFT(A271,SUM(LEN(A271)-LEN(SUBSTITUTE(A271,{0,1,2},"")))))))), 1)) * ROW(INDIRECT("1:"&amp;LEN((LEFT(A271,SUM(LEN(A271)-LEN(SUBSTITUTE(A271,{0,1,2},"")))))))), 0), ROW(INDIRECT("1:"&amp;LEN((LEFT(A271,SUM(LEN(A271)-LEN(SUBSTITUTE(A271,{0,1,2},"")))))))))+1, 1) * 10^ROW(INDIRECT("1:"&amp;LEN((LEFT(A271,SUM(LEN(A271)-LEN(SUBSTITUTE(A271,{0,1,2},""))))))))/10))*100+1</f>
        <v>45701</v>
      </c>
      <c r="P272" s="2">
        <f ca="1">(SUMPRODUCT(MID(0&amp;(--TRIM(RIGHT(SUBSTITUTE(LEFT(A271,_xlfn.AGGREGATE(16,6,FIND({0,1,2,3,4,5,6,7,8,9},A271,ROW(INDIRECT("1:"&amp;LEN(A271)))),1))," ",REPT(" ",LEN(A271))),LEN(A271)))), LARGE(INDEX(ISNUMBER(--MID((--TRIM(RIGHT(SUBSTITUTE(LEFT(A271,_xlfn.AGGREGATE(16,6,FIND({0,1,2,3,4,5,6,7,8,9},A271,ROW(INDIRECT("1:"&amp;LEN(A271)))),1))," ",REPT(" ",LEN(A271))),LEN(A271)))), ROW(INDIRECT("1:"&amp;LEN((--TRIM(RIGHT(SUBSTITUTE(LEFT(A271,_xlfn.AGGREGATE(16,6,FIND({0,1,2,3,4,5,6,7,8,9},A271,ROW(INDIRECT("1:"&amp;LEN(A271)))),1))," ",REPT(" ",LEN(A271))),LEN(A271))))))), 1)) * ROW(INDIRECT("1:"&amp;LEN((--TRIM(RIGHT(SUBSTITUTE(LEFT(A271,_xlfn.AGGREGATE(16,6,FIND({0,1,2,3,4,5,6,7,8,9},A271,ROW(INDIRECT("1:"&amp;LEN(A271)))),1))," ",REPT(" ",LEN(A271))),LEN(A271))))))), 0), ROW(INDIRECT("1:"&amp;LEN((--TRIM(RIGHT(SUBSTITUTE(LEFT(A271,_xlfn.AGGREGATE(16,6,FIND({0,1,2,3,4,5,6,7,8,9},A271,ROW(INDIRECT("1:"&amp;LEN(A271)))),1))," ",REPT(" ",LEN(A271))),LEN(A271))))))))+1, 1) * 10^ROW(INDIRECT("1:"&amp;LEN((--TRIM(RIGHT(SUBSTITUTE(LEFT(A271,_xlfn.AGGREGATE(16,6,FIND({0,1,2,3,4,5,6,7,8,9},A271,ROW(INDIRECT("1:"&amp;LEN(A271)))),1))," ",REPT(" ",LEN(A271))),LEN(A271)))))))/10))*100+1</f>
        <v>2701</v>
      </c>
    </row>
    <row r="273" spans="1:16" s="2" customFormat="1" ht="15.75" customHeight="1" x14ac:dyDescent="0.35">
      <c r="A273" s="85">
        <v>2</v>
      </c>
      <c r="B273" s="86"/>
      <c r="C273" s="14" t="s">
        <v>171</v>
      </c>
      <c r="D273" s="14">
        <f>(3.12*5.5+3.35*1.33+2.6*2.75+3.05*3.65+3.8*3.35+1.35*2.2+1.5*2.4+1*1.35+1.5*1.5+1.65*3.12+1.88*2.6+1.5*2.2+3.05*0.8)*10.764</f>
        <v>845.77053599999988</v>
      </c>
      <c r="E273" s="14">
        <v>0</v>
      </c>
      <c r="F273" s="14">
        <v>1435</v>
      </c>
      <c r="G273" s="89"/>
      <c r="H273" s="90"/>
      <c r="I273" s="31"/>
      <c r="N273" s="2" t="str">
        <f t="shared" ca="1" si="32"/>
        <v>45702,..,2702</v>
      </c>
      <c r="O273" s="2">
        <f t="shared" ref="O273:P273" ca="1" si="33">O272+1</f>
        <v>45702</v>
      </c>
      <c r="P273" s="2">
        <f t="shared" ca="1" si="33"/>
        <v>2702</v>
      </c>
    </row>
    <row r="274" spans="1:16" s="2" customFormat="1" ht="15.75" customHeight="1" x14ac:dyDescent="0.35">
      <c r="A274" s="85">
        <v>3</v>
      </c>
      <c r="B274" s="86"/>
      <c r="C274" s="14" t="s">
        <v>171</v>
      </c>
      <c r="D274" s="14">
        <f>(3.12*5.5+3.35*1.33+2.6*2.75+3.05*3.65+3.8*3.4+1.5*2.4+1.35*2.2+1*1.35+1.5*1.5+1.65*3.12+1.88*2.6+3.05*0.8+1.52*3.7)*10.764</f>
        <v>872.831232</v>
      </c>
      <c r="E274" s="14">
        <v>0</v>
      </c>
      <c r="F274" s="14">
        <v>1460</v>
      </c>
      <c r="G274" s="89"/>
      <c r="H274" s="90"/>
      <c r="I274" s="31"/>
      <c r="N274" s="2" t="str">
        <f t="shared" ca="1" si="32"/>
        <v>45703,..,2703</v>
      </c>
      <c r="O274" s="2">
        <f t="shared" ref="O274:P274" ca="1" si="34">O273+1</f>
        <v>45703</v>
      </c>
      <c r="P274" s="2">
        <f t="shared" ca="1" si="34"/>
        <v>2703</v>
      </c>
    </row>
    <row r="275" spans="1:16" s="2" customFormat="1" ht="15.75" customHeight="1" x14ac:dyDescent="0.35">
      <c r="A275" s="85">
        <v>4</v>
      </c>
      <c r="B275" s="86"/>
      <c r="C275" s="14" t="s">
        <v>172</v>
      </c>
      <c r="D275" s="14">
        <f>(6.1*3.35+3.55*2.32+3.5*2.75+3.95*3.2+2.75*1.65+3.5*4.07+3.55*4.15+2.4*1.65+1.5*2.4+1*5.6+0.6*1.4+1.52*(3.35+2.75)+1.07*3.2+1.52*7.2)*10.764</f>
        <v>1314.1875239999999</v>
      </c>
      <c r="E275" s="14">
        <v>0</v>
      </c>
      <c r="F275" s="14">
        <v>2250</v>
      </c>
      <c r="G275" s="89"/>
      <c r="H275" s="90"/>
      <c r="I275" s="31"/>
      <c r="N275" s="2" t="str">
        <f t="shared" ca="1" si="32"/>
        <v>45704,..,2704</v>
      </c>
      <c r="O275" s="2">
        <f t="shared" ref="O275:P275" ca="1" si="35">O274+1</f>
        <v>45704</v>
      </c>
      <c r="P275" s="2">
        <f t="shared" ca="1" si="35"/>
        <v>2704</v>
      </c>
    </row>
    <row r="276" spans="1:16" s="2" customFormat="1" ht="15.75" customHeight="1" x14ac:dyDescent="0.35">
      <c r="A276" s="85">
        <v>5</v>
      </c>
      <c r="B276" s="86"/>
      <c r="C276" s="14" t="s">
        <v>172</v>
      </c>
      <c r="D276" s="14">
        <f>(5.8*3.2+3.55*2.32+3.42*2.75+3.65*3.05+2.4*1.5+3.57*3.57+3.55*3.57+2.4*1.5+1.5*2.25+1*5.4+0.6*1.4+1.52*(3.2+2.75+7.4)+1.37*3.05)*10.764</f>
        <v>1227.4985735999999</v>
      </c>
      <c r="E276" s="14">
        <v>0</v>
      </c>
      <c r="F276" s="14">
        <v>2160</v>
      </c>
      <c r="G276" s="89"/>
      <c r="H276" s="90"/>
      <c r="I276" s="31"/>
      <c r="N276" s="2" t="str">
        <f t="shared" ca="1" si="32"/>
        <v>45705,..,2705</v>
      </c>
      <c r="O276" s="2">
        <f t="shared" ref="O276:P276" ca="1" si="36">O275+1</f>
        <v>45705</v>
      </c>
      <c r="P276" s="2">
        <f t="shared" ca="1" si="36"/>
        <v>2705</v>
      </c>
    </row>
    <row r="277" spans="1:16" s="2" customFormat="1" ht="15.75" customHeight="1" x14ac:dyDescent="0.35">
      <c r="A277" s="85">
        <v>6</v>
      </c>
      <c r="B277" s="86"/>
      <c r="C277" s="14" t="s">
        <v>172</v>
      </c>
      <c r="D277" s="14">
        <f>(5.8*3.2+3.55*2.32+3.42*2.75+3.65*3.05+2.4*1.5+3.57*3.57+3.55*3.57+2.4*1.5+1.5*2.25+1*5.4+0.6*1.4+1.52*(3.2+2.75+7.4)+1.37*3.05)*10.764</f>
        <v>1227.4985735999999</v>
      </c>
      <c r="E277" s="14">
        <v>0</v>
      </c>
      <c r="F277" s="14">
        <v>2160</v>
      </c>
      <c r="G277" s="91"/>
      <c r="H277" s="92"/>
      <c r="I277" s="31"/>
      <c r="N277" s="2" t="str">
        <f t="shared" ca="1" si="32"/>
        <v>45706,..,2706</v>
      </c>
      <c r="O277" s="2">
        <f ca="1">O276+1</f>
        <v>45706</v>
      </c>
      <c r="P277" s="2">
        <f ca="1">P276+1</f>
        <v>2706</v>
      </c>
    </row>
    <row r="278" spans="1:16" s="2" customFormat="1" x14ac:dyDescent="0.35">
      <c r="A278" s="102" t="s">
        <v>208</v>
      </c>
      <c r="B278" s="103"/>
      <c r="C278" s="103"/>
      <c r="D278" s="103"/>
      <c r="E278" s="103"/>
      <c r="F278" s="103"/>
      <c r="G278" s="103"/>
      <c r="H278" s="104"/>
      <c r="I278" s="31"/>
    </row>
    <row r="279" spans="1:16" s="2" customFormat="1" ht="15.75" customHeight="1" x14ac:dyDescent="0.35">
      <c r="A279" s="85">
        <v>1</v>
      </c>
      <c r="B279" s="86"/>
      <c r="C279" s="14" t="s">
        <v>171</v>
      </c>
      <c r="D279" s="14">
        <f>(3.2*5.2+3.35*1.25+2.6*2.75+2.9*3.65+3.8*3.05+1.35*2.2+1.5*2.4+1*1.35+1.5*1.6+2.6*0.9+1.5*(3.2+2.2))*10.764</f>
        <v>763.30214999999987</v>
      </c>
      <c r="E279" s="14">
        <v>0</v>
      </c>
      <c r="F279" s="14">
        <v>1305</v>
      </c>
      <c r="G279" s="87" t="str">
        <f>A278</f>
        <v>6th, 11th, 16th, 21st, 26th Floor for Residential (Part Refuge Area)</v>
      </c>
      <c r="H279" s="88"/>
      <c r="I279" s="31"/>
      <c r="N279" s="2" t="str">
        <f t="shared" ref="N279:N284" ca="1" si="37">O279&amp;""&amp;",..,"&amp;""&amp;P279</f>
        <v>6101,..,2601</v>
      </c>
      <c r="O279" s="2">
        <f ca="1">(SUMPRODUCT(MID(0&amp;(LEFT(A278,SUM(LEN(A278)-LEN(SUBSTITUTE(A278,{0,1,2},""))))), LARGE(INDEX(ISNUMBER(--MID((LEFT(A278,SUM(LEN(A278)-LEN(SUBSTITUTE(A278,{0,1,2},""))))), ROW(INDIRECT("1:"&amp;LEN((LEFT(A278,SUM(LEN(A278)-LEN(SUBSTITUTE(A278,{0,1,2},"")))))))), 1)) * ROW(INDIRECT("1:"&amp;LEN((LEFT(A278,SUM(LEN(A278)-LEN(SUBSTITUTE(A278,{0,1,2},"")))))))), 0), ROW(INDIRECT("1:"&amp;LEN((LEFT(A278,SUM(LEN(A278)-LEN(SUBSTITUTE(A278,{0,1,2},"")))))))))+1, 1) * 10^ROW(INDIRECT("1:"&amp;LEN((LEFT(A278,SUM(LEN(A278)-LEN(SUBSTITUTE(A278,{0,1,2},""))))))))/10))*100+1</f>
        <v>6101</v>
      </c>
      <c r="P279" s="2">
        <f ca="1">(SUMPRODUCT(MID(0&amp;(--TRIM(RIGHT(SUBSTITUTE(LEFT(A278,_xlfn.AGGREGATE(16,6,FIND({0,1,2,3,4,5,6,7,8,9},A278,ROW(INDIRECT("1:"&amp;LEN(A278)))),1))," ",REPT(" ",LEN(A278))),LEN(A278)))), LARGE(INDEX(ISNUMBER(--MID((--TRIM(RIGHT(SUBSTITUTE(LEFT(A278,_xlfn.AGGREGATE(16,6,FIND({0,1,2,3,4,5,6,7,8,9},A278,ROW(INDIRECT("1:"&amp;LEN(A278)))),1))," ",REPT(" ",LEN(A278))),LEN(A278)))), ROW(INDIRECT("1:"&amp;LEN((--TRIM(RIGHT(SUBSTITUTE(LEFT(A278,_xlfn.AGGREGATE(16,6,FIND({0,1,2,3,4,5,6,7,8,9},A278,ROW(INDIRECT("1:"&amp;LEN(A278)))),1))," ",REPT(" ",LEN(A278))),LEN(A278))))))), 1)) * ROW(INDIRECT("1:"&amp;LEN((--TRIM(RIGHT(SUBSTITUTE(LEFT(A278,_xlfn.AGGREGATE(16,6,FIND({0,1,2,3,4,5,6,7,8,9},A278,ROW(INDIRECT("1:"&amp;LEN(A278)))),1))," ",REPT(" ",LEN(A278))),LEN(A278))))))), 0), ROW(INDIRECT("1:"&amp;LEN((--TRIM(RIGHT(SUBSTITUTE(LEFT(A278,_xlfn.AGGREGATE(16,6,FIND({0,1,2,3,4,5,6,7,8,9},A278,ROW(INDIRECT("1:"&amp;LEN(A278)))),1))," ",REPT(" ",LEN(A278))),LEN(A278))))))))+1, 1) * 10^ROW(INDIRECT("1:"&amp;LEN((--TRIM(RIGHT(SUBSTITUTE(LEFT(A278,_xlfn.AGGREGATE(16,6,FIND({0,1,2,3,4,5,6,7,8,9},A278,ROW(INDIRECT("1:"&amp;LEN(A278)))),1))," ",REPT(" ",LEN(A278))),LEN(A278)))))))/10))*100+1</f>
        <v>2601</v>
      </c>
    </row>
    <row r="280" spans="1:16" s="2" customFormat="1" ht="15.75" customHeight="1" x14ac:dyDescent="0.35">
      <c r="A280" s="85">
        <v>2</v>
      </c>
      <c r="B280" s="86"/>
      <c r="C280" s="14" t="s">
        <v>171</v>
      </c>
      <c r="D280" s="14">
        <f>(3.12*5.5+3.35*1.33+2.6*2.75+3.05*3.65+3.8*3.35+1.35*2.2+1.5*2.4+1*1.35+1.5*1.5+1.65*3.12+1.88*2.6+1.5*2.2+3.05*0.8)*10.764</f>
        <v>845.77053599999988</v>
      </c>
      <c r="E280" s="14">
        <v>0</v>
      </c>
      <c r="F280" s="14">
        <v>1435</v>
      </c>
      <c r="G280" s="89"/>
      <c r="H280" s="90"/>
      <c r="I280" s="31"/>
      <c r="N280" s="2" t="str">
        <f t="shared" ca="1" si="37"/>
        <v>6102,..,2602</v>
      </c>
      <c r="O280" s="2">
        <f t="shared" ref="O280:P280" ca="1" si="38">O279+1</f>
        <v>6102</v>
      </c>
      <c r="P280" s="2">
        <f t="shared" ca="1" si="38"/>
        <v>2602</v>
      </c>
    </row>
    <row r="281" spans="1:16" s="2" customFormat="1" ht="15.75" customHeight="1" x14ac:dyDescent="0.35">
      <c r="A281" s="85">
        <v>3</v>
      </c>
      <c r="B281" s="86"/>
      <c r="C281" s="14" t="s">
        <v>171</v>
      </c>
      <c r="D281" s="14">
        <f>(3.12*5.5+3.35*1.33+2.6*2.75+3.05*3.65+3.8*3.4+1.5*2.4+1.35*2.2+1*1.35+1.5*1.5+1.65*3.12+1.88*2.6+3.05*0.8+1.52*3.7)*10.764</f>
        <v>872.831232</v>
      </c>
      <c r="E281" s="14">
        <v>0</v>
      </c>
      <c r="F281" s="14">
        <v>1460</v>
      </c>
      <c r="G281" s="89"/>
      <c r="H281" s="90"/>
      <c r="I281" s="31"/>
      <c r="N281" s="2" t="str">
        <f t="shared" ca="1" si="37"/>
        <v>6103,..,2603</v>
      </c>
      <c r="O281" s="2">
        <f t="shared" ref="O281:P281" ca="1" si="39">O280+1</f>
        <v>6103</v>
      </c>
      <c r="P281" s="2">
        <f t="shared" ca="1" si="39"/>
        <v>2603</v>
      </c>
    </row>
    <row r="282" spans="1:16" s="2" customFormat="1" ht="15.75" customHeight="1" x14ac:dyDescent="0.35">
      <c r="A282" s="85">
        <v>4</v>
      </c>
      <c r="B282" s="86"/>
      <c r="C282" s="14" t="s">
        <v>172</v>
      </c>
      <c r="D282" s="14">
        <f>(6.1*3.35+3.55*2.32+3.5*2.75+3.95*3.2+2.75*1.65+3.5*4.07+3.55*4.15+2.4*1.65+1.5*2.4+1*5.6+0.6*1.4+1.52*(3.35+2.75)+1.07*3.2+1.52*7.2)*10.764</f>
        <v>1314.1875239999999</v>
      </c>
      <c r="E282" s="14">
        <v>0</v>
      </c>
      <c r="F282" s="14">
        <v>2250</v>
      </c>
      <c r="G282" s="89"/>
      <c r="H282" s="90"/>
      <c r="I282" s="31"/>
      <c r="N282" s="2" t="str">
        <f t="shared" ca="1" si="37"/>
        <v>6104,..,2604</v>
      </c>
      <c r="O282" s="2">
        <f t="shared" ref="O282:P282" ca="1" si="40">O281+1</f>
        <v>6104</v>
      </c>
      <c r="P282" s="2">
        <f t="shared" ca="1" si="40"/>
        <v>2604</v>
      </c>
    </row>
    <row r="283" spans="1:16" s="2" customFormat="1" ht="15.75" customHeight="1" x14ac:dyDescent="0.35">
      <c r="A283" s="85">
        <v>5</v>
      </c>
      <c r="B283" s="86"/>
      <c r="C283" s="14" t="s">
        <v>172</v>
      </c>
      <c r="D283" s="14">
        <f>(5.8*3.2+3.55*2.32+3.42*2.75+3.65*3.05+2.4*1.5+3.57*3.57+3.55*3.57+2.4*1.5+1.5*2.25+1*5.4+0.6*1.4+1.52*(3.2+2.75+7.4)+1.37*3.05)*10.764</f>
        <v>1227.4985735999999</v>
      </c>
      <c r="E283" s="14">
        <v>0</v>
      </c>
      <c r="F283" s="14">
        <v>2160</v>
      </c>
      <c r="G283" s="89"/>
      <c r="H283" s="90"/>
      <c r="I283" s="31"/>
      <c r="N283" s="2" t="str">
        <f t="shared" ca="1" si="37"/>
        <v>6105,..,2605</v>
      </c>
      <c r="O283" s="2">
        <f t="shared" ref="O283:P283" ca="1" si="41">O282+1</f>
        <v>6105</v>
      </c>
      <c r="P283" s="2">
        <f t="shared" ca="1" si="41"/>
        <v>2605</v>
      </c>
    </row>
    <row r="284" spans="1:16" s="2" customFormat="1" ht="15.75" customHeight="1" x14ac:dyDescent="0.35">
      <c r="A284" s="85">
        <v>6</v>
      </c>
      <c r="B284" s="86"/>
      <c r="C284" s="14" t="s">
        <v>172</v>
      </c>
      <c r="D284" s="14">
        <f>(5.8*3.2+3.55*2.32+3.42*2.75+3.65*3.05+2.4*1.5+3.57*3.57+3.55*3.57+2.4*1.5+1.5*2.25+1*5.4+0.6*1.4+1.52*(3.2+2.75+7.4)+1.37*3.05)*10.764</f>
        <v>1227.4985735999999</v>
      </c>
      <c r="E284" s="14">
        <v>0</v>
      </c>
      <c r="F284" s="14">
        <v>2160</v>
      </c>
      <c r="G284" s="91"/>
      <c r="H284" s="92"/>
      <c r="I284" s="31"/>
      <c r="N284" s="2" t="str">
        <f t="shared" ca="1" si="37"/>
        <v>6106,..,2606</v>
      </c>
      <c r="O284" s="2">
        <f ca="1">O283+1</f>
        <v>6106</v>
      </c>
      <c r="P284" s="2">
        <f ca="1">P283+1</f>
        <v>2606</v>
      </c>
    </row>
    <row r="285" spans="1:16" s="2" customFormat="1" x14ac:dyDescent="0.35">
      <c r="A285" s="102" t="s">
        <v>207</v>
      </c>
      <c r="B285" s="103"/>
      <c r="C285" s="103"/>
      <c r="D285" s="103"/>
      <c r="E285" s="103"/>
      <c r="F285" s="103"/>
      <c r="G285" s="103"/>
      <c r="H285" s="104"/>
      <c r="I285" s="31"/>
    </row>
    <row r="286" spans="1:16" s="2" customFormat="1" ht="15.75" customHeight="1" x14ac:dyDescent="0.35">
      <c r="A286" s="85">
        <v>1</v>
      </c>
      <c r="B286" s="86"/>
      <c r="C286" s="14" t="s">
        <v>171</v>
      </c>
      <c r="D286" s="14">
        <f>(3.2*5.2+3.35*1.25+2.6*2.75+2.9*3.65+3.8*3.05+1.35*2.2+1.5*2.4+1*1.35+1.5*1.6+2.6*0.9+1.5*(3.2+2.2))*10.764</f>
        <v>763.30214999999987</v>
      </c>
      <c r="E286" s="14">
        <v>0</v>
      </c>
      <c r="F286" s="14">
        <v>1305</v>
      </c>
      <c r="G286" s="87" t="str">
        <f>A285</f>
        <v>28th to 30th, 32nd to 35th Floor for Residential</v>
      </c>
      <c r="H286" s="88"/>
      <c r="I286" s="31"/>
      <c r="N286" s="2" t="str">
        <f t="shared" ref="N286:N291" ca="1" si="42">O286&amp;""&amp;",..,"&amp;""&amp;P286</f>
        <v>2801,..,3501</v>
      </c>
      <c r="O286" s="2">
        <f ca="1">(SUMPRODUCT(MID(0&amp;(LEFT(A285,SUM(LEN(A285)-LEN(SUBSTITUTE(A285,{0,1,2},""))))), LARGE(INDEX(ISNUMBER(--MID((LEFT(A285,SUM(LEN(A285)-LEN(SUBSTITUTE(A285,{0,1,2},""))))), ROW(INDIRECT("1:"&amp;LEN((LEFT(A285,SUM(LEN(A285)-LEN(SUBSTITUTE(A285,{0,1,2},"")))))))), 1)) * ROW(INDIRECT("1:"&amp;LEN((LEFT(A285,SUM(LEN(A285)-LEN(SUBSTITUTE(A285,{0,1,2},"")))))))), 0), ROW(INDIRECT("1:"&amp;LEN((LEFT(A285,SUM(LEN(A285)-LEN(SUBSTITUTE(A285,{0,1,2},"")))))))))+1, 1) * 10^ROW(INDIRECT("1:"&amp;LEN((LEFT(A285,SUM(LEN(A285)-LEN(SUBSTITUTE(A285,{0,1,2},""))))))))/10))*100+1</f>
        <v>2801</v>
      </c>
      <c r="P286" s="2">
        <f ca="1">(SUMPRODUCT(MID(0&amp;(--TRIM(RIGHT(SUBSTITUTE(LEFT(A285,_xlfn.AGGREGATE(16,6,FIND({0,1,2,3,4,5,6,7,8,9},A285,ROW(INDIRECT("1:"&amp;LEN(A285)))),1))," ",REPT(" ",LEN(A285))),LEN(A285)))), LARGE(INDEX(ISNUMBER(--MID((--TRIM(RIGHT(SUBSTITUTE(LEFT(A285,_xlfn.AGGREGATE(16,6,FIND({0,1,2,3,4,5,6,7,8,9},A285,ROW(INDIRECT("1:"&amp;LEN(A285)))),1))," ",REPT(" ",LEN(A285))),LEN(A285)))), ROW(INDIRECT("1:"&amp;LEN((--TRIM(RIGHT(SUBSTITUTE(LEFT(A285,_xlfn.AGGREGATE(16,6,FIND({0,1,2,3,4,5,6,7,8,9},A285,ROW(INDIRECT("1:"&amp;LEN(A285)))),1))," ",REPT(" ",LEN(A285))),LEN(A285))))))), 1)) * ROW(INDIRECT("1:"&amp;LEN((--TRIM(RIGHT(SUBSTITUTE(LEFT(A285,_xlfn.AGGREGATE(16,6,FIND({0,1,2,3,4,5,6,7,8,9},A285,ROW(INDIRECT("1:"&amp;LEN(A285)))),1))," ",REPT(" ",LEN(A285))),LEN(A285))))))), 0), ROW(INDIRECT("1:"&amp;LEN((--TRIM(RIGHT(SUBSTITUTE(LEFT(A285,_xlfn.AGGREGATE(16,6,FIND({0,1,2,3,4,5,6,7,8,9},A285,ROW(INDIRECT("1:"&amp;LEN(A285)))),1))," ",REPT(" ",LEN(A285))),LEN(A285))))))))+1, 1) * 10^ROW(INDIRECT("1:"&amp;LEN((--TRIM(RIGHT(SUBSTITUTE(LEFT(A285,_xlfn.AGGREGATE(16,6,FIND({0,1,2,3,4,5,6,7,8,9},A285,ROW(INDIRECT("1:"&amp;LEN(A285)))),1))," ",REPT(" ",LEN(A285))),LEN(A285)))))))/10))*100+1</f>
        <v>3501</v>
      </c>
    </row>
    <row r="287" spans="1:16" s="2" customFormat="1" ht="15.75" customHeight="1" x14ac:dyDescent="0.35">
      <c r="A287" s="85">
        <v>2</v>
      </c>
      <c r="B287" s="86"/>
      <c r="C287" s="14" t="s">
        <v>171</v>
      </c>
      <c r="D287" s="14">
        <f>(3.12*5.5+3.35*1.33+2.6*2.75+3.05*3.65+3.8*3.35+1.35*2.2+1.5*2.4+1*1.35+1.5*1.5+1.65*3.12+1.88*2.6+1.5*2.2+3.05*0.8)*10.764</f>
        <v>845.77053599999988</v>
      </c>
      <c r="E287" s="14">
        <v>0</v>
      </c>
      <c r="F287" s="14">
        <v>1435</v>
      </c>
      <c r="G287" s="89"/>
      <c r="H287" s="90"/>
      <c r="I287" s="31"/>
      <c r="N287" s="2" t="str">
        <f t="shared" ca="1" si="42"/>
        <v>2802,..,3502</v>
      </c>
      <c r="O287" s="2">
        <f t="shared" ref="O287:P287" ca="1" si="43">O286+1</f>
        <v>2802</v>
      </c>
      <c r="P287" s="2">
        <f t="shared" ca="1" si="43"/>
        <v>3502</v>
      </c>
    </row>
    <row r="288" spans="1:16" s="2" customFormat="1" ht="15.75" customHeight="1" x14ac:dyDescent="0.35">
      <c r="A288" s="85">
        <v>3</v>
      </c>
      <c r="B288" s="86"/>
      <c r="C288" s="14" t="s">
        <v>171</v>
      </c>
      <c r="D288" s="14">
        <f>(3.12*5.5+3.35*1.33+2.6*2.75+3.05*3.65+3.8*3.4+1.5*2.4+1.35*2.2+1*1.35+1.5*1.5+1.65*3.12+1.88*2.6+3.05*0.8+1.52*3.7)*10.764</f>
        <v>872.831232</v>
      </c>
      <c r="E288" s="14">
        <v>0</v>
      </c>
      <c r="F288" s="14">
        <v>1460</v>
      </c>
      <c r="G288" s="89"/>
      <c r="H288" s="90"/>
      <c r="I288" s="31"/>
      <c r="N288" s="2" t="str">
        <f t="shared" ca="1" si="42"/>
        <v>2803,..,3503</v>
      </c>
      <c r="O288" s="2">
        <f t="shared" ref="O288:P288" ca="1" si="44">O287+1</f>
        <v>2803</v>
      </c>
      <c r="P288" s="2">
        <f t="shared" ca="1" si="44"/>
        <v>3503</v>
      </c>
    </row>
    <row r="289" spans="1:16" s="2" customFormat="1" ht="15.75" customHeight="1" x14ac:dyDescent="0.35">
      <c r="A289" s="85">
        <v>4</v>
      </c>
      <c r="B289" s="86"/>
      <c r="C289" s="14" t="s">
        <v>172</v>
      </c>
      <c r="D289" s="14">
        <f>(6.1*3.35+3.55*2.32+3.5*2.75+3.95*3.2+2.75*1.65+3.5*4.07+3.55*4.15+2.4*1.65+1.5*2.4+1*5.6+0.6*1.4+1.52*(3.35+2.75)+1.07*3.2+1.52*7.2)*10.764</f>
        <v>1314.1875239999999</v>
      </c>
      <c r="E289" s="14">
        <v>0</v>
      </c>
      <c r="F289" s="14">
        <v>2250</v>
      </c>
      <c r="G289" s="89"/>
      <c r="H289" s="90"/>
      <c r="I289" s="31"/>
      <c r="N289" s="2" t="str">
        <f t="shared" ca="1" si="42"/>
        <v>2804,..,3504</v>
      </c>
      <c r="O289" s="2">
        <f t="shared" ref="O289:P289" ca="1" si="45">O288+1</f>
        <v>2804</v>
      </c>
      <c r="P289" s="2">
        <f t="shared" ca="1" si="45"/>
        <v>3504</v>
      </c>
    </row>
    <row r="290" spans="1:16" s="2" customFormat="1" ht="15.75" customHeight="1" x14ac:dyDescent="0.35">
      <c r="A290" s="85">
        <v>5</v>
      </c>
      <c r="B290" s="86"/>
      <c r="C290" s="14" t="s">
        <v>172</v>
      </c>
      <c r="D290" s="14">
        <f>(5.8*3.2+3.55*2.32+3.42*2.75+3.65*3.05+2.4*1.5+3.57*3.57+3.55*3.57+2.4*1.5+1.5*2.25+1*5.4+0.6*1.4+1.52*(3.2+2.75+7.4)+1.37*3.05)*10.764</f>
        <v>1227.4985735999999</v>
      </c>
      <c r="E290" s="14">
        <v>0</v>
      </c>
      <c r="F290" s="14">
        <v>2160</v>
      </c>
      <c r="G290" s="89"/>
      <c r="H290" s="90"/>
      <c r="I290" s="31"/>
      <c r="N290" s="2" t="str">
        <f t="shared" ca="1" si="42"/>
        <v>2805,..,3505</v>
      </c>
      <c r="O290" s="2">
        <f t="shared" ref="O290:P290" ca="1" si="46">O289+1</f>
        <v>2805</v>
      </c>
      <c r="P290" s="2">
        <f t="shared" ca="1" si="46"/>
        <v>3505</v>
      </c>
    </row>
    <row r="291" spans="1:16" s="2" customFormat="1" ht="15.75" customHeight="1" x14ac:dyDescent="0.35">
      <c r="A291" s="85">
        <v>6</v>
      </c>
      <c r="B291" s="86"/>
      <c r="C291" s="14" t="s">
        <v>172</v>
      </c>
      <c r="D291" s="14">
        <f>(5.8*3.2+3.55*2.32+3.42*2.75+3.65*3.05+2.4*1.5+3.57*3.57+3.55*3.57+2.4*1.5+1.5*2.25+1*5.4+0.6*1.4+1.52*(3.2+2.75+7.4)+1.37*3.05)*10.764</f>
        <v>1227.4985735999999</v>
      </c>
      <c r="E291" s="14">
        <v>0</v>
      </c>
      <c r="F291" s="14">
        <v>2160</v>
      </c>
      <c r="G291" s="91"/>
      <c r="H291" s="92"/>
      <c r="I291" s="31"/>
      <c r="N291" s="2" t="str">
        <f t="shared" ca="1" si="42"/>
        <v>2806,..,3506</v>
      </c>
      <c r="O291" s="2">
        <f ca="1">O290+1</f>
        <v>2806</v>
      </c>
      <c r="P291" s="2">
        <f ca="1">P290+1</f>
        <v>3506</v>
      </c>
    </row>
    <row r="292" spans="1:16" s="2" customFormat="1" x14ac:dyDescent="0.35">
      <c r="A292" s="102" t="s">
        <v>206</v>
      </c>
      <c r="B292" s="103"/>
      <c r="C292" s="103"/>
      <c r="D292" s="103"/>
      <c r="E292" s="103"/>
      <c r="F292" s="103"/>
      <c r="G292" s="103"/>
      <c r="H292" s="104"/>
      <c r="I292" s="31"/>
    </row>
    <row r="293" spans="1:16" s="2" customFormat="1" ht="15.75" customHeight="1" x14ac:dyDescent="0.35">
      <c r="A293" s="85">
        <v>1</v>
      </c>
      <c r="B293" s="86"/>
      <c r="C293" s="14" t="s">
        <v>171</v>
      </c>
      <c r="D293" s="14">
        <f>(3.2*5.2+3.35*1.25+2.6*2.75+2.9*3.65+3.8*3.05+1.35*2.2+1.5*2.4+1*1.35+1.5*1.6+2.6*0.9+1.5*(3.2+2.2))*10.764</f>
        <v>763.30214999999987</v>
      </c>
      <c r="E293" s="14">
        <v>0</v>
      </c>
      <c r="F293" s="14">
        <v>1305</v>
      </c>
      <c r="G293" s="87" t="str">
        <f>A292</f>
        <v>31st &amp; 36th Floor for Residential (Part Refuge Area)</v>
      </c>
      <c r="H293" s="88"/>
      <c r="I293" s="31"/>
      <c r="N293" s="2" t="str">
        <f t="shared" ref="N293:N298" ca="1" si="47">O293&amp;""&amp;",..,"&amp;""&amp;P293</f>
        <v>301,..,3601</v>
      </c>
      <c r="O293" s="2">
        <f ca="1">(SUMPRODUCT(MID(0&amp;(LEFT(A292,SUM(LEN(A292)-LEN(SUBSTITUTE(A292,{0,1,2},""))))), LARGE(INDEX(ISNUMBER(--MID((LEFT(A292,SUM(LEN(A292)-LEN(SUBSTITUTE(A292,{0,1,2},""))))), ROW(INDIRECT("1:"&amp;LEN((LEFT(A292,SUM(LEN(A292)-LEN(SUBSTITUTE(A292,{0,1,2},"")))))))), 1)) * ROW(INDIRECT("1:"&amp;LEN((LEFT(A292,SUM(LEN(A292)-LEN(SUBSTITUTE(A292,{0,1,2},"")))))))), 0), ROW(INDIRECT("1:"&amp;LEN((LEFT(A292,SUM(LEN(A292)-LEN(SUBSTITUTE(A292,{0,1,2},"")))))))))+1, 1) * 10^ROW(INDIRECT("1:"&amp;LEN((LEFT(A292,SUM(LEN(A292)-LEN(SUBSTITUTE(A292,{0,1,2},""))))))))/10))*100+1</f>
        <v>301</v>
      </c>
      <c r="P293" s="2">
        <f ca="1">(SUMPRODUCT(MID(0&amp;(--TRIM(RIGHT(SUBSTITUTE(LEFT(A292,_xlfn.AGGREGATE(16,6,FIND({0,1,2,3,4,5,6,7,8,9},A292,ROW(INDIRECT("1:"&amp;LEN(A292)))),1))," ",REPT(" ",LEN(A292))),LEN(A292)))), LARGE(INDEX(ISNUMBER(--MID((--TRIM(RIGHT(SUBSTITUTE(LEFT(A292,_xlfn.AGGREGATE(16,6,FIND({0,1,2,3,4,5,6,7,8,9},A292,ROW(INDIRECT("1:"&amp;LEN(A292)))),1))," ",REPT(" ",LEN(A292))),LEN(A292)))), ROW(INDIRECT("1:"&amp;LEN((--TRIM(RIGHT(SUBSTITUTE(LEFT(A292,_xlfn.AGGREGATE(16,6,FIND({0,1,2,3,4,5,6,7,8,9},A292,ROW(INDIRECT("1:"&amp;LEN(A292)))),1))," ",REPT(" ",LEN(A292))),LEN(A292))))))), 1)) * ROW(INDIRECT("1:"&amp;LEN((--TRIM(RIGHT(SUBSTITUTE(LEFT(A292,_xlfn.AGGREGATE(16,6,FIND({0,1,2,3,4,5,6,7,8,9},A292,ROW(INDIRECT("1:"&amp;LEN(A292)))),1))," ",REPT(" ",LEN(A292))),LEN(A292))))))), 0), ROW(INDIRECT("1:"&amp;LEN((--TRIM(RIGHT(SUBSTITUTE(LEFT(A292,_xlfn.AGGREGATE(16,6,FIND({0,1,2,3,4,5,6,7,8,9},A292,ROW(INDIRECT("1:"&amp;LEN(A292)))),1))," ",REPT(" ",LEN(A292))),LEN(A292))))))))+1, 1) * 10^ROW(INDIRECT("1:"&amp;LEN((--TRIM(RIGHT(SUBSTITUTE(LEFT(A292,_xlfn.AGGREGATE(16,6,FIND({0,1,2,3,4,5,6,7,8,9},A292,ROW(INDIRECT("1:"&amp;LEN(A292)))),1))," ",REPT(" ",LEN(A292))),LEN(A292)))))))/10))*100+1</f>
        <v>3601</v>
      </c>
    </row>
    <row r="294" spans="1:16" s="2" customFormat="1" ht="15.75" customHeight="1" x14ac:dyDescent="0.35">
      <c r="A294" s="85">
        <v>2</v>
      </c>
      <c r="B294" s="86"/>
      <c r="C294" s="14" t="s">
        <v>171</v>
      </c>
      <c r="D294" s="14">
        <f>(3.12*5.5+3.35*1.33+2.6*2.75+3.05*3.65+3.8*3.35+1.35*2.2+1.5*2.4+1*1.35+1.5*1.5+1.65*3.12+1.88*2.6+1.5*2.2+3.05*0.8)*10.764</f>
        <v>845.77053599999988</v>
      </c>
      <c r="E294" s="14">
        <v>0</v>
      </c>
      <c r="F294" s="14">
        <v>1435</v>
      </c>
      <c r="G294" s="89"/>
      <c r="H294" s="90"/>
      <c r="I294" s="31"/>
      <c r="N294" s="2" t="str">
        <f t="shared" ca="1" si="47"/>
        <v>302,..,3602</v>
      </c>
      <c r="O294" s="2">
        <f t="shared" ref="O294:P294" ca="1" si="48">O293+1</f>
        <v>302</v>
      </c>
      <c r="P294" s="2">
        <f t="shared" ca="1" si="48"/>
        <v>3602</v>
      </c>
    </row>
    <row r="295" spans="1:16" s="2" customFormat="1" ht="15.75" customHeight="1" x14ac:dyDescent="0.35">
      <c r="A295" s="85">
        <v>3</v>
      </c>
      <c r="B295" s="86"/>
      <c r="C295" s="14" t="s">
        <v>171</v>
      </c>
      <c r="D295" s="14">
        <f>(3.12*5.5+3.35*1.33+2.6*2.75+3.05*3.65+3.8*3.4+1.5*2.4+1.35*2.2+1*1.35+1.5*1.5+1.65*3.12+1.88*2.6+3.05*0.8+1.52*3.7)*10.764</f>
        <v>872.831232</v>
      </c>
      <c r="E295" s="14">
        <v>0</v>
      </c>
      <c r="F295" s="14">
        <v>1460</v>
      </c>
      <c r="G295" s="89"/>
      <c r="H295" s="90"/>
      <c r="I295" s="31"/>
      <c r="N295" s="2" t="str">
        <f t="shared" ca="1" si="47"/>
        <v>303,..,3603</v>
      </c>
      <c r="O295" s="2">
        <f t="shared" ref="O295:P295" ca="1" si="49">O294+1</f>
        <v>303</v>
      </c>
      <c r="P295" s="2">
        <f t="shared" ca="1" si="49"/>
        <v>3603</v>
      </c>
    </row>
    <row r="296" spans="1:16" s="2" customFormat="1" ht="15.75" customHeight="1" x14ac:dyDescent="0.35">
      <c r="A296" s="85">
        <v>4</v>
      </c>
      <c r="B296" s="86"/>
      <c r="C296" s="14" t="s">
        <v>172</v>
      </c>
      <c r="D296" s="14">
        <f>(6.1*3.35+3.55*2.32+3.5*2.75+3.95*3.2+2.75*1.65+3.5*4.07+3.55*4.15+2.4*1.65+1.5*2.4+1*5.6+0.6*1.4+1.52*(3.35+2.75)+1.07*3.2+1.52*7.2)*10.764</f>
        <v>1314.1875239999999</v>
      </c>
      <c r="E296" s="14">
        <v>0</v>
      </c>
      <c r="F296" s="14">
        <v>2250</v>
      </c>
      <c r="G296" s="89"/>
      <c r="H296" s="90"/>
      <c r="I296" s="31"/>
      <c r="N296" s="2" t="str">
        <f t="shared" ca="1" si="47"/>
        <v>304,..,3604</v>
      </c>
      <c r="O296" s="2">
        <f t="shared" ref="O296:P296" ca="1" si="50">O295+1</f>
        <v>304</v>
      </c>
      <c r="P296" s="2">
        <f t="shared" ca="1" si="50"/>
        <v>3604</v>
      </c>
    </row>
    <row r="297" spans="1:16" s="2" customFormat="1" ht="15.75" customHeight="1" x14ac:dyDescent="0.35">
      <c r="A297" s="85">
        <v>5</v>
      </c>
      <c r="B297" s="86"/>
      <c r="C297" s="14" t="s">
        <v>172</v>
      </c>
      <c r="D297" s="14">
        <f>(5.8*3.2+3.55*2.32+3.42*2.75+3.65*3.05+2.4*1.5+3.57*3.57+3.55*3.57+2.4*1.5+1.5*2.25+1*5.4+0.6*1.4+1.52*(3.2+2.75+7.4)+1.37*3.05)*10.764</f>
        <v>1227.4985735999999</v>
      </c>
      <c r="E297" s="14">
        <v>0</v>
      </c>
      <c r="F297" s="14">
        <v>2160</v>
      </c>
      <c r="G297" s="89"/>
      <c r="H297" s="90"/>
      <c r="I297" s="31"/>
      <c r="N297" s="2" t="str">
        <f t="shared" ca="1" si="47"/>
        <v>305,..,3605</v>
      </c>
      <c r="O297" s="2">
        <f t="shared" ref="O297:P297" ca="1" si="51">O296+1</f>
        <v>305</v>
      </c>
      <c r="P297" s="2">
        <f t="shared" ca="1" si="51"/>
        <v>3605</v>
      </c>
    </row>
    <row r="298" spans="1:16" s="2" customFormat="1" ht="15.75" customHeight="1" x14ac:dyDescent="0.35">
      <c r="A298" s="85">
        <v>6</v>
      </c>
      <c r="B298" s="86"/>
      <c r="C298" s="14" t="s">
        <v>172</v>
      </c>
      <c r="D298" s="14">
        <f>(5.8*3.2+3.55*2.32+3.42*2.75+3.65*3.05+2.4*1.5+3.57*3.57+3.55*3.57+2.4*1.5+1.5*2.25+1*5.4+0.6*1.4+1.52*(3.2+2.75+7.4)+1.37*3.05)*10.764</f>
        <v>1227.4985735999999</v>
      </c>
      <c r="E298" s="14">
        <v>0</v>
      </c>
      <c r="F298" s="14">
        <v>2160</v>
      </c>
      <c r="G298" s="91"/>
      <c r="H298" s="92"/>
      <c r="I298" s="31"/>
      <c r="N298" s="2" t="str">
        <f t="shared" ca="1" si="47"/>
        <v>306,..,3606</v>
      </c>
      <c r="O298" s="2">
        <f ca="1">O297+1</f>
        <v>306</v>
      </c>
      <c r="P298" s="2">
        <f ca="1">P297+1</f>
        <v>3606</v>
      </c>
    </row>
    <row r="299" spans="1:16" s="1" customFormat="1" x14ac:dyDescent="0.35">
      <c r="A299" s="160" t="s">
        <v>74</v>
      </c>
      <c r="B299" s="160"/>
      <c r="C299" s="160"/>
      <c r="D299" s="160"/>
      <c r="E299" s="160"/>
      <c r="F299" s="160"/>
      <c r="G299" s="160"/>
      <c r="H299" s="160"/>
    </row>
    <row r="300" spans="1:16" s="1" customFormat="1" x14ac:dyDescent="0.35">
      <c r="A300" s="35">
        <v>1</v>
      </c>
      <c r="B300" s="82" t="s">
        <v>115</v>
      </c>
      <c r="C300" s="83"/>
      <c r="D300" s="83"/>
      <c r="E300" s="83"/>
      <c r="F300" s="83"/>
      <c r="G300" s="83"/>
      <c r="H300" s="84"/>
    </row>
    <row r="301" spans="1:16" s="1" customFormat="1" x14ac:dyDescent="0.35">
      <c r="A301" s="35">
        <f t="shared" ref="A301:A308" si="52">A300+1</f>
        <v>2</v>
      </c>
      <c r="B301" s="82" t="str">
        <f>(IF(F221="Saleable area Loading :","We have considered Saleable area of Flats as per our Calculation.","We considered Saleable area of Flat as per Builder area Sheet."))</f>
        <v>We considered Saleable area of Flat as per Builder area Sheet.</v>
      </c>
      <c r="C301" s="83"/>
      <c r="D301" s="83"/>
      <c r="E301" s="83"/>
      <c r="F301" s="83"/>
      <c r="G301" s="83"/>
      <c r="H301" s="84"/>
    </row>
    <row r="302" spans="1:16" s="1" customFormat="1" x14ac:dyDescent="0.35">
      <c r="A302" s="35">
        <f t="shared" si="52"/>
        <v>3</v>
      </c>
      <c r="B302" s="82" t="str">
        <f>(IF(F123="Saleable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302" s="83"/>
      <c r="D302" s="83"/>
      <c r="E302" s="83"/>
      <c r="F302" s="83"/>
      <c r="G302" s="83"/>
      <c r="H302" s="84"/>
    </row>
    <row r="303" spans="1:16" s="1" customFormat="1" x14ac:dyDescent="0.35">
      <c r="A303" s="35">
        <f>A302+1</f>
        <v>4</v>
      </c>
      <c r="B303" s="93" t="s">
        <v>135</v>
      </c>
      <c r="C303" s="94"/>
      <c r="D303" s="94"/>
      <c r="E303" s="94"/>
      <c r="F303" s="94"/>
      <c r="G303" s="94"/>
      <c r="H303" s="95"/>
    </row>
    <row r="304" spans="1:16" s="1" customFormat="1" x14ac:dyDescent="0.35">
      <c r="A304" s="35">
        <f t="shared" si="52"/>
        <v>5</v>
      </c>
      <c r="B304" s="93" t="s">
        <v>194</v>
      </c>
      <c r="C304" s="94"/>
      <c r="D304" s="94"/>
      <c r="E304" s="94"/>
      <c r="F304" s="94"/>
      <c r="G304" s="94"/>
      <c r="H304" s="95"/>
    </row>
    <row r="305" spans="1:8" s="1" customFormat="1" x14ac:dyDescent="0.35">
      <c r="A305" s="35">
        <f t="shared" si="52"/>
        <v>6</v>
      </c>
      <c r="B305" s="93" t="s">
        <v>136</v>
      </c>
      <c r="C305" s="94"/>
      <c r="D305" s="94"/>
      <c r="E305" s="94"/>
      <c r="F305" s="94"/>
      <c r="G305" s="94"/>
      <c r="H305" s="95"/>
    </row>
    <row r="306" spans="1:8" s="1" customFormat="1" x14ac:dyDescent="0.35">
      <c r="A306" s="35">
        <f t="shared" si="52"/>
        <v>7</v>
      </c>
      <c r="B306" s="93" t="s">
        <v>137</v>
      </c>
      <c r="C306" s="94"/>
      <c r="D306" s="94"/>
      <c r="E306" s="94"/>
      <c r="F306" s="94"/>
      <c r="G306" s="94"/>
      <c r="H306" s="95"/>
    </row>
    <row r="307" spans="1:8" s="1" customFormat="1" x14ac:dyDescent="0.35">
      <c r="A307" s="35">
        <f t="shared" si="52"/>
        <v>8</v>
      </c>
      <c r="B307" s="82" t="s">
        <v>237</v>
      </c>
      <c r="C307" s="83"/>
      <c r="D307" s="83"/>
      <c r="E307" s="83"/>
      <c r="F307" s="83"/>
      <c r="G307" s="83"/>
      <c r="H307" s="84"/>
    </row>
    <row r="308" spans="1:8" s="1" customFormat="1" x14ac:dyDescent="0.35">
      <c r="A308" s="62">
        <f t="shared" si="52"/>
        <v>9</v>
      </c>
      <c r="B308" s="93" t="s">
        <v>236</v>
      </c>
      <c r="C308" s="94"/>
      <c r="D308" s="94"/>
      <c r="E308" s="94"/>
      <c r="F308" s="94"/>
      <c r="G308" s="94"/>
      <c r="H308" s="95"/>
    </row>
    <row r="309" spans="1:8" x14ac:dyDescent="0.35">
      <c r="A309" s="140" t="s">
        <v>67</v>
      </c>
      <c r="B309" s="140"/>
      <c r="C309" s="140"/>
      <c r="D309" s="140"/>
      <c r="E309" s="140"/>
      <c r="F309" s="140"/>
      <c r="G309" s="140"/>
      <c r="H309" s="140"/>
    </row>
    <row r="310" spans="1:8" x14ac:dyDescent="0.35">
      <c r="A310" s="72" t="s">
        <v>68</v>
      </c>
      <c r="B310" s="72"/>
      <c r="C310" s="72"/>
      <c r="D310" s="72"/>
      <c r="E310" s="72"/>
      <c r="F310" s="72"/>
      <c r="G310" s="72"/>
      <c r="H310" s="72"/>
    </row>
    <row r="311" spans="1:8" ht="15.75" customHeight="1" x14ac:dyDescent="0.35">
      <c r="A311" s="164" t="s">
        <v>69</v>
      </c>
      <c r="B311" s="164"/>
      <c r="C311" s="164"/>
      <c r="D311" s="164"/>
      <c r="E311" s="164"/>
      <c r="F311" s="164"/>
      <c r="G311" s="164"/>
      <c r="H311" s="164"/>
    </row>
    <row r="312" spans="1:8" x14ac:dyDescent="0.35">
      <c r="A312" s="72" t="s">
        <v>70</v>
      </c>
      <c r="B312" s="72"/>
      <c r="C312" s="72"/>
      <c r="D312" s="72"/>
      <c r="E312" s="72"/>
      <c r="F312" s="72"/>
      <c r="G312" s="72"/>
      <c r="H312" s="72"/>
    </row>
    <row r="313" spans="1:8" x14ac:dyDescent="0.35">
      <c r="A313" s="72" t="s">
        <v>71</v>
      </c>
      <c r="B313" s="72"/>
      <c r="C313" s="72"/>
      <c r="D313" s="72"/>
      <c r="E313" s="72"/>
      <c r="F313" s="72"/>
      <c r="G313" s="72"/>
      <c r="H313" s="72"/>
    </row>
    <row r="314" spans="1:8" x14ac:dyDescent="0.35">
      <c r="A314" s="72" t="s">
        <v>138</v>
      </c>
      <c r="B314" s="72"/>
      <c r="C314" s="72"/>
      <c r="D314" s="72"/>
      <c r="E314" s="72"/>
      <c r="F314" s="72"/>
      <c r="G314" s="72"/>
      <c r="H314" s="72"/>
    </row>
    <row r="315" spans="1:8" ht="35.25" customHeight="1" x14ac:dyDescent="0.35">
      <c r="A315" s="141" t="s">
        <v>139</v>
      </c>
      <c r="B315" s="141"/>
      <c r="C315" s="141"/>
      <c r="D315" s="141"/>
      <c r="E315" s="141"/>
      <c r="F315" s="141"/>
      <c r="G315" s="141"/>
      <c r="H315" s="141"/>
    </row>
    <row r="316" spans="1:8" x14ac:dyDescent="0.35">
      <c r="A316" s="158" t="s">
        <v>85</v>
      </c>
      <c r="B316" s="158"/>
      <c r="C316" s="158" t="s">
        <v>231</v>
      </c>
      <c r="D316" s="158"/>
      <c r="E316" s="158" t="s">
        <v>116</v>
      </c>
      <c r="F316" s="158"/>
      <c r="G316" s="158" t="s">
        <v>238</v>
      </c>
      <c r="H316" s="158"/>
    </row>
    <row r="317" spans="1:8" x14ac:dyDescent="0.35">
      <c r="A317" s="157" t="s">
        <v>87</v>
      </c>
      <c r="B317" s="157"/>
      <c r="C317" s="157"/>
      <c r="D317" s="157"/>
      <c r="E317" s="157"/>
      <c r="F317" s="157"/>
      <c r="G317" s="157"/>
      <c r="H317" s="157"/>
    </row>
    <row r="318" spans="1:8" x14ac:dyDescent="0.35">
      <c r="A318" s="157"/>
      <c r="B318" s="157"/>
      <c r="C318" s="157"/>
      <c r="D318" s="157"/>
      <c r="E318" s="157"/>
      <c r="F318" s="157"/>
      <c r="G318" s="157"/>
      <c r="H318" s="157"/>
    </row>
    <row r="319" spans="1:8" x14ac:dyDescent="0.35">
      <c r="A319" s="157"/>
      <c r="B319" s="157"/>
      <c r="C319" s="157"/>
      <c r="D319" s="157"/>
      <c r="E319" s="157"/>
      <c r="F319" s="157"/>
      <c r="G319" s="157"/>
      <c r="H319" s="157"/>
    </row>
    <row r="320" spans="1:8" x14ac:dyDescent="0.35">
      <c r="A320" s="157"/>
      <c r="B320" s="157"/>
      <c r="C320" s="157"/>
      <c r="D320" s="157"/>
      <c r="E320" s="157"/>
      <c r="F320" s="157"/>
      <c r="G320" s="157"/>
      <c r="H320" s="157"/>
    </row>
    <row r="321" spans="1:8" x14ac:dyDescent="0.35">
      <c r="A321" s="9" t="s">
        <v>72</v>
      </c>
      <c r="B321" s="10"/>
      <c r="C321" s="10"/>
      <c r="D321" s="9" t="str">
        <f>E8</f>
        <v>Sai World Legend</v>
      </c>
      <c r="F321" s="10"/>
      <c r="G321" s="10"/>
      <c r="H321" s="10"/>
    </row>
    <row r="322" spans="1:8" x14ac:dyDescent="0.35">
      <c r="A322" s="10"/>
      <c r="B322" s="10"/>
      <c r="C322" s="10"/>
      <c r="D322" s="10"/>
      <c r="E322" s="10"/>
      <c r="F322" s="10"/>
      <c r="G322" s="10"/>
      <c r="H322" s="10"/>
    </row>
    <row r="323" spans="1:8" x14ac:dyDescent="0.35">
      <c r="A323" s="10"/>
      <c r="B323" s="10"/>
      <c r="C323" s="10"/>
      <c r="D323" s="10"/>
      <c r="E323" s="10"/>
      <c r="F323" s="10"/>
      <c r="G323" s="10"/>
      <c r="H323" s="10"/>
    </row>
    <row r="324" spans="1:8" ht="15" customHeight="1" x14ac:dyDescent="0.35"/>
    <row r="364" spans="1:1" x14ac:dyDescent="0.35">
      <c r="A364" s="12" t="s">
        <v>73</v>
      </c>
    </row>
  </sheetData>
  <mergeCells count="638">
    <mergeCell ref="B308:H308"/>
    <mergeCell ref="A95:B95"/>
    <mergeCell ref="A96:B96"/>
    <mergeCell ref="A297:B297"/>
    <mergeCell ref="A280:B280"/>
    <mergeCell ref="A281:B281"/>
    <mergeCell ref="A258:B258"/>
    <mergeCell ref="A259:B259"/>
    <mergeCell ref="A260:B260"/>
    <mergeCell ref="A262:H262"/>
    <mergeCell ref="A263:H263"/>
    <mergeCell ref="A264:H264"/>
    <mergeCell ref="A240:H240"/>
    <mergeCell ref="A241:B241"/>
    <mergeCell ref="A242:B242"/>
    <mergeCell ref="A243:B243"/>
    <mergeCell ref="A244:B244"/>
    <mergeCell ref="A245:B245"/>
    <mergeCell ref="A246:B246"/>
    <mergeCell ref="G279:H284"/>
    <mergeCell ref="A282:B282"/>
    <mergeCell ref="A283:B283"/>
    <mergeCell ref="A284:B284"/>
    <mergeCell ref="A285:H285"/>
    <mergeCell ref="A286:B286"/>
    <mergeCell ref="A298:B298"/>
    <mergeCell ref="C48:H48"/>
    <mergeCell ref="A292:H292"/>
    <mergeCell ref="A293:B293"/>
    <mergeCell ref="A294:B294"/>
    <mergeCell ref="A295:B295"/>
    <mergeCell ref="A296:B296"/>
    <mergeCell ref="A287:B287"/>
    <mergeCell ref="A288:B288"/>
    <mergeCell ref="A289:B289"/>
    <mergeCell ref="A290:B290"/>
    <mergeCell ref="A291:B291"/>
    <mergeCell ref="A83:B83"/>
    <mergeCell ref="C83:H83"/>
    <mergeCell ref="A85:B85"/>
    <mergeCell ref="C85:H85"/>
    <mergeCell ref="A86:B86"/>
    <mergeCell ref="E86:F86"/>
    <mergeCell ref="G86:H86"/>
    <mergeCell ref="A87:B87"/>
    <mergeCell ref="E87:F96"/>
    <mergeCell ref="G87:H96"/>
    <mergeCell ref="A88:B88"/>
    <mergeCell ref="A279:B279"/>
    <mergeCell ref="G286:H291"/>
    <mergeCell ref="A271:H271"/>
    <mergeCell ref="A272:B272"/>
    <mergeCell ref="A273:B273"/>
    <mergeCell ref="A274:B274"/>
    <mergeCell ref="A275:B275"/>
    <mergeCell ref="A276:B276"/>
    <mergeCell ref="G272:H277"/>
    <mergeCell ref="A277:B277"/>
    <mergeCell ref="A278:H278"/>
    <mergeCell ref="A238:B238"/>
    <mergeCell ref="A237:B237"/>
    <mergeCell ref="A234:B234"/>
    <mergeCell ref="A222:H222"/>
    <mergeCell ref="L264:M264"/>
    <mergeCell ref="A265:B265"/>
    <mergeCell ref="A266:B266"/>
    <mergeCell ref="G265:H270"/>
    <mergeCell ref="A267:B267"/>
    <mergeCell ref="A268:B268"/>
    <mergeCell ref="A269:B269"/>
    <mergeCell ref="A270:B270"/>
    <mergeCell ref="A249:B249"/>
    <mergeCell ref="A250:B250"/>
    <mergeCell ref="A251:B251"/>
    <mergeCell ref="A252:B252"/>
    <mergeCell ref="A253:B253"/>
    <mergeCell ref="A254:H254"/>
    <mergeCell ref="A255:B255"/>
    <mergeCell ref="A256:B256"/>
    <mergeCell ref="A257:B257"/>
    <mergeCell ref="A216:B216"/>
    <mergeCell ref="G216:H216"/>
    <mergeCell ref="L216:M216"/>
    <mergeCell ref="A217:B217"/>
    <mergeCell ref="G217:H217"/>
    <mergeCell ref="L217:M217"/>
    <mergeCell ref="A247:H247"/>
    <mergeCell ref="A248:B248"/>
    <mergeCell ref="A218:B218"/>
    <mergeCell ref="G218:H218"/>
    <mergeCell ref="L218:M218"/>
    <mergeCell ref="A219:B219"/>
    <mergeCell ref="G219:H219"/>
    <mergeCell ref="L219:M219"/>
    <mergeCell ref="A223:H223"/>
    <mergeCell ref="A224:H224"/>
    <mergeCell ref="A225:H225"/>
    <mergeCell ref="L226:M226"/>
    <mergeCell ref="A220:H220"/>
    <mergeCell ref="A231:B231"/>
    <mergeCell ref="A228:B228"/>
    <mergeCell ref="A229:B229"/>
    <mergeCell ref="A230:B230"/>
    <mergeCell ref="A239:B239"/>
    <mergeCell ref="A213:B213"/>
    <mergeCell ref="G213:H213"/>
    <mergeCell ref="L213:M213"/>
    <mergeCell ref="A214:B214"/>
    <mergeCell ref="G214:H214"/>
    <mergeCell ref="L214:M214"/>
    <mergeCell ref="A215:B215"/>
    <mergeCell ref="G215:H215"/>
    <mergeCell ref="L215:M215"/>
    <mergeCell ref="A210:B210"/>
    <mergeCell ref="G210:H210"/>
    <mergeCell ref="L210:M210"/>
    <mergeCell ref="A211:B211"/>
    <mergeCell ref="G211:H211"/>
    <mergeCell ref="L211:M211"/>
    <mergeCell ref="A212:B212"/>
    <mergeCell ref="G212:H212"/>
    <mergeCell ref="L212:M212"/>
    <mergeCell ref="A207:B207"/>
    <mergeCell ref="G207:H207"/>
    <mergeCell ref="L207:M207"/>
    <mergeCell ref="A208:B208"/>
    <mergeCell ref="G208:H208"/>
    <mergeCell ref="L208:M208"/>
    <mergeCell ref="A209:B209"/>
    <mergeCell ref="G209:H209"/>
    <mergeCell ref="L209:M209"/>
    <mergeCell ref="A204:B204"/>
    <mergeCell ref="G204:H204"/>
    <mergeCell ref="L204:M204"/>
    <mergeCell ref="A205:B205"/>
    <mergeCell ref="G205:H205"/>
    <mergeCell ref="L205:M205"/>
    <mergeCell ref="A206:B206"/>
    <mergeCell ref="G206:H206"/>
    <mergeCell ref="L206:M206"/>
    <mergeCell ref="A201:B201"/>
    <mergeCell ref="G201:H201"/>
    <mergeCell ref="L201:M201"/>
    <mergeCell ref="A202:B202"/>
    <mergeCell ref="G202:H202"/>
    <mergeCell ref="L202:M202"/>
    <mergeCell ref="A203:B203"/>
    <mergeCell ref="G203:H203"/>
    <mergeCell ref="L203:M203"/>
    <mergeCell ref="A198:B198"/>
    <mergeCell ref="G198:H198"/>
    <mergeCell ref="L198:M198"/>
    <mergeCell ref="A195:B195"/>
    <mergeCell ref="G195:H195"/>
    <mergeCell ref="G199:H199"/>
    <mergeCell ref="L199:M199"/>
    <mergeCell ref="A200:B200"/>
    <mergeCell ref="G200:H200"/>
    <mergeCell ref="L200:M200"/>
    <mergeCell ref="A194:B194"/>
    <mergeCell ref="G194:H194"/>
    <mergeCell ref="L194:M194"/>
    <mergeCell ref="G191:H191"/>
    <mergeCell ref="L195:M195"/>
    <mergeCell ref="A196:B196"/>
    <mergeCell ref="G196:H196"/>
    <mergeCell ref="L196:M196"/>
    <mergeCell ref="A197:B197"/>
    <mergeCell ref="G197:H197"/>
    <mergeCell ref="L197:M197"/>
    <mergeCell ref="A190:B190"/>
    <mergeCell ref="G190:H190"/>
    <mergeCell ref="L190:M190"/>
    <mergeCell ref="A187:B187"/>
    <mergeCell ref="L191:M191"/>
    <mergeCell ref="A192:B192"/>
    <mergeCell ref="G192:H192"/>
    <mergeCell ref="L192:M192"/>
    <mergeCell ref="A193:B193"/>
    <mergeCell ref="G193:H193"/>
    <mergeCell ref="L193:M193"/>
    <mergeCell ref="A186:B186"/>
    <mergeCell ref="G186:H186"/>
    <mergeCell ref="L186:M186"/>
    <mergeCell ref="L187:M187"/>
    <mergeCell ref="A188:B188"/>
    <mergeCell ref="G188:H188"/>
    <mergeCell ref="L188:M188"/>
    <mergeCell ref="A189:B189"/>
    <mergeCell ref="G189:H189"/>
    <mergeCell ref="L189:M189"/>
    <mergeCell ref="G181:H181"/>
    <mergeCell ref="L181:M181"/>
    <mergeCell ref="L183:M183"/>
    <mergeCell ref="A184:B184"/>
    <mergeCell ref="G184:H184"/>
    <mergeCell ref="L184:M184"/>
    <mergeCell ref="A185:B185"/>
    <mergeCell ref="G185:H185"/>
    <mergeCell ref="L185:M185"/>
    <mergeCell ref="L177:M177"/>
    <mergeCell ref="A174:B174"/>
    <mergeCell ref="G174:H174"/>
    <mergeCell ref="L178:M178"/>
    <mergeCell ref="A179:B179"/>
    <mergeCell ref="G179:H179"/>
    <mergeCell ref="L179:M179"/>
    <mergeCell ref="A180:B180"/>
    <mergeCell ref="G180:H180"/>
    <mergeCell ref="L180:M180"/>
    <mergeCell ref="L173:M173"/>
    <mergeCell ref="A170:B170"/>
    <mergeCell ref="G170:H170"/>
    <mergeCell ref="L174:M174"/>
    <mergeCell ref="A175:B175"/>
    <mergeCell ref="G175:H175"/>
    <mergeCell ref="L175:M175"/>
    <mergeCell ref="A176:B176"/>
    <mergeCell ref="G176:H176"/>
    <mergeCell ref="L176:M176"/>
    <mergeCell ref="L169:M169"/>
    <mergeCell ref="A166:B166"/>
    <mergeCell ref="G166:H166"/>
    <mergeCell ref="L170:M170"/>
    <mergeCell ref="A171:B171"/>
    <mergeCell ref="G171:H171"/>
    <mergeCell ref="L171:M171"/>
    <mergeCell ref="A172:B172"/>
    <mergeCell ref="G172:H172"/>
    <mergeCell ref="L172:M172"/>
    <mergeCell ref="L165:M165"/>
    <mergeCell ref="A162:B162"/>
    <mergeCell ref="G162:H162"/>
    <mergeCell ref="L166:M166"/>
    <mergeCell ref="A167:B167"/>
    <mergeCell ref="G167:H167"/>
    <mergeCell ref="L167:M167"/>
    <mergeCell ref="A168:B168"/>
    <mergeCell ref="G168:H168"/>
    <mergeCell ref="L168:M168"/>
    <mergeCell ref="L161:M161"/>
    <mergeCell ref="A158:B158"/>
    <mergeCell ref="G158:H158"/>
    <mergeCell ref="L162:M162"/>
    <mergeCell ref="A163:B163"/>
    <mergeCell ref="G163:H163"/>
    <mergeCell ref="L163:M163"/>
    <mergeCell ref="A164:B164"/>
    <mergeCell ref="G164:H164"/>
    <mergeCell ref="L164:M164"/>
    <mergeCell ref="L157:M157"/>
    <mergeCell ref="A154:B154"/>
    <mergeCell ref="G154:H154"/>
    <mergeCell ref="L158:M158"/>
    <mergeCell ref="A159:B159"/>
    <mergeCell ref="G159:H159"/>
    <mergeCell ref="L159:M159"/>
    <mergeCell ref="A160:B160"/>
    <mergeCell ref="G160:H160"/>
    <mergeCell ref="L160:M160"/>
    <mergeCell ref="L152:M152"/>
    <mergeCell ref="A153:B153"/>
    <mergeCell ref="G153:H153"/>
    <mergeCell ref="L153:M153"/>
    <mergeCell ref="L154:M154"/>
    <mergeCell ref="A155:B155"/>
    <mergeCell ref="G155:H155"/>
    <mergeCell ref="L155:M155"/>
    <mergeCell ref="A156:B156"/>
    <mergeCell ref="G156:H156"/>
    <mergeCell ref="L156:M156"/>
    <mergeCell ref="L149:M149"/>
    <mergeCell ref="A146:B146"/>
    <mergeCell ref="G146:H146"/>
    <mergeCell ref="L150:M150"/>
    <mergeCell ref="A150:B150"/>
    <mergeCell ref="G150:H150"/>
    <mergeCell ref="A151:B151"/>
    <mergeCell ref="G151:H151"/>
    <mergeCell ref="L151:M151"/>
    <mergeCell ref="L145:M145"/>
    <mergeCell ref="A141:B141"/>
    <mergeCell ref="G141:H141"/>
    <mergeCell ref="L146:M146"/>
    <mergeCell ref="A147:B147"/>
    <mergeCell ref="G147:H147"/>
    <mergeCell ref="L147:M147"/>
    <mergeCell ref="A148:B148"/>
    <mergeCell ref="G148:H148"/>
    <mergeCell ref="L148:M148"/>
    <mergeCell ref="L140:M140"/>
    <mergeCell ref="A137:B137"/>
    <mergeCell ref="G137:H137"/>
    <mergeCell ref="L141:M141"/>
    <mergeCell ref="A142:B142"/>
    <mergeCell ref="G142:H142"/>
    <mergeCell ref="L142:M142"/>
    <mergeCell ref="A143:B143"/>
    <mergeCell ref="G143:H143"/>
    <mergeCell ref="L143:M143"/>
    <mergeCell ref="L137:M137"/>
    <mergeCell ref="A138:B138"/>
    <mergeCell ref="G138:H138"/>
    <mergeCell ref="L138:M138"/>
    <mergeCell ref="A139:B139"/>
    <mergeCell ref="G139:H139"/>
    <mergeCell ref="L139:M139"/>
    <mergeCell ref="A140:B140"/>
    <mergeCell ref="G140:H140"/>
    <mergeCell ref="L133:M133"/>
    <mergeCell ref="A134:B134"/>
    <mergeCell ref="G134:H134"/>
    <mergeCell ref="L134:M134"/>
    <mergeCell ref="A135:B135"/>
    <mergeCell ref="G135:H135"/>
    <mergeCell ref="L135:M135"/>
    <mergeCell ref="A136:B136"/>
    <mergeCell ref="G136:H136"/>
    <mergeCell ref="L136:M136"/>
    <mergeCell ref="A133:B133"/>
    <mergeCell ref="G133:H133"/>
    <mergeCell ref="A53:C53"/>
    <mergeCell ref="D53:H53"/>
    <mergeCell ref="G49:H49"/>
    <mergeCell ref="A54:C54"/>
    <mergeCell ref="G46:H46"/>
    <mergeCell ref="A47:B48"/>
    <mergeCell ref="E39:H39"/>
    <mergeCell ref="A39:D39"/>
    <mergeCell ref="A314:H314"/>
    <mergeCell ref="A232:B232"/>
    <mergeCell ref="A311:H311"/>
    <mergeCell ref="A227:B227"/>
    <mergeCell ref="A117:B117"/>
    <mergeCell ref="G221:H221"/>
    <mergeCell ref="A77:B77"/>
    <mergeCell ref="A78:B78"/>
    <mergeCell ref="A79:B79"/>
    <mergeCell ref="A69:B69"/>
    <mergeCell ref="C69:H69"/>
    <mergeCell ref="F98:H98"/>
    <mergeCell ref="A97:H97"/>
    <mergeCell ref="G113:H113"/>
    <mergeCell ref="A45:B45"/>
    <mergeCell ref="C45:E45"/>
    <mergeCell ref="B305:H305"/>
    <mergeCell ref="A309:H309"/>
    <mergeCell ref="A310:H310"/>
    <mergeCell ref="E117:F117"/>
    <mergeCell ref="E112:F112"/>
    <mergeCell ref="A121:H121"/>
    <mergeCell ref="A112:B112"/>
    <mergeCell ref="F105:H105"/>
    <mergeCell ref="C112:D112"/>
    <mergeCell ref="F108:H108"/>
    <mergeCell ref="F106:H106"/>
    <mergeCell ref="A235:B235"/>
    <mergeCell ref="A122:H122"/>
    <mergeCell ref="G112:H112"/>
    <mergeCell ref="A107:E107"/>
    <mergeCell ref="C113:D113"/>
    <mergeCell ref="E113:F113"/>
    <mergeCell ref="B306:H306"/>
    <mergeCell ref="B307:H307"/>
    <mergeCell ref="B302:H302"/>
    <mergeCell ref="A178:B178"/>
    <mergeCell ref="A199:B199"/>
    <mergeCell ref="G187:H187"/>
    <mergeCell ref="A191:B191"/>
    <mergeCell ref="A67:B68"/>
    <mergeCell ref="C67:D68"/>
    <mergeCell ref="E67:F68"/>
    <mergeCell ref="G67:H68"/>
    <mergeCell ref="A317:H320"/>
    <mergeCell ref="A316:B316"/>
    <mergeCell ref="E316:F316"/>
    <mergeCell ref="C316:D316"/>
    <mergeCell ref="G316:H316"/>
    <mergeCell ref="A111:H111"/>
    <mergeCell ref="A109:E109"/>
    <mergeCell ref="F109:H109"/>
    <mergeCell ref="A110:E110"/>
    <mergeCell ref="F110:H110"/>
    <mergeCell ref="A226:H226"/>
    <mergeCell ref="A118:B118"/>
    <mergeCell ref="A236:B236"/>
    <mergeCell ref="A312:H312"/>
    <mergeCell ref="A116:H116"/>
    <mergeCell ref="A315:H315"/>
    <mergeCell ref="A313:H313"/>
    <mergeCell ref="A299:H299"/>
    <mergeCell ref="A261:H261"/>
    <mergeCell ref="A233:H233"/>
    <mergeCell ref="A62:C62"/>
    <mergeCell ref="D62:H62"/>
    <mergeCell ref="A66:B66"/>
    <mergeCell ref="A64:B64"/>
    <mergeCell ref="C64:H64"/>
    <mergeCell ref="A59:C59"/>
    <mergeCell ref="D59:H59"/>
    <mergeCell ref="C66:H66"/>
    <mergeCell ref="A60:C60"/>
    <mergeCell ref="D60:H60"/>
    <mergeCell ref="A63:C63"/>
    <mergeCell ref="D63:H63"/>
    <mergeCell ref="A61:C61"/>
    <mergeCell ref="D61:H6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F30:H30"/>
    <mergeCell ref="F31:H31"/>
    <mergeCell ref="C29:E29"/>
    <mergeCell ref="F32:H32"/>
    <mergeCell ref="F29:H29"/>
    <mergeCell ref="A30:B30"/>
    <mergeCell ref="A29:B29"/>
    <mergeCell ref="C30:E30"/>
    <mergeCell ref="A37:H37"/>
    <mergeCell ref="C33:E33"/>
    <mergeCell ref="F33:H33"/>
    <mergeCell ref="A35:B35"/>
    <mergeCell ref="A49:B49"/>
    <mergeCell ref="C49:E49"/>
    <mergeCell ref="A46:B46"/>
    <mergeCell ref="A51:H51"/>
    <mergeCell ref="A52:C52"/>
    <mergeCell ref="E35:F35"/>
    <mergeCell ref="C35:D35"/>
    <mergeCell ref="G35:H35"/>
    <mergeCell ref="A36:B36"/>
    <mergeCell ref="C36:H36"/>
    <mergeCell ref="A50:B50"/>
    <mergeCell ref="C50:E50"/>
    <mergeCell ref="G50:H50"/>
    <mergeCell ref="A31:B31"/>
    <mergeCell ref="C31:E31"/>
    <mergeCell ref="A34:H34"/>
    <mergeCell ref="A33:B33"/>
    <mergeCell ref="A38:D38"/>
    <mergeCell ref="E38:H38"/>
    <mergeCell ref="A57:C57"/>
    <mergeCell ref="A58:C58"/>
    <mergeCell ref="D57:H57"/>
    <mergeCell ref="D58:H58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4:H54"/>
    <mergeCell ref="G45:H45"/>
    <mergeCell ref="G47:H47"/>
    <mergeCell ref="D52:H52"/>
    <mergeCell ref="C47:E47"/>
    <mergeCell ref="A55:C56"/>
    <mergeCell ref="D55:H55"/>
    <mergeCell ref="D56:H56"/>
    <mergeCell ref="C46:E46"/>
    <mergeCell ref="L132:M132"/>
    <mergeCell ref="L131:M131"/>
    <mergeCell ref="G128:H128"/>
    <mergeCell ref="G126:H126"/>
    <mergeCell ref="G132:H132"/>
    <mergeCell ref="G131:H131"/>
    <mergeCell ref="G127:H127"/>
    <mergeCell ref="G130:H130"/>
    <mergeCell ref="G129:H129"/>
    <mergeCell ref="L130:M130"/>
    <mergeCell ref="L129:M129"/>
    <mergeCell ref="L128:M128"/>
    <mergeCell ref="L127:M127"/>
    <mergeCell ref="L126:M126"/>
    <mergeCell ref="A99:E99"/>
    <mergeCell ref="A101:E101"/>
    <mergeCell ref="A98:E98"/>
    <mergeCell ref="A73:B73"/>
    <mergeCell ref="E73:F82"/>
    <mergeCell ref="A80:B80"/>
    <mergeCell ref="B304:H304"/>
    <mergeCell ref="F107:H107"/>
    <mergeCell ref="E115:F115"/>
    <mergeCell ref="G115:H115"/>
    <mergeCell ref="A119:B119"/>
    <mergeCell ref="C119:D119"/>
    <mergeCell ref="E119:F119"/>
    <mergeCell ref="G119:H119"/>
    <mergeCell ref="A120:B120"/>
    <mergeCell ref="C120:D120"/>
    <mergeCell ref="E120:F120"/>
    <mergeCell ref="G120:H120"/>
    <mergeCell ref="A113:A114"/>
    <mergeCell ref="G178:H178"/>
    <mergeCell ref="A182:H182"/>
    <mergeCell ref="A183:B183"/>
    <mergeCell ref="G183:H183"/>
    <mergeCell ref="C118:D118"/>
    <mergeCell ref="C117:D117"/>
    <mergeCell ref="G117:H117"/>
    <mergeCell ref="A108:E108"/>
    <mergeCell ref="C114:D114"/>
    <mergeCell ref="E114:F114"/>
    <mergeCell ref="G114:H114"/>
    <mergeCell ref="B301:H301"/>
    <mergeCell ref="B303:H303"/>
    <mergeCell ref="A100:E100"/>
    <mergeCell ref="F101:H101"/>
    <mergeCell ref="A115:B115"/>
    <mergeCell ref="C115:D115"/>
    <mergeCell ref="A131:B131"/>
    <mergeCell ref="A132:B132"/>
    <mergeCell ref="A126:B126"/>
    <mergeCell ref="A127:B127"/>
    <mergeCell ref="A128:B128"/>
    <mergeCell ref="A129:B129"/>
    <mergeCell ref="A130:B130"/>
    <mergeCell ref="A102:E102"/>
    <mergeCell ref="F102:H102"/>
    <mergeCell ref="A124:H124"/>
    <mergeCell ref="G118:H118"/>
    <mergeCell ref="F104:H104"/>
    <mergeCell ref="A125:H125"/>
    <mergeCell ref="G123:H123"/>
    <mergeCell ref="E118:F118"/>
    <mergeCell ref="A144:H144"/>
    <mergeCell ref="A145:B145"/>
    <mergeCell ref="G145:H145"/>
    <mergeCell ref="B300:H300"/>
    <mergeCell ref="A149:B149"/>
    <mergeCell ref="G149:H149"/>
    <mergeCell ref="A152:B152"/>
    <mergeCell ref="G152:H152"/>
    <mergeCell ref="A157:B157"/>
    <mergeCell ref="G157:H157"/>
    <mergeCell ref="A161:B161"/>
    <mergeCell ref="G161:H161"/>
    <mergeCell ref="A165:B165"/>
    <mergeCell ref="G165:H165"/>
    <mergeCell ref="A169:B169"/>
    <mergeCell ref="G169:H169"/>
    <mergeCell ref="A173:B173"/>
    <mergeCell ref="G173:H173"/>
    <mergeCell ref="A177:B177"/>
    <mergeCell ref="G293:H298"/>
    <mergeCell ref="G255:H260"/>
    <mergeCell ref="G248:H253"/>
    <mergeCell ref="G241:H246"/>
    <mergeCell ref="G234:H239"/>
    <mergeCell ref="G227:H232"/>
    <mergeCell ref="G177:H177"/>
    <mergeCell ref="A181:B181"/>
    <mergeCell ref="A71:B71"/>
    <mergeCell ref="C71:H71"/>
    <mergeCell ref="A72:B72"/>
    <mergeCell ref="E72:F72"/>
    <mergeCell ref="G72:H72"/>
    <mergeCell ref="A103:E103"/>
    <mergeCell ref="F103:H103"/>
    <mergeCell ref="A104:E104"/>
    <mergeCell ref="A106:E106"/>
    <mergeCell ref="F100:H100"/>
    <mergeCell ref="A105:E105"/>
    <mergeCell ref="G73:H82"/>
    <mergeCell ref="A74:B74"/>
    <mergeCell ref="A75:B75"/>
    <mergeCell ref="A76:B76"/>
    <mergeCell ref="F99:H99"/>
    <mergeCell ref="A81:B81"/>
    <mergeCell ref="A82:B82"/>
    <mergeCell ref="A89:B89"/>
    <mergeCell ref="A90:B90"/>
    <mergeCell ref="A91:B91"/>
    <mergeCell ref="A92:B92"/>
    <mergeCell ref="A93:B93"/>
    <mergeCell ref="A94:B94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scale="99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3" max="16383" man="1"/>
    <brk id="320" max="16383" man="1"/>
    <brk id="36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7" zoomScale="85" zoomScaleNormal="85" workbookViewId="0">
      <selection activeCell="I25" sqref="I25"/>
    </sheetView>
  </sheetViews>
  <sheetFormatPr defaultColWidth="8.81640625" defaultRowHeight="14.5" x14ac:dyDescent="0.35"/>
  <cols>
    <col min="1" max="1" width="8.81640625" style="18"/>
    <col min="2" max="2" width="22.1796875" style="18" customWidth="1"/>
    <col min="3" max="3" width="37" style="18" customWidth="1"/>
    <col min="4" max="5" width="11.453125" style="18" customWidth="1"/>
    <col min="6" max="6" width="14" style="18" customWidth="1"/>
    <col min="7" max="7" width="20" style="18" customWidth="1"/>
    <col min="8" max="8" width="16.453125" style="18" customWidth="1"/>
    <col min="9" max="16384" width="8.81640625" style="18"/>
  </cols>
  <sheetData>
    <row r="1" spans="1:9" ht="15" customHeight="1" x14ac:dyDescent="0.35"/>
    <row r="2" spans="1:9" ht="15" customHeight="1" x14ac:dyDescent="0.35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35">
      <c r="A3" s="19"/>
      <c r="B3" s="170" t="s">
        <v>117</v>
      </c>
      <c r="C3" s="170"/>
      <c r="D3" s="170"/>
      <c r="E3" s="170"/>
      <c r="F3" s="170"/>
      <c r="G3" s="170"/>
      <c r="H3" s="170"/>
    </row>
    <row r="4" spans="1:9" x14ac:dyDescent="0.35">
      <c r="A4" s="19"/>
      <c r="B4" s="20" t="s">
        <v>118</v>
      </c>
      <c r="C4" s="20" t="s">
        <v>119</v>
      </c>
      <c r="D4" s="20" t="s">
        <v>75</v>
      </c>
      <c r="E4" s="20" t="s">
        <v>120</v>
      </c>
      <c r="F4" s="20" t="s">
        <v>126</v>
      </c>
      <c r="G4" s="20" t="s">
        <v>127</v>
      </c>
      <c r="H4" s="20" t="s">
        <v>121</v>
      </c>
    </row>
    <row r="5" spans="1:9" ht="15" customHeight="1" x14ac:dyDescent="0.35">
      <c r="A5" s="19"/>
      <c r="B5" s="22" t="s">
        <v>122</v>
      </c>
      <c r="C5" s="23"/>
      <c r="D5" s="22"/>
      <c r="E5" s="22"/>
      <c r="F5" s="24">
        <f>E5*1.6</f>
        <v>0</v>
      </c>
      <c r="G5" s="24" t="e">
        <f>H5/F5</f>
        <v>#DIV/0!</v>
      </c>
      <c r="H5" s="25"/>
    </row>
    <row r="6" spans="1:9" x14ac:dyDescent="0.35">
      <c r="A6" s="19"/>
      <c r="B6" s="22" t="s">
        <v>122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35">
      <c r="A7" s="19"/>
      <c r="B7" s="22" t="s">
        <v>122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35">
      <c r="A8" s="19"/>
      <c r="B8" s="22" t="s">
        <v>122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35">
      <c r="A9" s="19"/>
      <c r="B9" s="22" t="s">
        <v>122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35">
      <c r="A10" s="19"/>
      <c r="B10" s="22" t="s">
        <v>123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35">
      <c r="A11" s="19"/>
      <c r="B11" s="22" t="s">
        <v>123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35">
      <c r="A12" s="19"/>
      <c r="B12" s="27" t="s">
        <v>124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35">
      <c r="B13" s="27" t="s">
        <v>125</v>
      </c>
      <c r="C13" s="22"/>
      <c r="D13" s="22"/>
      <c r="E13" s="22"/>
      <c r="F13" s="29"/>
      <c r="G13" s="27"/>
      <c r="H13" s="27"/>
      <c r="I13" s="21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2025-07-30T11:00:36Z</cp:lastPrinted>
  <dcterms:created xsi:type="dcterms:W3CDTF">2019-07-16T09:29:46Z</dcterms:created>
  <dcterms:modified xsi:type="dcterms:W3CDTF">2025-07-30T11:01:31Z</dcterms:modified>
</cp:coreProperties>
</file>