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REVISEDReport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1" i="1" l="1"/>
  <c r="I201" i="1"/>
  <c r="D142" i="1" l="1"/>
  <c r="F142" i="1" s="1"/>
  <c r="D131" i="1"/>
  <c r="D130" i="1"/>
  <c r="F130" i="1" s="1"/>
  <c r="D129" i="1"/>
  <c r="D128" i="1"/>
  <c r="F128" i="1" s="1"/>
  <c r="D132" i="1"/>
  <c r="D127" i="1"/>
  <c r="F127" i="1" s="1"/>
  <c r="D133" i="1"/>
  <c r="F133" i="1" s="1"/>
  <c r="D126" i="1"/>
  <c r="F126" i="1" s="1"/>
  <c r="D125" i="1"/>
  <c r="F125" i="1" s="1"/>
  <c r="D135" i="1"/>
  <c r="F135" i="1" s="1"/>
  <c r="D134" i="1"/>
  <c r="F134" i="1" s="1"/>
  <c r="D123" i="1"/>
  <c r="D122" i="1"/>
  <c r="F122" i="1" s="1"/>
  <c r="D121" i="1"/>
  <c r="F121" i="1" s="1"/>
  <c r="D120" i="1"/>
  <c r="F120" i="1" s="1"/>
  <c r="D139" i="1"/>
  <c r="F139" i="1" s="1"/>
  <c r="D136" i="1"/>
  <c r="F136" i="1" s="1"/>
  <c r="D124" i="1"/>
  <c r="F124" i="1" s="1"/>
  <c r="D119" i="1"/>
  <c r="F119" i="1" s="1"/>
  <c r="D116" i="1"/>
  <c r="F116" i="1" s="1"/>
  <c r="D141" i="1"/>
  <c r="D140" i="1"/>
  <c r="F140" i="1" s="1"/>
  <c r="D138" i="1"/>
  <c r="F138" i="1" s="1"/>
  <c r="D137" i="1"/>
  <c r="F137" i="1" s="1"/>
  <c r="D118" i="1"/>
  <c r="F118" i="1" s="1"/>
  <c r="D117" i="1"/>
  <c r="F117" i="1" s="1"/>
  <c r="D115" i="1"/>
  <c r="F115" i="1" s="1"/>
  <c r="D114" i="1"/>
  <c r="F132" i="1"/>
  <c r="F131" i="1"/>
  <c r="F129" i="1"/>
  <c r="F114" i="1"/>
  <c r="D113" i="1"/>
  <c r="F113" i="1" s="1"/>
  <c r="F141" i="1"/>
  <c r="I131" i="1"/>
  <c r="F123" i="1"/>
  <c r="I111" i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G113" i="1"/>
  <c r="G98" i="1" l="1"/>
  <c r="I132" i="1"/>
  <c r="I134" i="1"/>
  <c r="E98" i="1"/>
  <c r="C98" i="1"/>
  <c r="J240" i="1"/>
  <c r="J239" i="1"/>
  <c r="I166" i="1"/>
  <c r="I174" i="1"/>
  <c r="D315" i="1"/>
  <c r="E173" i="1" l="1"/>
  <c r="E172" i="1"/>
  <c r="E171" i="1"/>
  <c r="E234" i="1"/>
  <c r="E238" i="1"/>
  <c r="E237" i="1"/>
  <c r="D288" i="1"/>
  <c r="F288" i="1" s="1"/>
  <c r="J261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0" i="1"/>
  <c r="F280" i="1" s="1"/>
  <c r="D278" i="1"/>
  <c r="F278" i="1" s="1"/>
  <c r="D277" i="1"/>
  <c r="F277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D270" i="1"/>
  <c r="F270" i="1" s="1"/>
  <c r="D268" i="1"/>
  <c r="F268" i="1" s="1"/>
  <c r="D267" i="1"/>
  <c r="F267" i="1" s="1"/>
  <c r="D266" i="1"/>
  <c r="F266" i="1" s="1"/>
  <c r="D265" i="1"/>
  <c r="F265" i="1" s="1"/>
  <c r="D264" i="1"/>
  <c r="F264" i="1" s="1"/>
  <c r="J260" i="1" s="1"/>
  <c r="D263" i="1"/>
  <c r="F263" i="1" s="1"/>
  <c r="D262" i="1"/>
  <c r="D261" i="1"/>
  <c r="F261" i="1" s="1"/>
  <c r="D260" i="1"/>
  <c r="F260" i="1" s="1"/>
  <c r="D258" i="1"/>
  <c r="F258" i="1" s="1"/>
  <c r="D257" i="1"/>
  <c r="F257" i="1" s="1"/>
  <c r="D256" i="1"/>
  <c r="F256" i="1" s="1"/>
  <c r="D255" i="1"/>
  <c r="F255" i="1" s="1"/>
  <c r="D254" i="1"/>
  <c r="D253" i="1"/>
  <c r="D252" i="1"/>
  <c r="D250" i="1"/>
  <c r="D248" i="1"/>
  <c r="F248" i="1" s="1"/>
  <c r="D247" i="1"/>
  <c r="F247" i="1" s="1"/>
  <c r="D246" i="1"/>
  <c r="F246" i="1" s="1"/>
  <c r="D245" i="1"/>
  <c r="F245" i="1" s="1"/>
  <c r="D244" i="1"/>
  <c r="F244" i="1" s="1"/>
  <c r="I240" i="1" s="1"/>
  <c r="D243" i="1"/>
  <c r="D242" i="1"/>
  <c r="F242" i="1" s="1"/>
  <c r="D241" i="1"/>
  <c r="F241" i="1" s="1"/>
  <c r="D240" i="1"/>
  <c r="F240" i="1" s="1"/>
  <c r="I239" i="1" s="1"/>
  <c r="D238" i="1"/>
  <c r="D237" i="1"/>
  <c r="D236" i="1"/>
  <c r="D235" i="1"/>
  <c r="D234" i="1"/>
  <c r="D233" i="1"/>
  <c r="D232" i="1"/>
  <c r="D231" i="1"/>
  <c r="D230" i="1"/>
  <c r="D221" i="1"/>
  <c r="D220" i="1"/>
  <c r="D217" i="1"/>
  <c r="F217" i="1" s="1"/>
  <c r="D216" i="1"/>
  <c r="D214" i="1"/>
  <c r="D213" i="1"/>
  <c r="F213" i="1" s="1"/>
  <c r="D212" i="1"/>
  <c r="F212" i="1" s="1"/>
  <c r="D211" i="1"/>
  <c r="F211" i="1" s="1"/>
  <c r="D209" i="1"/>
  <c r="F209" i="1" s="1"/>
  <c r="K207" i="1" s="1"/>
  <c r="D208" i="1"/>
  <c r="F208" i="1" s="1"/>
  <c r="K206" i="1" s="1"/>
  <c r="D207" i="1"/>
  <c r="F207" i="1" s="1"/>
  <c r="K205" i="1" s="1"/>
  <c r="D206" i="1"/>
  <c r="F206" i="1" s="1"/>
  <c r="K204" i="1" s="1"/>
  <c r="D205" i="1"/>
  <c r="F205" i="1" s="1"/>
  <c r="K203" i="1" s="1"/>
  <c r="D204" i="1"/>
  <c r="F204" i="1" s="1"/>
  <c r="D203" i="1"/>
  <c r="F203" i="1" s="1"/>
  <c r="K201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D193" i="1"/>
  <c r="F193" i="1" s="1"/>
  <c r="D192" i="1"/>
  <c r="F192" i="1" s="1"/>
  <c r="D190" i="1"/>
  <c r="F190" i="1" s="1"/>
  <c r="D189" i="1"/>
  <c r="F189" i="1" s="1"/>
  <c r="D188" i="1"/>
  <c r="F188" i="1" s="1"/>
  <c r="D187" i="1"/>
  <c r="F187" i="1" s="1"/>
  <c r="D185" i="1"/>
  <c r="F185" i="1" s="1"/>
  <c r="D184" i="1"/>
  <c r="F184" i="1" s="1"/>
  <c r="D183" i="1"/>
  <c r="D182" i="1"/>
  <c r="D181" i="1"/>
  <c r="D180" i="1"/>
  <c r="D179" i="1"/>
  <c r="D177" i="1"/>
  <c r="D176" i="1"/>
  <c r="D175" i="1"/>
  <c r="D174" i="1"/>
  <c r="D173" i="1"/>
  <c r="D172" i="1"/>
  <c r="D171" i="1"/>
  <c r="D169" i="1"/>
  <c r="D16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I142" i="1"/>
  <c r="F216" i="1"/>
  <c r="F214" i="1"/>
  <c r="A204" i="1"/>
  <c r="A205" i="1" s="1"/>
  <c r="A206" i="1" s="1"/>
  <c r="A207" i="1" s="1"/>
  <c r="A208" i="1" s="1"/>
  <c r="A209" i="1" s="1"/>
  <c r="G203" i="1"/>
  <c r="A271" i="1"/>
  <c r="A272" i="1" s="1"/>
  <c r="A273" i="1" s="1"/>
  <c r="A274" i="1" s="1"/>
  <c r="A275" i="1" s="1"/>
  <c r="A276" i="1" s="1"/>
  <c r="A277" i="1" s="1"/>
  <c r="A278" i="1" s="1"/>
  <c r="G270" i="1"/>
  <c r="A212" i="1"/>
  <c r="A213" i="1" s="1"/>
  <c r="A214" i="1" s="1"/>
  <c r="A215" i="1" s="1"/>
  <c r="A216" i="1" s="1"/>
  <c r="A217" i="1" s="1"/>
  <c r="G211" i="1"/>
  <c r="A196" i="1"/>
  <c r="A197" i="1" s="1"/>
  <c r="A198" i="1" s="1"/>
  <c r="A199" i="1" s="1"/>
  <c r="A200" i="1" s="1"/>
  <c r="A201" i="1" s="1"/>
  <c r="G195" i="1"/>
  <c r="A281" i="1"/>
  <c r="A282" i="1" s="1"/>
  <c r="A283" i="1" s="1"/>
  <c r="A284" i="1" s="1"/>
  <c r="A285" i="1" s="1"/>
  <c r="A286" i="1" s="1"/>
  <c r="A287" i="1" s="1"/>
  <c r="A288" i="1" s="1"/>
  <c r="G280" i="1"/>
  <c r="A188" i="1"/>
  <c r="A189" i="1" s="1"/>
  <c r="A190" i="1" s="1"/>
  <c r="A191" i="1" s="1"/>
  <c r="A192" i="1" s="1"/>
  <c r="A193" i="1" s="1"/>
  <c r="G187" i="1"/>
  <c r="F262" i="1"/>
  <c r="A261" i="1"/>
  <c r="A262" i="1" s="1"/>
  <c r="A263" i="1" s="1"/>
  <c r="A264" i="1" s="1"/>
  <c r="A265" i="1" s="1"/>
  <c r="A266" i="1" s="1"/>
  <c r="A267" i="1" s="1"/>
  <c r="A268" i="1" s="1"/>
  <c r="G260" i="1"/>
  <c r="A251" i="1"/>
  <c r="A252" i="1" s="1"/>
  <c r="A253" i="1" s="1"/>
  <c r="A254" i="1" s="1"/>
  <c r="A255" i="1" s="1"/>
  <c r="F243" i="1"/>
  <c r="A241" i="1"/>
  <c r="A242" i="1" s="1"/>
  <c r="A243" i="1" s="1"/>
  <c r="A244" i="1" s="1"/>
  <c r="A245" i="1" s="1"/>
  <c r="A246" i="1" s="1"/>
  <c r="A247" i="1" s="1"/>
  <c r="A248" i="1" s="1"/>
  <c r="G240" i="1"/>
  <c r="A180" i="1"/>
  <c r="A181" i="1" s="1"/>
  <c r="A182" i="1" s="1"/>
  <c r="A183" i="1" s="1"/>
  <c r="A184" i="1" s="1"/>
  <c r="A185" i="1" s="1"/>
  <c r="I202" i="1" l="1"/>
  <c r="K202" i="1"/>
  <c r="I180" i="1"/>
  <c r="J180" i="1"/>
  <c r="I181" i="1"/>
  <c r="J181" i="1"/>
  <c r="C99" i="1"/>
  <c r="C100" i="1" s="1"/>
  <c r="E104" i="1"/>
  <c r="C103" i="1"/>
  <c r="E99" i="1"/>
  <c r="E100" i="1" s="1"/>
  <c r="E103" i="1"/>
  <c r="C104" i="1"/>
  <c r="A256" i="1"/>
  <c r="A257" i="1" s="1"/>
  <c r="A258" i="1" s="1"/>
  <c r="F238" i="1"/>
  <c r="F237" i="1"/>
  <c r="F236" i="1"/>
  <c r="F235" i="1"/>
  <c r="F234" i="1"/>
  <c r="F233" i="1"/>
  <c r="F232" i="1"/>
  <c r="F231" i="1"/>
  <c r="A231" i="1"/>
  <c r="A232" i="1" s="1"/>
  <c r="A233" i="1" s="1"/>
  <c r="A234" i="1" s="1"/>
  <c r="A235" i="1" s="1"/>
  <c r="A236" i="1" s="1"/>
  <c r="A237" i="1" s="1"/>
  <c r="A238" i="1" s="1"/>
  <c r="G230" i="1"/>
  <c r="F230" i="1"/>
  <c r="F177" i="1"/>
  <c r="I173" i="1" s="1"/>
  <c r="F176" i="1"/>
  <c r="I172" i="1" s="1"/>
  <c r="I147" i="1"/>
  <c r="J216" i="1"/>
  <c r="I216" i="1"/>
  <c r="F221" i="1"/>
  <c r="A221" i="1"/>
  <c r="A222" i="1" s="1"/>
  <c r="A223" i="1" s="1"/>
  <c r="A224" i="1" s="1"/>
  <c r="A225" i="1" s="1"/>
  <c r="A226" i="1" s="1"/>
  <c r="A227" i="1" s="1"/>
  <c r="A228" i="1" s="1"/>
  <c r="G220" i="1"/>
  <c r="F220" i="1"/>
  <c r="F169" i="1"/>
  <c r="F168" i="1"/>
  <c r="I164" i="1" s="1"/>
  <c r="F157" i="1"/>
  <c r="F156" i="1"/>
  <c r="I152" i="1" s="1"/>
  <c r="F155" i="1"/>
  <c r="F154" i="1"/>
  <c r="F153" i="1"/>
  <c r="F152" i="1"/>
  <c r="F151" i="1"/>
  <c r="F150" i="1"/>
  <c r="F149" i="1"/>
  <c r="F148" i="1"/>
  <c r="I165" i="1" l="1"/>
  <c r="J167" i="1"/>
  <c r="C105" i="1"/>
  <c r="E105" i="1"/>
  <c r="J46" i="1"/>
  <c r="D63" i="1" l="1"/>
  <c r="E29" i="1"/>
  <c r="B291" i="1"/>
  <c r="C69" i="1"/>
  <c r="B70" i="1" s="1"/>
  <c r="E24" i="1"/>
  <c r="E26" i="1" l="1"/>
  <c r="C14" i="1"/>
  <c r="E106" i="1" l="1"/>
  <c r="C106" i="1"/>
  <c r="E42" i="1" l="1"/>
  <c r="E43" i="1" s="1"/>
  <c r="A164" i="1" l="1"/>
  <c r="G163" i="1"/>
  <c r="A165" i="1" l="1"/>
  <c r="A166" i="1" s="1"/>
  <c r="A167" i="1" s="1"/>
  <c r="A168" i="1" s="1"/>
  <c r="A169" i="1" s="1"/>
  <c r="F95" i="1"/>
  <c r="F145" i="1" l="1"/>
  <c r="F146" i="1"/>
  <c r="F147" i="1"/>
  <c r="F144" i="1"/>
  <c r="G99" i="1" l="1"/>
  <c r="G100" i="1"/>
  <c r="F254" i="1"/>
  <c r="F253" i="1"/>
  <c r="F252" i="1"/>
  <c r="F250" i="1"/>
  <c r="F183" i="1"/>
  <c r="F182" i="1"/>
  <c r="F181" i="1"/>
  <c r="F180" i="1"/>
  <c r="F179" i="1"/>
  <c r="F175" i="1"/>
  <c r="F174" i="1"/>
  <c r="I170" i="1" s="1"/>
  <c r="F172" i="1"/>
  <c r="I168" i="1" s="1"/>
  <c r="F171" i="1"/>
  <c r="I167" i="1" s="1"/>
  <c r="F173" i="1"/>
  <c r="I169" i="1" s="1"/>
  <c r="I177" i="1" l="1"/>
  <c r="J177" i="1"/>
  <c r="I178" i="1"/>
  <c r="J178" i="1"/>
  <c r="I175" i="1"/>
  <c r="J175" i="1"/>
  <c r="I179" i="1"/>
  <c r="J179" i="1"/>
  <c r="I176" i="1"/>
  <c r="J176" i="1"/>
  <c r="J168" i="1"/>
  <c r="I171" i="1"/>
  <c r="G103" i="1"/>
  <c r="G104" i="1"/>
  <c r="B292" i="1"/>
  <c r="G105" i="1" l="1"/>
  <c r="G106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250" i="1"/>
  <c r="G179" i="1"/>
  <c r="G171" i="1"/>
  <c r="A172" i="1"/>
  <c r="A173" i="1" s="1"/>
  <c r="A174" i="1" s="1"/>
  <c r="A175" i="1" s="1"/>
  <c r="A176" i="1" s="1"/>
  <c r="A177" i="1" s="1"/>
  <c r="A145" i="1"/>
  <c r="G144" i="1"/>
  <c r="D58" i="1"/>
  <c r="C49" i="1"/>
  <c r="E7" i="1"/>
  <c r="E3" i="1"/>
  <c r="H70" i="1"/>
  <c r="A146" i="1" l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D82" i="1"/>
  <c r="D80" i="1"/>
  <c r="D79" i="1"/>
  <c r="D78" i="1"/>
  <c r="D76" i="1"/>
  <c r="J65" i="1"/>
  <c r="D81" i="1"/>
  <c r="D77" i="1"/>
  <c r="J69" i="1"/>
  <c r="J70" i="1"/>
  <c r="C73" i="1" s="1"/>
  <c r="J68" i="1"/>
  <c r="J71" i="1"/>
  <c r="J72" i="1" s="1"/>
  <c r="J77" i="1" s="1"/>
  <c r="J73" i="1" l="1"/>
  <c r="J74" i="1" s="1"/>
  <c r="J75" i="1" s="1"/>
  <c r="J76" i="1" s="1"/>
  <c r="D75" i="1"/>
  <c r="J67" i="1"/>
  <c r="D73" i="1"/>
  <c r="J78" i="1" l="1"/>
  <c r="C74" i="1" l="1"/>
  <c r="G73" i="1" s="1"/>
  <c r="D67" i="1" s="1"/>
  <c r="D68" i="1" s="1"/>
  <c r="E73" i="1" l="1"/>
  <c r="D74" i="1"/>
  <c r="I66" i="1" s="1"/>
  <c r="I67" i="1" s="1"/>
  <c r="J66" i="1"/>
  <c r="F68" i="1"/>
  <c r="I65" i="1" l="1"/>
  <c r="C71" i="1" s="1"/>
</calcChain>
</file>

<file path=xl/sharedStrings.xml><?xml version="1.0" encoding="utf-8"?>
<sst xmlns="http://schemas.openxmlformats.org/spreadsheetml/2006/main" count="444" uniqueCount="245">
  <si>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</si>
  <si>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</si>
  <si>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</si>
  <si>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</si>
  <si>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</si>
  <si>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</si>
  <si>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</si>
  <si>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</si>
  <si>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</si>
  <si>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</si>
  <si>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</si>
  <si>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</si>
  <si>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</si>
  <si>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</si>
  <si>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</si>
  <si>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</si>
  <si>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</si>
  <si>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</si>
  <si>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</si>
  <si>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</si>
  <si>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</si>
  <si>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</si>
  <si>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</si>
  <si>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</si>
  <si>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</si>
  <si>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</si>
  <si>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</si>
  <si>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</si>
  <si>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</si>
  <si>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</si>
  <si>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</si>
  <si>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</si>
  <si>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</si>
  <si>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</si>
  <si>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</si>
  <si>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</si>
  <si>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</si>
  <si>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</si>
  <si>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</si>
  <si>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</si>
  <si>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</si>
  <si>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</si>
  <si>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</si>
  <si>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</si>
  <si>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</si>
  <si>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</si>
  <si>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</si>
  <si>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</si>
  <si>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</si>
  <si>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</si>
  <si>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</si>
  <si>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</si>
  <si>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</si>
  <si>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</si>
  <si>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</si>
  <si>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</si>
  <si>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</si>
  <si>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</si>
  <si>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</si>
  <si>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</si>
  <si>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</si>
  <si>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</si>
  <si>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</si>
  <si>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</si>
  <si>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</si>
  <si>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</si>
  <si>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</si>
  <si>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</si>
  <si>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</si>
  <si>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</si>
  <si>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</si>
  <si>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</si>
  <si>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</si>
  <si>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</si>
  <si>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</si>
  <si>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</si>
  <si>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</si>
  <si>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</si>
  <si>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</si>
  <si>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</si>
  <si>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</si>
  <si>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</si>
  <si>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</si>
  <si>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</si>
  <si>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</si>
  <si>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</si>
  <si>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</si>
  <si>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</si>
  <si>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</si>
  <si>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</si>
  <si>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</si>
  <si>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</si>
  <si>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</si>
  <si>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</si>
  <si>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</si>
  <si>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</si>
  <si>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</si>
  <si>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</si>
  <si>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</si>
  <si>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</si>
  <si>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</si>
  <si>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</si>
  <si>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</si>
  <si>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</si>
  <si>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</si>
  <si>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</si>
  <si>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</si>
  <si>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</si>
  <si>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</si>
  <si>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</si>
  <si>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</si>
  <si>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</si>
  <si>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</si>
  <si>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</si>
  <si>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</si>
  <si>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</si>
  <si>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</si>
  <si>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</si>
  <si>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</si>
  <si>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</si>
  <si>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</si>
  <si>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</si>
  <si>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</si>
  <si>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</si>
  <si>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</si>
  <si>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</si>
  <si>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</si>
  <si>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</si>
  <si>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</si>
  <si>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</si>
  <si>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</si>
  <si>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</si>
  <si>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</si>
  <si>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</si>
  <si>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</si>
  <si>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</si>
  <si>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</si>
  <si>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</si>
  <si>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</si>
  <si>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</si>
  <si>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</si>
  <si>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</si>
  <si>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</si>
  <si>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</si>
  <si>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</si>
  <si>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</si>
  <si>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</si>
  <si>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</si>
  <si>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</si>
  <si>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</si>
  <si>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</si>
  <si>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</si>
  <si>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</si>
  <si>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</si>
  <si>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</si>
  <si>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</si>
  <si>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</si>
  <si>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</si>
  <si>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</si>
  <si>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</si>
  <si>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</si>
  <si>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</si>
  <si>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</si>
  <si>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</si>
  <si>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</si>
  <si>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</si>
  <si>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</si>
  <si>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</si>
  <si>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</si>
  <si>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</si>
  <si>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</si>
  <si>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</si>
  <si>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</si>
  <si>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</si>
  <si>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</si>
  <si>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Reliable Housing India Private Limited</t>
  </si>
  <si>
    <t>AV Crystal Prestige</t>
  </si>
  <si>
    <t>P99000012675</t>
  </si>
  <si>
    <t>Building No.2 (Wing A &amp; B)</t>
  </si>
  <si>
    <t>Survey No</t>
  </si>
  <si>
    <t>153B, S.No.154/2</t>
  </si>
  <si>
    <t>Palghar</t>
  </si>
  <si>
    <t>Vasai</t>
  </si>
  <si>
    <t>Achole</t>
  </si>
  <si>
    <t>https://goo.gl/maps/MLuXLKqcyTA2zksT9?coh=178572&amp;entry=tt</t>
  </si>
  <si>
    <t>Achole Cross Road</t>
  </si>
  <si>
    <t>Mamta Apartment</t>
  </si>
  <si>
    <t>Sanyukta Nagar</t>
  </si>
  <si>
    <t>Zalavad Park Apartment</t>
  </si>
  <si>
    <t>Dhiraj Apartment</t>
  </si>
  <si>
    <t>New Kasturi Sadan CHSL</t>
  </si>
  <si>
    <t>Vasai Virar City Municipal Corporation (VVCMC)</t>
  </si>
  <si>
    <t>02 Wings</t>
  </si>
  <si>
    <t>VVCMC/TP/AMEND/VP/0527/282/
2022-23</t>
  </si>
  <si>
    <t>VVCMC/TP/RDP/VP-527/282/
2022-23</t>
  </si>
  <si>
    <t>Navnath Bhatkar</t>
  </si>
  <si>
    <t>Wing A + B</t>
  </si>
  <si>
    <t>Office</t>
  </si>
  <si>
    <t>1st Floor For Part Residential</t>
  </si>
  <si>
    <t>Wing B</t>
  </si>
  <si>
    <t>Wing A</t>
  </si>
  <si>
    <t>1BHK</t>
  </si>
  <si>
    <t>Commercial</t>
  </si>
  <si>
    <t>1st Floor For Part Commercial</t>
  </si>
  <si>
    <t>2nd Floor For Residential</t>
  </si>
  <si>
    <t>2BHK</t>
  </si>
  <si>
    <t>3rd to 7th, 9th to 13th, 15th to 18th, 20th to 23rd Floor</t>
  </si>
  <si>
    <t>8th, 14th &amp; 19th Floor (Part Refuge Area)</t>
  </si>
  <si>
    <t>Refuge Area</t>
  </si>
  <si>
    <t>25th &amp; 27th Floor</t>
  </si>
  <si>
    <t>26th Floor (Part Refuge Area)</t>
  </si>
  <si>
    <t>Building No.2 (A &amp; B Wing) = Gr/St + 1st to 27th Floor</t>
  </si>
  <si>
    <t>We considered Gross carpet area = Net carpet + Enclose balcony.</t>
  </si>
  <si>
    <t>Swimming Pool, Jogging Track, Open Gym, Movie Lounge etc.</t>
  </si>
  <si>
    <t>0.850 KM from Nalasopara Railway Station</t>
  </si>
  <si>
    <t>Housing</t>
  </si>
  <si>
    <t>Cost sheet</t>
  </si>
  <si>
    <t>Mr. Pravin : 7498958032</t>
  </si>
  <si>
    <t>As per RERA - 31/12/2027</t>
  </si>
  <si>
    <t>Construction work is in process at the time of visit (Labour found).</t>
  </si>
  <si>
    <t>Ground Floor For Commercial, Fitness Centre/ Society Office, Driver's Room &amp; Meter Room</t>
  </si>
  <si>
    <t>Shop</t>
  </si>
  <si>
    <t>Saurav Panse</t>
  </si>
  <si>
    <t>Building Details Floor Wise</t>
  </si>
  <si>
    <t xml:space="preserve">Details of Residential &amp; Commercial in Building   </t>
  </si>
  <si>
    <t>Nalasopara East</t>
  </si>
  <si>
    <t>As per Layout</t>
  </si>
  <si>
    <t>19.414057,72.823549</t>
  </si>
  <si>
    <t>20.00 Mt Wide D.P Road</t>
  </si>
  <si>
    <t>Other Plot</t>
  </si>
  <si>
    <t>Flats - 412, Shop - 30, Office - 14</t>
  </si>
  <si>
    <t xml:space="preserve">SIA/MH/MIS/247748/2021 </t>
  </si>
  <si>
    <t xml:space="preserve">Environmental Clearance Certificate (EC) No
Valid Up for:  </t>
  </si>
  <si>
    <t>S. No.153 B, S.No.154/pt
Proposd BUA = 65151.16 Sq.M
Building No.2 (Wing A &amp; B) = Gr/St + 1st to 23rd Floor</t>
  </si>
  <si>
    <t>in 2</t>
  </si>
  <si>
    <t>We have updated approved Ground Floor plan &amp; EC on 05/08/2025.</t>
  </si>
  <si>
    <t>Recommended Rates of the Commercial Property have been revised as per market inquiry on 05/08/2025.</t>
  </si>
  <si>
    <t>24th Floor</t>
  </si>
  <si>
    <t>Approved Plans, CC, Sale Plans, Cost Sheet, Fire Noc &amp; EC</t>
  </si>
  <si>
    <t>AV Crystal Prestige @⭐ 
rate 5500 to 6000 akash vebal</t>
  </si>
  <si>
    <t>Recommended Rates of the Property have been revised on 25/09/2025</t>
  </si>
  <si>
    <t xml:space="preserve">Fire Noc No
Valid Up for: </t>
  </si>
  <si>
    <t>MFS/51/2023/398</t>
  </si>
  <si>
    <t>Building No. 2 (Wing A &amp; B) = G + 1st to 27th Floor (Height = 81.35m)
Building No. 2 (Wing C) = G + 1st to 23rd Floor ( Height = 69.95m)</t>
  </si>
  <si>
    <t>We have updated Fire Noc (On 26/08/2025)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</si>
</sst>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1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20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10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24" fillId="2" borderId="10" xfId="0" applyFont="1" applyFill="1" applyBorder="1"/>
    <xf numFmtId="0" fontId="25" fillId="0" borderId="6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65" fontId="10" fillId="0" borderId="0" xfId="1" applyNumberFormat="1" applyFont="1" applyAlignment="1">
      <alignment horizontal="center" vertical="center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6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6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0" fontId="13" fillId="0" borderId="1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13" fillId="0" borderId="1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1" xfId="1" applyNumberFormat="1" applyFont="1" applyBorder="1" applyAlignment="1" applyProtection="1">
      <alignment horizontal="center" vertical="top" wrapText="1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8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1" fontId="10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" fontId="8" fillId="0" borderId="23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16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0" fontId="9" fillId="0" borderId="1" xfId="5" applyFont="1" applyBorder="1" applyAlignment="1">
      <alignment horizontal="left"/>
    </xf>
    <xf numFmtId="0" fontId="7" fillId="0" borderId="18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/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353785</xdr:colOff>
      <xdr:row>398</xdr:row>
      <xdr:rowOff>0</xdr:rowOff>
    </xdr:from>
    <xdr:to>
      <xdr:col>6</xdr:col>
      <xdr:colOff>242801</xdr:colOff>
      <xdr:row>412</xdr:row>
      <xdr:rowOff>91771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5785" y="82296000"/>
          <a:ext cx="4025587" cy="294927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1</xdr:col>
      <xdr:colOff>44902</xdr:colOff>
      <xdr:row>413</xdr:row>
      <xdr:rowOff>13606</xdr:rowOff>
    </xdr:from>
    <xdr:to>
      <xdr:col>6</xdr:col>
      <xdr:colOff>530678</xdr:colOff>
      <xdr:row>427</xdr:row>
      <xdr:rowOff>0</xdr:rowOff>
    </xdr:to>
    <xdr:grpSp>
      <xdr:nvGrpSpPr>
        <xdr:cNvPr id="6" name="Group 5"/>
        <xdr:cNvGrpSpPr/>
      </xdr:nvGrpSpPr>
      <xdr:grpSpPr>
        <a:xfrm>
          <a:off x="806902" y="86478194"/>
          <a:ext cx="4643158" cy="2205159"/>
          <a:chOff x="806902" y="83378063"/>
          <a:chExt cx="4635363" cy="3396313"/>
        </a:xfrm>
      </xdr:grpSpPr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06902" y="83378063"/>
            <a:ext cx="4635363" cy="3396313"/>
          </a:xfrm>
          <a:prstGeom prst="rect">
            <a:avLst/>
          </a:prstGeom>
          <a:ln>
            <a:solidFill>
              <a:sysClr val="windowText" lastClr="000000"/>
            </a:solidFill>
          </a:ln>
        </xdr:spPr>
      </xdr:pic>
      <xdr:sp macro="" textlink="">
        <xdr:nvSpPr>
          <xdr:cNvPr id="4" name="Rectangle 3"/>
          <xdr:cNvSpPr/>
        </xdr:nvSpPr>
        <xdr:spPr>
          <a:xfrm rot="20207202">
            <a:off x="2379967" y="85251810"/>
            <a:ext cx="989596" cy="364277"/>
          </a:xfrm>
          <a:prstGeom prst="rect">
            <a:avLst/>
          </a:pr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 editAs="oneCell">
    <xdr:from>
      <xdr:col>2</xdr:col>
      <xdr:colOff>456382</xdr:colOff>
      <xdr:row>377</xdr:row>
      <xdr:rowOff>164175</xdr:rowOff>
    </xdr:from>
    <xdr:to>
      <xdr:col>5</xdr:col>
      <xdr:colOff>702426</xdr:colOff>
      <xdr:row>392</xdr:row>
      <xdr:rowOff>56786</xdr:rowOff>
    </xdr:to>
    <xdr:pic>
      <xdr:nvPicPr>
        <xdr:cNvPr id="15" name="Picture 1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15018" y="74337948"/>
          <a:ext cx="2817794" cy="288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554182</xdr:colOff>
      <xdr:row>358</xdr:row>
      <xdr:rowOff>199158</xdr:rowOff>
    </xdr:from>
    <xdr:to>
      <xdr:col>6</xdr:col>
      <xdr:colOff>621943</xdr:colOff>
      <xdr:row>377</xdr:row>
      <xdr:rowOff>15138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6182" y="75550567"/>
          <a:ext cx="4206806" cy="376452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2</xdr:col>
      <xdr:colOff>720651</xdr:colOff>
      <xdr:row>369</xdr:row>
      <xdr:rowOff>95261</xdr:rowOff>
    </xdr:from>
    <xdr:to>
      <xdr:col>4</xdr:col>
      <xdr:colOff>600959</xdr:colOff>
      <xdr:row>374</xdr:row>
      <xdr:rowOff>164534</xdr:rowOff>
    </xdr:to>
    <xdr:sp macro="" textlink="">
      <xdr:nvSpPr>
        <xdr:cNvPr id="17" name="Rectangle 16"/>
        <xdr:cNvSpPr/>
      </xdr:nvSpPr>
      <xdr:spPr>
        <a:xfrm rot="20967497">
          <a:off x="2279287" y="72675761"/>
          <a:ext cx="1672740" cy="1065068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363682</xdr:colOff>
      <xdr:row>374</xdr:row>
      <xdr:rowOff>155865</xdr:rowOff>
    </xdr:from>
    <xdr:to>
      <xdr:col>4</xdr:col>
      <xdr:colOff>398319</xdr:colOff>
      <xdr:row>376</xdr:row>
      <xdr:rowOff>43296</xdr:rowOff>
    </xdr:to>
    <xdr:sp macro="" textlink="">
      <xdr:nvSpPr>
        <xdr:cNvPr id="18" name="TextBox 17"/>
        <xdr:cNvSpPr txBox="1"/>
      </xdr:nvSpPr>
      <xdr:spPr>
        <a:xfrm rot="21041780">
          <a:off x="2770909" y="73732160"/>
          <a:ext cx="97847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100" b="1"/>
            <a:t>Building No.2</a:t>
          </a:r>
        </a:p>
      </xdr:txBody>
    </xdr:sp>
    <xdr:clientData/>
  </xdr:twoCellAnchor>
  <xdr:twoCellAnchor>
    <xdr:from>
      <xdr:col>3</xdr:col>
      <xdr:colOff>173114</xdr:colOff>
      <xdr:row>369</xdr:row>
      <xdr:rowOff>187619</xdr:rowOff>
    </xdr:from>
    <xdr:to>
      <xdr:col>4</xdr:col>
      <xdr:colOff>363614</xdr:colOff>
      <xdr:row>372</xdr:row>
      <xdr:rowOff>116830</xdr:rowOff>
    </xdr:to>
    <xdr:sp macro="" textlink="">
      <xdr:nvSpPr>
        <xdr:cNvPr id="19" name="Rectangle 18"/>
        <xdr:cNvSpPr/>
      </xdr:nvSpPr>
      <xdr:spPr>
        <a:xfrm rot="21064663">
          <a:off x="2580341" y="72768119"/>
          <a:ext cx="1134341" cy="526688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277092</xdr:colOff>
      <xdr:row>371</xdr:row>
      <xdr:rowOff>86592</xdr:rowOff>
    </xdr:from>
    <xdr:to>
      <xdr:col>4</xdr:col>
      <xdr:colOff>199161</xdr:colOff>
      <xdr:row>372</xdr:row>
      <xdr:rowOff>181842</xdr:rowOff>
    </xdr:to>
    <xdr:sp macro="" textlink="">
      <xdr:nvSpPr>
        <xdr:cNvPr id="20" name="TextBox 19"/>
        <xdr:cNvSpPr txBox="1"/>
      </xdr:nvSpPr>
      <xdr:spPr>
        <a:xfrm rot="21187094">
          <a:off x="2684319" y="73065410"/>
          <a:ext cx="865910" cy="294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FF00"/>
              </a:solidFill>
            </a:rPr>
            <a:t>Wing A &amp;</a:t>
          </a:r>
          <a:r>
            <a:rPr lang="en-IN" sz="1100" b="1" baseline="0">
              <a:solidFill>
                <a:srgbClr val="FFFF00"/>
              </a:solidFill>
            </a:rPr>
            <a:t> B</a:t>
          </a:r>
          <a:endParaRPr lang="en-IN" sz="1100" b="1">
            <a:solidFill>
              <a:srgbClr val="FFFF00"/>
            </a:solidFill>
          </a:endParaRPr>
        </a:p>
      </xdr:txBody>
    </xdr:sp>
    <xdr:clientData/>
  </xdr:twoCellAnchor>
  <xdr:oneCellAnchor>
    <xdr:from>
      <xdr:col>8</xdr:col>
      <xdr:colOff>1117600</xdr:colOff>
      <xdr:row>310</xdr:row>
      <xdr:rowOff>69850</xdr:rowOff>
    </xdr:from>
    <xdr:ext cx="634084" cy="280205"/>
    <xdr:sp macro="" textlink="">
      <xdr:nvSpPr>
        <xdr:cNvPr id="21" name="TextBox 20"/>
        <xdr:cNvSpPr txBox="1"/>
      </xdr:nvSpPr>
      <xdr:spPr>
        <a:xfrm>
          <a:off x="7962900" y="57499250"/>
          <a:ext cx="6340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oneCellAnchor>
  <xdr:twoCellAnchor>
    <xdr:from>
      <xdr:col>0</xdr:col>
      <xdr:colOff>177800</xdr:colOff>
      <xdr:row>315</xdr:row>
      <xdr:rowOff>76200</xdr:rowOff>
    </xdr:from>
    <xdr:to>
      <xdr:col>7</xdr:col>
      <xdr:colOff>647454</xdr:colOff>
      <xdr:row>355</xdr:row>
      <xdr:rowOff>55368</xdr:rowOff>
    </xdr:to>
    <xdr:grpSp>
      <xdr:nvGrpSpPr>
        <xdr:cNvPr id="36" name="Group 35"/>
        <xdr:cNvGrpSpPr/>
      </xdr:nvGrpSpPr>
      <xdr:grpSpPr>
        <a:xfrm>
          <a:off x="177800" y="66773612"/>
          <a:ext cx="6173448" cy="8047403"/>
          <a:chOff x="177800" y="57111900"/>
          <a:chExt cx="6445004" cy="7846818"/>
        </a:xfrm>
      </xdr:grpSpPr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02941" y="6279871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941" y="5995530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941" y="57111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8041" y="57111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5491" y="57111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5995530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5491" y="59955309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9674" y="6279871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2" name="TextBox 31"/>
          <xdr:cNvSpPr txBox="1"/>
        </xdr:nvSpPr>
        <xdr:spPr>
          <a:xfrm>
            <a:off x="285991" y="590296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33" name="TextBox 32"/>
          <xdr:cNvSpPr txBox="1"/>
        </xdr:nvSpPr>
        <xdr:spPr>
          <a:xfrm>
            <a:off x="3010491" y="5910580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</a:t>
            </a:r>
          </a:p>
        </xdr:txBody>
      </xdr:sp>
      <xdr:sp macro="" textlink="">
        <xdr:nvSpPr>
          <xdr:cNvPr id="34" name="TextBox 33"/>
          <xdr:cNvSpPr txBox="1"/>
        </xdr:nvSpPr>
        <xdr:spPr>
          <a:xfrm>
            <a:off x="5360341" y="58807350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  <xdr:sp macro="" textlink="">
        <xdr:nvSpPr>
          <xdr:cNvPr id="35" name="TextBox 34"/>
          <xdr:cNvSpPr txBox="1"/>
        </xdr:nvSpPr>
        <xdr:spPr>
          <a:xfrm>
            <a:off x="704850" y="62019059"/>
            <a:ext cx="63408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</a:t>
            </a:r>
          </a:p>
        </xdr:txBody>
      </xdr:sp>
    </xdr:grpSp>
    <xdr:clientData/>
  </xdr:twoCellAnchor>
  <xdr:twoCellAnchor editAs="oneCell">
    <xdr:from>
      <xdr:col>11</xdr:col>
      <xdr:colOff>547968</xdr:colOff>
      <xdr:row>167</xdr:row>
      <xdr:rowOff>79561</xdr:rowOff>
    </xdr:from>
    <xdr:to>
      <xdr:col>15</xdr:col>
      <xdr:colOff>548387</xdr:colOff>
      <xdr:row>178</xdr:row>
      <xdr:rowOff>118536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701493" y="35950711"/>
          <a:ext cx="2991269" cy="2239251"/>
        </a:xfrm>
        <a:prstGeom prst="rect">
          <a:avLst/>
        </a:prstGeom>
      </xdr:spPr>
    </xdr:pic>
    <xdr:clientData/>
  </xdr:twoCellAnchor>
  <xdr:twoCellAnchor editAs="oneCell">
    <xdr:from>
      <xdr:col>11</xdr:col>
      <xdr:colOff>347381</xdr:colOff>
      <xdr:row>166</xdr:row>
      <xdr:rowOff>123264</xdr:rowOff>
    </xdr:from>
    <xdr:to>
      <xdr:col>18</xdr:col>
      <xdr:colOff>550934</xdr:colOff>
      <xdr:row>179</xdr:row>
      <xdr:rowOff>158934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513793" y="36060529"/>
          <a:ext cx="5201376" cy="2657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169226</xdr:colOff>
      <xdr:row>13</xdr:row>
      <xdr:rowOff>75952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6904762" cy="1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MLuXLKqcyTA2zksT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36"/>
  <sheetViews>
    <sheetView tabSelected="1" view="pageBreakPreview" topLeftCell="A290" zoomScale="85" zoomScaleNormal="100" zoomScaleSheetLayoutView="85" workbookViewId="0">
      <selection activeCell="B302" sqref="B302:H302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 x14ac:dyDescent="0.25">
      <c r="A1" s="155" t="s">
        <v>169</v>
      </c>
      <c r="B1" s="155"/>
      <c r="C1" s="155"/>
      <c r="D1" s="155"/>
      <c r="E1" s="155"/>
      <c r="F1" s="155"/>
      <c r="G1" s="155"/>
      <c r="H1" s="155"/>
    </row>
    <row r="2" spans="1:8" ht="16.5" customHeight="1" x14ac:dyDescent="0.25">
      <c r="A2" s="152" t="s">
        <v>0</v>
      </c>
      <c r="B2" s="152"/>
      <c r="C2" s="152"/>
      <c r="D2" s="152"/>
      <c r="E2" s="152"/>
      <c r="F2" s="152"/>
      <c r="G2" s="152"/>
      <c r="H2" s="152"/>
    </row>
    <row r="3" spans="1:8" x14ac:dyDescent="0.25">
      <c r="A3" s="88" t="s">
        <v>1</v>
      </c>
      <c r="B3" s="88"/>
      <c r="C3" s="88"/>
      <c r="D3" s="88"/>
      <c r="E3" s="88" t="str">
        <f ca="1">TEXT(TODAY(),"DD/MM/YYYY")</f>
        <v>25/09/2025</v>
      </c>
      <c r="F3" s="88"/>
      <c r="G3" s="88"/>
      <c r="H3" s="88"/>
    </row>
    <row r="4" spans="1:8" x14ac:dyDescent="0.25">
      <c r="A4" s="88" t="s">
        <v>2</v>
      </c>
      <c r="B4" s="88"/>
      <c r="C4" s="88"/>
      <c r="D4" s="88"/>
      <c r="E4" s="88" t="s">
        <v>174</v>
      </c>
      <c r="F4" s="88"/>
      <c r="G4" s="88"/>
      <c r="H4" s="88"/>
    </row>
    <row r="5" spans="1:8" x14ac:dyDescent="0.25">
      <c r="A5" s="88" t="s">
        <v>3</v>
      </c>
      <c r="B5" s="88"/>
      <c r="C5" s="88"/>
      <c r="D5" s="88"/>
      <c r="E5" s="154">
        <v>45869</v>
      </c>
      <c r="F5" s="88"/>
      <c r="G5" s="88"/>
      <c r="H5" s="88"/>
    </row>
    <row r="6" spans="1:8" ht="16.5" customHeight="1" x14ac:dyDescent="0.25">
      <c r="A6" s="88" t="s">
        <v>4</v>
      </c>
      <c r="B6" s="88"/>
      <c r="C6" s="88"/>
      <c r="D6" s="88"/>
      <c r="E6" s="88" t="s">
        <v>175</v>
      </c>
      <c r="F6" s="88"/>
      <c r="G6" s="88"/>
      <c r="H6" s="88"/>
    </row>
    <row r="7" spans="1:8" ht="15" customHeight="1" x14ac:dyDescent="0.25">
      <c r="A7" s="88" t="s">
        <v>5</v>
      </c>
      <c r="B7" s="88"/>
      <c r="C7" s="88"/>
      <c r="D7" s="88"/>
      <c r="E7" s="88" t="str">
        <f>E6</f>
        <v>Reliable Housing India Private Limited</v>
      </c>
      <c r="F7" s="88"/>
      <c r="G7" s="88"/>
      <c r="H7" s="88"/>
    </row>
    <row r="8" spans="1:8" x14ac:dyDescent="0.25">
      <c r="A8" s="88" t="s">
        <v>6</v>
      </c>
      <c r="B8" s="88"/>
      <c r="C8" s="88"/>
      <c r="D8" s="88"/>
      <c r="E8" s="84" t="s">
        <v>176</v>
      </c>
      <c r="F8" s="85"/>
      <c r="G8" s="85"/>
      <c r="H8" s="86"/>
    </row>
    <row r="9" spans="1:8" x14ac:dyDescent="0.25">
      <c r="A9" s="88" t="s">
        <v>172</v>
      </c>
      <c r="B9" s="88"/>
      <c r="C9" s="88"/>
      <c r="D9" s="88"/>
      <c r="E9" s="88">
        <v>7498958032</v>
      </c>
      <c r="F9" s="88"/>
      <c r="G9" s="88"/>
      <c r="H9" s="88"/>
    </row>
    <row r="10" spans="1:8" x14ac:dyDescent="0.25">
      <c r="A10" s="88" t="s">
        <v>173</v>
      </c>
      <c r="B10" s="88"/>
      <c r="C10" s="88"/>
      <c r="D10" s="88"/>
      <c r="E10" s="88" t="s">
        <v>217</v>
      </c>
      <c r="F10" s="88"/>
      <c r="G10" s="88"/>
      <c r="H10" s="88"/>
    </row>
    <row r="11" spans="1:8" x14ac:dyDescent="0.25">
      <c r="A11" s="88" t="s">
        <v>7</v>
      </c>
      <c r="B11" s="88"/>
      <c r="C11" s="88"/>
      <c r="D11" s="88"/>
      <c r="E11" s="88" t="s">
        <v>178</v>
      </c>
      <c r="F11" s="88"/>
      <c r="G11" s="88"/>
      <c r="H11" s="88"/>
    </row>
    <row r="12" spans="1:8" ht="30.75" customHeight="1" x14ac:dyDescent="0.25">
      <c r="A12" s="88" t="s">
        <v>8</v>
      </c>
      <c r="B12" s="88"/>
      <c r="C12" s="88"/>
      <c r="D12" s="88"/>
      <c r="E12" s="141" t="s">
        <v>238</v>
      </c>
      <c r="F12" s="141"/>
      <c r="G12" s="141"/>
      <c r="H12" s="141"/>
    </row>
    <row r="13" spans="1:8" x14ac:dyDescent="0.25">
      <c r="A13" s="88" t="s">
        <v>9</v>
      </c>
      <c r="B13" s="88"/>
      <c r="C13" s="88"/>
      <c r="D13" s="88"/>
      <c r="E13" s="141" t="s">
        <v>177</v>
      </c>
      <c r="F13" s="88"/>
      <c r="G13" s="88"/>
      <c r="H13" s="88"/>
    </row>
    <row r="14" spans="1:8" ht="33" customHeight="1" x14ac:dyDescent="0.25">
      <c r="A14" s="141" t="s">
        <v>10</v>
      </c>
      <c r="B14" s="141"/>
      <c r="C14" s="14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AV Crystal Prestige, Survey No.153B, S.No.154/2, near Mamta Apartment, Achole Cross Road, Sanyukta Nagar, Achole, Nalasopara East, Vasai, Palghar - 401209.</v>
      </c>
      <c r="D14" s="141"/>
      <c r="E14" s="141"/>
      <c r="F14" s="141"/>
      <c r="G14" s="141"/>
      <c r="H14" s="141"/>
    </row>
    <row r="15" spans="1:8" x14ac:dyDescent="0.25">
      <c r="A15" s="141" t="s">
        <v>179</v>
      </c>
      <c r="B15" s="141"/>
      <c r="C15" s="141" t="s">
        <v>180</v>
      </c>
      <c r="D15" s="141"/>
      <c r="E15" s="141"/>
      <c r="F15" s="141"/>
      <c r="G15" s="141"/>
      <c r="H15" s="141"/>
    </row>
    <row r="16" spans="1:8" ht="15.75" customHeight="1" x14ac:dyDescent="0.25">
      <c r="A16" s="141" t="s">
        <v>167</v>
      </c>
      <c r="B16" s="141"/>
      <c r="C16" s="141" t="s">
        <v>187</v>
      </c>
      <c r="D16" s="141"/>
      <c r="E16" s="141"/>
      <c r="F16" s="141"/>
      <c r="G16" s="141"/>
      <c r="H16" s="141"/>
    </row>
    <row r="17" spans="1:8" ht="15.75" customHeight="1" x14ac:dyDescent="0.25">
      <c r="A17" s="141" t="s">
        <v>11</v>
      </c>
      <c r="B17" s="141"/>
      <c r="C17" s="88" t="s">
        <v>185</v>
      </c>
      <c r="D17" s="88"/>
      <c r="E17" s="141" t="s">
        <v>72</v>
      </c>
      <c r="F17" s="141"/>
      <c r="G17" s="141" t="s">
        <v>183</v>
      </c>
      <c r="H17" s="141"/>
    </row>
    <row r="18" spans="1:8" x14ac:dyDescent="0.25">
      <c r="A18" s="88" t="s">
        <v>13</v>
      </c>
      <c r="B18" s="88"/>
      <c r="C18" s="141" t="s">
        <v>225</v>
      </c>
      <c r="D18" s="141"/>
      <c r="E18" s="141" t="s">
        <v>12</v>
      </c>
      <c r="F18" s="141"/>
      <c r="G18" s="156" t="s">
        <v>181</v>
      </c>
      <c r="H18" s="156"/>
    </row>
    <row r="19" spans="1:8" x14ac:dyDescent="0.25">
      <c r="A19" s="88" t="s">
        <v>73</v>
      </c>
      <c r="B19" s="88"/>
      <c r="C19" s="141" t="s">
        <v>182</v>
      </c>
      <c r="D19" s="141"/>
      <c r="E19" s="141" t="s">
        <v>14</v>
      </c>
      <c r="F19" s="141"/>
      <c r="G19" s="141">
        <v>401209</v>
      </c>
      <c r="H19" s="141"/>
    </row>
    <row r="20" spans="1:8" ht="46.5" customHeight="1" x14ac:dyDescent="0.25">
      <c r="A20" s="88" t="s">
        <v>124</v>
      </c>
      <c r="B20" s="88"/>
      <c r="C20" s="141" t="s">
        <v>186</v>
      </c>
      <c r="D20" s="141"/>
      <c r="E20" s="141" t="s">
        <v>15</v>
      </c>
      <c r="F20" s="141"/>
      <c r="G20" s="141" t="s">
        <v>214</v>
      </c>
      <c r="H20" s="141"/>
    </row>
    <row r="21" spans="1:8" ht="15" customHeight="1" x14ac:dyDescent="0.25">
      <c r="A21" s="115" t="s">
        <v>76</v>
      </c>
      <c r="B21" s="115"/>
      <c r="C21" s="115"/>
      <c r="D21" s="115"/>
      <c r="E21" s="88" t="s">
        <v>16</v>
      </c>
      <c r="F21" s="88"/>
      <c r="G21" s="88"/>
      <c r="H21" s="88"/>
    </row>
    <row r="22" spans="1:8" ht="18.75" customHeight="1" x14ac:dyDescent="0.25">
      <c r="A22" s="115"/>
      <c r="B22" s="115"/>
      <c r="C22" s="115"/>
      <c r="D22" s="115"/>
      <c r="E22" s="88"/>
      <c r="F22" s="88"/>
      <c r="G22" s="88"/>
      <c r="H22" s="88"/>
    </row>
    <row r="23" spans="1:8" ht="15" customHeight="1" x14ac:dyDescent="0.25">
      <c r="A23" s="115" t="s">
        <v>17</v>
      </c>
      <c r="B23" s="115"/>
      <c r="C23" s="115"/>
      <c r="D23" s="115"/>
      <c r="E23" s="141" t="s">
        <v>18</v>
      </c>
      <c r="F23" s="141"/>
      <c r="G23" s="141"/>
      <c r="H23" s="141"/>
    </row>
    <row r="24" spans="1:8" ht="15" customHeight="1" x14ac:dyDescent="0.25">
      <c r="A24" s="111" t="s">
        <v>19</v>
      </c>
      <c r="B24" s="111"/>
      <c r="C24" s="111"/>
      <c r="D24" s="111"/>
      <c r="E24" s="151" t="str">
        <f>IF(AND(G18="Mumbai"),"Upper Class","Middle Class")</f>
        <v>Middle Class</v>
      </c>
      <c r="F24" s="151"/>
      <c r="G24" s="151"/>
      <c r="H24" s="151"/>
    </row>
    <row r="25" spans="1:8" x14ac:dyDescent="0.25">
      <c r="A25" s="111" t="s">
        <v>20</v>
      </c>
      <c r="B25" s="111"/>
      <c r="C25" s="111"/>
      <c r="D25" s="111"/>
      <c r="E25" s="141" t="s">
        <v>21</v>
      </c>
      <c r="F25" s="141"/>
      <c r="G25" s="141"/>
      <c r="H25" s="141"/>
    </row>
    <row r="26" spans="1:8" ht="15.75" customHeight="1" x14ac:dyDescent="0.25">
      <c r="A26" s="111" t="s">
        <v>22</v>
      </c>
      <c r="B26" s="111"/>
      <c r="C26" s="111"/>
      <c r="D26" s="111"/>
      <c r="E26" s="151" t="str">
        <f>IF(AND(G18="Mumbai"),"Developed","Developing")</f>
        <v>Developing</v>
      </c>
      <c r="F26" s="151"/>
      <c r="G26" s="151"/>
      <c r="H26" s="151"/>
    </row>
    <row r="27" spans="1:8" x14ac:dyDescent="0.25">
      <c r="A27" s="111" t="s">
        <v>23</v>
      </c>
      <c r="B27" s="111"/>
      <c r="C27" s="111"/>
      <c r="D27" s="111"/>
      <c r="E27" s="141" t="s">
        <v>24</v>
      </c>
      <c r="F27" s="141"/>
      <c r="G27" s="141"/>
      <c r="H27" s="141"/>
    </row>
    <row r="28" spans="1:8" ht="15.75" customHeight="1" x14ac:dyDescent="0.25">
      <c r="A28" s="111" t="s">
        <v>81</v>
      </c>
      <c r="B28" s="111"/>
      <c r="C28" s="111"/>
      <c r="D28" s="111"/>
      <c r="E28" s="141" t="s">
        <v>82</v>
      </c>
      <c r="F28" s="141"/>
      <c r="G28" s="141"/>
      <c r="H28" s="141"/>
    </row>
    <row r="29" spans="1:8" ht="15" customHeight="1" x14ac:dyDescent="0.25">
      <c r="A29" s="111" t="s">
        <v>32</v>
      </c>
      <c r="B29" s="111"/>
      <c r="C29" s="111"/>
      <c r="D29" s="111"/>
      <c r="E29" s="151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Residential + Commercial</v>
      </c>
      <c r="F29" s="151"/>
      <c r="G29" s="151"/>
      <c r="H29" s="151"/>
    </row>
    <row r="30" spans="1:8" ht="15.75" customHeight="1" x14ac:dyDescent="0.25">
      <c r="A30" s="111" t="s">
        <v>93</v>
      </c>
      <c r="B30" s="111"/>
      <c r="C30" s="111"/>
      <c r="D30" s="111"/>
      <c r="E30" s="141" t="s">
        <v>33</v>
      </c>
      <c r="F30" s="141"/>
      <c r="G30" s="141"/>
      <c r="H30" s="141"/>
    </row>
    <row r="31" spans="1:8" s="19" customFormat="1" x14ac:dyDescent="0.25">
      <c r="A31" s="153" t="s">
        <v>94</v>
      </c>
      <c r="B31" s="153"/>
      <c r="C31" s="152" t="s">
        <v>226</v>
      </c>
      <c r="D31" s="152"/>
      <c r="E31" s="152"/>
      <c r="F31" s="152" t="s">
        <v>30</v>
      </c>
      <c r="G31" s="152"/>
      <c r="H31" s="152"/>
    </row>
    <row r="32" spans="1:8" s="19" customFormat="1" x14ac:dyDescent="0.25">
      <c r="A32" s="123" t="s">
        <v>25</v>
      </c>
      <c r="B32" s="123" t="s">
        <v>29</v>
      </c>
      <c r="C32" s="124" t="s">
        <v>229</v>
      </c>
      <c r="D32" s="124"/>
      <c r="E32" s="124"/>
      <c r="F32" s="124" t="s">
        <v>188</v>
      </c>
      <c r="G32" s="124"/>
      <c r="H32" s="124"/>
    </row>
    <row r="33" spans="1:10" x14ac:dyDescent="0.25">
      <c r="A33" s="123" t="s">
        <v>26</v>
      </c>
      <c r="B33" s="123" t="s">
        <v>29</v>
      </c>
      <c r="C33" s="124" t="s">
        <v>229</v>
      </c>
      <c r="D33" s="124"/>
      <c r="E33" s="124"/>
      <c r="F33" s="124" t="s">
        <v>189</v>
      </c>
      <c r="G33" s="124"/>
      <c r="H33" s="124"/>
    </row>
    <row r="34" spans="1:10" s="19" customFormat="1" x14ac:dyDescent="0.25">
      <c r="A34" s="123" t="s">
        <v>28</v>
      </c>
      <c r="B34" s="123" t="s">
        <v>29</v>
      </c>
      <c r="C34" s="124" t="s">
        <v>228</v>
      </c>
      <c r="D34" s="124"/>
      <c r="E34" s="124"/>
      <c r="F34" s="124" t="s">
        <v>185</v>
      </c>
      <c r="G34" s="124"/>
      <c r="H34" s="124"/>
    </row>
    <row r="35" spans="1:10" x14ac:dyDescent="0.25">
      <c r="A35" s="123" t="s">
        <v>27</v>
      </c>
      <c r="B35" s="123" t="s">
        <v>29</v>
      </c>
      <c r="C35" s="124" t="s">
        <v>229</v>
      </c>
      <c r="D35" s="124"/>
      <c r="E35" s="124"/>
      <c r="F35" s="124" t="s">
        <v>190</v>
      </c>
      <c r="G35" s="124"/>
      <c r="H35" s="124"/>
    </row>
    <row r="36" spans="1:10" x14ac:dyDescent="0.25">
      <c r="A36" s="111" t="s">
        <v>31</v>
      </c>
      <c r="B36" s="111"/>
      <c r="C36" s="111"/>
      <c r="D36" s="111"/>
      <c r="E36" s="111"/>
      <c r="F36" s="111"/>
      <c r="G36" s="111"/>
      <c r="H36" s="111"/>
    </row>
    <row r="37" spans="1:10" ht="15.75" customHeight="1" x14ac:dyDescent="0.25">
      <c r="A37" s="111" t="s">
        <v>170</v>
      </c>
      <c r="B37" s="111"/>
      <c r="C37" s="138" t="s">
        <v>227</v>
      </c>
      <c r="D37" s="138"/>
      <c r="E37" s="138"/>
      <c r="F37" s="138"/>
      <c r="G37" s="138"/>
      <c r="H37" s="138"/>
    </row>
    <row r="38" spans="1:10" x14ac:dyDescent="0.25">
      <c r="A38" s="111" t="s">
        <v>166</v>
      </c>
      <c r="B38" s="111"/>
      <c r="C38" s="140" t="s">
        <v>184</v>
      </c>
      <c r="D38" s="141"/>
      <c r="E38" s="141"/>
      <c r="F38" s="141"/>
      <c r="G38" s="141"/>
      <c r="H38" s="141"/>
    </row>
    <row r="39" spans="1:10" x14ac:dyDescent="0.25">
      <c r="A39" s="138" t="s">
        <v>34</v>
      </c>
      <c r="B39" s="138"/>
      <c r="C39" s="138"/>
      <c r="D39" s="138"/>
      <c r="E39" s="138"/>
      <c r="F39" s="138"/>
      <c r="G39" s="138"/>
      <c r="H39" s="138"/>
    </row>
    <row r="40" spans="1:10" x14ac:dyDescent="0.25">
      <c r="A40" s="111" t="s">
        <v>35</v>
      </c>
      <c r="B40" s="111"/>
      <c r="C40" s="111"/>
      <c r="D40" s="111"/>
      <c r="E40" s="125">
        <v>11114.18</v>
      </c>
      <c r="F40" s="125"/>
      <c r="G40" s="125"/>
      <c r="H40" s="125"/>
    </row>
    <row r="41" spans="1:10" x14ac:dyDescent="0.25">
      <c r="A41" s="111" t="s">
        <v>36</v>
      </c>
      <c r="B41" s="111"/>
      <c r="C41" s="111"/>
      <c r="D41" s="111"/>
      <c r="E41" s="144">
        <v>1.1000000000000001</v>
      </c>
      <c r="F41" s="144"/>
      <c r="G41" s="144"/>
      <c r="H41" s="144"/>
    </row>
    <row r="42" spans="1:10" x14ac:dyDescent="0.25">
      <c r="A42" s="111" t="s">
        <v>37</v>
      </c>
      <c r="B42" s="111"/>
      <c r="C42" s="111"/>
      <c r="D42" s="111"/>
      <c r="E42" s="144">
        <f>E44/E40-E41</f>
        <v>2.1608847436338081</v>
      </c>
      <c r="F42" s="144"/>
      <c r="G42" s="144"/>
      <c r="H42" s="144"/>
    </row>
    <row r="43" spans="1:10" x14ac:dyDescent="0.25">
      <c r="A43" s="111" t="s">
        <v>38</v>
      </c>
      <c r="B43" s="111"/>
      <c r="C43" s="111"/>
      <c r="D43" s="111"/>
      <c r="E43" s="144">
        <f>E41+E42</f>
        <v>3.2608847436338082</v>
      </c>
      <c r="F43" s="144"/>
      <c r="G43" s="144"/>
      <c r="H43" s="144"/>
    </row>
    <row r="44" spans="1:10" x14ac:dyDescent="0.25">
      <c r="A44" s="111" t="s">
        <v>92</v>
      </c>
      <c r="B44" s="111"/>
      <c r="C44" s="111"/>
      <c r="D44" s="111"/>
      <c r="E44" s="145">
        <v>36242.06</v>
      </c>
      <c r="F44" s="145"/>
      <c r="G44" s="145"/>
      <c r="H44" s="145"/>
    </row>
    <row r="45" spans="1:10" x14ac:dyDescent="0.25">
      <c r="A45" s="88" t="s">
        <v>39</v>
      </c>
      <c r="B45" s="88"/>
      <c r="C45" s="88"/>
      <c r="D45" s="88"/>
      <c r="E45" s="88" t="s">
        <v>192</v>
      </c>
      <c r="F45" s="88"/>
      <c r="G45" s="88"/>
      <c r="H45" s="88"/>
    </row>
    <row r="46" spans="1:10" x14ac:dyDescent="0.25">
      <c r="A46" s="138" t="s">
        <v>40</v>
      </c>
      <c r="B46" s="138"/>
      <c r="C46" s="138"/>
      <c r="D46" s="138"/>
      <c r="E46" s="138"/>
      <c r="F46" s="138"/>
      <c r="G46" s="138"/>
      <c r="H46" s="138"/>
      <c r="J46" s="18">
        <f>11114.18*1.1</f>
        <v>12225.598000000002</v>
      </c>
    </row>
    <row r="47" spans="1:10" ht="33.75" customHeight="1" x14ac:dyDescent="0.25">
      <c r="A47" s="82" t="s">
        <v>153</v>
      </c>
      <c r="B47" s="83"/>
      <c r="C47" s="84" t="s">
        <v>191</v>
      </c>
      <c r="D47" s="85"/>
      <c r="E47" s="85"/>
      <c r="F47" s="85"/>
      <c r="G47" s="85"/>
      <c r="H47" s="86"/>
    </row>
    <row r="48" spans="1:10" ht="32.25" customHeight="1" x14ac:dyDescent="0.25">
      <c r="A48" s="82" t="s">
        <v>41</v>
      </c>
      <c r="B48" s="83"/>
      <c r="C48" s="82" t="s">
        <v>193</v>
      </c>
      <c r="D48" s="137"/>
      <c r="E48" s="83"/>
      <c r="F48" s="16" t="s">
        <v>42</v>
      </c>
      <c r="G48" s="131">
        <v>44777</v>
      </c>
      <c r="H48" s="83"/>
    </row>
    <row r="49" spans="1:14" ht="32.25" customHeight="1" x14ac:dyDescent="0.25">
      <c r="A49" s="82" t="s">
        <v>43</v>
      </c>
      <c r="B49" s="83"/>
      <c r="C49" s="82" t="str">
        <f>C48</f>
        <v>VVCMC/TP/AMEND/VP/0527/282/
2022-23</v>
      </c>
      <c r="D49" s="137"/>
      <c r="E49" s="83"/>
      <c r="F49" s="16" t="s">
        <v>42</v>
      </c>
      <c r="G49" s="131">
        <v>44777</v>
      </c>
      <c r="H49" s="83"/>
    </row>
    <row r="50" spans="1:14" s="20" customFormat="1" ht="38.25" customHeight="1" x14ac:dyDescent="0.25">
      <c r="A50" s="132" t="s">
        <v>157</v>
      </c>
      <c r="B50" s="133"/>
      <c r="C50" s="82" t="s">
        <v>194</v>
      </c>
      <c r="D50" s="137"/>
      <c r="E50" s="83"/>
      <c r="F50" s="16" t="s">
        <v>42</v>
      </c>
      <c r="G50" s="131">
        <v>44777</v>
      </c>
      <c r="H50" s="83"/>
    </row>
    <row r="51" spans="1:14" s="20" customFormat="1" x14ac:dyDescent="0.25">
      <c r="A51" s="134"/>
      <c r="B51" s="135"/>
      <c r="C51" s="82" t="s">
        <v>211</v>
      </c>
      <c r="D51" s="137"/>
      <c r="E51" s="137"/>
      <c r="F51" s="137"/>
      <c r="G51" s="137"/>
      <c r="H51" s="83"/>
    </row>
    <row r="52" spans="1:14" x14ac:dyDescent="0.25">
      <c r="A52" s="132" t="s">
        <v>232</v>
      </c>
      <c r="B52" s="133"/>
      <c r="C52" s="82" t="s">
        <v>231</v>
      </c>
      <c r="D52" s="137"/>
      <c r="E52" s="83"/>
      <c r="F52" s="16" t="s">
        <v>42</v>
      </c>
      <c r="G52" s="131">
        <v>44721</v>
      </c>
      <c r="H52" s="83"/>
    </row>
    <row r="53" spans="1:14" ht="48.75" customHeight="1" x14ac:dyDescent="0.25">
      <c r="A53" s="134"/>
      <c r="B53" s="135"/>
      <c r="C53" s="82" t="s">
        <v>233</v>
      </c>
      <c r="D53" s="137"/>
      <c r="E53" s="137"/>
      <c r="F53" s="137"/>
      <c r="G53" s="137"/>
      <c r="H53" s="83"/>
    </row>
    <row r="54" spans="1:14" x14ac:dyDescent="0.25">
      <c r="A54" s="132" t="s">
        <v>241</v>
      </c>
      <c r="B54" s="133"/>
      <c r="C54" s="82" t="s">
        <v>242</v>
      </c>
      <c r="D54" s="137"/>
      <c r="E54" s="83"/>
      <c r="F54" s="16" t="s">
        <v>42</v>
      </c>
      <c r="G54" s="131">
        <v>45116</v>
      </c>
      <c r="H54" s="83"/>
    </row>
    <row r="55" spans="1:14" ht="33.75" customHeight="1" x14ac:dyDescent="0.25">
      <c r="A55" s="134"/>
      <c r="B55" s="135"/>
      <c r="C55" s="82" t="s">
        <v>243</v>
      </c>
      <c r="D55" s="137"/>
      <c r="E55" s="137"/>
      <c r="F55" s="137"/>
      <c r="G55" s="137"/>
      <c r="H55" s="83"/>
      <c r="I55" s="21"/>
    </row>
    <row r="56" spans="1:14" x14ac:dyDescent="0.25">
      <c r="A56" s="149" t="s">
        <v>44</v>
      </c>
      <c r="B56" s="150"/>
      <c r="C56" s="149" t="s">
        <v>106</v>
      </c>
      <c r="D56" s="166"/>
      <c r="E56" s="150"/>
      <c r="F56" s="41" t="s">
        <v>42</v>
      </c>
      <c r="G56" s="142" t="s">
        <v>29</v>
      </c>
      <c r="H56" s="143"/>
    </row>
    <row r="57" spans="1:14" ht="15.75" customHeight="1" x14ac:dyDescent="0.25">
      <c r="A57" s="159" t="s">
        <v>46</v>
      </c>
      <c r="B57" s="159"/>
      <c r="C57" s="159"/>
      <c r="D57" s="159"/>
      <c r="E57" s="159"/>
      <c r="F57" s="159"/>
      <c r="G57" s="159"/>
      <c r="H57" s="159"/>
    </row>
    <row r="58" spans="1:14" ht="15.75" customHeight="1" x14ac:dyDescent="0.25">
      <c r="A58" s="115" t="s">
        <v>91</v>
      </c>
      <c r="B58" s="115"/>
      <c r="C58" s="115"/>
      <c r="D58" s="111">
        <f>E44</f>
        <v>36242.06</v>
      </c>
      <c r="E58" s="111"/>
      <c r="F58" s="111"/>
      <c r="G58" s="111"/>
      <c r="H58" s="111"/>
      <c r="J58" s="22"/>
      <c r="K58" s="21"/>
      <c r="N58" s="21"/>
    </row>
    <row r="59" spans="1:14" ht="15.75" customHeight="1" x14ac:dyDescent="0.25">
      <c r="A59" s="141" t="s">
        <v>47</v>
      </c>
      <c r="B59" s="88"/>
      <c r="C59" s="88"/>
      <c r="D59" s="88" t="s">
        <v>230</v>
      </c>
      <c r="E59" s="88"/>
      <c r="F59" s="88"/>
      <c r="G59" s="88"/>
      <c r="H59" s="88"/>
      <c r="N59" s="21"/>
    </row>
    <row r="60" spans="1:14" ht="15.75" customHeight="1" x14ac:dyDescent="0.25">
      <c r="A60" s="128" t="s">
        <v>48</v>
      </c>
      <c r="B60" s="129"/>
      <c r="C60" s="130"/>
      <c r="D60" s="126" t="s">
        <v>211</v>
      </c>
      <c r="E60" s="127"/>
      <c r="F60" s="127"/>
      <c r="G60" s="127"/>
      <c r="H60" s="127"/>
      <c r="J60" s="23"/>
      <c r="K60" s="23"/>
    </row>
    <row r="61" spans="1:14" x14ac:dyDescent="0.25">
      <c r="A61" s="128" t="s">
        <v>89</v>
      </c>
      <c r="B61" s="129"/>
      <c r="C61" s="129"/>
      <c r="D61" s="146" t="s">
        <v>211</v>
      </c>
      <c r="E61" s="147"/>
      <c r="F61" s="147"/>
      <c r="G61" s="147"/>
      <c r="H61" s="148"/>
    </row>
    <row r="62" spans="1:14" x14ac:dyDescent="0.25">
      <c r="A62" s="111" t="s">
        <v>45</v>
      </c>
      <c r="B62" s="111"/>
      <c r="C62" s="111"/>
      <c r="D62" s="139" t="s">
        <v>218</v>
      </c>
      <c r="E62" s="139"/>
      <c r="F62" s="139"/>
      <c r="G62" s="139"/>
      <c r="H62" s="139"/>
      <c r="I62" s="24"/>
      <c r="J62" s="24"/>
      <c r="K62" s="24"/>
      <c r="L62" s="24"/>
      <c r="M62" s="24"/>
      <c r="N62" s="24"/>
    </row>
    <row r="63" spans="1:14" ht="15.75" customHeight="1" x14ac:dyDescent="0.25">
      <c r="A63" s="111" t="s">
        <v>87</v>
      </c>
      <c r="B63" s="111"/>
      <c r="C63" s="111"/>
      <c r="D63" s="114" t="str">
        <f>(IF(G56="NA","60 Years After Completion",IF(G56&lt;&gt;"NA",""&amp;60-ROUNDDOWN((E3-G56)/360,0)&amp;" Years"," ")))</f>
        <v>60 Years After Completion</v>
      </c>
      <c r="E63" s="114"/>
      <c r="F63" s="114"/>
      <c r="G63" s="114"/>
      <c r="H63" s="114"/>
      <c r="J63" s="23"/>
    </row>
    <row r="64" spans="1:14" ht="16.5" thickBot="1" x14ac:dyDescent="0.3">
      <c r="A64" s="111" t="s">
        <v>88</v>
      </c>
      <c r="B64" s="111"/>
      <c r="C64" s="111"/>
      <c r="D64" s="115" t="s">
        <v>24</v>
      </c>
      <c r="E64" s="115"/>
      <c r="F64" s="115"/>
      <c r="G64" s="115"/>
      <c r="H64" s="115"/>
    </row>
    <row r="65" spans="1:10" x14ac:dyDescent="0.25">
      <c r="A65" s="111" t="s">
        <v>74</v>
      </c>
      <c r="B65" s="111"/>
      <c r="C65" s="111"/>
      <c r="D65" s="141" t="s">
        <v>213</v>
      </c>
      <c r="E65" s="115"/>
      <c r="F65" s="115"/>
      <c r="G65" s="115"/>
      <c r="H65" s="115"/>
      <c r="I65" s="61" t="str">
        <f ca="1">IF(D82=100%,"All work Completed. Possession granted to the Building.",IF(D81=100%,"All work Completed, Waiting for OC",I66&amp;""&amp;I67&amp;""&amp;J66&amp;""&amp;J65&amp;" "&amp;J67))</f>
        <v>Excavation, Plinth Completed, RCC upto 23 Slab, Brickwork upto 16 Floor, Internal Plaster upto 12 Floor, External Plaster upto 5 Floor Completed</v>
      </c>
      <c r="J65" s="44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23 Slab, Brickwork upto 16 Floor, Internal Plaster upto 12 Floor, External Plaster upto 5 Floor</v>
      </c>
    </row>
    <row r="66" spans="1:10" x14ac:dyDescent="0.25">
      <c r="A66" s="115" t="s">
        <v>150</v>
      </c>
      <c r="B66" s="115"/>
      <c r="C66" s="115"/>
      <c r="D66" s="115" t="s">
        <v>29</v>
      </c>
      <c r="E66" s="115"/>
      <c r="F66" s="115"/>
      <c r="G66" s="115"/>
      <c r="H66" s="115"/>
      <c r="I66" s="62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66" s="45" t="str">
        <f ca="1">(IF(C73=0,"Work not yet Started.",IF(D73=25%,"Piling work in process",IF(D73=50%,"Excavation work in process",IF(D73=100%,"","0")))))&amp;(IF(C74=0%,"",IF(C74=J71,", Footing work is process",IF(C74=J72,", Footing work Completed",IF(C74=J73,", 1st Basement Completed",IF(C74=J74,", 1st &amp; 2nd Basement Completed",IF(C74=J75,", 1st to 3rd Basement Completed",IF(C74=J76,", 1st to 4th Basement Completed",IF(C74=J77,", Plinth work is process",IF(C74=J78,"","0"))))))))))</f>
        <v/>
      </c>
    </row>
    <row r="67" spans="1:10" x14ac:dyDescent="0.25">
      <c r="A67" s="174" t="s">
        <v>86</v>
      </c>
      <c r="B67" s="174"/>
      <c r="C67" s="174"/>
      <c r="D67" s="126" t="str">
        <f ca="1">(IF(G73&gt;95%,"Nothing",IF(G73&gt;0%,"Cement, Aggregate, Steel, etc",IF(G73=0%,"Work not yet Started"))))</f>
        <v>Cement, Aggregate, Steel, etc</v>
      </c>
      <c r="E67" s="126"/>
      <c r="F67" s="126"/>
      <c r="G67" s="126"/>
      <c r="H67" s="126"/>
      <c r="I67" s="62" t="str">
        <f ca="1">IF(I66&lt;&gt;""," Completed","")</f>
        <v xml:space="preserve"> Completed</v>
      </c>
      <c r="J67" s="45" t="str">
        <f ca="1">IF(J65&lt;&gt;"","Completed","")</f>
        <v>Completed</v>
      </c>
    </row>
    <row r="68" spans="1:10" ht="15.75" customHeight="1" x14ac:dyDescent="0.25">
      <c r="A68" s="115" t="s">
        <v>119</v>
      </c>
      <c r="B68" s="115"/>
      <c r="C68" s="115"/>
      <c r="D68" s="141" t="str">
        <f ca="1">(IF(D67="Nothing","Yes",IF(D67="Cement, Aggregate, Steel, etc","Under Construction",IF(D67="Work not yet Started","Work not yet Started"))))</f>
        <v>Under Construction</v>
      </c>
      <c r="E68" s="141"/>
      <c r="F68" s="141" t="str">
        <f ca="1">(IF(D67="Nothing","Yes",IF(D67="Cement, Aggregate, Steel, etc","Under Construction",IF(D67="Work not yet Started","Work not yet Started"))))</f>
        <v>Under Construction</v>
      </c>
      <c r="G68" s="141"/>
      <c r="H68" s="141"/>
      <c r="I68" s="14" t="s">
        <v>143</v>
      </c>
      <c r="J68" s="25">
        <f ca="1">H70*25%</f>
        <v>6.75</v>
      </c>
    </row>
    <row r="69" spans="1:10" x14ac:dyDescent="0.25">
      <c r="A69" s="118" t="s">
        <v>142</v>
      </c>
      <c r="B69" s="118"/>
      <c r="C69" s="118" t="str">
        <f>D61</f>
        <v>Building No.2 (A &amp; B Wing) = Gr/St + 1st to 27th Floor</v>
      </c>
      <c r="D69" s="118"/>
      <c r="E69" s="118"/>
      <c r="F69" s="118"/>
      <c r="G69" s="118"/>
      <c r="H69" s="118"/>
      <c r="I69" s="14" t="s">
        <v>101</v>
      </c>
      <c r="J69" s="26">
        <f ca="1">H70*50%</f>
        <v>13.5</v>
      </c>
    </row>
    <row r="70" spans="1:10" x14ac:dyDescent="0.25">
      <c r="A70" s="56" t="s">
        <v>144</v>
      </c>
      <c r="B70" s="56">
        <f>IF(AND(ISNUMBER(SEARCH("1B",C69))),1,IF(AND(ISNUMBER(SEARCH("2B",C69))),2,IF(AND(ISNUMBER(SEARCH("3B",C69))),3,IF(AND(ISNUMBER(SEARCH("4B",C69))),4,IF(ISNUMBER(SEARCH("5B",C69)),5,0)))))</f>
        <v>0</v>
      </c>
      <c r="C70" s="56" t="s">
        <v>71</v>
      </c>
      <c r="D70" s="56">
        <v>1</v>
      </c>
      <c r="E70" s="56" t="s">
        <v>70</v>
      </c>
      <c r="F70" s="56">
        <v>0</v>
      </c>
      <c r="G70" s="43" t="s">
        <v>80</v>
      </c>
      <c r="H70" s="56">
        <f ca="1">--TRIM(RIGHT(SUBSTITUTE(LEFT(C69,_xlfn.AGGREGATE(16,6,FIND({0,1,2,3,4,5,6,7,8,9},C69,ROW(INDIRECT("1:"&amp;LEN(C69)))),1))," ",REPT(" ",LEN(C69))),LEN(C69)))</f>
        <v>27</v>
      </c>
      <c r="I70" s="14" t="s">
        <v>102</v>
      </c>
      <c r="J70" s="26">
        <f ca="1">H70</f>
        <v>27</v>
      </c>
    </row>
    <row r="71" spans="1:10" ht="37.5" customHeight="1" x14ac:dyDescent="0.25">
      <c r="A71" s="117" t="s">
        <v>90</v>
      </c>
      <c r="B71" s="117"/>
      <c r="C71" s="173" t="str">
        <f ca="1">I65</f>
        <v>Excavation, Plinth Completed, RCC upto 23 Slab, Brickwork upto 16 Floor, Internal Plaster upto 12 Floor, External Plaster upto 5 Floor Completed</v>
      </c>
      <c r="D71" s="173"/>
      <c r="E71" s="173"/>
      <c r="F71" s="173"/>
      <c r="G71" s="173"/>
      <c r="H71" s="173"/>
      <c r="I71" s="14" t="s">
        <v>103</v>
      </c>
      <c r="J71" s="27">
        <f ca="1">(IF(B70&gt;1,(H70/(B70+2)),H70/4))</f>
        <v>6.75</v>
      </c>
    </row>
    <row r="72" spans="1:10" ht="15.75" customHeight="1" x14ac:dyDescent="0.25">
      <c r="A72" s="116" t="s">
        <v>49</v>
      </c>
      <c r="B72" s="116"/>
      <c r="C72" s="55" t="s">
        <v>141</v>
      </c>
      <c r="D72" s="55" t="s">
        <v>83</v>
      </c>
      <c r="E72" s="116" t="s">
        <v>85</v>
      </c>
      <c r="F72" s="116"/>
      <c r="G72" s="116" t="s">
        <v>84</v>
      </c>
      <c r="H72" s="116"/>
      <c r="I72" s="14" t="s">
        <v>104</v>
      </c>
      <c r="J72" s="27">
        <f ca="1">(IF(B70&gt;1,(H70/(B70+2)+J71),H70/4+J71))</f>
        <v>13.5</v>
      </c>
    </row>
    <row r="73" spans="1:10" ht="15.75" customHeight="1" x14ac:dyDescent="0.25">
      <c r="A73" s="116" t="s">
        <v>130</v>
      </c>
      <c r="B73" s="116"/>
      <c r="C73" s="55">
        <f ca="1">J70</f>
        <v>27</v>
      </c>
      <c r="D73" s="17">
        <f ca="1">((100/H70)*C73)/100</f>
        <v>1</v>
      </c>
      <c r="E73" s="112">
        <f ca="1">(((C74/H70*10)+(40/(D70+F70+H70)*C75)+(7.5/(H70)*C76)+(7.5/(H70)*C77)+(10/H70*C78)+(10/H70*C79)+(5/H70*C80)+(5/H70*C81)+(5/H70*C82))/100)</f>
        <v>0.52486772486772493</v>
      </c>
      <c r="F73" s="112"/>
      <c r="G73" s="112">
        <f ca="1">((((C73/H70)*20)+((C74/H70)*25)+(30/(H70+F70+D70)*C75)+(5/H70*C76)+(5/H70*C77)+(5/H70*C78)+(5/H70*C79)+(0/H70*C80)+(0/H70*C81)+(5/H70*C82))/100)</f>
        <v>0.75753968253968251</v>
      </c>
      <c r="H73" s="112"/>
      <c r="I73" s="14" t="s">
        <v>148</v>
      </c>
      <c r="J73" s="27">
        <f>(IF(B70&gt;1,(H70/(B70+2)+J72),0))</f>
        <v>0</v>
      </c>
    </row>
    <row r="74" spans="1:10" ht="15" customHeight="1" x14ac:dyDescent="0.25">
      <c r="A74" s="116" t="s">
        <v>50</v>
      </c>
      <c r="B74" s="116"/>
      <c r="C74" s="60">
        <f ca="1">J78</f>
        <v>27</v>
      </c>
      <c r="D74" s="17">
        <f ca="1">((100/H70)*C74)/100</f>
        <v>1</v>
      </c>
      <c r="E74" s="112"/>
      <c r="F74" s="112"/>
      <c r="G74" s="112"/>
      <c r="H74" s="112"/>
      <c r="I74" s="14" t="s">
        <v>145</v>
      </c>
      <c r="J74" s="27">
        <f>(IF(B70&gt;2,(H70/(B70+2)+J73),0))</f>
        <v>0</v>
      </c>
    </row>
    <row r="75" spans="1:10" ht="15.75" customHeight="1" x14ac:dyDescent="0.25">
      <c r="A75" s="116" t="s">
        <v>131</v>
      </c>
      <c r="B75" s="116"/>
      <c r="C75" s="55">
        <v>23</v>
      </c>
      <c r="D75" s="17">
        <f ca="1">((100/(D70+F70+H70))*C75)/100</f>
        <v>0.82142857142857151</v>
      </c>
      <c r="E75" s="112"/>
      <c r="F75" s="112"/>
      <c r="G75" s="112"/>
      <c r="H75" s="112"/>
      <c r="I75" s="14" t="s">
        <v>146</v>
      </c>
      <c r="J75" s="28">
        <f>(IF(B70&gt;3,(H70/(B70+2)+J74),0))</f>
        <v>0</v>
      </c>
    </row>
    <row r="76" spans="1:10" ht="15.75" customHeight="1" x14ac:dyDescent="0.25">
      <c r="A76" s="116" t="s">
        <v>138</v>
      </c>
      <c r="B76" s="116" t="s">
        <v>132</v>
      </c>
      <c r="C76" s="55">
        <v>16</v>
      </c>
      <c r="D76" s="17">
        <f ca="1">((100/H70)*C76)/100</f>
        <v>0.59259259259259256</v>
      </c>
      <c r="E76" s="112"/>
      <c r="F76" s="112"/>
      <c r="G76" s="112"/>
      <c r="H76" s="112"/>
      <c r="I76" s="14" t="s">
        <v>147</v>
      </c>
      <c r="J76" s="27">
        <f>(IF(B70&gt;4,(H70/(B70+2)+J75),0))</f>
        <v>0</v>
      </c>
    </row>
    <row r="77" spans="1:10" ht="15.75" customHeight="1" x14ac:dyDescent="0.25">
      <c r="A77" s="116" t="s">
        <v>139</v>
      </c>
      <c r="B77" s="116" t="s">
        <v>132</v>
      </c>
      <c r="C77" s="55">
        <v>12</v>
      </c>
      <c r="D77" s="17">
        <f ca="1">((100/H70)*C77)/100</f>
        <v>0.44444444444444442</v>
      </c>
      <c r="E77" s="112"/>
      <c r="F77" s="112"/>
      <c r="G77" s="112"/>
      <c r="H77" s="112"/>
      <c r="I77" s="14" t="s">
        <v>149</v>
      </c>
      <c r="J77" s="27">
        <f ca="1">(IF(B70=1,(H70/(B70+3)+J72),IF(B70=0,(H70/4+J72),IF(B70&gt;1,0))))</f>
        <v>20.25</v>
      </c>
    </row>
    <row r="78" spans="1:10" ht="16.5" thickBot="1" x14ac:dyDescent="0.3">
      <c r="A78" s="116" t="s">
        <v>137</v>
      </c>
      <c r="B78" s="116" t="s">
        <v>134</v>
      </c>
      <c r="C78" s="55">
        <v>5</v>
      </c>
      <c r="D78" s="17">
        <f ca="1">((100/(H70))*C78)/100</f>
        <v>0.1851851851851852</v>
      </c>
      <c r="E78" s="112"/>
      <c r="F78" s="112"/>
      <c r="G78" s="112"/>
      <c r="H78" s="112"/>
      <c r="I78" s="15" t="s">
        <v>105</v>
      </c>
      <c r="J78" s="29">
        <f ca="1">(IF(B70&gt;1.5,(H70/(B70+2)+J72+MAX(0,J73-J72)+MAX(0,J74-J73)+MAX(0,J75-J74)+MAX(0,J76-J75)+MAX(0,J77-J76)),IF(B70=1,(H70/(B70+3)+J77),IF(B70=0,H70/4+J77))))</f>
        <v>27</v>
      </c>
    </row>
    <row r="79" spans="1:10" x14ac:dyDescent="0.25">
      <c r="A79" s="116" t="s">
        <v>133</v>
      </c>
      <c r="B79" s="116" t="s">
        <v>133</v>
      </c>
      <c r="C79" s="55">
        <v>0</v>
      </c>
      <c r="D79" s="17">
        <f ca="1">((100/H70)*C79)/100</f>
        <v>0</v>
      </c>
      <c r="E79" s="112"/>
      <c r="F79" s="112"/>
      <c r="G79" s="112"/>
      <c r="H79" s="112"/>
    </row>
    <row r="80" spans="1:10" x14ac:dyDescent="0.25">
      <c r="A80" s="116" t="s">
        <v>140</v>
      </c>
      <c r="B80" s="116"/>
      <c r="C80" s="55">
        <v>0</v>
      </c>
      <c r="D80" s="17">
        <f ca="1">((100/H70)*C80)/100</f>
        <v>0</v>
      </c>
      <c r="E80" s="112"/>
      <c r="F80" s="112"/>
      <c r="G80" s="112"/>
      <c r="H80" s="112"/>
    </row>
    <row r="81" spans="1:16" x14ac:dyDescent="0.25">
      <c r="A81" s="116" t="s">
        <v>135</v>
      </c>
      <c r="B81" s="116" t="s">
        <v>135</v>
      </c>
      <c r="C81" s="55">
        <v>0</v>
      </c>
      <c r="D81" s="17">
        <f ca="1">((100/(H70))*C81)/100</f>
        <v>0</v>
      </c>
      <c r="E81" s="112"/>
      <c r="F81" s="112"/>
      <c r="G81" s="112"/>
      <c r="H81" s="112"/>
    </row>
    <row r="82" spans="1:16" x14ac:dyDescent="0.25">
      <c r="A82" s="116" t="s">
        <v>136</v>
      </c>
      <c r="B82" s="116"/>
      <c r="C82" s="55">
        <v>0</v>
      </c>
      <c r="D82" s="17">
        <f ca="1">((100/(H70))*C82)/100</f>
        <v>0</v>
      </c>
      <c r="E82" s="112"/>
      <c r="F82" s="112"/>
      <c r="G82" s="112"/>
      <c r="H82" s="112"/>
      <c r="I82" s="186" t="s">
        <v>239</v>
      </c>
      <c r="J82" s="187"/>
      <c r="K82" s="187"/>
      <c r="L82" s="187"/>
      <c r="M82" s="187"/>
      <c r="N82" s="188"/>
    </row>
    <row r="83" spans="1:16" s="30" customFormat="1" x14ac:dyDescent="0.25">
      <c r="A83" s="91" t="s">
        <v>159</v>
      </c>
      <c r="B83" s="91"/>
      <c r="C83" s="91"/>
      <c r="D83" s="91"/>
      <c r="E83" s="91"/>
      <c r="F83" s="113" t="s">
        <v>164</v>
      </c>
      <c r="G83" s="113"/>
      <c r="H83" s="113"/>
    </row>
    <row r="84" spans="1:16" s="30" customFormat="1" x14ac:dyDescent="0.25">
      <c r="A84" s="88" t="s">
        <v>162</v>
      </c>
      <c r="B84" s="88"/>
      <c r="C84" s="88"/>
      <c r="D84" s="88"/>
      <c r="E84" s="88"/>
      <c r="F84" s="87">
        <v>6000</v>
      </c>
      <c r="G84" s="87"/>
      <c r="H84" s="87"/>
    </row>
    <row r="85" spans="1:16" s="30" customFormat="1" x14ac:dyDescent="0.25">
      <c r="A85" s="88" t="s">
        <v>161</v>
      </c>
      <c r="B85" s="88"/>
      <c r="C85" s="88"/>
      <c r="D85" s="88"/>
      <c r="E85" s="88"/>
      <c r="F85" s="87">
        <v>12000</v>
      </c>
      <c r="G85" s="87"/>
      <c r="H85" s="87"/>
    </row>
    <row r="86" spans="1:16" s="30" customFormat="1" x14ac:dyDescent="0.25">
      <c r="A86" s="88" t="s">
        <v>163</v>
      </c>
      <c r="B86" s="88"/>
      <c r="C86" s="88"/>
      <c r="D86" s="88"/>
      <c r="E86" s="88"/>
      <c r="F86" s="87">
        <v>9000</v>
      </c>
      <c r="G86" s="87"/>
      <c r="H86" s="87"/>
    </row>
    <row r="87" spans="1:16" s="30" customFormat="1" hidden="1" x14ac:dyDescent="0.25">
      <c r="A87" s="88" t="s">
        <v>160</v>
      </c>
      <c r="B87" s="88"/>
      <c r="C87" s="88"/>
      <c r="D87" s="88"/>
      <c r="E87" s="88"/>
      <c r="F87" s="87"/>
      <c r="G87" s="87"/>
      <c r="H87" s="87"/>
    </row>
    <row r="88" spans="1:16" s="30" customFormat="1" hidden="1" x14ac:dyDescent="0.25">
      <c r="A88" s="88" t="s">
        <v>95</v>
      </c>
      <c r="B88" s="88"/>
      <c r="C88" s="88"/>
      <c r="D88" s="88"/>
      <c r="E88" s="88"/>
      <c r="F88" s="87"/>
      <c r="G88" s="87"/>
      <c r="H88" s="87"/>
    </row>
    <row r="89" spans="1:16" s="30" customFormat="1" hidden="1" x14ac:dyDescent="0.25">
      <c r="A89" s="88" t="s">
        <v>96</v>
      </c>
      <c r="B89" s="88"/>
      <c r="C89" s="88"/>
      <c r="D89" s="88"/>
      <c r="E89" s="88"/>
      <c r="F89" s="87"/>
      <c r="G89" s="87"/>
      <c r="H89" s="87"/>
    </row>
    <row r="90" spans="1:16" hidden="1" x14ac:dyDescent="0.25">
      <c r="A90" s="88" t="s">
        <v>97</v>
      </c>
      <c r="B90" s="88"/>
      <c r="C90" s="88"/>
      <c r="D90" s="88"/>
      <c r="E90" s="88"/>
      <c r="F90" s="87"/>
      <c r="G90" s="87"/>
      <c r="H90" s="87"/>
      <c r="I90" s="111" t="s">
        <v>165</v>
      </c>
      <c r="J90" s="111"/>
      <c r="K90" s="111"/>
      <c r="L90" s="111"/>
      <c r="M90" s="111"/>
      <c r="N90" s="87">
        <v>11000</v>
      </c>
      <c r="O90" s="87"/>
      <c r="P90" s="87"/>
    </row>
    <row r="91" spans="1:16" s="31" customFormat="1" hidden="1" x14ac:dyDescent="0.25">
      <c r="A91" s="88" t="s">
        <v>98</v>
      </c>
      <c r="B91" s="88"/>
      <c r="C91" s="88"/>
      <c r="D91" s="88"/>
      <c r="E91" s="88"/>
      <c r="F91" s="87"/>
      <c r="G91" s="87"/>
      <c r="H91" s="87"/>
    </row>
    <row r="92" spans="1:16" s="32" customFormat="1" ht="15.75" customHeight="1" x14ac:dyDescent="0.25">
      <c r="A92" s="88" t="s">
        <v>99</v>
      </c>
      <c r="B92" s="88"/>
      <c r="C92" s="88"/>
      <c r="D92" s="88"/>
      <c r="E92" s="88"/>
      <c r="F92" s="87">
        <v>225000</v>
      </c>
      <c r="G92" s="87"/>
      <c r="H92" s="87"/>
    </row>
    <row r="93" spans="1:16" s="32" customFormat="1" ht="15.75" hidden="1" customHeight="1" x14ac:dyDescent="0.25">
      <c r="A93" s="88" t="s">
        <v>100</v>
      </c>
      <c r="B93" s="88"/>
      <c r="C93" s="88"/>
      <c r="D93" s="88"/>
      <c r="E93" s="88"/>
      <c r="F93" s="87"/>
      <c r="G93" s="87"/>
      <c r="H93" s="87"/>
    </row>
    <row r="94" spans="1:16" s="32" customFormat="1" x14ac:dyDescent="0.25">
      <c r="A94" s="88" t="s">
        <v>51</v>
      </c>
      <c r="B94" s="88"/>
      <c r="C94" s="88"/>
      <c r="D94" s="88"/>
      <c r="E94" s="88"/>
      <c r="F94" s="87">
        <v>300000</v>
      </c>
      <c r="G94" s="87"/>
      <c r="H94" s="87"/>
    </row>
    <row r="95" spans="1:16" s="32" customFormat="1" x14ac:dyDescent="0.25">
      <c r="A95" s="117" t="s">
        <v>52</v>
      </c>
      <c r="B95" s="117"/>
      <c r="C95" s="117"/>
      <c r="D95" s="117"/>
      <c r="E95" s="117"/>
      <c r="F95" s="87">
        <f>F84*0.8</f>
        <v>4800</v>
      </c>
      <c r="G95" s="87"/>
      <c r="H95" s="87"/>
    </row>
    <row r="96" spans="1:16" s="32" customFormat="1" x14ac:dyDescent="0.25">
      <c r="A96" s="103" t="s">
        <v>75</v>
      </c>
      <c r="B96" s="103"/>
      <c r="C96" s="103"/>
      <c r="D96" s="103"/>
      <c r="E96" s="103"/>
      <c r="F96" s="103"/>
      <c r="G96" s="103"/>
      <c r="H96" s="103"/>
    </row>
    <row r="97" spans="1:14" s="32" customFormat="1" x14ac:dyDescent="0.25">
      <c r="A97" s="122" t="s">
        <v>53</v>
      </c>
      <c r="B97" s="122"/>
      <c r="C97" s="105" t="s">
        <v>78</v>
      </c>
      <c r="D97" s="105"/>
      <c r="E97" s="136" t="s">
        <v>54</v>
      </c>
      <c r="F97" s="136"/>
      <c r="G97" s="122" t="s">
        <v>55</v>
      </c>
      <c r="H97" s="122"/>
    </row>
    <row r="98" spans="1:14" s="32" customFormat="1" ht="15.75" customHeight="1" x14ac:dyDescent="0.25">
      <c r="A98" s="183" t="s">
        <v>196</v>
      </c>
      <c r="B98" s="65" t="s">
        <v>221</v>
      </c>
      <c r="C98" s="119">
        <f>COUNT(D113:D142)</f>
        <v>30</v>
      </c>
      <c r="D98" s="119"/>
      <c r="E98" s="119">
        <f t="shared" ref="E98" si="0">SUM(D113:D142)</f>
        <v>5609.6586000000007</v>
      </c>
      <c r="F98" s="119"/>
      <c r="G98" s="119">
        <f t="shared" ref="G98" si="1">SUM(F113:F142)</f>
        <v>8694.970830000002</v>
      </c>
      <c r="H98" s="119"/>
    </row>
    <row r="99" spans="1:14" s="32" customFormat="1" x14ac:dyDescent="0.25">
      <c r="A99" s="184"/>
      <c r="B99" s="65" t="s">
        <v>197</v>
      </c>
      <c r="C99" s="106">
        <f>COUNT(D144:D157)</f>
        <v>14</v>
      </c>
      <c r="D99" s="164"/>
      <c r="E99" s="107">
        <f>SUM(D144:D157)</f>
        <v>7891.9495199999992</v>
      </c>
      <c r="F99" s="165"/>
      <c r="G99" s="107">
        <f>SUM(F144:F157)</f>
        <v>12232.521756000002</v>
      </c>
      <c r="H99" s="165"/>
    </row>
    <row r="100" spans="1:14" s="32" customFormat="1" x14ac:dyDescent="0.25">
      <c r="A100" s="103" t="s">
        <v>152</v>
      </c>
      <c r="B100" s="103"/>
      <c r="C100" s="104">
        <f t="shared" ref="C100:G100" si="2">SUM(C98:D99)</f>
        <v>44</v>
      </c>
      <c r="D100" s="105"/>
      <c r="E100" s="104">
        <f t="shared" si="2"/>
        <v>13501.608120000001</v>
      </c>
      <c r="F100" s="105"/>
      <c r="G100" s="104">
        <f t="shared" si="2"/>
        <v>20927.492586000004</v>
      </c>
      <c r="H100" s="105"/>
    </row>
    <row r="101" spans="1:14" s="32" customFormat="1" x14ac:dyDescent="0.25">
      <c r="A101" s="103" t="s">
        <v>69</v>
      </c>
      <c r="B101" s="103"/>
      <c r="C101" s="103"/>
      <c r="D101" s="103"/>
      <c r="E101" s="103"/>
      <c r="F101" s="103"/>
      <c r="G101" s="103"/>
      <c r="H101" s="103"/>
    </row>
    <row r="102" spans="1:14" s="32" customFormat="1" x14ac:dyDescent="0.25">
      <c r="A102" s="122" t="s">
        <v>53</v>
      </c>
      <c r="B102" s="122"/>
      <c r="C102" s="105" t="s">
        <v>78</v>
      </c>
      <c r="D102" s="105"/>
      <c r="E102" s="136" t="s">
        <v>54</v>
      </c>
      <c r="F102" s="136"/>
      <c r="G102" s="122" t="s">
        <v>55</v>
      </c>
      <c r="H102" s="122"/>
    </row>
    <row r="103" spans="1:14" s="31" customFormat="1" x14ac:dyDescent="0.25">
      <c r="A103" s="65" t="s">
        <v>200</v>
      </c>
      <c r="B103" s="109" t="s">
        <v>68</v>
      </c>
      <c r="C103" s="106">
        <f>COUNT(D168:D169)+COUNT(D171:D177)+COUNT(D179:D185)*18+COUNT(D187:D190,D192:D193)*3+COUNT(D195:D201)+COUNT(D203:D209)*2+COUNT(D211:D214,D216:D217)</f>
        <v>180</v>
      </c>
      <c r="D103" s="106"/>
      <c r="E103" s="107">
        <f>SUM(D168:D169)+SUM(D171:D177)+SUM(D179:D185)*18+SUM(D187:D190,D192:D193)*3+SUM(D195:D201)+SUM(D203:D209)*2+SUM(D211:D214,D216:D217)</f>
        <v>93836.650049999967</v>
      </c>
      <c r="F103" s="107"/>
      <c r="G103" s="107">
        <f>SUM(F168:F169)+SUM(F171:F177)+SUM(F179:F185)*18+SUM(F187:F190,F192:F193)*3+SUM(F195:F201)+SUM(F203:F209)*2+SUM(F211:F214,F216:F217)</f>
        <v>140940.43879499997</v>
      </c>
      <c r="H103" s="107"/>
    </row>
    <row r="104" spans="1:14" x14ac:dyDescent="0.25">
      <c r="A104" s="65" t="s">
        <v>199</v>
      </c>
      <c r="B104" s="110"/>
      <c r="C104" s="106">
        <f>COUNT(D220:D221)+COUNT(D230:D238)+COUNT(D240:D248)*18+COUNT(D250,D252:D258)*3+COUNT(D260:D268)+COUNT(D270:D278)*2+COUNT(D280,D282:D288)</f>
        <v>232</v>
      </c>
      <c r="D104" s="106"/>
      <c r="E104" s="107">
        <f>SUM(D220:D221)+SUM(D230:D238)+SUM(D240:D248)*18+SUM(D250,D252:D258)*3+SUM(D260:D268)+SUM(D270:D278)*2+SUM(D280,D282:D288)</f>
        <v>120613.95684000003</v>
      </c>
      <c r="F104" s="107"/>
      <c r="G104" s="107">
        <f>SUM(F220:F221)+SUM(F230:F238)+SUM(F240:F248)*18+SUM(F250,F252:F258)*3+SUM(F260:F268)+SUM(F270:F278)*2+SUM(F280,F282:F288)</f>
        <v>181118.88521999997</v>
      </c>
      <c r="H104" s="107"/>
    </row>
    <row r="105" spans="1:14" ht="16.5" thickBot="1" x14ac:dyDescent="0.3">
      <c r="A105" s="108" t="s">
        <v>152</v>
      </c>
      <c r="B105" s="108"/>
      <c r="C105" s="101">
        <f t="shared" ref="C105:G105" si="3">SUM(C103:D104)</f>
        <v>412</v>
      </c>
      <c r="D105" s="102"/>
      <c r="E105" s="101">
        <f t="shared" si="3"/>
        <v>214450.60689</v>
      </c>
      <c r="F105" s="102"/>
      <c r="G105" s="101">
        <f t="shared" si="3"/>
        <v>322059.3240149999</v>
      </c>
      <c r="H105" s="102"/>
    </row>
    <row r="106" spans="1:14" s="34" customFormat="1" ht="16.5" thickBot="1" x14ac:dyDescent="0.3">
      <c r="A106" s="167" t="s">
        <v>171</v>
      </c>
      <c r="B106" s="168"/>
      <c r="C106" s="169">
        <f>C100+C105</f>
        <v>456</v>
      </c>
      <c r="D106" s="169"/>
      <c r="E106" s="170">
        <f>E100+E105</f>
        <v>227952.21500999999</v>
      </c>
      <c r="F106" s="170"/>
      <c r="G106" s="171">
        <f>G100+G105</f>
        <v>342986.81660099991</v>
      </c>
      <c r="H106" s="172"/>
    </row>
    <row r="107" spans="1:14" s="47" customFormat="1" x14ac:dyDescent="0.25">
      <c r="A107" s="162" t="s">
        <v>223</v>
      </c>
      <c r="B107" s="162"/>
      <c r="C107" s="162"/>
      <c r="D107" s="162"/>
      <c r="E107" s="162"/>
      <c r="F107" s="162"/>
      <c r="G107" s="162"/>
      <c r="H107" s="162"/>
      <c r="J107" s="33"/>
    </row>
    <row r="108" spans="1:14" s="59" customFormat="1" x14ac:dyDescent="0.25">
      <c r="A108" s="163" t="s">
        <v>224</v>
      </c>
      <c r="B108" s="163"/>
      <c r="C108" s="163"/>
      <c r="D108" s="163"/>
      <c r="E108" s="163"/>
      <c r="F108" s="163"/>
      <c r="G108" s="163"/>
      <c r="H108" s="163"/>
      <c r="J108" s="33"/>
    </row>
    <row r="109" spans="1:14" s="59" customFormat="1" ht="54.75" customHeight="1" x14ac:dyDescent="0.25">
      <c r="A109" s="89" t="s">
        <v>121</v>
      </c>
      <c r="B109" s="89" t="s">
        <v>120</v>
      </c>
      <c r="C109" s="89" t="s">
        <v>56</v>
      </c>
      <c r="D109" s="89" t="s">
        <v>57</v>
      </c>
      <c r="E109" s="160" t="s">
        <v>158</v>
      </c>
      <c r="F109" s="40" t="s">
        <v>151</v>
      </c>
      <c r="G109" s="95" t="s">
        <v>59</v>
      </c>
      <c r="H109" s="120"/>
      <c r="I109" s="33"/>
      <c r="L109" s="70"/>
      <c r="M109" s="70"/>
      <c r="N109" s="33"/>
    </row>
    <row r="110" spans="1:14" s="59" customFormat="1" ht="15.75" customHeight="1" x14ac:dyDescent="0.25">
      <c r="A110" s="90"/>
      <c r="B110" s="90"/>
      <c r="C110" s="90"/>
      <c r="D110" s="90"/>
      <c r="E110" s="161"/>
      <c r="F110" s="13">
        <v>0.55000000000000004</v>
      </c>
      <c r="G110" s="96"/>
      <c r="H110" s="121"/>
      <c r="I110" s="33"/>
      <c r="L110" s="70"/>
      <c r="M110" s="70"/>
      <c r="N110" s="33"/>
    </row>
    <row r="111" spans="1:14" s="59" customFormat="1" ht="15.75" customHeight="1" x14ac:dyDescent="0.25">
      <c r="A111" s="176" t="s">
        <v>196</v>
      </c>
      <c r="B111" s="176"/>
      <c r="C111" s="176"/>
      <c r="D111" s="176"/>
      <c r="E111" s="176"/>
      <c r="F111" s="176"/>
      <c r="G111" s="176"/>
      <c r="H111" s="176"/>
      <c r="I111" s="51">
        <f>10.764</f>
        <v>10.763999999999999</v>
      </c>
      <c r="L111" s="70"/>
      <c r="M111" s="70"/>
      <c r="N111" s="33"/>
    </row>
    <row r="112" spans="1:14" s="59" customFormat="1" ht="15.75" customHeight="1" x14ac:dyDescent="0.25">
      <c r="A112" s="78" t="s">
        <v>220</v>
      </c>
      <c r="B112" s="78"/>
      <c r="C112" s="78"/>
      <c r="D112" s="78"/>
      <c r="E112" s="78"/>
      <c r="F112" s="78"/>
      <c r="G112" s="78"/>
      <c r="H112" s="78"/>
      <c r="I112" s="33"/>
      <c r="L112" s="70"/>
      <c r="M112" s="70"/>
      <c r="N112" s="33"/>
    </row>
    <row r="113" spans="1:14" s="59" customFormat="1" x14ac:dyDescent="0.25">
      <c r="A113" s="71">
        <v>1</v>
      </c>
      <c r="B113" s="71"/>
      <c r="C113" s="57" t="s">
        <v>221</v>
      </c>
      <c r="D113" s="51">
        <f>(16.68)*(10.764)</f>
        <v>179.54351999999997</v>
      </c>
      <c r="E113" s="57">
        <v>0</v>
      </c>
      <c r="F113" s="57">
        <f>(D113+E113)*(($F$110)+1)</f>
        <v>278.29245599999996</v>
      </c>
      <c r="G113" s="72" t="str">
        <f>A112</f>
        <v>Ground Floor For Commercial, Fitness Centre/ Society Office, Driver's Room &amp; Meter Room</v>
      </c>
      <c r="H113" s="73"/>
      <c r="I113" s="33"/>
      <c r="L113" s="70"/>
      <c r="M113" s="70"/>
      <c r="N113" s="33"/>
    </row>
    <row r="114" spans="1:14" s="59" customFormat="1" x14ac:dyDescent="0.25">
      <c r="A114" s="71">
        <f t="shared" ref="A114:A142" si="4">A113+1</f>
        <v>2</v>
      </c>
      <c r="B114" s="71"/>
      <c r="C114" s="63" t="s">
        <v>221</v>
      </c>
      <c r="D114" s="51">
        <f>(20.59)*(10.764)</f>
        <v>221.63075999999998</v>
      </c>
      <c r="E114" s="57">
        <v>0</v>
      </c>
      <c r="F114" s="57">
        <f>(D114+E114)*(($F$110)+1)</f>
        <v>343.52767799999998</v>
      </c>
      <c r="G114" s="74"/>
      <c r="H114" s="75"/>
      <c r="I114" s="33"/>
      <c r="L114" s="70"/>
      <c r="M114" s="70"/>
      <c r="N114" s="33"/>
    </row>
    <row r="115" spans="1:14" s="59" customFormat="1" x14ac:dyDescent="0.25">
      <c r="A115" s="71">
        <f t="shared" si="4"/>
        <v>3</v>
      </c>
      <c r="B115" s="71"/>
      <c r="C115" s="63" t="s">
        <v>221</v>
      </c>
      <c r="D115" s="51">
        <f>(20.59)*(10.764)</f>
        <v>221.63075999999998</v>
      </c>
      <c r="E115" s="57">
        <v>0</v>
      </c>
      <c r="F115" s="57">
        <f>(D115+E115)*(($F$110)+1)</f>
        <v>343.52767799999998</v>
      </c>
      <c r="G115" s="74"/>
      <c r="H115" s="75"/>
      <c r="I115" s="33"/>
      <c r="L115" s="70"/>
      <c r="M115" s="70"/>
      <c r="N115" s="33"/>
    </row>
    <row r="116" spans="1:14" s="59" customFormat="1" x14ac:dyDescent="0.25">
      <c r="A116" s="71">
        <f t="shared" si="4"/>
        <v>4</v>
      </c>
      <c r="B116" s="71"/>
      <c r="C116" s="63" t="s">
        <v>221</v>
      </c>
      <c r="D116" s="51">
        <f>(17.04)*(10.764)</f>
        <v>183.41855999999999</v>
      </c>
      <c r="E116" s="57">
        <v>0</v>
      </c>
      <c r="F116" s="57">
        <f>(D116+E116)*(($F$110)+1)</f>
        <v>284.298768</v>
      </c>
      <c r="G116" s="74"/>
      <c r="H116" s="75"/>
      <c r="I116" s="33"/>
      <c r="L116" s="70"/>
      <c r="M116" s="70"/>
      <c r="N116" s="33"/>
    </row>
    <row r="117" spans="1:14" s="59" customFormat="1" x14ac:dyDescent="0.25">
      <c r="A117" s="71">
        <f t="shared" si="4"/>
        <v>5</v>
      </c>
      <c r="B117" s="71"/>
      <c r="C117" s="63" t="s">
        <v>221</v>
      </c>
      <c r="D117" s="51">
        <f>(20.59)*(10.764)</f>
        <v>221.63075999999998</v>
      </c>
      <c r="E117" s="57">
        <v>0</v>
      </c>
      <c r="F117" s="57">
        <f>(D117+E117)*(($F$110)+1)</f>
        <v>343.52767799999998</v>
      </c>
      <c r="G117" s="74"/>
      <c r="H117" s="75"/>
      <c r="I117" s="33"/>
      <c r="L117" s="70"/>
      <c r="M117" s="70"/>
      <c r="N117" s="33"/>
    </row>
    <row r="118" spans="1:14" s="59" customFormat="1" x14ac:dyDescent="0.25">
      <c r="A118" s="71">
        <f t="shared" si="4"/>
        <v>6</v>
      </c>
      <c r="B118" s="71"/>
      <c r="C118" s="63" t="s">
        <v>221</v>
      </c>
      <c r="D118" s="51">
        <f>(20.59)*(10.764)</f>
        <v>221.63075999999998</v>
      </c>
      <c r="E118" s="57">
        <v>0</v>
      </c>
      <c r="F118" s="57">
        <f>(D118+E118)*(($F$110)+1)</f>
        <v>343.52767799999998</v>
      </c>
      <c r="G118" s="74"/>
      <c r="H118" s="75"/>
      <c r="I118" s="33"/>
      <c r="L118" s="70"/>
      <c r="M118" s="70"/>
      <c r="N118" s="33"/>
    </row>
    <row r="119" spans="1:14" s="59" customFormat="1" x14ac:dyDescent="0.25">
      <c r="A119" s="71">
        <f t="shared" si="4"/>
        <v>7</v>
      </c>
      <c r="B119" s="71"/>
      <c r="C119" s="63" t="s">
        <v>221</v>
      </c>
      <c r="D119" s="51">
        <f>(17.04)*(10.764)</f>
        <v>183.41855999999999</v>
      </c>
      <c r="E119" s="57">
        <v>0</v>
      </c>
      <c r="F119" s="57">
        <f>(D119+E119)*(($F$110)+1)</f>
        <v>284.298768</v>
      </c>
      <c r="G119" s="74"/>
      <c r="H119" s="75"/>
      <c r="I119" s="33"/>
      <c r="L119" s="70"/>
      <c r="M119" s="70"/>
      <c r="N119" s="33"/>
    </row>
    <row r="120" spans="1:14" s="59" customFormat="1" x14ac:dyDescent="0.25">
      <c r="A120" s="71">
        <f t="shared" si="4"/>
        <v>8</v>
      </c>
      <c r="B120" s="71"/>
      <c r="C120" s="63" t="s">
        <v>221</v>
      </c>
      <c r="D120" s="51">
        <f>(17.11)*(10.764)</f>
        <v>184.17203999999998</v>
      </c>
      <c r="E120" s="57">
        <v>0</v>
      </c>
      <c r="F120" s="57">
        <f>(D120+E120)*(($F$110)+1)</f>
        <v>285.46666199999999</v>
      </c>
      <c r="G120" s="74"/>
      <c r="H120" s="75"/>
      <c r="I120" s="33"/>
      <c r="L120" s="70"/>
      <c r="M120" s="70"/>
      <c r="N120" s="33"/>
    </row>
    <row r="121" spans="1:14" s="59" customFormat="1" x14ac:dyDescent="0.25">
      <c r="A121" s="71">
        <f t="shared" si="4"/>
        <v>9</v>
      </c>
      <c r="B121" s="71"/>
      <c r="C121" s="63" t="s">
        <v>221</v>
      </c>
      <c r="D121" s="51">
        <f>(17.11)*(10.764)</f>
        <v>184.17203999999998</v>
      </c>
      <c r="E121" s="57">
        <v>0</v>
      </c>
      <c r="F121" s="57">
        <f>(D121+E121)*(($F$110)+1)</f>
        <v>285.46666199999999</v>
      </c>
      <c r="G121" s="74"/>
      <c r="H121" s="75"/>
      <c r="I121" s="33"/>
      <c r="L121" s="70"/>
      <c r="M121" s="70"/>
      <c r="N121" s="33"/>
    </row>
    <row r="122" spans="1:14" s="59" customFormat="1" x14ac:dyDescent="0.25">
      <c r="A122" s="71">
        <f t="shared" si="4"/>
        <v>10</v>
      </c>
      <c r="B122" s="71"/>
      <c r="C122" s="63" t="s">
        <v>221</v>
      </c>
      <c r="D122" s="51">
        <f>(17.11)*(10.764)</f>
        <v>184.17203999999998</v>
      </c>
      <c r="E122" s="57">
        <v>0</v>
      </c>
      <c r="F122" s="57">
        <f>(D122+E122)*(($F$110)+1)</f>
        <v>285.46666199999999</v>
      </c>
      <c r="G122" s="74"/>
      <c r="H122" s="75"/>
      <c r="I122" s="33"/>
      <c r="L122" s="70"/>
      <c r="M122" s="70"/>
      <c r="N122" s="33"/>
    </row>
    <row r="123" spans="1:14" s="59" customFormat="1" x14ac:dyDescent="0.25">
      <c r="A123" s="71">
        <f t="shared" si="4"/>
        <v>11</v>
      </c>
      <c r="B123" s="71"/>
      <c r="C123" s="63" t="s">
        <v>221</v>
      </c>
      <c r="D123" s="51">
        <f>(17.11)*(10.764)</f>
        <v>184.17203999999998</v>
      </c>
      <c r="E123" s="57">
        <v>0</v>
      </c>
      <c r="F123" s="57">
        <f>(D123+E123)*(($F$110)+1)</f>
        <v>285.46666199999999</v>
      </c>
      <c r="G123" s="74"/>
      <c r="H123" s="75"/>
      <c r="I123" s="33"/>
      <c r="L123" s="70"/>
      <c r="M123" s="70"/>
      <c r="N123" s="33"/>
    </row>
    <row r="124" spans="1:14" s="59" customFormat="1" ht="15.75" customHeight="1" x14ac:dyDescent="0.25">
      <c r="A124" s="71">
        <f t="shared" si="4"/>
        <v>12</v>
      </c>
      <c r="B124" s="71"/>
      <c r="C124" s="63" t="s">
        <v>221</v>
      </c>
      <c r="D124" s="51">
        <f>(17.04)*(10.764)</f>
        <v>183.41855999999999</v>
      </c>
      <c r="E124" s="57">
        <v>0</v>
      </c>
      <c r="F124" s="57">
        <f>(D124+E124)*(($F$110)+1)</f>
        <v>284.298768</v>
      </c>
      <c r="G124" s="74"/>
      <c r="H124" s="75"/>
      <c r="I124" s="33"/>
      <c r="L124" s="70"/>
      <c r="M124" s="70"/>
      <c r="N124" s="33"/>
    </row>
    <row r="125" spans="1:14" s="59" customFormat="1" ht="15.75" customHeight="1" x14ac:dyDescent="0.25">
      <c r="A125" s="71">
        <f t="shared" si="4"/>
        <v>13</v>
      </c>
      <c r="B125" s="71"/>
      <c r="C125" s="63" t="s">
        <v>221</v>
      </c>
      <c r="D125" s="51">
        <f>(19.17)*(10.764)</f>
        <v>206.34587999999999</v>
      </c>
      <c r="E125" s="57">
        <v>0</v>
      </c>
      <c r="F125" s="57">
        <f>(D125+E125)*(($F$110)+1)</f>
        <v>319.83611400000001</v>
      </c>
      <c r="G125" s="74"/>
      <c r="H125" s="75"/>
      <c r="I125" s="33"/>
      <c r="L125" s="70"/>
      <c r="M125" s="70"/>
      <c r="N125" s="33"/>
    </row>
    <row r="126" spans="1:14" s="59" customFormat="1" ht="15.75" customHeight="1" x14ac:dyDescent="0.25">
      <c r="A126" s="71">
        <f t="shared" si="4"/>
        <v>14</v>
      </c>
      <c r="B126" s="71"/>
      <c r="C126" s="63" t="s">
        <v>221</v>
      </c>
      <c r="D126" s="51">
        <f>(15.66)*(10.764)</f>
        <v>168.56423999999998</v>
      </c>
      <c r="E126" s="57">
        <v>0</v>
      </c>
      <c r="F126" s="57">
        <f>(D126+E126)*(($F$110)+1)</f>
        <v>261.27457199999998</v>
      </c>
      <c r="G126" s="74"/>
      <c r="H126" s="75"/>
      <c r="I126" s="33"/>
      <c r="L126" s="70"/>
      <c r="M126" s="70"/>
      <c r="N126" s="33"/>
    </row>
    <row r="127" spans="1:14" s="59" customFormat="1" ht="15.75" customHeight="1" x14ac:dyDescent="0.25">
      <c r="A127" s="71">
        <f t="shared" si="4"/>
        <v>15</v>
      </c>
      <c r="B127" s="71"/>
      <c r="C127" s="63" t="s">
        <v>221</v>
      </c>
      <c r="D127" s="51">
        <f>(13.23)*(10.764)</f>
        <v>142.40771999999998</v>
      </c>
      <c r="E127" s="57">
        <v>0</v>
      </c>
      <c r="F127" s="57">
        <f>(D127+E127)*(($F$110)+1)</f>
        <v>220.73196599999997</v>
      </c>
      <c r="G127" s="74"/>
      <c r="H127" s="75"/>
      <c r="I127" s="33"/>
      <c r="L127" s="70"/>
      <c r="M127" s="70"/>
      <c r="N127" s="33"/>
    </row>
    <row r="128" spans="1:14" s="59" customFormat="1" x14ac:dyDescent="0.25">
      <c r="A128" s="71">
        <f t="shared" si="4"/>
        <v>16</v>
      </c>
      <c r="B128" s="71"/>
      <c r="C128" s="63" t="s">
        <v>221</v>
      </c>
      <c r="D128" s="51">
        <f>(14.85)*(10.764)</f>
        <v>159.84539999999998</v>
      </c>
      <c r="E128" s="57">
        <v>0</v>
      </c>
      <c r="F128" s="57">
        <f>(D128+E128)*(($F$110)+1)</f>
        <v>247.76036999999999</v>
      </c>
      <c r="G128" s="74"/>
      <c r="H128" s="75"/>
      <c r="I128" s="33"/>
      <c r="L128" s="70"/>
      <c r="M128" s="70"/>
      <c r="N128" s="33"/>
    </row>
    <row r="129" spans="1:14" s="59" customFormat="1" x14ac:dyDescent="0.25">
      <c r="A129" s="71">
        <f t="shared" si="4"/>
        <v>17</v>
      </c>
      <c r="B129" s="71"/>
      <c r="C129" s="63" t="s">
        <v>221</v>
      </c>
      <c r="D129" s="51">
        <f>(13.85)*(10.764)</f>
        <v>149.08139999999997</v>
      </c>
      <c r="E129" s="57">
        <v>0</v>
      </c>
      <c r="F129" s="57">
        <f>(D129+E129)*(($F$110)+1)</f>
        <v>231.07616999999996</v>
      </c>
      <c r="G129" s="74"/>
      <c r="H129" s="75"/>
      <c r="I129" s="33"/>
      <c r="L129" s="70"/>
      <c r="M129" s="70"/>
      <c r="N129" s="33"/>
    </row>
    <row r="130" spans="1:14" s="59" customFormat="1" x14ac:dyDescent="0.25">
      <c r="A130" s="71">
        <f t="shared" si="4"/>
        <v>18</v>
      </c>
      <c r="B130" s="71"/>
      <c r="C130" s="63" t="s">
        <v>221</v>
      </c>
      <c r="D130" s="51">
        <f>(13.85)*(10.764)</f>
        <v>149.08139999999997</v>
      </c>
      <c r="E130" s="57">
        <v>0</v>
      </c>
      <c r="F130" s="57">
        <f>(D130+E130)*(($F$110)+1)</f>
        <v>231.07616999999996</v>
      </c>
      <c r="G130" s="74"/>
      <c r="H130" s="75"/>
      <c r="I130" s="33"/>
      <c r="L130" s="70"/>
      <c r="M130" s="70"/>
      <c r="N130" s="33"/>
    </row>
    <row r="131" spans="1:14" s="59" customFormat="1" x14ac:dyDescent="0.25">
      <c r="A131" s="71">
        <f t="shared" si="4"/>
        <v>19</v>
      </c>
      <c r="B131" s="71"/>
      <c r="C131" s="63" t="s">
        <v>221</v>
      </c>
      <c r="D131" s="51">
        <f>(14.85)*(10.764)</f>
        <v>159.84539999999998</v>
      </c>
      <c r="E131" s="57">
        <v>0</v>
      </c>
      <c r="F131" s="57">
        <f>(D131+E131)*(($F$110)+1)</f>
        <v>247.76036999999999</v>
      </c>
      <c r="G131" s="74"/>
      <c r="H131" s="75"/>
      <c r="I131" s="33">
        <f>11.45*3.9+6.4*1.35+2.9*0.6+2.9*1.7+1.85*1.2</f>
        <v>62.184999999999995</v>
      </c>
      <c r="L131" s="70"/>
      <c r="M131" s="70"/>
      <c r="N131" s="33"/>
    </row>
    <row r="132" spans="1:14" s="59" customFormat="1" x14ac:dyDescent="0.25">
      <c r="A132" s="71">
        <f t="shared" si="4"/>
        <v>20</v>
      </c>
      <c r="B132" s="71"/>
      <c r="C132" s="63" t="s">
        <v>221</v>
      </c>
      <c r="D132" s="51">
        <f>(13.23)*(10.764)</f>
        <v>142.40771999999998</v>
      </c>
      <c r="E132" s="57">
        <v>0</v>
      </c>
      <c r="F132" s="57">
        <f>(D132+E132)*(($F$110)+1)</f>
        <v>220.73196599999997</v>
      </c>
      <c r="G132" s="74"/>
      <c r="H132" s="75"/>
      <c r="I132" s="33">
        <f>1675600/F136</f>
        <v>5893.7997226917287</v>
      </c>
      <c r="L132" s="70"/>
      <c r="M132" s="70"/>
      <c r="N132" s="33"/>
    </row>
    <row r="133" spans="1:14" s="59" customFormat="1" x14ac:dyDescent="0.25">
      <c r="A133" s="71">
        <f t="shared" si="4"/>
        <v>21</v>
      </c>
      <c r="B133" s="71"/>
      <c r="C133" s="63" t="s">
        <v>221</v>
      </c>
      <c r="D133" s="51">
        <f>(15.66)*(10.764)</f>
        <v>168.56423999999998</v>
      </c>
      <c r="E133" s="57">
        <v>0</v>
      </c>
      <c r="F133" s="57">
        <f>(D133+E133)*(($F$110)+1)</f>
        <v>261.27457199999998</v>
      </c>
      <c r="G133" s="74"/>
      <c r="H133" s="75"/>
      <c r="I133" s="33" t="s">
        <v>234</v>
      </c>
      <c r="L133" s="70"/>
      <c r="M133" s="70"/>
      <c r="N133" s="33"/>
    </row>
    <row r="134" spans="1:14" s="59" customFormat="1" x14ac:dyDescent="0.25">
      <c r="A134" s="71">
        <f t="shared" si="4"/>
        <v>22</v>
      </c>
      <c r="B134" s="71"/>
      <c r="C134" s="63" t="s">
        <v>221</v>
      </c>
      <c r="D134" s="51">
        <f>(17.11)*(10.764)</f>
        <v>184.17203999999998</v>
      </c>
      <c r="E134" s="57">
        <v>0</v>
      </c>
      <c r="F134" s="57">
        <f>(D134+E134)*(($F$110)+1)</f>
        <v>285.46666199999999</v>
      </c>
      <c r="G134" s="74"/>
      <c r="H134" s="75"/>
      <c r="I134" s="53">
        <f>3300000/F136</f>
        <v>11607.507212271845</v>
      </c>
      <c r="L134" s="70"/>
      <c r="M134" s="70"/>
      <c r="N134" s="33"/>
    </row>
    <row r="135" spans="1:14" s="59" customFormat="1" x14ac:dyDescent="0.25">
      <c r="A135" s="71">
        <f t="shared" si="4"/>
        <v>23</v>
      </c>
      <c r="B135" s="71"/>
      <c r="C135" s="63" t="s">
        <v>221</v>
      </c>
      <c r="D135" s="51">
        <f>(17.11)*(10.764)</f>
        <v>184.17203999999998</v>
      </c>
      <c r="E135" s="57">
        <v>0</v>
      </c>
      <c r="F135" s="57">
        <f>(D135+E135)*(($F$110)+1)</f>
        <v>285.46666199999999</v>
      </c>
      <c r="G135" s="74"/>
      <c r="H135" s="75"/>
      <c r="I135" s="33"/>
      <c r="L135" s="70"/>
      <c r="M135" s="70"/>
      <c r="N135" s="33"/>
    </row>
    <row r="136" spans="1:14" s="59" customFormat="1" x14ac:dyDescent="0.25">
      <c r="A136" s="71">
        <f t="shared" si="4"/>
        <v>24</v>
      </c>
      <c r="B136" s="71"/>
      <c r="C136" s="63" t="s">
        <v>221</v>
      </c>
      <c r="D136" s="51">
        <f>(17.04)*(10.764)</f>
        <v>183.41855999999999</v>
      </c>
      <c r="E136" s="57">
        <v>0</v>
      </c>
      <c r="F136" s="57">
        <f>(D136+E136)*(($F$110)+1)</f>
        <v>284.298768</v>
      </c>
      <c r="G136" s="74"/>
      <c r="H136" s="75"/>
      <c r="I136" s="33"/>
      <c r="L136" s="70"/>
      <c r="M136" s="70"/>
      <c r="N136" s="33"/>
    </row>
    <row r="137" spans="1:14" s="59" customFormat="1" x14ac:dyDescent="0.25">
      <c r="A137" s="71">
        <f t="shared" si="4"/>
        <v>25</v>
      </c>
      <c r="B137" s="71"/>
      <c r="C137" s="63" t="s">
        <v>221</v>
      </c>
      <c r="D137" s="51">
        <f>(20.59)*(10.764)</f>
        <v>221.63075999999998</v>
      </c>
      <c r="E137" s="57">
        <v>0</v>
      </c>
      <c r="F137" s="57">
        <f>(D137+E137)*(($F$110)+1)</f>
        <v>343.52767799999998</v>
      </c>
      <c r="G137" s="74"/>
      <c r="H137" s="75"/>
      <c r="I137" s="33"/>
      <c r="L137" s="70"/>
      <c r="M137" s="70"/>
      <c r="N137" s="33"/>
    </row>
    <row r="138" spans="1:14" s="59" customFormat="1" x14ac:dyDescent="0.25">
      <c r="A138" s="71">
        <f t="shared" si="4"/>
        <v>26</v>
      </c>
      <c r="B138" s="71"/>
      <c r="C138" s="63" t="s">
        <v>221</v>
      </c>
      <c r="D138" s="51">
        <f>(20.59)*(10.764)</f>
        <v>221.63075999999998</v>
      </c>
      <c r="E138" s="57">
        <v>0</v>
      </c>
      <c r="F138" s="57">
        <f>(D138+E138)*(($F$110)+1)</f>
        <v>343.52767799999998</v>
      </c>
      <c r="G138" s="74"/>
      <c r="H138" s="75"/>
      <c r="I138" s="33"/>
      <c r="L138" s="70"/>
      <c r="M138" s="70"/>
      <c r="N138" s="33"/>
    </row>
    <row r="139" spans="1:14" s="34" customFormat="1" x14ac:dyDescent="0.25">
      <c r="A139" s="71">
        <f t="shared" si="4"/>
        <v>27</v>
      </c>
      <c r="B139" s="71"/>
      <c r="C139" s="63" t="s">
        <v>221</v>
      </c>
      <c r="D139" s="51">
        <f>(17.04)*(10.764)</f>
        <v>183.41855999999999</v>
      </c>
      <c r="E139" s="57">
        <v>0</v>
      </c>
      <c r="F139" s="57">
        <f>(D139+E139)*(($F$110)+1)</f>
        <v>284.298768</v>
      </c>
      <c r="G139" s="74"/>
      <c r="H139" s="75"/>
      <c r="J139" s="33"/>
    </row>
    <row r="140" spans="1:14" s="34" customFormat="1" ht="15.75" customHeight="1" x14ac:dyDescent="0.25">
      <c r="A140" s="71">
        <f t="shared" si="4"/>
        <v>28</v>
      </c>
      <c r="B140" s="71"/>
      <c r="C140" s="63" t="s">
        <v>221</v>
      </c>
      <c r="D140" s="51">
        <f>(20.59)*(10.764)</f>
        <v>221.63075999999998</v>
      </c>
      <c r="E140" s="57">
        <v>0</v>
      </c>
      <c r="F140" s="57">
        <f>(D140+E140)*(($F$110)+1)</f>
        <v>343.52767799999998</v>
      </c>
      <c r="G140" s="74"/>
      <c r="H140" s="75"/>
      <c r="I140" s="33"/>
      <c r="L140" s="70"/>
      <c r="M140" s="70"/>
      <c r="N140" s="33"/>
    </row>
    <row r="141" spans="1:14" s="34" customFormat="1" ht="15.75" customHeight="1" x14ac:dyDescent="0.25">
      <c r="A141" s="71">
        <f t="shared" si="4"/>
        <v>29</v>
      </c>
      <c r="B141" s="71"/>
      <c r="C141" s="63" t="s">
        <v>221</v>
      </c>
      <c r="D141" s="51">
        <f>(20.59)*(10.764)</f>
        <v>221.63075999999998</v>
      </c>
      <c r="E141" s="57">
        <v>0</v>
      </c>
      <c r="F141" s="57">
        <f>(D141+E141)*(($F$110)+1)</f>
        <v>343.52767799999998</v>
      </c>
      <c r="G141" s="74"/>
      <c r="H141" s="75"/>
      <c r="I141" s="33"/>
      <c r="L141" s="70"/>
      <c r="M141" s="70"/>
      <c r="N141" s="33"/>
    </row>
    <row r="142" spans="1:14" s="34" customFormat="1" ht="15.75" customHeight="1" x14ac:dyDescent="0.25">
      <c r="A142" s="71">
        <f t="shared" si="4"/>
        <v>30</v>
      </c>
      <c r="B142" s="71"/>
      <c r="C142" s="63" t="s">
        <v>221</v>
      </c>
      <c r="D142" s="51">
        <f>(17.54)*(10.764)</f>
        <v>188.80055999999999</v>
      </c>
      <c r="E142" s="57">
        <v>0</v>
      </c>
      <c r="F142" s="57">
        <f>(D142+E142)*(($F$110)+1)</f>
        <v>292.64086800000001</v>
      </c>
      <c r="G142" s="76"/>
      <c r="H142" s="77"/>
      <c r="I142" s="51">
        <f>10.764</f>
        <v>10.763999999999999</v>
      </c>
      <c r="L142" s="70"/>
      <c r="M142" s="70"/>
      <c r="N142" s="33"/>
    </row>
    <row r="143" spans="1:14" s="34" customFormat="1" ht="15.75" customHeight="1" x14ac:dyDescent="0.25">
      <c r="A143" s="78" t="s">
        <v>203</v>
      </c>
      <c r="B143" s="78"/>
      <c r="C143" s="78"/>
      <c r="D143" s="78"/>
      <c r="E143" s="78"/>
      <c r="F143" s="78"/>
      <c r="G143" s="78"/>
      <c r="H143" s="78"/>
      <c r="I143" s="33"/>
      <c r="L143" s="70"/>
      <c r="M143" s="70"/>
      <c r="N143" s="33"/>
    </row>
    <row r="144" spans="1:14" s="47" customFormat="1" x14ac:dyDescent="0.25">
      <c r="A144" s="71">
        <v>1</v>
      </c>
      <c r="B144" s="71"/>
      <c r="C144" s="54" t="s">
        <v>197</v>
      </c>
      <c r="D144" s="51">
        <f>(22.03)*(10.764)</f>
        <v>237.13092</v>
      </c>
      <c r="E144" s="54">
        <v>0</v>
      </c>
      <c r="F144" s="54">
        <f>(D144+E144)*(($F$110)+1)</f>
        <v>367.55292600000001</v>
      </c>
      <c r="G144" s="71" t="str">
        <f>A143</f>
        <v>1st Floor For Part Commercial</v>
      </c>
      <c r="H144" s="71"/>
      <c r="I144" s="33"/>
      <c r="L144" s="70"/>
      <c r="M144" s="70"/>
      <c r="N144" s="33"/>
    </row>
    <row r="145" spans="1:14" s="47" customFormat="1" x14ac:dyDescent="0.25">
      <c r="A145" s="71">
        <f t="shared" ref="A145:A157" si="5">A144+1</f>
        <v>2</v>
      </c>
      <c r="B145" s="71"/>
      <c r="C145" s="54" t="s">
        <v>197</v>
      </c>
      <c r="D145" s="51">
        <f>(77.18)*(10.764)</f>
        <v>830.76552000000004</v>
      </c>
      <c r="E145" s="54">
        <v>0</v>
      </c>
      <c r="F145" s="54">
        <f>(D145+E145)*(($F$110)+1)</f>
        <v>1287.6865560000001</v>
      </c>
      <c r="G145" s="71"/>
      <c r="H145" s="71"/>
      <c r="I145" s="33"/>
      <c r="L145" s="70"/>
      <c r="M145" s="70"/>
      <c r="N145" s="33"/>
    </row>
    <row r="146" spans="1:14" s="47" customFormat="1" x14ac:dyDescent="0.25">
      <c r="A146" s="71">
        <f t="shared" si="5"/>
        <v>3</v>
      </c>
      <c r="B146" s="71"/>
      <c r="C146" s="54" t="s">
        <v>197</v>
      </c>
      <c r="D146" s="51">
        <f>(41.53)*(10.764)</f>
        <v>447.02891999999997</v>
      </c>
      <c r="E146" s="54">
        <v>0</v>
      </c>
      <c r="F146" s="54">
        <f>(D146+E146)*(($F$110)+1)</f>
        <v>692.89482599999997</v>
      </c>
      <c r="G146" s="71"/>
      <c r="H146" s="71"/>
      <c r="I146" s="33"/>
      <c r="L146" s="70"/>
      <c r="M146" s="70"/>
      <c r="N146" s="33"/>
    </row>
    <row r="147" spans="1:14" s="47" customFormat="1" x14ac:dyDescent="0.25">
      <c r="A147" s="71">
        <f t="shared" si="5"/>
        <v>4</v>
      </c>
      <c r="B147" s="71"/>
      <c r="C147" s="54" t="s">
        <v>197</v>
      </c>
      <c r="D147" s="51">
        <f>(51.94)*(10.764)</f>
        <v>559.08215999999993</v>
      </c>
      <c r="E147" s="54">
        <v>0</v>
      </c>
      <c r="F147" s="54">
        <f>(D147+E147)*(($F$110)+1)</f>
        <v>866.57734799999992</v>
      </c>
      <c r="G147" s="71"/>
      <c r="H147" s="71"/>
      <c r="I147" s="33">
        <f>11.45*3.9+6.4*1.35+2.9*0.6+2.9*1.7+1.85*1.2</f>
        <v>62.184999999999995</v>
      </c>
      <c r="L147" s="70"/>
      <c r="M147" s="70"/>
      <c r="N147" s="33"/>
    </row>
    <row r="148" spans="1:14" s="47" customFormat="1" x14ac:dyDescent="0.25">
      <c r="A148" s="71">
        <f t="shared" si="5"/>
        <v>5</v>
      </c>
      <c r="B148" s="71"/>
      <c r="C148" s="54" t="s">
        <v>197</v>
      </c>
      <c r="D148" s="51">
        <f>(64.35)*(10.764)</f>
        <v>692.66339999999991</v>
      </c>
      <c r="E148" s="54">
        <v>0</v>
      </c>
      <c r="F148" s="54">
        <f>(D148+E148)*(($F$110)+1)</f>
        <v>1073.6282699999999</v>
      </c>
      <c r="G148" s="71"/>
      <c r="H148" s="71"/>
      <c r="I148" s="33"/>
      <c r="L148" s="70"/>
      <c r="M148" s="70"/>
      <c r="N148" s="33"/>
    </row>
    <row r="149" spans="1:14" s="47" customFormat="1" x14ac:dyDescent="0.25">
      <c r="A149" s="71">
        <f t="shared" si="5"/>
        <v>6</v>
      </c>
      <c r="B149" s="71"/>
      <c r="C149" s="54" t="s">
        <v>197</v>
      </c>
      <c r="D149" s="51">
        <f>(56.4)*(10.764)</f>
        <v>607.0895999999999</v>
      </c>
      <c r="E149" s="54">
        <v>0</v>
      </c>
      <c r="F149" s="54">
        <f>(D149+E149)*(($F$110)+1)</f>
        <v>940.98887999999988</v>
      </c>
      <c r="G149" s="71"/>
      <c r="H149" s="71"/>
      <c r="I149" s="33"/>
      <c r="L149" s="70"/>
      <c r="M149" s="70"/>
      <c r="N149" s="33"/>
    </row>
    <row r="150" spans="1:14" s="47" customFormat="1" x14ac:dyDescent="0.25">
      <c r="A150" s="71">
        <f t="shared" si="5"/>
        <v>7</v>
      </c>
      <c r="B150" s="71"/>
      <c r="C150" s="54" t="s">
        <v>197</v>
      </c>
      <c r="D150" s="51">
        <f>(56.4)*(10.764)</f>
        <v>607.0895999999999</v>
      </c>
      <c r="E150" s="54">
        <v>0</v>
      </c>
      <c r="F150" s="54">
        <f>(D150+E150)*(($F$110)+1)</f>
        <v>940.98887999999988</v>
      </c>
      <c r="G150" s="71"/>
      <c r="H150" s="71"/>
      <c r="I150" s="33"/>
      <c r="L150" s="70"/>
      <c r="M150" s="70"/>
      <c r="N150" s="33"/>
    </row>
    <row r="151" spans="1:14" s="47" customFormat="1" x14ac:dyDescent="0.25">
      <c r="A151" s="71">
        <f t="shared" si="5"/>
        <v>8</v>
      </c>
      <c r="B151" s="71"/>
      <c r="C151" s="54" t="s">
        <v>197</v>
      </c>
      <c r="D151" s="51">
        <f>(62.94)*(10.764)</f>
        <v>677.48615999999993</v>
      </c>
      <c r="E151" s="54">
        <v>0</v>
      </c>
      <c r="F151" s="54">
        <f>(D151+E151)*(($F$110)+1)</f>
        <v>1050.1035479999998</v>
      </c>
      <c r="G151" s="71"/>
      <c r="H151" s="71"/>
      <c r="I151" s="33"/>
      <c r="L151" s="70"/>
      <c r="M151" s="70"/>
      <c r="N151" s="33"/>
    </row>
    <row r="152" spans="1:14" s="47" customFormat="1" x14ac:dyDescent="0.25">
      <c r="A152" s="71">
        <f t="shared" si="5"/>
        <v>9</v>
      </c>
      <c r="B152" s="71"/>
      <c r="C152" s="54" t="s">
        <v>197</v>
      </c>
      <c r="D152" s="51">
        <f>(71.75)*(10.764)</f>
        <v>772.31700000000001</v>
      </c>
      <c r="E152" s="54">
        <v>0</v>
      </c>
      <c r="F152" s="54">
        <f>(D152+E152)*(($F$110)+1)</f>
        <v>1197.0913500000001</v>
      </c>
      <c r="G152" s="71"/>
      <c r="H152" s="71"/>
      <c r="I152" s="33">
        <f>3000000/F156</f>
        <v>7872.628677643379</v>
      </c>
      <c r="L152" s="70"/>
      <c r="M152" s="70"/>
      <c r="N152" s="33"/>
    </row>
    <row r="153" spans="1:14" s="47" customFormat="1" x14ac:dyDescent="0.25">
      <c r="A153" s="71">
        <f t="shared" si="5"/>
        <v>10</v>
      </c>
      <c r="B153" s="71"/>
      <c r="C153" s="54" t="s">
        <v>197</v>
      </c>
      <c r="D153" s="51">
        <f>(51.94)*(10.764)</f>
        <v>559.08215999999993</v>
      </c>
      <c r="E153" s="54">
        <v>0</v>
      </c>
      <c r="F153" s="54">
        <f>(D153+E153)*(($F$110)+1)</f>
        <v>866.57734799999992</v>
      </c>
      <c r="G153" s="71"/>
      <c r="H153" s="71"/>
      <c r="I153" s="33"/>
      <c r="L153" s="70"/>
      <c r="M153" s="70"/>
      <c r="N153" s="33"/>
    </row>
    <row r="154" spans="1:14" s="34" customFormat="1" x14ac:dyDescent="0.25">
      <c r="A154" s="71">
        <f t="shared" si="5"/>
        <v>11</v>
      </c>
      <c r="B154" s="71"/>
      <c r="C154" s="54" t="s">
        <v>197</v>
      </c>
      <c r="D154" s="51">
        <f>(41.53)*(10.764)</f>
        <v>447.02891999999997</v>
      </c>
      <c r="E154" s="54">
        <v>0</v>
      </c>
      <c r="F154" s="54">
        <f>(D154+E154)*(($F$110)+1)</f>
        <v>692.89482599999997</v>
      </c>
      <c r="G154" s="71"/>
      <c r="H154" s="71"/>
      <c r="I154" s="33"/>
      <c r="N154" s="33"/>
    </row>
    <row r="155" spans="1:14" x14ac:dyDescent="0.25">
      <c r="A155" s="71">
        <f t="shared" si="5"/>
        <v>12</v>
      </c>
      <c r="B155" s="71"/>
      <c r="C155" s="54" t="s">
        <v>197</v>
      </c>
      <c r="D155" s="51">
        <f>(76.34)*(10.764)</f>
        <v>821.72375999999997</v>
      </c>
      <c r="E155" s="54">
        <v>0</v>
      </c>
      <c r="F155" s="54">
        <f>(D155+E155)*(($F$110)+1)</f>
        <v>1273.671828</v>
      </c>
      <c r="G155" s="71"/>
      <c r="H155" s="71"/>
      <c r="I155" s="33"/>
    </row>
    <row r="156" spans="1:14" s="34" customFormat="1" x14ac:dyDescent="0.25">
      <c r="A156" s="71">
        <f t="shared" si="5"/>
        <v>13</v>
      </c>
      <c r="B156" s="71"/>
      <c r="C156" s="54" t="s">
        <v>197</v>
      </c>
      <c r="D156" s="51">
        <f>(22.84)*(10.764)</f>
        <v>245.84975999999997</v>
      </c>
      <c r="E156" s="54">
        <v>0</v>
      </c>
      <c r="F156" s="54">
        <f>(D156+E156)*(($F$110)+1)</f>
        <v>381.06712799999997</v>
      </c>
      <c r="G156" s="71"/>
      <c r="H156" s="71"/>
      <c r="I156" s="33"/>
    </row>
    <row r="157" spans="1:14" s="47" customFormat="1" x14ac:dyDescent="0.25">
      <c r="A157" s="71">
        <f t="shared" si="5"/>
        <v>14</v>
      </c>
      <c r="B157" s="71"/>
      <c r="C157" s="54" t="s">
        <v>197</v>
      </c>
      <c r="D157" s="51">
        <f>(36.01)*(10.764)</f>
        <v>387.61163999999997</v>
      </c>
      <c r="E157" s="54">
        <v>0</v>
      </c>
      <c r="F157" s="54">
        <f>(D157+E157)*(($F$110)+1)</f>
        <v>600.79804200000001</v>
      </c>
      <c r="G157" s="71"/>
      <c r="H157" s="71"/>
      <c r="J157" s="33"/>
    </row>
    <row r="158" spans="1:14" s="34" customFormat="1" x14ac:dyDescent="0.25">
      <c r="A158" s="93"/>
      <c r="B158" s="100"/>
      <c r="C158" s="100"/>
      <c r="D158" s="100"/>
      <c r="E158" s="100"/>
      <c r="F158" s="100"/>
      <c r="G158" s="100"/>
      <c r="H158" s="94"/>
      <c r="J158" s="33"/>
    </row>
    <row r="159" spans="1:14" s="34" customFormat="1" ht="49.5" customHeight="1" x14ac:dyDescent="0.25">
      <c r="A159" s="95" t="s">
        <v>122</v>
      </c>
      <c r="B159" s="95" t="s">
        <v>123</v>
      </c>
      <c r="C159" s="89" t="s">
        <v>56</v>
      </c>
      <c r="D159" s="89" t="s">
        <v>57</v>
      </c>
      <c r="E159" s="160" t="s">
        <v>58</v>
      </c>
      <c r="F159" s="40" t="s">
        <v>151</v>
      </c>
      <c r="G159" s="95" t="s">
        <v>59</v>
      </c>
      <c r="H159" s="120"/>
      <c r="I159" s="33"/>
      <c r="L159" s="70"/>
      <c r="M159" s="70"/>
      <c r="N159" s="33"/>
    </row>
    <row r="160" spans="1:14" s="34" customFormat="1" ht="15.75" customHeight="1" x14ac:dyDescent="0.25">
      <c r="A160" s="96"/>
      <c r="B160" s="96"/>
      <c r="C160" s="90"/>
      <c r="D160" s="90"/>
      <c r="E160" s="161"/>
      <c r="F160" s="13">
        <v>0.5</v>
      </c>
      <c r="G160" s="96"/>
      <c r="H160" s="121"/>
      <c r="I160" s="33"/>
      <c r="L160" s="70"/>
      <c r="M160" s="70"/>
      <c r="N160" s="33"/>
    </row>
    <row r="161" spans="1:14" s="47" customFormat="1" x14ac:dyDescent="0.25">
      <c r="A161" s="177" t="s">
        <v>200</v>
      </c>
      <c r="B161" s="178"/>
      <c r="C161" s="178"/>
      <c r="D161" s="178"/>
      <c r="E161" s="178"/>
      <c r="F161" s="178"/>
      <c r="G161" s="178"/>
      <c r="H161" s="179"/>
      <c r="I161" s="33"/>
      <c r="L161" s="70"/>
      <c r="M161" s="70"/>
      <c r="N161" s="33"/>
    </row>
    <row r="162" spans="1:14" s="47" customFormat="1" x14ac:dyDescent="0.25">
      <c r="A162" s="97" t="s">
        <v>198</v>
      </c>
      <c r="B162" s="98"/>
      <c r="C162" s="98"/>
      <c r="D162" s="98"/>
      <c r="E162" s="98"/>
      <c r="F162" s="98"/>
      <c r="G162" s="98"/>
      <c r="H162" s="99"/>
      <c r="I162" s="33"/>
      <c r="L162" s="70"/>
      <c r="M162" s="70"/>
      <c r="N162" s="33"/>
    </row>
    <row r="163" spans="1:14" s="47" customFormat="1" x14ac:dyDescent="0.25">
      <c r="A163" s="93">
        <v>1</v>
      </c>
      <c r="B163" s="94"/>
      <c r="C163" s="72" t="s">
        <v>202</v>
      </c>
      <c r="D163" s="180"/>
      <c r="E163" s="180"/>
      <c r="F163" s="73"/>
      <c r="G163" s="72" t="str">
        <f>A162</f>
        <v>1st Floor For Part Residential</v>
      </c>
      <c r="H163" s="73"/>
      <c r="I163" s="33"/>
      <c r="L163" s="70"/>
      <c r="M163" s="70"/>
      <c r="N163" s="33"/>
    </row>
    <row r="164" spans="1:14" s="47" customFormat="1" x14ac:dyDescent="0.25">
      <c r="A164" s="93">
        <f t="shared" ref="A164:A169" si="6">A163+1</f>
        <v>2</v>
      </c>
      <c r="B164" s="94"/>
      <c r="C164" s="74"/>
      <c r="D164" s="181"/>
      <c r="E164" s="181"/>
      <c r="F164" s="75"/>
      <c r="G164" s="74"/>
      <c r="H164" s="75"/>
      <c r="I164" s="33">
        <f t="shared" ref="I164:I181" si="7">6000*F168</f>
        <v>3564068.0399999996</v>
      </c>
      <c r="L164" s="70"/>
      <c r="M164" s="70"/>
      <c r="N164" s="33"/>
    </row>
    <row r="165" spans="1:14" s="47" customFormat="1" x14ac:dyDescent="0.25">
      <c r="A165" s="93">
        <f t="shared" si="6"/>
        <v>3</v>
      </c>
      <c r="B165" s="94"/>
      <c r="C165" s="74"/>
      <c r="D165" s="181"/>
      <c r="E165" s="181"/>
      <c r="F165" s="75"/>
      <c r="G165" s="74"/>
      <c r="H165" s="75"/>
      <c r="I165" s="33">
        <f t="shared" si="7"/>
        <v>3623404.5899999994</v>
      </c>
      <c r="L165" s="70"/>
      <c r="M165" s="70"/>
      <c r="N165" s="33"/>
    </row>
    <row r="166" spans="1:14" s="34" customFormat="1" x14ac:dyDescent="0.25">
      <c r="A166" s="93">
        <f t="shared" si="6"/>
        <v>4</v>
      </c>
      <c r="B166" s="94"/>
      <c r="C166" s="74"/>
      <c r="D166" s="181"/>
      <c r="E166" s="181"/>
      <c r="F166" s="75"/>
      <c r="G166" s="74"/>
      <c r="H166" s="75"/>
      <c r="I166" s="33">
        <f t="shared" si="7"/>
        <v>0</v>
      </c>
      <c r="L166" s="70"/>
      <c r="M166" s="70"/>
    </row>
    <row r="167" spans="1:14" s="34" customFormat="1" ht="15.75" customHeight="1" x14ac:dyDescent="0.25">
      <c r="A167" s="93">
        <f t="shared" si="6"/>
        <v>5</v>
      </c>
      <c r="B167" s="94"/>
      <c r="C167" s="76"/>
      <c r="D167" s="182"/>
      <c r="E167" s="182"/>
      <c r="F167" s="77"/>
      <c r="G167" s="74"/>
      <c r="H167" s="75"/>
      <c r="I167" s="33">
        <f t="shared" si="7"/>
        <v>5650050.5099999998</v>
      </c>
      <c r="J167" s="34">
        <f>(4431000-(4431000*0.08))/F169</f>
        <v>6750.314350073726</v>
      </c>
      <c r="N167" s="33"/>
    </row>
    <row r="168" spans="1:14" s="34" customFormat="1" ht="15.75" customHeight="1" x14ac:dyDescent="0.25">
      <c r="A168" s="93">
        <f t="shared" si="6"/>
        <v>6</v>
      </c>
      <c r="B168" s="94"/>
      <c r="C168" s="46" t="s">
        <v>201</v>
      </c>
      <c r="D168" s="51">
        <f>(27.37+1.4*3.05+1*(2.4+2.75))*(10.764)</f>
        <v>396.00755999999996</v>
      </c>
      <c r="E168" s="46">
        <v>0</v>
      </c>
      <c r="F168" s="46">
        <f>D168*(($F$160)+1)+(IF(E168&lt;101,E168,IF(E168&lt;201,E168/2,IF(E168&lt;=301,E168/3,E168/4))))</f>
        <v>594.0113399999999</v>
      </c>
      <c r="G168" s="74"/>
      <c r="H168" s="75"/>
      <c r="I168" s="33">
        <f t="shared" si="7"/>
        <v>5768400.6899999995</v>
      </c>
      <c r="J168" s="33">
        <f>3300000/F175</f>
        <v>5669.4864630702541</v>
      </c>
      <c r="N168" s="33"/>
    </row>
    <row r="169" spans="1:14" s="34" customFormat="1" ht="15.75" customHeight="1" x14ac:dyDescent="0.25">
      <c r="A169" s="93">
        <f t="shared" si="6"/>
        <v>7</v>
      </c>
      <c r="B169" s="94"/>
      <c r="C169" s="46" t="s">
        <v>201</v>
      </c>
      <c r="D169" s="51">
        <f>(27.83+1.45*3.05+1*(2.4+2.75))*(10.764)</f>
        <v>402.60050999999993</v>
      </c>
      <c r="E169" s="46">
        <v>0</v>
      </c>
      <c r="F169" s="46">
        <f>D169*(($F$160)+1)+(IF(E169&lt;101,E169,IF(E169&lt;201,E169/2,IF(E169&lt;=301,E169/3,E169/4))))</f>
        <v>603.90076499999986</v>
      </c>
      <c r="G169" s="74"/>
      <c r="H169" s="75"/>
      <c r="I169" s="33">
        <f t="shared" si="7"/>
        <v>6174391.8599999985</v>
      </c>
      <c r="N169" s="33"/>
    </row>
    <row r="170" spans="1:14" s="34" customFormat="1" ht="15.75" customHeight="1" x14ac:dyDescent="0.25">
      <c r="A170" s="78" t="s">
        <v>204</v>
      </c>
      <c r="B170" s="78"/>
      <c r="C170" s="78"/>
      <c r="D170" s="78"/>
      <c r="E170" s="78"/>
      <c r="F170" s="78"/>
      <c r="G170" s="78"/>
      <c r="H170" s="78"/>
      <c r="I170" s="33">
        <f t="shared" si="7"/>
        <v>5664824.0999999996</v>
      </c>
      <c r="N170" s="33"/>
    </row>
    <row r="171" spans="1:14" s="34" customFormat="1" ht="15.75" customHeight="1" x14ac:dyDescent="0.25">
      <c r="A171" s="71">
        <v>1</v>
      </c>
      <c r="B171" s="71"/>
      <c r="C171" s="39" t="s">
        <v>205</v>
      </c>
      <c r="D171" s="51">
        <f>(44.24+1.75*2.9+1.25*(2.45+2.9))*(10.764)</f>
        <v>602.81091000000004</v>
      </c>
      <c r="E171" s="51">
        <f>(1.2*2.9)*(10.764)</f>
        <v>37.45872</v>
      </c>
      <c r="F171" s="39">
        <f>D171*(($F$160)+1)+(IF(E171&lt;101,E171,IF(E171&lt;201,E171/2,IF(E171&lt;=301,E171/3,E171/4))))</f>
        <v>941.67508499999997</v>
      </c>
      <c r="G171" s="72" t="str">
        <f>A170</f>
        <v>2nd Floor For Residential</v>
      </c>
      <c r="H171" s="73"/>
      <c r="I171" s="33">
        <f t="shared" si="7"/>
        <v>3492379.7999999993</v>
      </c>
      <c r="N171" s="33"/>
    </row>
    <row r="172" spans="1:14" s="47" customFormat="1" ht="15.75" customHeight="1" x14ac:dyDescent="0.25">
      <c r="A172" s="71">
        <f t="shared" ref="A172:A177" si="8">A171+1</f>
        <v>2</v>
      </c>
      <c r="B172" s="71"/>
      <c r="C172" s="46" t="s">
        <v>205</v>
      </c>
      <c r="D172" s="51">
        <f>(44.54+1.75*2.9+1.35*(2.45+2.9))*(10.764)</f>
        <v>611.79885000000002</v>
      </c>
      <c r="E172" s="51">
        <f>(1.4*2.9)*(10.764)</f>
        <v>43.70183999999999</v>
      </c>
      <c r="F172" s="39">
        <f>D172*(($F$160)+1)+(IF(E172&lt;101,E172,IF(E172&lt;201,E172/2,IF(E172&lt;=301,E172/3,E172/4))))</f>
        <v>961.40011499999991</v>
      </c>
      <c r="G172" s="74"/>
      <c r="H172" s="75"/>
      <c r="I172" s="33">
        <f t="shared" si="7"/>
        <v>3564068.0399999996</v>
      </c>
      <c r="N172" s="33"/>
    </row>
    <row r="173" spans="1:14" s="47" customFormat="1" ht="15.75" customHeight="1" x14ac:dyDescent="0.25">
      <c r="A173" s="71">
        <f t="shared" si="8"/>
        <v>3</v>
      </c>
      <c r="B173" s="71"/>
      <c r="C173" s="46" t="s">
        <v>205</v>
      </c>
      <c r="D173" s="51">
        <f>(44.64+1.7*(2.9+2.4)+1.25*2.9)*(10.764)</f>
        <v>616.5080999999999</v>
      </c>
      <c r="E173" s="51">
        <f>(11.7*1.8+3*5.9)*(10.764)</f>
        <v>417.21264000000002</v>
      </c>
      <c r="F173" s="39">
        <f>D173*(($F$160)+1)+(IF(E173&lt;101,E173,IF(E173&lt;201,E173/2,IF(E173&lt;=301,E173/3,E173/4))))</f>
        <v>1029.0653099999997</v>
      </c>
      <c r="G173" s="74"/>
      <c r="H173" s="75"/>
      <c r="I173" s="33">
        <f t="shared" si="7"/>
        <v>3623404.5899999994</v>
      </c>
      <c r="N173" s="33"/>
    </row>
    <row r="174" spans="1:14" s="34" customFormat="1" ht="15.75" customHeight="1" x14ac:dyDescent="0.25">
      <c r="A174" s="71">
        <f t="shared" si="8"/>
        <v>4</v>
      </c>
      <c r="B174" s="71"/>
      <c r="C174" s="46" t="s">
        <v>205</v>
      </c>
      <c r="D174" s="51">
        <f>(45.84+1.7*(2.9+2.4)+1.25*2.9)*(10.764)</f>
        <v>629.42489999999998</v>
      </c>
      <c r="E174" s="39">
        <v>0</v>
      </c>
      <c r="F174" s="39">
        <f>D174*(($F$160)+1)+(IF(E174&lt;101,E174,IF(E174&lt;201,E174/2,IF(E174&lt;=301,E174/3,E174/4))))</f>
        <v>944.13734999999997</v>
      </c>
      <c r="G174" s="74"/>
      <c r="H174" s="75"/>
      <c r="I174" s="33">
        <f t="shared" si="7"/>
        <v>0</v>
      </c>
      <c r="J174" s="34">
        <v>5500</v>
      </c>
    </row>
    <row r="175" spans="1:14" s="34" customFormat="1" ht="15.75" customHeight="1" x14ac:dyDescent="0.25">
      <c r="A175" s="71">
        <f t="shared" si="8"/>
        <v>5</v>
      </c>
      <c r="B175" s="71"/>
      <c r="C175" s="39" t="s">
        <v>201</v>
      </c>
      <c r="D175" s="51">
        <f>(26.83+1.4*3.05+1*(2.2+2.75))*(10.764)</f>
        <v>388.04219999999992</v>
      </c>
      <c r="E175" s="39">
        <v>0</v>
      </c>
      <c r="F175" s="39">
        <f>D175*(($F$160)+1)+(IF(E175&lt;101,E175,IF(E175&lt;201,E175/2,IF(E175&lt;=301,E175/3,E175/4))))</f>
        <v>582.06329999999991</v>
      </c>
      <c r="G175" s="74"/>
      <c r="H175" s="75"/>
      <c r="I175" s="33">
        <f t="shared" si="7"/>
        <v>5425298.1900000004</v>
      </c>
      <c r="J175" s="34">
        <f t="shared" ref="J175:J181" si="9">F179*$J$174</f>
        <v>4973190.0075000003</v>
      </c>
    </row>
    <row r="176" spans="1:14" s="34" customFormat="1" ht="15.75" customHeight="1" x14ac:dyDescent="0.25">
      <c r="A176" s="71">
        <f t="shared" si="8"/>
        <v>6</v>
      </c>
      <c r="B176" s="71"/>
      <c r="C176" s="46" t="s">
        <v>201</v>
      </c>
      <c r="D176" s="51">
        <f>(27.37+1.4*3.05+1*(2.4+2.75))*(10.764)</f>
        <v>396.00755999999996</v>
      </c>
      <c r="E176" s="46">
        <v>0</v>
      </c>
      <c r="F176" s="46">
        <f>D176*(($F$160)+1)+(IF(E176&lt;101,E176,IF(E176&lt;201,E176/2,IF(E176&lt;=301,E176/3,E176/4))))</f>
        <v>594.0113399999999</v>
      </c>
      <c r="G176" s="74"/>
      <c r="H176" s="75"/>
      <c r="I176" s="33">
        <f t="shared" si="7"/>
        <v>5506189.6499999994</v>
      </c>
      <c r="J176" s="64">
        <f t="shared" si="9"/>
        <v>5047340.5125000002</v>
      </c>
    </row>
    <row r="177" spans="1:10" s="34" customFormat="1" ht="15.75" customHeight="1" x14ac:dyDescent="0.25">
      <c r="A177" s="71">
        <f t="shared" si="8"/>
        <v>7</v>
      </c>
      <c r="B177" s="71"/>
      <c r="C177" s="46" t="s">
        <v>201</v>
      </c>
      <c r="D177" s="51">
        <f>(27.83+1.45*3.05+1*(2.4+2.75))*(10.764)</f>
        <v>402.60050999999993</v>
      </c>
      <c r="E177" s="46">
        <v>0</v>
      </c>
      <c r="F177" s="46">
        <f>D177*(($F$160)+1)+(IF(E177&lt;101,E177,IF(E177&lt;201,E177/2,IF(E177&lt;=301,E177/3,E177/4))))</f>
        <v>603.90076499999986</v>
      </c>
      <c r="G177" s="76"/>
      <c r="H177" s="77"/>
      <c r="I177" s="33">
        <f t="shared" si="7"/>
        <v>5548572.8999999985</v>
      </c>
      <c r="J177" s="64">
        <f t="shared" si="9"/>
        <v>5086191.8249999993</v>
      </c>
    </row>
    <row r="178" spans="1:10" s="34" customFormat="1" ht="15.75" customHeight="1" x14ac:dyDescent="0.25">
      <c r="A178" s="97" t="s">
        <v>206</v>
      </c>
      <c r="B178" s="98"/>
      <c r="C178" s="98"/>
      <c r="D178" s="98"/>
      <c r="E178" s="98"/>
      <c r="F178" s="98"/>
      <c r="G178" s="98"/>
      <c r="H178" s="99"/>
      <c r="I178" s="33">
        <f t="shared" si="7"/>
        <v>5579573.2199999988</v>
      </c>
      <c r="J178" s="64">
        <f t="shared" si="9"/>
        <v>5114608.7849999992</v>
      </c>
    </row>
    <row r="179" spans="1:10" s="34" customFormat="1" ht="15.75" customHeight="1" x14ac:dyDescent="0.25">
      <c r="A179" s="93">
        <v>1</v>
      </c>
      <c r="B179" s="94"/>
      <c r="C179" s="49" t="s">
        <v>205</v>
      </c>
      <c r="D179" s="51">
        <f>(44.24+1.75*2.9+1.25*(2.45+2.9))*(10.764)</f>
        <v>602.81091000000004</v>
      </c>
      <c r="E179" s="39">
        <v>0</v>
      </c>
      <c r="F179" s="39">
        <f>D179*(($F$160)+1)+(IF(E179&lt;101,E179,IF(E179&lt;201,E179/2,IF(E179&lt;=301,E179/3,E179/4))))</f>
        <v>904.216365</v>
      </c>
      <c r="G179" s="72" t="str">
        <f>A178</f>
        <v>3rd to 7th, 9th to 13th, 15th to 18th, 20th to 23rd Floor</v>
      </c>
      <c r="H179" s="73"/>
      <c r="I179" s="33">
        <f t="shared" si="7"/>
        <v>3492379.7999999993</v>
      </c>
      <c r="J179" s="64">
        <f t="shared" si="9"/>
        <v>3201348.1499999994</v>
      </c>
    </row>
    <row r="180" spans="1:10" s="50" customFormat="1" ht="15.75" customHeight="1" x14ac:dyDescent="0.25">
      <c r="A180" s="93">
        <f>A179+1</f>
        <v>2</v>
      </c>
      <c r="B180" s="94"/>
      <c r="C180" s="49" t="s">
        <v>205</v>
      </c>
      <c r="D180" s="51">
        <f>(44.54+1.75*2.9+1.35*(2.45+2.9))*(10.764)</f>
        <v>611.79885000000002</v>
      </c>
      <c r="E180" s="39">
        <v>0</v>
      </c>
      <c r="F180" s="39">
        <f>D180*(($F$160)+1)+(IF(E180&lt;101,E180,IF(E180&lt;201,E180/2,IF(E180&lt;=301,E180/3,E180/4))))</f>
        <v>917.69827499999997</v>
      </c>
      <c r="G180" s="74"/>
      <c r="H180" s="75"/>
      <c r="I180" s="33">
        <f t="shared" si="7"/>
        <v>3564068.0399999996</v>
      </c>
      <c r="J180" s="64">
        <f t="shared" si="9"/>
        <v>3267062.3699999996</v>
      </c>
    </row>
    <row r="181" spans="1:10" s="50" customFormat="1" ht="15.75" customHeight="1" x14ac:dyDescent="0.25">
      <c r="A181" s="93">
        <f t="shared" ref="A181:A183" si="10">A180+1</f>
        <v>3</v>
      </c>
      <c r="B181" s="94"/>
      <c r="C181" s="49" t="s">
        <v>205</v>
      </c>
      <c r="D181" s="51">
        <f>(44.64+1.7*(2.9+2.4)+1.25*2.9)*(10.764)</f>
        <v>616.5080999999999</v>
      </c>
      <c r="E181" s="39">
        <v>0</v>
      </c>
      <c r="F181" s="39">
        <f>D181*(($F$160)+1)+(IF(E181&lt;101,E181,IF(E181&lt;201,E181/2,IF(E181&lt;=301,E181/3,E181/4))))</f>
        <v>924.76214999999979</v>
      </c>
      <c r="G181" s="74"/>
      <c r="H181" s="75"/>
      <c r="I181" s="33">
        <f t="shared" si="7"/>
        <v>3623404.5899999994</v>
      </c>
      <c r="J181" s="64">
        <f t="shared" si="9"/>
        <v>3321454.2074999991</v>
      </c>
    </row>
    <row r="182" spans="1:10" s="50" customFormat="1" x14ac:dyDescent="0.25">
      <c r="A182" s="93">
        <f t="shared" si="10"/>
        <v>4</v>
      </c>
      <c r="B182" s="94"/>
      <c r="C182" s="49" t="s">
        <v>205</v>
      </c>
      <c r="D182" s="51">
        <f>(44.96+1.7*(2.9+2.4)+1.25*2.9)*(10.764)</f>
        <v>619.9525799999999</v>
      </c>
      <c r="E182" s="39">
        <v>0</v>
      </c>
      <c r="F182" s="39">
        <f>D182*(($F$160)+1)+(IF(E182&lt;101,E182,IF(E182&lt;201,E182/2,IF(E182&lt;=301,E182/3,E182/4))))</f>
        <v>929.92886999999985</v>
      </c>
      <c r="G182" s="74"/>
      <c r="H182" s="75"/>
      <c r="I182" s="33"/>
      <c r="J182" s="64"/>
    </row>
    <row r="183" spans="1:10" s="50" customFormat="1" ht="15.75" customHeight="1" x14ac:dyDescent="0.25">
      <c r="A183" s="93">
        <f t="shared" si="10"/>
        <v>5</v>
      </c>
      <c r="B183" s="94"/>
      <c r="C183" s="49" t="s">
        <v>201</v>
      </c>
      <c r="D183" s="51">
        <f>(26.83+1.4*3.05+1*(2.2+2.75))*(10.764)</f>
        <v>388.04219999999992</v>
      </c>
      <c r="E183" s="39">
        <v>0</v>
      </c>
      <c r="F183" s="39">
        <f>D183*(($F$160)+1)+(IF(E183&lt;101,E183,IF(E183&lt;201,E183/2,IF(E183&lt;=301,E183/3,E183/4))))</f>
        <v>582.06329999999991</v>
      </c>
      <c r="G183" s="74"/>
      <c r="H183" s="75"/>
      <c r="I183" s="33"/>
      <c r="J183" s="64"/>
    </row>
    <row r="184" spans="1:10" s="50" customFormat="1" ht="15.75" customHeight="1" x14ac:dyDescent="0.25">
      <c r="A184" s="93">
        <f>A183+1</f>
        <v>6</v>
      </c>
      <c r="B184" s="94"/>
      <c r="C184" s="49" t="s">
        <v>201</v>
      </c>
      <c r="D184" s="51">
        <f>(27.37+1.4*3.05+1*(2.4+2.75))*(10.764)</f>
        <v>396.00755999999996</v>
      </c>
      <c r="E184" s="49">
        <v>0</v>
      </c>
      <c r="F184" s="49">
        <f>D184*(($F$160)+1)+(IF(E184&lt;101,E184,IF(E184&lt;201,E184/2,IF(E184&lt;=301,E184/3,E184/4))))</f>
        <v>594.0113399999999</v>
      </c>
      <c r="G184" s="74"/>
      <c r="H184" s="75"/>
      <c r="I184" s="33"/>
      <c r="J184" s="64"/>
    </row>
    <row r="185" spans="1:10" s="50" customFormat="1" ht="15.75" customHeight="1" x14ac:dyDescent="0.25">
      <c r="A185" s="93">
        <f t="shared" ref="A185" si="11">A184+1</f>
        <v>7</v>
      </c>
      <c r="B185" s="94"/>
      <c r="C185" s="49" t="s">
        <v>201</v>
      </c>
      <c r="D185" s="51">
        <f>(27.83+1.45*3.05+1*(2.4+2.75))*(10.764)</f>
        <v>402.60050999999993</v>
      </c>
      <c r="E185" s="49">
        <v>0</v>
      </c>
      <c r="F185" s="49">
        <f>D185*(($F$160)+1)+(IF(E185&lt;101,E185,IF(E185&lt;201,E185/2,IF(E185&lt;=301,E185/3,E185/4))))</f>
        <v>603.90076499999986</v>
      </c>
      <c r="G185" s="74"/>
      <c r="H185" s="75"/>
      <c r="I185" s="33"/>
    </row>
    <row r="186" spans="1:10" s="50" customFormat="1" ht="15.75" customHeight="1" x14ac:dyDescent="0.25">
      <c r="A186" s="97" t="s">
        <v>207</v>
      </c>
      <c r="B186" s="98"/>
      <c r="C186" s="98"/>
      <c r="D186" s="98"/>
      <c r="E186" s="98"/>
      <c r="F186" s="98"/>
      <c r="G186" s="98"/>
      <c r="H186" s="99"/>
      <c r="I186" s="33"/>
    </row>
    <row r="187" spans="1:10" s="50" customFormat="1" ht="15.75" customHeight="1" x14ac:dyDescent="0.25">
      <c r="A187" s="93">
        <v>1</v>
      </c>
      <c r="B187" s="94"/>
      <c r="C187" s="49" t="s">
        <v>205</v>
      </c>
      <c r="D187" s="51">
        <f>(44.24+1.75*2.9+1.25*(2.45+2.9))*(10.764)</f>
        <v>602.81091000000004</v>
      </c>
      <c r="E187" s="49">
        <v>0</v>
      </c>
      <c r="F187" s="49">
        <f>D187*(($F$160)+1)+(IF(E187&lt;101,E187,IF(E187&lt;201,E187/2,IF(E187&lt;=301,E187/3,E187/4))))</f>
        <v>904.216365</v>
      </c>
      <c r="G187" s="72" t="str">
        <f>A186</f>
        <v>8th, 14th &amp; 19th Floor (Part Refuge Area)</v>
      </c>
      <c r="H187" s="73"/>
      <c r="I187" s="33"/>
    </row>
    <row r="188" spans="1:10" s="50" customFormat="1" ht="15.75" customHeight="1" x14ac:dyDescent="0.25">
      <c r="A188" s="93">
        <f>A187+1</f>
        <v>2</v>
      </c>
      <c r="B188" s="94"/>
      <c r="C188" s="49" t="s">
        <v>205</v>
      </c>
      <c r="D188" s="51">
        <f>(44.54+1.75*2.9+1.35*(2.45+2.9))*(10.764)</f>
        <v>611.79885000000002</v>
      </c>
      <c r="E188" s="49">
        <v>0</v>
      </c>
      <c r="F188" s="49">
        <f>D188*(($F$160)+1)+(IF(E188&lt;101,E188,IF(E188&lt;201,E188/2,IF(E188&lt;=301,E188/3,E188/4))))</f>
        <v>917.69827499999997</v>
      </c>
      <c r="G188" s="74"/>
      <c r="H188" s="75"/>
      <c r="I188" s="33"/>
    </row>
    <row r="189" spans="1:10" s="50" customFormat="1" ht="15.75" customHeight="1" x14ac:dyDescent="0.25">
      <c r="A189" s="93">
        <f t="shared" ref="A189:A193" si="12">A188+1</f>
        <v>3</v>
      </c>
      <c r="B189" s="94"/>
      <c r="C189" s="49" t="s">
        <v>205</v>
      </c>
      <c r="D189" s="51">
        <f>(44.64+1.7*(2.9+2.4)+1.25*2.9)*(10.764)</f>
        <v>616.5080999999999</v>
      </c>
      <c r="E189" s="49">
        <v>0</v>
      </c>
      <c r="F189" s="49">
        <f>D189*(($F$160)+1)+(IF(E189&lt;101,E189,IF(E189&lt;201,E189/2,IF(E189&lt;=301,E189/3,E189/4))))</f>
        <v>924.76214999999979</v>
      </c>
      <c r="G189" s="74"/>
      <c r="H189" s="75"/>
      <c r="I189" s="33"/>
    </row>
    <row r="190" spans="1:10" s="50" customFormat="1" x14ac:dyDescent="0.25">
      <c r="A190" s="93">
        <f t="shared" si="12"/>
        <v>4</v>
      </c>
      <c r="B190" s="94"/>
      <c r="C190" s="49" t="s">
        <v>205</v>
      </c>
      <c r="D190" s="51">
        <f>(44.96+1.7*(2.9+2.4)+1.25*2.9)*(10.764)</f>
        <v>619.9525799999999</v>
      </c>
      <c r="E190" s="49">
        <v>0</v>
      </c>
      <c r="F190" s="49">
        <f>D190*(($F$160)+1)+(IF(E190&lt;101,E190,IF(E190&lt;201,E190/2,IF(E190&lt;=301,E190/3,E190/4))))</f>
        <v>929.92886999999985</v>
      </c>
      <c r="G190" s="74"/>
      <c r="H190" s="75"/>
      <c r="I190" s="33"/>
    </row>
    <row r="191" spans="1:10" s="50" customFormat="1" ht="15.75" customHeight="1" x14ac:dyDescent="0.25">
      <c r="A191" s="93">
        <f t="shared" si="12"/>
        <v>5</v>
      </c>
      <c r="B191" s="94"/>
      <c r="C191" s="93" t="s">
        <v>208</v>
      </c>
      <c r="D191" s="100"/>
      <c r="E191" s="100"/>
      <c r="F191" s="94"/>
      <c r="G191" s="74"/>
      <c r="H191" s="75"/>
      <c r="I191" s="33"/>
    </row>
    <row r="192" spans="1:10" s="50" customFormat="1" ht="15.75" customHeight="1" x14ac:dyDescent="0.25">
      <c r="A192" s="93">
        <f t="shared" si="12"/>
        <v>6</v>
      </c>
      <c r="B192" s="94"/>
      <c r="C192" s="49" t="s">
        <v>201</v>
      </c>
      <c r="D192" s="51">
        <f>(27.37+1.4*3.05+1*(2.4+2.75))*(10.764)</f>
        <v>396.00755999999996</v>
      </c>
      <c r="E192" s="49">
        <v>0</v>
      </c>
      <c r="F192" s="49">
        <f>D192*(($F$160)+1)+(IF(E192&lt;101,E192,IF(E192&lt;201,E192/2,IF(E192&lt;=301,E192/3,E192/4))))</f>
        <v>594.0113399999999</v>
      </c>
      <c r="G192" s="74"/>
      <c r="H192" s="75"/>
      <c r="I192" s="33"/>
    </row>
    <row r="193" spans="1:12" s="50" customFormat="1" ht="15.75" customHeight="1" x14ac:dyDescent="0.25">
      <c r="A193" s="93">
        <f t="shared" si="12"/>
        <v>7</v>
      </c>
      <c r="B193" s="94"/>
      <c r="C193" s="49" t="s">
        <v>201</v>
      </c>
      <c r="D193" s="51">
        <f>(27.83+1.45*3.05+1*(2.4+2.75))*(10.764)</f>
        <v>402.60050999999993</v>
      </c>
      <c r="E193" s="49">
        <v>0</v>
      </c>
      <c r="F193" s="49">
        <f>D193*(($F$160)+1)+(IF(E193&lt;101,E193,IF(E193&lt;201,E193/2,IF(E193&lt;=301,E193/3,E193/4))))</f>
        <v>603.90076499999986</v>
      </c>
      <c r="G193" s="74"/>
      <c r="H193" s="75"/>
      <c r="I193" s="33"/>
    </row>
    <row r="194" spans="1:12" s="50" customFormat="1" ht="15.75" customHeight="1" x14ac:dyDescent="0.25">
      <c r="A194" s="97" t="s">
        <v>237</v>
      </c>
      <c r="B194" s="98"/>
      <c r="C194" s="98"/>
      <c r="D194" s="98"/>
      <c r="E194" s="98"/>
      <c r="F194" s="98"/>
      <c r="G194" s="98"/>
      <c r="H194" s="99"/>
      <c r="I194" s="33"/>
    </row>
    <row r="195" spans="1:12" s="50" customFormat="1" ht="15.75" customHeight="1" x14ac:dyDescent="0.25">
      <c r="A195" s="93">
        <v>1</v>
      </c>
      <c r="B195" s="94"/>
      <c r="C195" s="49" t="s">
        <v>205</v>
      </c>
      <c r="D195" s="51">
        <f>(44.24+1.75*2.9+1.25*(2.45+2.9))*(10.764)</f>
        <v>602.81091000000004</v>
      </c>
      <c r="E195" s="49">
        <v>0</v>
      </c>
      <c r="F195" s="49">
        <f>D195*(($F$160)+1)+(IF(E195&lt;101,E195,IF(E195&lt;201,E195/2,IF(E195&lt;=301,E195/3,E195/4))))</f>
        <v>904.216365</v>
      </c>
      <c r="G195" s="72" t="str">
        <f>A194</f>
        <v>24th Floor</v>
      </c>
      <c r="H195" s="73"/>
      <c r="I195" s="33"/>
    </row>
    <row r="196" spans="1:12" s="50" customFormat="1" ht="15.75" customHeight="1" x14ac:dyDescent="0.25">
      <c r="A196" s="93">
        <f>A195+1</f>
        <v>2</v>
      </c>
      <c r="B196" s="94"/>
      <c r="C196" s="49" t="s">
        <v>205</v>
      </c>
      <c r="D196" s="51">
        <f>(44.54+1.75*2.9+1.35*(2.45+2.9))*(10.764)</f>
        <v>611.79885000000002</v>
      </c>
      <c r="E196" s="49">
        <v>0</v>
      </c>
      <c r="F196" s="49">
        <f>D196*(($F$160)+1)+(IF(E196&lt;101,E196,IF(E196&lt;201,E196/2,IF(E196&lt;=301,E196/3,E196/4))))</f>
        <v>917.69827499999997</v>
      </c>
      <c r="G196" s="74"/>
      <c r="H196" s="75"/>
      <c r="I196" s="33"/>
    </row>
    <row r="197" spans="1:12" s="50" customFormat="1" ht="15.75" customHeight="1" x14ac:dyDescent="0.25">
      <c r="A197" s="93">
        <f t="shared" ref="A197:A201" si="13">A196+1</f>
        <v>3</v>
      </c>
      <c r="B197" s="94"/>
      <c r="C197" s="49" t="s">
        <v>205</v>
      </c>
      <c r="D197" s="51">
        <f>(44.64+1.7*(2.9+2.4)+1.25*2.9)*(10.764)</f>
        <v>616.5080999999999</v>
      </c>
      <c r="E197" s="49">
        <v>0</v>
      </c>
      <c r="F197" s="49">
        <f>D197*(($F$160)+1)+(IF(E197&lt;101,E197,IF(E197&lt;201,E197/2,IF(E197&lt;=301,E197/3,E197/4))))</f>
        <v>924.76214999999979</v>
      </c>
      <c r="G197" s="74"/>
      <c r="H197" s="75"/>
      <c r="I197" s="33"/>
    </row>
    <row r="198" spans="1:12" s="50" customFormat="1" x14ac:dyDescent="0.25">
      <c r="A198" s="93">
        <f t="shared" si="13"/>
        <v>4</v>
      </c>
      <c r="B198" s="94"/>
      <c r="C198" s="49" t="s">
        <v>205</v>
      </c>
      <c r="D198" s="51">
        <f>(44.96+1.7*(2.9+2.4)+1.25*2.9)*(10.764)</f>
        <v>619.9525799999999</v>
      </c>
      <c r="E198" s="49">
        <v>0</v>
      </c>
      <c r="F198" s="49">
        <f>D198*(($F$160)+1)+(IF(E198&lt;101,E198,IF(E198&lt;201,E198/2,IF(E198&lt;=301,E198/3,E198/4))))</f>
        <v>929.92886999999985</v>
      </c>
      <c r="G198" s="74"/>
      <c r="H198" s="75"/>
      <c r="I198" s="33"/>
    </row>
    <row r="199" spans="1:12" s="50" customFormat="1" ht="15.75" customHeight="1" x14ac:dyDescent="0.25">
      <c r="A199" s="93">
        <f t="shared" si="13"/>
        <v>5</v>
      </c>
      <c r="B199" s="94"/>
      <c r="C199" s="49" t="s">
        <v>201</v>
      </c>
      <c r="D199" s="51">
        <f>(26.83+1.4*3.05+1*(2.2+2.75))*(10.764)</f>
        <v>388.04219999999992</v>
      </c>
      <c r="E199" s="49">
        <v>0</v>
      </c>
      <c r="F199" s="49">
        <f>D199*(($F$160)+1)+(IF(E199&lt;101,E199,IF(E199&lt;201,E199/2,IF(E199&lt;=301,E199/3,E199/4))))</f>
        <v>582.06329999999991</v>
      </c>
      <c r="G199" s="74"/>
      <c r="H199" s="75"/>
      <c r="I199" s="33"/>
    </row>
    <row r="200" spans="1:12" s="50" customFormat="1" ht="15.75" customHeight="1" x14ac:dyDescent="0.25">
      <c r="A200" s="93">
        <f t="shared" si="13"/>
        <v>6</v>
      </c>
      <c r="B200" s="94"/>
      <c r="C200" s="49" t="s">
        <v>201</v>
      </c>
      <c r="D200" s="51">
        <f>(27.37+1.4*3.05+1*(2.4+2.75))*(10.764)</f>
        <v>396.00755999999996</v>
      </c>
      <c r="E200" s="49">
        <v>0</v>
      </c>
      <c r="F200" s="49">
        <f>D200*(($F$160)+1)+(IF(E200&lt;101,E200,IF(E200&lt;201,E200/2,IF(E200&lt;=301,E200/3,E200/4))))</f>
        <v>594.0113399999999</v>
      </c>
      <c r="G200" s="74"/>
      <c r="H200" s="75"/>
      <c r="I200" s="33"/>
      <c r="K200" s="50">
        <v>5500</v>
      </c>
      <c r="L200" s="50">
        <v>250000</v>
      </c>
    </row>
    <row r="201" spans="1:12" s="50" customFormat="1" ht="15.75" customHeight="1" x14ac:dyDescent="0.25">
      <c r="A201" s="93">
        <f t="shared" si="13"/>
        <v>7</v>
      </c>
      <c r="B201" s="94"/>
      <c r="C201" s="49" t="s">
        <v>201</v>
      </c>
      <c r="D201" s="51">
        <f>(27.83+1.45*3.05+1*(2.4+2.75))*(10.764)</f>
        <v>402.60050999999993</v>
      </c>
      <c r="E201" s="49">
        <v>0</v>
      </c>
      <c r="F201" s="49">
        <f>D201*(($F$160)+1)+(IF(E201&lt;101,E201,IF(E201&lt;201,E201/2,IF(E201&lt;=301,E201/3,E201/4))))</f>
        <v>603.90076499999986</v>
      </c>
      <c r="G201" s="74"/>
      <c r="H201" s="75"/>
      <c r="I201" s="33">
        <f>44.54+1.75*2.9+1.35*(2.45+2.9)</f>
        <v>56.837500000000006</v>
      </c>
      <c r="J201" s="33">
        <f>44.54+11.06+1.64</f>
        <v>57.24</v>
      </c>
      <c r="K201" s="50">
        <f>F203*$K$200+$L$200</f>
        <v>5223190.0075000003</v>
      </c>
    </row>
    <row r="202" spans="1:12" s="50" customFormat="1" ht="15.75" customHeight="1" x14ac:dyDescent="0.25">
      <c r="A202" s="97" t="s">
        <v>209</v>
      </c>
      <c r="B202" s="98"/>
      <c r="C202" s="98"/>
      <c r="D202" s="98"/>
      <c r="E202" s="98"/>
      <c r="F202" s="98"/>
      <c r="G202" s="98"/>
      <c r="H202" s="99"/>
      <c r="I202" s="66">
        <f>4450000/F204</f>
        <v>4849.0883346162991</v>
      </c>
      <c r="K202" s="52">
        <f t="shared" ref="K202:K207" si="14">F204*$K$200+$L$200</f>
        <v>5297340.5125000002</v>
      </c>
    </row>
    <row r="203" spans="1:12" s="50" customFormat="1" ht="15.75" customHeight="1" x14ac:dyDescent="0.25">
      <c r="A203" s="93">
        <v>1</v>
      </c>
      <c r="B203" s="94"/>
      <c r="C203" s="49" t="s">
        <v>205</v>
      </c>
      <c r="D203" s="51">
        <f>(44.24+1.75*2.9+1.25*(2.45+2.9))*(10.764)</f>
        <v>602.81091000000004</v>
      </c>
      <c r="E203" s="49">
        <v>0</v>
      </c>
      <c r="F203" s="49">
        <f>D203*(($F$160)+1)+(IF(E203&lt;101,E203,IF(E203&lt;201,E203/2,IF(E203&lt;=301,E203/3,E203/4))))</f>
        <v>904.216365</v>
      </c>
      <c r="G203" s="72" t="str">
        <f>A202</f>
        <v>25th &amp; 27th Floor</v>
      </c>
      <c r="H203" s="73"/>
      <c r="I203" s="33"/>
      <c r="K203" s="64">
        <f t="shared" si="14"/>
        <v>5336191.8249999993</v>
      </c>
    </row>
    <row r="204" spans="1:12" s="50" customFormat="1" ht="15.75" customHeight="1" x14ac:dyDescent="0.25">
      <c r="A204" s="93">
        <f>A203+1</f>
        <v>2</v>
      </c>
      <c r="B204" s="94"/>
      <c r="C204" s="49" t="s">
        <v>205</v>
      </c>
      <c r="D204" s="51">
        <f>(44.54+1.75*2.9+1.35*(2.45+2.9))*(10.764)</f>
        <v>611.79885000000002</v>
      </c>
      <c r="E204" s="49">
        <v>0</v>
      </c>
      <c r="F204" s="49">
        <f>D204*(($F$160)+1)+(IF(E204&lt;101,E204,IF(E204&lt;201,E204/2,IF(E204&lt;=301,E204/3,E204/4))))</f>
        <v>917.69827499999997</v>
      </c>
      <c r="G204" s="74"/>
      <c r="H204" s="75"/>
      <c r="I204" s="33"/>
      <c r="K204" s="64">
        <f t="shared" si="14"/>
        <v>5364608.7849999992</v>
      </c>
    </row>
    <row r="205" spans="1:12" s="50" customFormat="1" ht="15.75" customHeight="1" x14ac:dyDescent="0.25">
      <c r="A205" s="93">
        <f t="shared" ref="A205:A209" si="15">A204+1</f>
        <v>3</v>
      </c>
      <c r="B205" s="94"/>
      <c r="C205" s="49" t="s">
        <v>205</v>
      </c>
      <c r="D205" s="51">
        <f>(44.64+1.7*(2.9+2.4)+1.25*2.9)*(10.764)</f>
        <v>616.5080999999999</v>
      </c>
      <c r="E205" s="49">
        <v>0</v>
      </c>
      <c r="F205" s="49">
        <f>D205*(($F$160)+1)+(IF(E205&lt;101,E205,IF(E205&lt;201,E205/2,IF(E205&lt;=301,E205/3,E205/4))))</f>
        <v>924.76214999999979</v>
      </c>
      <c r="G205" s="74"/>
      <c r="H205" s="75"/>
      <c r="I205" s="33"/>
      <c r="K205" s="64">
        <f t="shared" si="14"/>
        <v>3451348.1499999994</v>
      </c>
    </row>
    <row r="206" spans="1:12" s="50" customFormat="1" x14ac:dyDescent="0.25">
      <c r="A206" s="93">
        <f t="shared" si="15"/>
        <v>4</v>
      </c>
      <c r="B206" s="94"/>
      <c r="C206" s="49" t="s">
        <v>205</v>
      </c>
      <c r="D206" s="51">
        <f>(44.96+1.7*(2.9+2.4)+1.25*2.9)*(10.764)</f>
        <v>619.9525799999999</v>
      </c>
      <c r="E206" s="49">
        <v>0</v>
      </c>
      <c r="F206" s="49">
        <f>D206*(($F$160)+1)+(IF(E206&lt;101,E206,IF(E206&lt;201,E206/2,IF(E206&lt;=301,E206/3,E206/4))))</f>
        <v>929.92886999999985</v>
      </c>
      <c r="G206" s="74"/>
      <c r="H206" s="75"/>
      <c r="I206" s="33"/>
      <c r="K206" s="64">
        <f t="shared" si="14"/>
        <v>3517062.3699999996</v>
      </c>
    </row>
    <row r="207" spans="1:12" s="50" customFormat="1" ht="15.75" customHeight="1" x14ac:dyDescent="0.25">
      <c r="A207" s="93">
        <f t="shared" si="15"/>
        <v>5</v>
      </c>
      <c r="B207" s="94"/>
      <c r="C207" s="49" t="s">
        <v>201</v>
      </c>
      <c r="D207" s="51">
        <f>(26.83+1.4*3.05+1*(2.2+2.75))*(10.764)</f>
        <v>388.04219999999992</v>
      </c>
      <c r="E207" s="49">
        <v>0</v>
      </c>
      <c r="F207" s="49">
        <f>D207*(($F$160)+1)+(IF(E207&lt;101,E207,IF(E207&lt;201,E207/2,IF(E207&lt;=301,E207/3,E207/4))))</f>
        <v>582.06329999999991</v>
      </c>
      <c r="G207" s="74"/>
      <c r="H207" s="75"/>
      <c r="I207" s="33"/>
      <c r="K207" s="64">
        <f t="shared" si="14"/>
        <v>3571454.2074999991</v>
      </c>
    </row>
    <row r="208" spans="1:12" s="50" customFormat="1" ht="15.75" customHeight="1" x14ac:dyDescent="0.25">
      <c r="A208" s="93">
        <f t="shared" si="15"/>
        <v>6</v>
      </c>
      <c r="B208" s="94"/>
      <c r="C208" s="49" t="s">
        <v>201</v>
      </c>
      <c r="D208" s="51">
        <f>(27.37+1.4*3.05+1*(2.4+2.75))*(10.764)</f>
        <v>396.00755999999996</v>
      </c>
      <c r="E208" s="49">
        <v>0</v>
      </c>
      <c r="F208" s="49">
        <f>D208*(($F$160)+1)+(IF(E208&lt;101,E208,IF(E208&lt;201,E208/2,IF(E208&lt;=301,E208/3,E208/4))))</f>
        <v>594.0113399999999</v>
      </c>
      <c r="G208" s="74"/>
      <c r="H208" s="75"/>
      <c r="I208" s="33"/>
    </row>
    <row r="209" spans="1:14" s="50" customFormat="1" ht="15.75" customHeight="1" x14ac:dyDescent="0.25">
      <c r="A209" s="93">
        <f t="shared" si="15"/>
        <v>7</v>
      </c>
      <c r="B209" s="94"/>
      <c r="C209" s="49" t="s">
        <v>201</v>
      </c>
      <c r="D209" s="51">
        <f>(27.83+1.45*3.05+1*(2.4+2.75))*(10.764)</f>
        <v>402.60050999999993</v>
      </c>
      <c r="E209" s="49">
        <v>0</v>
      </c>
      <c r="F209" s="49">
        <f>D209*(($F$160)+1)+(IF(E209&lt;101,E209,IF(E209&lt;201,E209/2,IF(E209&lt;=301,E209/3,E209/4))))</f>
        <v>603.90076499999986</v>
      </c>
      <c r="G209" s="74"/>
      <c r="H209" s="75"/>
      <c r="I209" s="33"/>
    </row>
    <row r="210" spans="1:14" s="50" customFormat="1" ht="15.75" customHeight="1" x14ac:dyDescent="0.25">
      <c r="A210" s="97" t="s">
        <v>210</v>
      </c>
      <c r="B210" s="98"/>
      <c r="C210" s="98"/>
      <c r="D210" s="98"/>
      <c r="E210" s="98"/>
      <c r="F210" s="98"/>
      <c r="G210" s="98"/>
      <c r="H210" s="99"/>
      <c r="I210" s="33"/>
    </row>
    <row r="211" spans="1:14" s="50" customFormat="1" ht="15.75" customHeight="1" x14ac:dyDescent="0.25">
      <c r="A211" s="93">
        <v>1</v>
      </c>
      <c r="B211" s="94"/>
      <c r="C211" s="49" t="s">
        <v>205</v>
      </c>
      <c r="D211" s="51">
        <f>(44.24+1.75*2.9+1.25*(2.45+2.9))*(10.764)</f>
        <v>602.81091000000004</v>
      </c>
      <c r="E211" s="49">
        <v>0</v>
      </c>
      <c r="F211" s="49">
        <f>D211*(($F$160)+1)+(IF(E211&lt;101,E211,IF(E211&lt;201,E211/2,IF(E211&lt;=301,E211/3,E211/4))))</f>
        <v>904.216365</v>
      </c>
      <c r="G211" s="72" t="str">
        <f>A210</f>
        <v>26th Floor (Part Refuge Area)</v>
      </c>
      <c r="H211" s="73"/>
      <c r="I211" s="33"/>
    </row>
    <row r="212" spans="1:14" s="50" customFormat="1" ht="15.75" customHeight="1" x14ac:dyDescent="0.25">
      <c r="A212" s="93">
        <f>A211+1</f>
        <v>2</v>
      </c>
      <c r="B212" s="94"/>
      <c r="C212" s="49" t="s">
        <v>205</v>
      </c>
      <c r="D212" s="51">
        <f>(44.54+1.75*2.9+1.35*(2.45+2.9))*(10.764)</f>
        <v>611.79885000000002</v>
      </c>
      <c r="E212" s="49">
        <v>0</v>
      </c>
      <c r="F212" s="49">
        <f>D212*(($F$160)+1)+(IF(E212&lt;101,E212,IF(E212&lt;201,E212/2,IF(E212&lt;=301,E212/3,E212/4))))</f>
        <v>917.69827499999997</v>
      </c>
      <c r="G212" s="74"/>
      <c r="H212" s="75"/>
      <c r="I212" s="33"/>
    </row>
    <row r="213" spans="1:14" s="50" customFormat="1" ht="15.75" customHeight="1" x14ac:dyDescent="0.25">
      <c r="A213" s="93">
        <f t="shared" ref="A213:A217" si="16">A212+1</f>
        <v>3</v>
      </c>
      <c r="B213" s="94"/>
      <c r="C213" s="49" t="s">
        <v>205</v>
      </c>
      <c r="D213" s="51">
        <f>(44.64+1.7*(2.9+2.4)+1.25*2.9)*(10.764)</f>
        <v>616.5080999999999</v>
      </c>
      <c r="E213" s="49">
        <v>0</v>
      </c>
      <c r="F213" s="49">
        <f>D213*(($F$160)+1)+(IF(E213&lt;101,E213,IF(E213&lt;201,E213/2,IF(E213&lt;=301,E213/3,E213/4))))</f>
        <v>924.76214999999979</v>
      </c>
      <c r="G213" s="74"/>
      <c r="H213" s="75"/>
      <c r="I213" s="33"/>
    </row>
    <row r="214" spans="1:14" s="47" customFormat="1" x14ac:dyDescent="0.25">
      <c r="A214" s="93">
        <f t="shared" si="16"/>
        <v>4</v>
      </c>
      <c r="B214" s="94"/>
      <c r="C214" s="49" t="s">
        <v>205</v>
      </c>
      <c r="D214" s="51">
        <f>(44.96+1.7*(2.9+2.4)+1.25*2.9)*(10.764)</f>
        <v>619.9525799999999</v>
      </c>
      <c r="E214" s="49">
        <v>0</v>
      </c>
      <c r="F214" s="49">
        <f>D214*(($F$160)+1)+(IF(E214&lt;101,E214,IF(E214&lt;201,E214/2,IF(E214&lt;=301,E214/3,E214/4))))</f>
        <v>929.92886999999985</v>
      </c>
      <c r="G214" s="74"/>
      <c r="H214" s="75"/>
      <c r="J214" s="33"/>
    </row>
    <row r="215" spans="1:14" s="47" customFormat="1" x14ac:dyDescent="0.25">
      <c r="A215" s="93">
        <f t="shared" si="16"/>
        <v>5</v>
      </c>
      <c r="B215" s="94"/>
      <c r="C215" s="93" t="s">
        <v>208</v>
      </c>
      <c r="D215" s="100"/>
      <c r="E215" s="100"/>
      <c r="F215" s="94"/>
      <c r="G215" s="74"/>
      <c r="H215" s="75"/>
      <c r="J215" s="33"/>
    </row>
    <row r="216" spans="1:14" s="47" customFormat="1" ht="15.75" customHeight="1" x14ac:dyDescent="0.25">
      <c r="A216" s="93">
        <f t="shared" si="16"/>
        <v>6</v>
      </c>
      <c r="B216" s="94"/>
      <c r="C216" s="49" t="s">
        <v>201</v>
      </c>
      <c r="D216" s="51">
        <f>(27.37+1.4*3.05+1*(2.4+2.75))*(10.764)</f>
        <v>396.00755999999996</v>
      </c>
      <c r="E216" s="49">
        <v>0</v>
      </c>
      <c r="F216" s="49">
        <f>D216*(($F$160)+1)+(IF(E216&lt;101,E216,IF(E216&lt;201,E216/2,IF(E216&lt;=301,E216/3,E216/4))))</f>
        <v>594.0113399999999</v>
      </c>
      <c r="G216" s="74"/>
      <c r="H216" s="75"/>
      <c r="I216" s="33">
        <f>3*3.05+2.05*2.4+1.95*1.2+1.2*2+2.05*2.75+1.8*0.53</f>
        <v>25.401499999999995</v>
      </c>
      <c r="J216" s="47">
        <f>1.6*3.05+1*(2.4+2.05)</f>
        <v>9.3299999999999983</v>
      </c>
      <c r="L216" s="70"/>
      <c r="M216" s="70"/>
      <c r="N216" s="33"/>
    </row>
    <row r="217" spans="1:14" s="47" customFormat="1" ht="15.75" customHeight="1" x14ac:dyDescent="0.25">
      <c r="A217" s="93">
        <f t="shared" si="16"/>
        <v>7</v>
      </c>
      <c r="B217" s="94"/>
      <c r="C217" s="49" t="s">
        <v>201</v>
      </c>
      <c r="D217" s="51">
        <f>(27.83+1.45*3.05+1*(2.4+2.75))*(10.764)</f>
        <v>402.60050999999993</v>
      </c>
      <c r="E217" s="49">
        <v>0</v>
      </c>
      <c r="F217" s="49">
        <f>D217*(($F$160)+1)+(IF(E217&lt;101,E217,IF(E217&lt;201,E217/2,IF(E217&lt;=301,E217/3,E217/4))))</f>
        <v>603.90076499999986</v>
      </c>
      <c r="G217" s="74"/>
      <c r="H217" s="75"/>
      <c r="I217" s="33"/>
      <c r="L217" s="70"/>
      <c r="M217" s="70"/>
      <c r="N217" s="33"/>
    </row>
    <row r="218" spans="1:14" s="47" customFormat="1" x14ac:dyDescent="0.25">
      <c r="A218" s="177" t="s">
        <v>199</v>
      </c>
      <c r="B218" s="178"/>
      <c r="C218" s="178"/>
      <c r="D218" s="178"/>
      <c r="E218" s="178"/>
      <c r="F218" s="178"/>
      <c r="G218" s="178"/>
      <c r="H218" s="179"/>
      <c r="I218" s="33"/>
      <c r="L218" s="70"/>
      <c r="M218" s="70"/>
      <c r="N218" s="33"/>
    </row>
    <row r="219" spans="1:14" s="47" customFormat="1" x14ac:dyDescent="0.25">
      <c r="A219" s="97" t="s">
        <v>198</v>
      </c>
      <c r="B219" s="98"/>
      <c r="C219" s="98"/>
      <c r="D219" s="98"/>
      <c r="E219" s="98"/>
      <c r="F219" s="98"/>
      <c r="G219" s="98"/>
      <c r="H219" s="99"/>
      <c r="I219" s="33"/>
      <c r="L219" s="70"/>
      <c r="M219" s="70"/>
      <c r="N219" s="33"/>
    </row>
    <row r="220" spans="1:14" s="47" customFormat="1" x14ac:dyDescent="0.25">
      <c r="A220" s="93">
        <v>1</v>
      </c>
      <c r="B220" s="94"/>
      <c r="C220" s="46" t="s">
        <v>201</v>
      </c>
      <c r="D220" s="51">
        <f>(27.83+1.6*3.05+1*(2.4+2.75))*(10.764)</f>
        <v>407.52503999999999</v>
      </c>
      <c r="E220" s="46">
        <v>0</v>
      </c>
      <c r="F220" s="46">
        <f>D220*(($F$160)+1)+(IF(E220&lt;101,E220,IF(E220&lt;201,E220/2,IF(E220&lt;=301,E220/3,E220/4))))</f>
        <v>611.28755999999998</v>
      </c>
      <c r="G220" s="72" t="str">
        <f>A219</f>
        <v>1st Floor For Part Residential</v>
      </c>
      <c r="H220" s="73"/>
      <c r="I220" s="33"/>
      <c r="L220" s="70"/>
      <c r="M220" s="70"/>
      <c r="N220" s="33"/>
    </row>
    <row r="221" spans="1:14" s="47" customFormat="1" x14ac:dyDescent="0.25">
      <c r="A221" s="93">
        <f t="shared" ref="A221:A228" si="17">A220+1</f>
        <v>2</v>
      </c>
      <c r="B221" s="94"/>
      <c r="C221" s="46" t="s">
        <v>201</v>
      </c>
      <c r="D221" s="51">
        <f>(27.82+1.2*3.05+1*(2.4+2.75))*(10.764)</f>
        <v>394.28532000000001</v>
      </c>
      <c r="E221" s="46">
        <v>0</v>
      </c>
      <c r="F221" s="46">
        <f>D221*(($F$160)+1)+(IF(E221&lt;101,E221,IF(E221&lt;201,E221/2,IF(E221&lt;=301,E221/3,E221/4))))</f>
        <v>591.42798000000005</v>
      </c>
      <c r="G221" s="74"/>
      <c r="H221" s="75"/>
      <c r="I221" s="33"/>
      <c r="L221" s="70"/>
      <c r="M221" s="70"/>
      <c r="N221" s="33"/>
    </row>
    <row r="222" spans="1:14" s="47" customFormat="1" x14ac:dyDescent="0.25">
      <c r="A222" s="93">
        <f t="shared" si="17"/>
        <v>3</v>
      </c>
      <c r="B222" s="94"/>
      <c r="C222" s="72" t="s">
        <v>202</v>
      </c>
      <c r="D222" s="180"/>
      <c r="E222" s="180"/>
      <c r="F222" s="73"/>
      <c r="G222" s="74"/>
      <c r="H222" s="75"/>
      <c r="I222" s="33"/>
      <c r="L222" s="70"/>
      <c r="M222" s="70"/>
      <c r="N222" s="33"/>
    </row>
    <row r="223" spans="1:14" s="47" customFormat="1" x14ac:dyDescent="0.25">
      <c r="A223" s="93">
        <f t="shared" si="17"/>
        <v>4</v>
      </c>
      <c r="B223" s="94"/>
      <c r="C223" s="74"/>
      <c r="D223" s="181"/>
      <c r="E223" s="181"/>
      <c r="F223" s="75"/>
      <c r="G223" s="74"/>
      <c r="H223" s="75"/>
      <c r="I223" s="33"/>
      <c r="L223" s="70"/>
      <c r="M223" s="70"/>
      <c r="N223" s="33"/>
    </row>
    <row r="224" spans="1:14" s="47" customFormat="1" x14ac:dyDescent="0.25">
      <c r="A224" s="93">
        <f t="shared" si="17"/>
        <v>5</v>
      </c>
      <c r="B224" s="94"/>
      <c r="C224" s="74"/>
      <c r="D224" s="181"/>
      <c r="E224" s="181"/>
      <c r="F224" s="75"/>
      <c r="G224" s="74"/>
      <c r="H224" s="75"/>
      <c r="I224" s="33"/>
      <c r="L224" s="70"/>
      <c r="M224" s="70"/>
      <c r="N224" s="33"/>
    </row>
    <row r="225" spans="1:14" s="47" customFormat="1" x14ac:dyDescent="0.25">
      <c r="A225" s="93">
        <f t="shared" si="17"/>
        <v>6</v>
      </c>
      <c r="B225" s="94"/>
      <c r="C225" s="74"/>
      <c r="D225" s="181"/>
      <c r="E225" s="181"/>
      <c r="F225" s="75"/>
      <c r="G225" s="74"/>
      <c r="H225" s="75"/>
      <c r="I225" s="33"/>
      <c r="L225" s="70"/>
      <c r="M225" s="70"/>
    </row>
    <row r="226" spans="1:14" s="47" customFormat="1" ht="15.75" customHeight="1" x14ac:dyDescent="0.25">
      <c r="A226" s="93">
        <f t="shared" si="17"/>
        <v>7</v>
      </c>
      <c r="B226" s="94"/>
      <c r="C226" s="74"/>
      <c r="D226" s="181"/>
      <c r="E226" s="181"/>
      <c r="F226" s="75"/>
      <c r="G226" s="74"/>
      <c r="H226" s="75"/>
      <c r="I226" s="33"/>
      <c r="N226" s="33"/>
    </row>
    <row r="227" spans="1:14" s="47" customFormat="1" ht="15.75" customHeight="1" x14ac:dyDescent="0.25">
      <c r="A227" s="93">
        <f t="shared" si="17"/>
        <v>8</v>
      </c>
      <c r="B227" s="94"/>
      <c r="C227" s="74"/>
      <c r="D227" s="181"/>
      <c r="E227" s="181"/>
      <c r="F227" s="75"/>
      <c r="G227" s="74"/>
      <c r="H227" s="75"/>
      <c r="I227" s="33"/>
      <c r="N227" s="33"/>
    </row>
    <row r="228" spans="1:14" s="47" customFormat="1" ht="15.75" customHeight="1" x14ac:dyDescent="0.25">
      <c r="A228" s="93">
        <f t="shared" si="17"/>
        <v>9</v>
      </c>
      <c r="B228" s="94"/>
      <c r="C228" s="76"/>
      <c r="D228" s="182"/>
      <c r="E228" s="182"/>
      <c r="F228" s="77"/>
      <c r="G228" s="76"/>
      <c r="H228" s="77"/>
      <c r="I228" s="33"/>
      <c r="N228" s="33"/>
    </row>
    <row r="229" spans="1:14" s="47" customFormat="1" ht="15.75" customHeight="1" x14ac:dyDescent="0.25">
      <c r="A229" s="78" t="s">
        <v>204</v>
      </c>
      <c r="B229" s="78"/>
      <c r="C229" s="78"/>
      <c r="D229" s="78"/>
      <c r="E229" s="78"/>
      <c r="F229" s="78"/>
      <c r="G229" s="78"/>
      <c r="H229" s="78"/>
      <c r="I229" s="33"/>
      <c r="N229" s="33"/>
    </row>
    <row r="230" spans="1:14" s="47" customFormat="1" ht="15.75" customHeight="1" x14ac:dyDescent="0.25">
      <c r="A230" s="71">
        <v>1</v>
      </c>
      <c r="B230" s="71"/>
      <c r="C230" s="46" t="s">
        <v>201</v>
      </c>
      <c r="D230" s="51">
        <f>(27.83+1.6*3.05+1*(2.4+2.75))*(10.764)</f>
        <v>407.52503999999999</v>
      </c>
      <c r="E230" s="46">
        <v>0</v>
      </c>
      <c r="F230" s="46">
        <f t="shared" ref="F230:F238" si="18">D230*(($F$160)+1)+(IF(E230&lt;101,E230,IF(E230&lt;201,E230/2,IF(E230&lt;=301,E230/3,E230/4))))</f>
        <v>611.28755999999998</v>
      </c>
      <c r="G230" s="72" t="str">
        <f>A229</f>
        <v>2nd Floor For Residential</v>
      </c>
      <c r="H230" s="73"/>
      <c r="I230" s="33"/>
      <c r="N230" s="33"/>
    </row>
    <row r="231" spans="1:14" s="47" customFormat="1" ht="15.75" customHeight="1" x14ac:dyDescent="0.25">
      <c r="A231" s="71">
        <f t="shared" ref="A231:A238" si="19">A230+1</f>
        <v>2</v>
      </c>
      <c r="B231" s="71"/>
      <c r="C231" s="46" t="s">
        <v>201</v>
      </c>
      <c r="D231" s="51">
        <f>(27.82+1.2*3.05+1*(2.4+2.75))*(10.764)</f>
        <v>394.28532000000001</v>
      </c>
      <c r="E231" s="46">
        <v>0</v>
      </c>
      <c r="F231" s="46">
        <f t="shared" si="18"/>
        <v>591.42798000000005</v>
      </c>
      <c r="G231" s="74"/>
      <c r="H231" s="75"/>
      <c r="I231" s="33"/>
      <c r="N231" s="33"/>
    </row>
    <row r="232" spans="1:14" s="47" customFormat="1" ht="15.75" customHeight="1" x14ac:dyDescent="0.25">
      <c r="A232" s="71">
        <f t="shared" si="19"/>
        <v>3</v>
      </c>
      <c r="B232" s="71"/>
      <c r="C232" s="46" t="s">
        <v>201</v>
      </c>
      <c r="D232" s="51">
        <f>(27.48+1.45*3.05+1*(2.4+2.75))*(10.764)</f>
        <v>398.83310999999998</v>
      </c>
      <c r="E232" s="46">
        <v>0</v>
      </c>
      <c r="F232" s="46">
        <f t="shared" si="18"/>
        <v>598.24966499999994</v>
      </c>
      <c r="G232" s="74"/>
      <c r="H232" s="75"/>
      <c r="I232" s="33"/>
      <c r="N232" s="33"/>
    </row>
    <row r="233" spans="1:14" s="47" customFormat="1" ht="15.75" customHeight="1" x14ac:dyDescent="0.25">
      <c r="A233" s="71">
        <f t="shared" si="19"/>
        <v>4</v>
      </c>
      <c r="B233" s="71"/>
      <c r="C233" s="46" t="s">
        <v>201</v>
      </c>
      <c r="D233" s="51">
        <f>(28.25+1.45*3.05+1*(2.4+3.1))*(10.764)</f>
        <v>410.88878999999997</v>
      </c>
      <c r="E233" s="46">
        <v>0</v>
      </c>
      <c r="F233" s="46">
        <f t="shared" si="18"/>
        <v>616.33318499999996</v>
      </c>
      <c r="G233" s="74"/>
      <c r="H233" s="75"/>
      <c r="I233" s="33"/>
      <c r="N233" s="33"/>
    </row>
    <row r="234" spans="1:14" s="47" customFormat="1" ht="15.75" customHeight="1" x14ac:dyDescent="0.25">
      <c r="A234" s="71">
        <f t="shared" si="19"/>
        <v>5</v>
      </c>
      <c r="B234" s="71"/>
      <c r="C234" s="46" t="s">
        <v>205</v>
      </c>
      <c r="D234" s="51">
        <f>(45.91+1.7*(2.9+2.4)+1.25*2.9)*(10.764)</f>
        <v>630.17837999999995</v>
      </c>
      <c r="E234" s="51">
        <f>(11.7*1.8+3*5.9)*(10.764)</f>
        <v>417.21264000000002</v>
      </c>
      <c r="F234" s="46">
        <f t="shared" si="18"/>
        <v>1049.5707299999999</v>
      </c>
      <c r="G234" s="74"/>
      <c r="H234" s="75"/>
      <c r="I234" s="33"/>
      <c r="N234" s="33"/>
    </row>
    <row r="235" spans="1:14" s="50" customFormat="1" ht="15.75" customHeight="1" x14ac:dyDescent="0.25">
      <c r="A235" s="71">
        <f t="shared" si="19"/>
        <v>6</v>
      </c>
      <c r="B235" s="71"/>
      <c r="C235" s="49" t="s">
        <v>205</v>
      </c>
      <c r="D235" s="51">
        <f>(44.64+1.7*(2.9+2.4)+1.25*2.9)*(10.764)</f>
        <v>616.5080999999999</v>
      </c>
      <c r="E235" s="46">
        <v>0</v>
      </c>
      <c r="F235" s="46">
        <f t="shared" si="18"/>
        <v>924.76214999999979</v>
      </c>
      <c r="G235" s="74"/>
      <c r="H235" s="75"/>
      <c r="I235" s="33"/>
    </row>
    <row r="236" spans="1:14" s="50" customFormat="1" ht="15.75" customHeight="1" x14ac:dyDescent="0.25">
      <c r="A236" s="71">
        <f t="shared" si="19"/>
        <v>7</v>
      </c>
      <c r="B236" s="71"/>
      <c r="C236" s="49" t="s">
        <v>205</v>
      </c>
      <c r="D236" s="51">
        <f>(43.92+1.7*(2.7+2.4)+1.25*2.9)*(10.764)</f>
        <v>605.09825999999998</v>
      </c>
      <c r="E236" s="46">
        <v>0</v>
      </c>
      <c r="F236" s="46">
        <f t="shared" si="18"/>
        <v>907.64738999999997</v>
      </c>
      <c r="G236" s="74"/>
      <c r="H236" s="75"/>
      <c r="I236" s="33"/>
    </row>
    <row r="237" spans="1:14" s="50" customFormat="1" ht="15.75" customHeight="1" x14ac:dyDescent="0.25">
      <c r="A237" s="71">
        <f t="shared" si="19"/>
        <v>8</v>
      </c>
      <c r="B237" s="71"/>
      <c r="C237" s="49" t="s">
        <v>205</v>
      </c>
      <c r="D237" s="51">
        <f>(44.54+1.75*2.9+1.35*(2.45+2.9))*(10.764)</f>
        <v>611.79885000000002</v>
      </c>
      <c r="E237" s="51">
        <f>(1.8*2.9)*(10.764)</f>
        <v>56.188079999999992</v>
      </c>
      <c r="F237" s="46">
        <f t="shared" si="18"/>
        <v>973.88635499999998</v>
      </c>
      <c r="G237" s="74"/>
      <c r="H237" s="75"/>
      <c r="I237" s="33"/>
    </row>
    <row r="238" spans="1:14" s="50" customFormat="1" ht="15.75" customHeight="1" x14ac:dyDescent="0.25">
      <c r="A238" s="71">
        <f t="shared" si="19"/>
        <v>9</v>
      </c>
      <c r="B238" s="71"/>
      <c r="C238" s="49" t="s">
        <v>205</v>
      </c>
      <c r="D238" s="51">
        <f>(44.24+1.75*2.9+1.25*(2.45+2.9))*(10.764)</f>
        <v>602.81091000000004</v>
      </c>
      <c r="E238" s="51">
        <f>(1.2*2.9)*(10.764)</f>
        <v>37.45872</v>
      </c>
      <c r="F238" s="46">
        <f t="shared" si="18"/>
        <v>941.67508499999997</v>
      </c>
      <c r="G238" s="76"/>
      <c r="H238" s="77"/>
      <c r="I238" s="53" t="s">
        <v>216</v>
      </c>
    </row>
    <row r="239" spans="1:14" s="50" customFormat="1" ht="15.75" customHeight="1" x14ac:dyDescent="0.25">
      <c r="A239" s="97" t="s">
        <v>206</v>
      </c>
      <c r="B239" s="98"/>
      <c r="C239" s="98"/>
      <c r="D239" s="98"/>
      <c r="E239" s="98"/>
      <c r="F239" s="98"/>
      <c r="G239" s="98"/>
      <c r="H239" s="99"/>
      <c r="I239" s="33">
        <f>3657500/F240</f>
        <v>5983.2724225567426</v>
      </c>
      <c r="J239" s="50">
        <f>3657500</f>
        <v>3657500</v>
      </c>
    </row>
    <row r="240" spans="1:14" s="50" customFormat="1" ht="15.75" customHeight="1" x14ac:dyDescent="0.25">
      <c r="A240" s="93">
        <v>1</v>
      </c>
      <c r="B240" s="94"/>
      <c r="C240" s="49" t="s">
        <v>201</v>
      </c>
      <c r="D240" s="51">
        <f>(27.83+1.6*3.05+1*(2.4+2.75))*(10.764)</f>
        <v>407.52503999999999</v>
      </c>
      <c r="E240" s="49">
        <v>0</v>
      </c>
      <c r="F240" s="49">
        <f t="shared" ref="F240:F248" si="20">D240*(($F$160)+1)+(IF(E240&lt;101,E240,IF(E240&lt;201,E240/2,IF(E240&lt;=301,E240/3,E240/4))))</f>
        <v>611.28755999999998</v>
      </c>
      <c r="G240" s="72" t="str">
        <f>A239</f>
        <v>3rd to 7th, 9th to 13th, 15th to 18th, 20th to 23rd Floor</v>
      </c>
      <c r="H240" s="73"/>
      <c r="I240" s="33">
        <f>5500000/F244</f>
        <v>5907.25127875611</v>
      </c>
      <c r="J240" s="50">
        <f>5500000</f>
        <v>5500000</v>
      </c>
    </row>
    <row r="241" spans="1:9" s="50" customFormat="1" ht="15.75" customHeight="1" x14ac:dyDescent="0.25">
      <c r="A241" s="93">
        <f>A240+1</f>
        <v>2</v>
      </c>
      <c r="B241" s="94"/>
      <c r="C241" s="49" t="s">
        <v>201</v>
      </c>
      <c r="D241" s="51">
        <f>(27.82+1.2*3.05+1*(2.4+2.75))*(10.764)</f>
        <v>394.28532000000001</v>
      </c>
      <c r="E241" s="49">
        <v>0</v>
      </c>
      <c r="F241" s="49">
        <f t="shared" si="20"/>
        <v>591.42798000000005</v>
      </c>
      <c r="G241" s="74"/>
      <c r="H241" s="75"/>
      <c r="I241" s="33"/>
    </row>
    <row r="242" spans="1:9" s="50" customFormat="1" ht="15.75" customHeight="1" x14ac:dyDescent="0.25">
      <c r="A242" s="93">
        <f t="shared" ref="A242:A244" si="21">A241+1</f>
        <v>3</v>
      </c>
      <c r="B242" s="94"/>
      <c r="C242" s="49" t="s">
        <v>201</v>
      </c>
      <c r="D242" s="51">
        <f>(27.48+1.45*3.05+1*(2.4+2.75))*(10.764)</f>
        <v>398.83310999999998</v>
      </c>
      <c r="E242" s="49">
        <v>0</v>
      </c>
      <c r="F242" s="49">
        <f t="shared" si="20"/>
        <v>598.24966499999994</v>
      </c>
      <c r="G242" s="74"/>
      <c r="H242" s="75"/>
      <c r="I242" s="33"/>
    </row>
    <row r="243" spans="1:9" s="50" customFormat="1" ht="15.75" customHeight="1" x14ac:dyDescent="0.25">
      <c r="A243" s="93">
        <f t="shared" si="21"/>
        <v>4</v>
      </c>
      <c r="B243" s="94"/>
      <c r="C243" s="49" t="s">
        <v>201</v>
      </c>
      <c r="D243" s="51">
        <f>(28.25+1.45*3.05+1*(2.4+3.1))*(10.764)</f>
        <v>410.88878999999997</v>
      </c>
      <c r="E243" s="49">
        <v>0</v>
      </c>
      <c r="F243" s="49">
        <f t="shared" si="20"/>
        <v>616.33318499999996</v>
      </c>
      <c r="G243" s="74"/>
      <c r="H243" s="75"/>
      <c r="I243" s="33"/>
    </row>
    <row r="244" spans="1:9" s="50" customFormat="1" ht="15.75" customHeight="1" x14ac:dyDescent="0.25">
      <c r="A244" s="93">
        <f t="shared" si="21"/>
        <v>5</v>
      </c>
      <c r="B244" s="94"/>
      <c r="C244" s="49" t="s">
        <v>205</v>
      </c>
      <c r="D244" s="51">
        <f>(45.03+1.7*(2.9+2.4)+1.25*2.9)*(10.764)</f>
        <v>620.70605999999998</v>
      </c>
      <c r="E244" s="49">
        <v>0</v>
      </c>
      <c r="F244" s="49">
        <f t="shared" si="20"/>
        <v>931.05908999999997</v>
      </c>
      <c r="G244" s="74"/>
      <c r="H244" s="75"/>
      <c r="I244" s="33"/>
    </row>
    <row r="245" spans="1:9" s="34" customFormat="1" x14ac:dyDescent="0.25">
      <c r="A245" s="93">
        <f>A244+1</f>
        <v>6</v>
      </c>
      <c r="B245" s="94"/>
      <c r="C245" s="49" t="s">
        <v>205</v>
      </c>
      <c r="D245" s="51">
        <f>(44.64+1.7*(2.9+2.4)+1.25*2.9)*(10.764)</f>
        <v>616.5080999999999</v>
      </c>
      <c r="E245" s="49">
        <v>0</v>
      </c>
      <c r="F245" s="49">
        <f t="shared" si="20"/>
        <v>924.76214999999979</v>
      </c>
      <c r="G245" s="74"/>
      <c r="H245" s="75"/>
      <c r="I245" s="33"/>
    </row>
    <row r="246" spans="1:9" s="34" customFormat="1" ht="15.75" customHeight="1" x14ac:dyDescent="0.25">
      <c r="A246" s="93">
        <f t="shared" ref="A246:A248" si="22">A245+1</f>
        <v>7</v>
      </c>
      <c r="B246" s="94"/>
      <c r="C246" s="49" t="s">
        <v>205</v>
      </c>
      <c r="D246" s="51">
        <f>(43.92+1.7*(2.7+2.4)+1.25*2.9)*(10.764)</f>
        <v>605.09825999999998</v>
      </c>
      <c r="E246" s="49">
        <v>0</v>
      </c>
      <c r="F246" s="49">
        <f t="shared" si="20"/>
        <v>907.64738999999997</v>
      </c>
      <c r="G246" s="74"/>
      <c r="H246" s="75"/>
      <c r="I246" s="33"/>
    </row>
    <row r="247" spans="1:9" s="34" customFormat="1" ht="15.75" customHeight="1" x14ac:dyDescent="0.25">
      <c r="A247" s="93">
        <f t="shared" si="22"/>
        <v>8</v>
      </c>
      <c r="B247" s="94"/>
      <c r="C247" s="49" t="s">
        <v>205</v>
      </c>
      <c r="D247" s="51">
        <f>(44.54+1.75*2.9+1.35*(2.45+2.9))*(10.764)</f>
        <v>611.79885000000002</v>
      </c>
      <c r="E247" s="49">
        <v>0</v>
      </c>
      <c r="F247" s="49">
        <f t="shared" si="20"/>
        <v>917.69827499999997</v>
      </c>
      <c r="G247" s="74"/>
      <c r="H247" s="75"/>
      <c r="I247" s="33"/>
    </row>
    <row r="248" spans="1:9" s="34" customFormat="1" ht="15.75" customHeight="1" x14ac:dyDescent="0.25">
      <c r="A248" s="93">
        <f t="shared" si="22"/>
        <v>9</v>
      </c>
      <c r="B248" s="94"/>
      <c r="C248" s="49" t="s">
        <v>205</v>
      </c>
      <c r="D248" s="51">
        <f>(44.24+1.75*2.9+1.25*(2.45+2.9))*(10.764)</f>
        <v>602.81091000000004</v>
      </c>
      <c r="E248" s="49">
        <v>0</v>
      </c>
      <c r="F248" s="49">
        <f t="shared" si="20"/>
        <v>904.216365</v>
      </c>
      <c r="G248" s="76"/>
      <c r="H248" s="77"/>
      <c r="I248" s="33"/>
    </row>
    <row r="249" spans="1:9" s="34" customFormat="1" ht="15.75" customHeight="1" x14ac:dyDescent="0.25">
      <c r="A249" s="97" t="s">
        <v>207</v>
      </c>
      <c r="B249" s="98"/>
      <c r="C249" s="98"/>
      <c r="D249" s="98"/>
      <c r="E249" s="98"/>
      <c r="F249" s="98"/>
      <c r="G249" s="98"/>
      <c r="H249" s="99"/>
      <c r="I249" s="33"/>
    </row>
    <row r="250" spans="1:9" s="34" customFormat="1" ht="15.75" customHeight="1" x14ac:dyDescent="0.25">
      <c r="A250" s="93">
        <v>1</v>
      </c>
      <c r="B250" s="94"/>
      <c r="C250" s="49" t="s">
        <v>201</v>
      </c>
      <c r="D250" s="51">
        <f>(27.83+1.6*3.05+1*(2.4+2.75))*(10.764)</f>
        <v>407.52503999999999</v>
      </c>
      <c r="E250" s="39">
        <v>0</v>
      </c>
      <c r="F250" s="39">
        <f>D250*(($F$160)+1)+(IF(E250&lt;101,E250,IF(E250&lt;201,E250/2,IF(E250&lt;=301,E250/3,E250/4))))</f>
        <v>611.28755999999998</v>
      </c>
      <c r="G250" s="72" t="str">
        <f>A249</f>
        <v>8th, 14th &amp; 19th Floor (Part Refuge Area)</v>
      </c>
      <c r="H250" s="73"/>
      <c r="I250" s="33"/>
    </row>
    <row r="251" spans="1:9" s="50" customFormat="1" ht="15.75" customHeight="1" x14ac:dyDescent="0.25">
      <c r="A251" s="93">
        <f>A250+1</f>
        <v>2</v>
      </c>
      <c r="B251" s="94"/>
      <c r="C251" s="93" t="s">
        <v>208</v>
      </c>
      <c r="D251" s="100"/>
      <c r="E251" s="100"/>
      <c r="F251" s="94"/>
      <c r="G251" s="74"/>
      <c r="H251" s="75"/>
      <c r="I251" s="33"/>
    </row>
    <row r="252" spans="1:9" s="50" customFormat="1" ht="15.75" customHeight="1" x14ac:dyDescent="0.25">
      <c r="A252" s="93">
        <f t="shared" ref="A252:A254" si="23">A251+1</f>
        <v>3</v>
      </c>
      <c r="B252" s="94"/>
      <c r="C252" s="49" t="s">
        <v>201</v>
      </c>
      <c r="D252" s="51">
        <f>(27.48+1.45*3.05+1*(2.4+2.75))*(10.764)</f>
        <v>398.83310999999998</v>
      </c>
      <c r="E252" s="39">
        <v>0</v>
      </c>
      <c r="F252" s="39">
        <f t="shared" ref="F252:F258" si="24">D252*(($F$160)+1)+(IF(E252&lt;101,E252,IF(E252&lt;201,E252/2,IF(E252&lt;=301,E252/3,E252/4))))</f>
        <v>598.24966499999994</v>
      </c>
      <c r="G252" s="74"/>
      <c r="H252" s="75"/>
      <c r="I252" s="33"/>
    </row>
    <row r="253" spans="1:9" s="50" customFormat="1" ht="15.75" customHeight="1" x14ac:dyDescent="0.25">
      <c r="A253" s="93">
        <f t="shared" si="23"/>
        <v>4</v>
      </c>
      <c r="B253" s="94"/>
      <c r="C253" s="49" t="s">
        <v>201</v>
      </c>
      <c r="D253" s="51">
        <f>(28.25+1.45*3.05+1*(2.4+3.1))*(10.764)</f>
        <v>410.88878999999997</v>
      </c>
      <c r="E253" s="39">
        <v>0</v>
      </c>
      <c r="F253" s="39">
        <f t="shared" si="24"/>
        <v>616.33318499999996</v>
      </c>
      <c r="G253" s="74"/>
      <c r="H253" s="75"/>
      <c r="I253" s="33"/>
    </row>
    <row r="254" spans="1:9" s="50" customFormat="1" ht="15.75" customHeight="1" x14ac:dyDescent="0.25">
      <c r="A254" s="93">
        <f t="shared" si="23"/>
        <v>5</v>
      </c>
      <c r="B254" s="94"/>
      <c r="C254" s="49" t="s">
        <v>205</v>
      </c>
      <c r="D254" s="51">
        <f>(45.03+1.7*(2.9+2.4)+1.25*2.9)*(10.764)</f>
        <v>620.70605999999998</v>
      </c>
      <c r="E254" s="39">
        <v>0</v>
      </c>
      <c r="F254" s="39">
        <f t="shared" si="24"/>
        <v>931.05908999999997</v>
      </c>
      <c r="G254" s="74"/>
      <c r="H254" s="75"/>
      <c r="I254" s="33"/>
    </row>
    <row r="255" spans="1:9" s="50" customFormat="1" x14ac:dyDescent="0.25">
      <c r="A255" s="93">
        <f t="shared" ref="A255:A256" si="25">A254+1</f>
        <v>6</v>
      </c>
      <c r="B255" s="94"/>
      <c r="C255" s="49" t="s">
        <v>205</v>
      </c>
      <c r="D255" s="51">
        <f>(44.64+1.7*(2.9+2.4)+1.25*2.9)*(10.764)</f>
        <v>616.5080999999999</v>
      </c>
      <c r="E255" s="49">
        <v>0</v>
      </c>
      <c r="F255" s="49">
        <f t="shared" si="24"/>
        <v>924.76214999999979</v>
      </c>
      <c r="G255" s="74"/>
      <c r="H255" s="75"/>
      <c r="I255" s="33"/>
    </row>
    <row r="256" spans="1:9" s="50" customFormat="1" ht="15.75" customHeight="1" x14ac:dyDescent="0.25">
      <c r="A256" s="93">
        <f t="shared" si="25"/>
        <v>7</v>
      </c>
      <c r="B256" s="94"/>
      <c r="C256" s="49" t="s">
        <v>205</v>
      </c>
      <c r="D256" s="51">
        <f>(43.92+1.7*(2.7+2.4)+1.25*2.9)*(10.764)</f>
        <v>605.09825999999998</v>
      </c>
      <c r="E256" s="49">
        <v>0</v>
      </c>
      <c r="F256" s="49">
        <f t="shared" si="24"/>
        <v>907.64738999999997</v>
      </c>
      <c r="G256" s="74"/>
      <c r="H256" s="75"/>
      <c r="I256" s="33"/>
    </row>
    <row r="257" spans="1:10" s="50" customFormat="1" ht="15.75" customHeight="1" x14ac:dyDescent="0.25">
      <c r="A257" s="93">
        <f t="shared" ref="A257:A258" si="26">A256+1</f>
        <v>8</v>
      </c>
      <c r="B257" s="94"/>
      <c r="C257" s="49" t="s">
        <v>205</v>
      </c>
      <c r="D257" s="51">
        <f>(44.54+1.75*2.9+1.35*(2.45+2.9))*(10.764)</f>
        <v>611.79885000000002</v>
      </c>
      <c r="E257" s="49">
        <v>0</v>
      </c>
      <c r="F257" s="49">
        <f t="shared" si="24"/>
        <v>917.69827499999997</v>
      </c>
      <c r="G257" s="74"/>
      <c r="H257" s="75"/>
      <c r="I257" s="33"/>
    </row>
    <row r="258" spans="1:10" s="50" customFormat="1" ht="15.75" customHeight="1" x14ac:dyDescent="0.25">
      <c r="A258" s="93">
        <f t="shared" si="26"/>
        <v>9</v>
      </c>
      <c r="B258" s="94"/>
      <c r="C258" s="49" t="s">
        <v>205</v>
      </c>
      <c r="D258" s="51">
        <f>(44.24+1.75*2.9+1.25*(2.45+2.9))*(10.764)</f>
        <v>602.81091000000004</v>
      </c>
      <c r="E258" s="49">
        <v>0</v>
      </c>
      <c r="F258" s="49">
        <f t="shared" si="24"/>
        <v>904.216365</v>
      </c>
      <c r="G258" s="76"/>
      <c r="H258" s="77"/>
      <c r="I258" s="33"/>
    </row>
    <row r="259" spans="1:10" s="50" customFormat="1" ht="15.75" customHeight="1" x14ac:dyDescent="0.25">
      <c r="A259" s="97" t="s">
        <v>237</v>
      </c>
      <c r="B259" s="98"/>
      <c r="C259" s="98"/>
      <c r="D259" s="98"/>
      <c r="E259" s="98"/>
      <c r="F259" s="98"/>
      <c r="G259" s="98"/>
      <c r="H259" s="99"/>
      <c r="I259" s="33"/>
      <c r="J259" s="52" t="s">
        <v>215</v>
      </c>
    </row>
    <row r="260" spans="1:10" s="50" customFormat="1" ht="15.75" customHeight="1" x14ac:dyDescent="0.25">
      <c r="A260" s="93">
        <v>1</v>
      </c>
      <c r="B260" s="94"/>
      <c r="C260" s="49" t="s">
        <v>201</v>
      </c>
      <c r="D260" s="51">
        <f>(27.83+1.6*3.05+1*(2.4+2.75))*(10.764)</f>
        <v>407.52503999999999</v>
      </c>
      <c r="E260" s="49">
        <v>0</v>
      </c>
      <c r="F260" s="49">
        <f t="shared" ref="F260:F268" si="27">D260*(($F$160)+1)+(IF(E260&lt;101,E260,IF(E260&lt;201,E260/2,IF(E260&lt;=301,E260/3,E260/4))))</f>
        <v>611.28755999999998</v>
      </c>
      <c r="G260" s="72" t="str">
        <f>A259</f>
        <v>24th Floor</v>
      </c>
      <c r="H260" s="73"/>
      <c r="I260" s="33"/>
      <c r="J260" s="33">
        <f>5500000/F264</f>
        <v>5907.25127875611</v>
      </c>
    </row>
    <row r="261" spans="1:10" s="50" customFormat="1" ht="15.75" customHeight="1" x14ac:dyDescent="0.25">
      <c r="A261" s="93">
        <f>A260+1</f>
        <v>2</v>
      </c>
      <c r="B261" s="94"/>
      <c r="C261" s="49" t="s">
        <v>201</v>
      </c>
      <c r="D261" s="51">
        <f>(27.82+1.2*3.05+1*(2.4+2.75))*(10.764)</f>
        <v>394.28532000000001</v>
      </c>
      <c r="E261" s="49">
        <v>0</v>
      </c>
      <c r="F261" s="49">
        <f t="shared" si="27"/>
        <v>591.42798000000005</v>
      </c>
      <c r="G261" s="74"/>
      <c r="H261" s="75"/>
      <c r="I261" s="33"/>
      <c r="J261" s="33">
        <f>4800000/F288</f>
        <v>5308.4639758759513</v>
      </c>
    </row>
    <row r="262" spans="1:10" s="50" customFormat="1" ht="15.75" customHeight="1" x14ac:dyDescent="0.25">
      <c r="A262" s="93">
        <f t="shared" ref="A262:A268" si="28">A261+1</f>
        <v>3</v>
      </c>
      <c r="B262" s="94"/>
      <c r="C262" s="49" t="s">
        <v>201</v>
      </c>
      <c r="D262" s="51">
        <f>(27.48+1.45*3.05+1*(2.4+2.75))*(10.764)</f>
        <v>398.83310999999998</v>
      </c>
      <c r="E262" s="49">
        <v>0</v>
      </c>
      <c r="F262" s="49">
        <f t="shared" si="27"/>
        <v>598.24966499999994</v>
      </c>
      <c r="G262" s="74"/>
      <c r="H262" s="75"/>
      <c r="I262" s="33"/>
    </row>
    <row r="263" spans="1:10" s="50" customFormat="1" ht="15.75" customHeight="1" x14ac:dyDescent="0.25">
      <c r="A263" s="93">
        <f t="shared" si="28"/>
        <v>4</v>
      </c>
      <c r="B263" s="94"/>
      <c r="C263" s="49" t="s">
        <v>201</v>
      </c>
      <c r="D263" s="51">
        <f>(28.25+1.45*3.05+1*(2.4+3.1))*(10.764)</f>
        <v>410.88878999999997</v>
      </c>
      <c r="E263" s="49">
        <v>0</v>
      </c>
      <c r="F263" s="49">
        <f t="shared" si="27"/>
        <v>616.33318499999996</v>
      </c>
      <c r="G263" s="74"/>
      <c r="H263" s="75"/>
      <c r="I263" s="33"/>
    </row>
    <row r="264" spans="1:10" s="50" customFormat="1" ht="15.75" customHeight="1" x14ac:dyDescent="0.25">
      <c r="A264" s="93">
        <f t="shared" si="28"/>
        <v>5</v>
      </c>
      <c r="B264" s="94"/>
      <c r="C264" s="49" t="s">
        <v>205</v>
      </c>
      <c r="D264" s="51">
        <f>(45.03+1.7*(2.9+2.4)+1.25*2.9)*(10.764)</f>
        <v>620.70605999999998</v>
      </c>
      <c r="E264" s="49">
        <v>0</v>
      </c>
      <c r="F264" s="49">
        <f t="shared" si="27"/>
        <v>931.05908999999997</v>
      </c>
      <c r="G264" s="74"/>
      <c r="H264" s="75"/>
      <c r="I264" s="33"/>
    </row>
    <row r="265" spans="1:10" s="50" customFormat="1" x14ac:dyDescent="0.25">
      <c r="A265" s="93">
        <f t="shared" si="28"/>
        <v>6</v>
      </c>
      <c r="B265" s="94"/>
      <c r="C265" s="49" t="s">
        <v>205</v>
      </c>
      <c r="D265" s="51">
        <f>(44.64+1.7*(2.9+2.4)+1.25*2.9)*(10.764)</f>
        <v>616.5080999999999</v>
      </c>
      <c r="E265" s="49">
        <v>0</v>
      </c>
      <c r="F265" s="49">
        <f t="shared" si="27"/>
        <v>924.76214999999979</v>
      </c>
      <c r="G265" s="74"/>
      <c r="H265" s="75"/>
      <c r="I265" s="33"/>
    </row>
    <row r="266" spans="1:10" s="50" customFormat="1" ht="15.75" customHeight="1" x14ac:dyDescent="0.25">
      <c r="A266" s="93">
        <f t="shared" si="28"/>
        <v>7</v>
      </c>
      <c r="B266" s="94"/>
      <c r="C266" s="49" t="s">
        <v>205</v>
      </c>
      <c r="D266" s="51">
        <f>(43.92+1.7*(2.7+2.4)+1.25*2.9)*(10.764)</f>
        <v>605.09825999999998</v>
      </c>
      <c r="E266" s="49">
        <v>0</v>
      </c>
      <c r="F266" s="49">
        <f t="shared" si="27"/>
        <v>907.64738999999997</v>
      </c>
      <c r="G266" s="74"/>
      <c r="H266" s="75"/>
      <c r="I266" s="33"/>
    </row>
    <row r="267" spans="1:10" s="50" customFormat="1" ht="15.75" customHeight="1" x14ac:dyDescent="0.25">
      <c r="A267" s="93">
        <f t="shared" si="28"/>
        <v>8</v>
      </c>
      <c r="B267" s="94"/>
      <c r="C267" s="49" t="s">
        <v>205</v>
      </c>
      <c r="D267" s="51">
        <f>(44.54+1.75*2.9+1.35*(2.45+2.9))*(10.764)</f>
        <v>611.79885000000002</v>
      </c>
      <c r="E267" s="49">
        <v>0</v>
      </c>
      <c r="F267" s="49">
        <f t="shared" si="27"/>
        <v>917.69827499999997</v>
      </c>
      <c r="G267" s="74"/>
      <c r="H267" s="75"/>
      <c r="I267" s="33"/>
    </row>
    <row r="268" spans="1:10" s="50" customFormat="1" ht="15.75" customHeight="1" x14ac:dyDescent="0.25">
      <c r="A268" s="93">
        <f t="shared" si="28"/>
        <v>9</v>
      </c>
      <c r="B268" s="94"/>
      <c r="C268" s="49" t="s">
        <v>205</v>
      </c>
      <c r="D268" s="51">
        <f>(44.24+1.75*2.9+1.25*(2.45+2.9))*(10.764)</f>
        <v>602.81091000000004</v>
      </c>
      <c r="E268" s="49">
        <v>0</v>
      </c>
      <c r="F268" s="49">
        <f t="shared" si="27"/>
        <v>904.216365</v>
      </c>
      <c r="G268" s="76"/>
      <c r="H268" s="77"/>
      <c r="I268" s="33"/>
    </row>
    <row r="269" spans="1:10" s="50" customFormat="1" ht="15.75" customHeight="1" x14ac:dyDescent="0.25">
      <c r="A269" s="97" t="s">
        <v>209</v>
      </c>
      <c r="B269" s="98"/>
      <c r="C269" s="98"/>
      <c r="D269" s="98"/>
      <c r="E269" s="98"/>
      <c r="F269" s="98"/>
      <c r="G269" s="98"/>
      <c r="H269" s="99"/>
      <c r="I269" s="33"/>
    </row>
    <row r="270" spans="1:10" s="50" customFormat="1" ht="15.75" customHeight="1" x14ac:dyDescent="0.25">
      <c r="A270" s="93">
        <v>1</v>
      </c>
      <c r="B270" s="94"/>
      <c r="C270" s="49" t="s">
        <v>201</v>
      </c>
      <c r="D270" s="51">
        <f>(27.83+1.6*3.05+1*(2.4+2.75))*(10.764)</f>
        <v>407.52503999999999</v>
      </c>
      <c r="E270" s="49">
        <v>0</v>
      </c>
      <c r="F270" s="49">
        <f t="shared" ref="F270:F278" si="29">D270*(($F$160)+1)+(IF(E270&lt;101,E270,IF(E270&lt;201,E270/2,IF(E270&lt;=301,E270/3,E270/4))))</f>
        <v>611.28755999999998</v>
      </c>
      <c r="G270" s="72" t="str">
        <f>A269</f>
        <v>25th &amp; 27th Floor</v>
      </c>
      <c r="H270" s="73"/>
      <c r="I270" s="33"/>
    </row>
    <row r="271" spans="1:10" s="50" customFormat="1" ht="15.75" customHeight="1" x14ac:dyDescent="0.25">
      <c r="A271" s="93">
        <f>A270+1</f>
        <v>2</v>
      </c>
      <c r="B271" s="94"/>
      <c r="C271" s="49" t="s">
        <v>201</v>
      </c>
      <c r="D271" s="51">
        <f>(27.82+1.2*3.05+1*(2.4+2.75))*(10.764)</f>
        <v>394.28532000000001</v>
      </c>
      <c r="E271" s="49">
        <v>0</v>
      </c>
      <c r="F271" s="49">
        <f t="shared" si="29"/>
        <v>591.42798000000005</v>
      </c>
      <c r="G271" s="74"/>
      <c r="H271" s="75"/>
      <c r="I271" s="33"/>
    </row>
    <row r="272" spans="1:10" s="50" customFormat="1" ht="15.75" customHeight="1" x14ac:dyDescent="0.25">
      <c r="A272" s="93">
        <f t="shared" ref="A272:A278" si="30">A271+1</f>
        <v>3</v>
      </c>
      <c r="B272" s="94"/>
      <c r="C272" s="49" t="s">
        <v>201</v>
      </c>
      <c r="D272" s="51">
        <f>(27.48+1.45*3.05+1*(2.4+2.75))*(10.764)</f>
        <v>398.83310999999998</v>
      </c>
      <c r="E272" s="49">
        <v>0</v>
      </c>
      <c r="F272" s="49">
        <f t="shared" si="29"/>
        <v>598.24966499999994</v>
      </c>
      <c r="G272" s="74"/>
      <c r="H272" s="75"/>
      <c r="I272" s="33"/>
    </row>
    <row r="273" spans="1:9" s="50" customFormat="1" ht="15.75" customHeight="1" x14ac:dyDescent="0.25">
      <c r="A273" s="93">
        <f t="shared" si="30"/>
        <v>4</v>
      </c>
      <c r="B273" s="94"/>
      <c r="C273" s="49" t="s">
        <v>201</v>
      </c>
      <c r="D273" s="51">
        <f>(28.25+1.45*3.05+1*(2.4+3.1))*(10.764)</f>
        <v>410.88878999999997</v>
      </c>
      <c r="E273" s="49">
        <v>0</v>
      </c>
      <c r="F273" s="49">
        <f t="shared" si="29"/>
        <v>616.33318499999996</v>
      </c>
      <c r="G273" s="74"/>
      <c r="H273" s="75"/>
      <c r="I273" s="33"/>
    </row>
    <row r="274" spans="1:9" s="50" customFormat="1" ht="15.75" customHeight="1" x14ac:dyDescent="0.25">
      <c r="A274" s="93">
        <f t="shared" si="30"/>
        <v>5</v>
      </c>
      <c r="B274" s="94"/>
      <c r="C274" s="49" t="s">
        <v>205</v>
      </c>
      <c r="D274" s="51">
        <f>(45.03+1.7*(2.9+2.4)+1.25*2.9)*(10.764)</f>
        <v>620.70605999999998</v>
      </c>
      <c r="E274" s="49">
        <v>0</v>
      </c>
      <c r="F274" s="49">
        <f t="shared" si="29"/>
        <v>931.05908999999997</v>
      </c>
      <c r="G274" s="74"/>
      <c r="H274" s="75"/>
      <c r="I274" s="33"/>
    </row>
    <row r="275" spans="1:9" s="50" customFormat="1" x14ac:dyDescent="0.25">
      <c r="A275" s="93">
        <f t="shared" si="30"/>
        <v>6</v>
      </c>
      <c r="B275" s="94"/>
      <c r="C275" s="49" t="s">
        <v>205</v>
      </c>
      <c r="D275" s="51">
        <f>(44.64+1.7*(2.9+2.4)+1.25*2.9)*(10.764)</f>
        <v>616.5080999999999</v>
      </c>
      <c r="E275" s="49">
        <v>0</v>
      </c>
      <c r="F275" s="49">
        <f t="shared" si="29"/>
        <v>924.76214999999979</v>
      </c>
      <c r="G275" s="74"/>
      <c r="H275" s="75"/>
      <c r="I275" s="33"/>
    </row>
    <row r="276" spans="1:9" s="50" customFormat="1" ht="15.75" customHeight="1" x14ac:dyDescent="0.25">
      <c r="A276" s="93">
        <f t="shared" si="30"/>
        <v>7</v>
      </c>
      <c r="B276" s="94"/>
      <c r="C276" s="49" t="s">
        <v>205</v>
      </c>
      <c r="D276" s="51">
        <f>(43.92+1.7*(2.7+2.4)+1.25*2.9)*(10.764)</f>
        <v>605.09825999999998</v>
      </c>
      <c r="E276" s="49">
        <v>0</v>
      </c>
      <c r="F276" s="49">
        <f t="shared" si="29"/>
        <v>907.64738999999997</v>
      </c>
      <c r="G276" s="74"/>
      <c r="H276" s="75"/>
      <c r="I276" s="33"/>
    </row>
    <row r="277" spans="1:9" s="50" customFormat="1" ht="15.75" customHeight="1" x14ac:dyDescent="0.25">
      <c r="A277" s="93">
        <f t="shared" si="30"/>
        <v>8</v>
      </c>
      <c r="B277" s="94"/>
      <c r="C277" s="49" t="s">
        <v>205</v>
      </c>
      <c r="D277" s="51">
        <f>(44.54+1.75*2.9+1.35*(2.45+2.9))*(10.764)</f>
        <v>611.79885000000002</v>
      </c>
      <c r="E277" s="49">
        <v>0</v>
      </c>
      <c r="F277" s="49">
        <f t="shared" si="29"/>
        <v>917.69827499999997</v>
      </c>
      <c r="G277" s="74"/>
      <c r="H277" s="75"/>
      <c r="I277" s="33"/>
    </row>
    <row r="278" spans="1:9" s="50" customFormat="1" ht="15.75" customHeight="1" x14ac:dyDescent="0.25">
      <c r="A278" s="93">
        <f t="shared" si="30"/>
        <v>9</v>
      </c>
      <c r="B278" s="94"/>
      <c r="C278" s="49" t="s">
        <v>205</v>
      </c>
      <c r="D278" s="51">
        <f>(44.24+1.75*2.9+1.25*(2.45+2.9))*(10.764)</f>
        <v>602.81091000000004</v>
      </c>
      <c r="E278" s="49">
        <v>0</v>
      </c>
      <c r="F278" s="49">
        <f t="shared" si="29"/>
        <v>904.216365</v>
      </c>
      <c r="G278" s="76"/>
      <c r="H278" s="77"/>
      <c r="I278" s="33"/>
    </row>
    <row r="279" spans="1:9" s="50" customFormat="1" ht="15.75" customHeight="1" x14ac:dyDescent="0.25">
      <c r="A279" s="97" t="s">
        <v>210</v>
      </c>
      <c r="B279" s="98"/>
      <c r="C279" s="98"/>
      <c r="D279" s="98"/>
      <c r="E279" s="98"/>
      <c r="F279" s="98"/>
      <c r="G279" s="98"/>
      <c r="H279" s="99"/>
      <c r="I279" s="33"/>
    </row>
    <row r="280" spans="1:9" s="50" customFormat="1" ht="15.75" customHeight="1" x14ac:dyDescent="0.25">
      <c r="A280" s="93">
        <v>1</v>
      </c>
      <c r="B280" s="94"/>
      <c r="C280" s="49" t="s">
        <v>201</v>
      </c>
      <c r="D280" s="51">
        <f>(27.83+1.6*3.05+1*(2.4+2.75))*(10.764)</f>
        <v>407.52503999999999</v>
      </c>
      <c r="E280" s="49">
        <v>0</v>
      </c>
      <c r="F280" s="49">
        <f>D280*(($F$160)+1)+(IF(E280&lt;101,E280,IF(E280&lt;201,E280/2,IF(E280&lt;=301,E280/3,E280/4))))</f>
        <v>611.28755999999998</v>
      </c>
      <c r="G280" s="72" t="str">
        <f>A279</f>
        <v>26th Floor (Part Refuge Area)</v>
      </c>
      <c r="H280" s="73"/>
      <c r="I280" s="33"/>
    </row>
    <row r="281" spans="1:9" s="50" customFormat="1" ht="15.75" customHeight="1" x14ac:dyDescent="0.25">
      <c r="A281" s="93">
        <f>A280+1</f>
        <v>2</v>
      </c>
      <c r="B281" s="94"/>
      <c r="C281" s="93" t="s">
        <v>208</v>
      </c>
      <c r="D281" s="100"/>
      <c r="E281" s="100"/>
      <c r="F281" s="94"/>
      <c r="G281" s="74"/>
      <c r="H281" s="75"/>
      <c r="I281" s="33"/>
    </row>
    <row r="282" spans="1:9" s="50" customFormat="1" ht="15.75" customHeight="1" x14ac:dyDescent="0.25">
      <c r="A282" s="93">
        <f t="shared" ref="A282:A288" si="31">A281+1</f>
        <v>3</v>
      </c>
      <c r="B282" s="94"/>
      <c r="C282" s="49" t="s">
        <v>201</v>
      </c>
      <c r="D282" s="51">
        <f>(27.48+1.45*3.05+1*(2.4+2.75))*(10.764)</f>
        <v>398.83310999999998</v>
      </c>
      <c r="E282" s="49">
        <v>0</v>
      </c>
      <c r="F282" s="49">
        <f t="shared" ref="F282:F288" si="32">D282*(($F$160)+1)+(IF(E282&lt;101,E282,IF(E282&lt;201,E282/2,IF(E282&lt;=301,E282/3,E282/4))))</f>
        <v>598.24966499999994</v>
      </c>
      <c r="G282" s="74"/>
      <c r="H282" s="75"/>
      <c r="I282" s="33"/>
    </row>
    <row r="283" spans="1:9" s="50" customFormat="1" ht="15.75" customHeight="1" x14ac:dyDescent="0.25">
      <c r="A283" s="93">
        <f t="shared" si="31"/>
        <v>4</v>
      </c>
      <c r="B283" s="94"/>
      <c r="C283" s="49" t="s">
        <v>201</v>
      </c>
      <c r="D283" s="51">
        <f>(28.25+1.45*3.05+1*(2.4+3.1))*(10.764)</f>
        <v>410.88878999999997</v>
      </c>
      <c r="E283" s="49">
        <v>0</v>
      </c>
      <c r="F283" s="49">
        <f t="shared" si="32"/>
        <v>616.33318499999996</v>
      </c>
      <c r="G283" s="74"/>
      <c r="H283" s="75"/>
      <c r="I283" s="33"/>
    </row>
    <row r="284" spans="1:9" s="50" customFormat="1" ht="15.75" customHeight="1" x14ac:dyDescent="0.25">
      <c r="A284" s="93">
        <f t="shared" si="31"/>
        <v>5</v>
      </c>
      <c r="B284" s="94"/>
      <c r="C284" s="49" t="s">
        <v>205</v>
      </c>
      <c r="D284" s="51">
        <f>(45.03+1.7*(2.9+2.4)+1.25*2.9)*(10.764)</f>
        <v>620.70605999999998</v>
      </c>
      <c r="E284" s="49">
        <v>0</v>
      </c>
      <c r="F284" s="49">
        <f t="shared" si="32"/>
        <v>931.05908999999997</v>
      </c>
      <c r="G284" s="74"/>
      <c r="H284" s="75"/>
      <c r="I284" s="33"/>
    </row>
    <row r="285" spans="1:9" s="32" customFormat="1" x14ac:dyDescent="0.25">
      <c r="A285" s="93">
        <f t="shared" si="31"/>
        <v>6</v>
      </c>
      <c r="B285" s="94"/>
      <c r="C285" s="49" t="s">
        <v>205</v>
      </c>
      <c r="D285" s="51">
        <f>(44.64+1.7*(2.9+2.4)+1.25*2.9)*(10.764)</f>
        <v>616.5080999999999</v>
      </c>
      <c r="E285" s="49">
        <v>0</v>
      </c>
      <c r="F285" s="49">
        <f t="shared" si="32"/>
        <v>924.76214999999979</v>
      </c>
      <c r="G285" s="74"/>
      <c r="H285" s="75"/>
    </row>
    <row r="286" spans="1:9" s="32" customFormat="1" x14ac:dyDescent="0.25">
      <c r="A286" s="93">
        <f t="shared" si="31"/>
        <v>7</v>
      </c>
      <c r="B286" s="94"/>
      <c r="C286" s="49" t="s">
        <v>205</v>
      </c>
      <c r="D286" s="51">
        <f>(43.92+1.7*(2.7+2.4)+1.25*2.9)*(10.764)</f>
        <v>605.09825999999998</v>
      </c>
      <c r="E286" s="49">
        <v>0</v>
      </c>
      <c r="F286" s="49">
        <f t="shared" si="32"/>
        <v>907.64738999999997</v>
      </c>
      <c r="G286" s="74"/>
      <c r="H286" s="75"/>
    </row>
    <row r="287" spans="1:9" s="32" customFormat="1" x14ac:dyDescent="0.25">
      <c r="A287" s="93">
        <f t="shared" si="31"/>
        <v>8</v>
      </c>
      <c r="B287" s="94"/>
      <c r="C287" s="49" t="s">
        <v>205</v>
      </c>
      <c r="D287" s="51">
        <f>(44.54+1.75*2.9+1.35*(2.45+2.9))*(10.764)</f>
        <v>611.79885000000002</v>
      </c>
      <c r="E287" s="49">
        <v>0</v>
      </c>
      <c r="F287" s="49">
        <f t="shared" si="32"/>
        <v>917.69827499999997</v>
      </c>
      <c r="G287" s="74"/>
      <c r="H287" s="75"/>
    </row>
    <row r="288" spans="1:9" s="32" customFormat="1" x14ac:dyDescent="0.25">
      <c r="A288" s="93">
        <f t="shared" si="31"/>
        <v>9</v>
      </c>
      <c r="B288" s="94"/>
      <c r="C288" s="49" t="s">
        <v>205</v>
      </c>
      <c r="D288" s="51">
        <f>(44.24+1.75*2.9+1.25*(2.45+2.9))*(10.764)</f>
        <v>602.81091000000004</v>
      </c>
      <c r="E288" s="49">
        <v>0</v>
      </c>
      <c r="F288" s="49">
        <f t="shared" si="32"/>
        <v>904.216365</v>
      </c>
      <c r="G288" s="76"/>
      <c r="H288" s="77"/>
      <c r="I288" s="48"/>
    </row>
    <row r="289" spans="1:15" s="32" customFormat="1" x14ac:dyDescent="0.25">
      <c r="A289" s="92" t="s">
        <v>67</v>
      </c>
      <c r="B289" s="92"/>
      <c r="C289" s="92"/>
      <c r="D289" s="92"/>
      <c r="E289" s="92"/>
      <c r="F289" s="92"/>
      <c r="G289" s="92"/>
      <c r="H289" s="92"/>
    </row>
    <row r="290" spans="1:15" s="32" customFormat="1" x14ac:dyDescent="0.25">
      <c r="A290" s="42" t="s">
        <v>155</v>
      </c>
      <c r="B290" s="67" t="s">
        <v>219</v>
      </c>
      <c r="C290" s="68"/>
      <c r="D290" s="68"/>
      <c r="E290" s="68"/>
      <c r="F290" s="68"/>
      <c r="G290" s="68"/>
      <c r="H290" s="69"/>
    </row>
    <row r="291" spans="1:15" s="32" customFormat="1" x14ac:dyDescent="0.25">
      <c r="A291" s="42" t="s">
        <v>155</v>
      </c>
      <c r="B291" s="67" t="str">
        <f>(IF(F159="Saleable area Loading :","We have considered Saleable area of Flats as per our Calculation.","We considered Saleable area of Flat as per Builder area Sheet."))</f>
        <v>We have considered Saleable area of Flats as per our Calculation.</v>
      </c>
      <c r="C291" s="68"/>
      <c r="D291" s="68"/>
      <c r="E291" s="68"/>
      <c r="F291" s="68"/>
      <c r="G291" s="68"/>
      <c r="H291" s="69"/>
    </row>
    <row r="292" spans="1:15" s="32" customFormat="1" x14ac:dyDescent="0.25">
      <c r="A292" s="42" t="s">
        <v>155</v>
      </c>
      <c r="B292" s="67" t="str">
        <f>(IF(F109="Saleable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92" s="68"/>
      <c r="D292" s="68"/>
      <c r="E292" s="68"/>
      <c r="F292" s="68"/>
      <c r="G292" s="68"/>
      <c r="H292" s="69"/>
    </row>
    <row r="293" spans="1:15" s="32" customFormat="1" x14ac:dyDescent="0.25">
      <c r="A293" s="42" t="s">
        <v>155</v>
      </c>
      <c r="B293" s="79" t="s">
        <v>125</v>
      </c>
      <c r="C293" s="80"/>
      <c r="D293" s="80"/>
      <c r="E293" s="80"/>
      <c r="F293" s="80"/>
      <c r="G293" s="80"/>
      <c r="H293" s="81"/>
    </row>
    <row r="294" spans="1:15" s="32" customFormat="1" x14ac:dyDescent="0.25">
      <c r="A294" s="42" t="s">
        <v>155</v>
      </c>
      <c r="B294" s="79" t="s">
        <v>212</v>
      </c>
      <c r="C294" s="80"/>
      <c r="D294" s="80"/>
      <c r="E294" s="80"/>
      <c r="F294" s="80"/>
      <c r="G294" s="80"/>
      <c r="H294" s="81"/>
    </row>
    <row r="295" spans="1:15" s="32" customFormat="1" x14ac:dyDescent="0.25">
      <c r="A295" s="42" t="s">
        <v>155</v>
      </c>
      <c r="B295" s="79" t="s">
        <v>154</v>
      </c>
      <c r="C295" s="80"/>
      <c r="D295" s="80"/>
      <c r="E295" s="80"/>
      <c r="F295" s="80"/>
      <c r="G295" s="80"/>
      <c r="H295" s="81"/>
    </row>
    <row r="296" spans="1:15" s="32" customFormat="1" x14ac:dyDescent="0.25">
      <c r="A296" s="42" t="s">
        <v>155</v>
      </c>
      <c r="B296" s="79" t="s">
        <v>126</v>
      </c>
      <c r="C296" s="80"/>
      <c r="D296" s="80"/>
      <c r="E296" s="80"/>
      <c r="F296" s="80"/>
      <c r="G296" s="80"/>
      <c r="H296" s="81"/>
    </row>
    <row r="297" spans="1:15" ht="31.5" customHeight="1" x14ac:dyDescent="0.25">
      <c r="A297" s="42" t="s">
        <v>155</v>
      </c>
      <c r="B297" s="79" t="s">
        <v>156</v>
      </c>
      <c r="C297" s="80"/>
      <c r="D297" s="80"/>
      <c r="E297" s="80"/>
      <c r="F297" s="80"/>
      <c r="G297" s="80"/>
      <c r="H297" s="81"/>
    </row>
    <row r="298" spans="1:15" x14ac:dyDescent="0.25">
      <c r="A298" s="42" t="s">
        <v>155</v>
      </c>
      <c r="B298" s="79" t="s">
        <v>127</v>
      </c>
      <c r="C298" s="80"/>
      <c r="D298" s="80"/>
      <c r="E298" s="80"/>
      <c r="F298" s="80"/>
      <c r="G298" s="80"/>
      <c r="H298" s="81"/>
    </row>
    <row r="299" spans="1:15" ht="15.75" customHeight="1" x14ac:dyDescent="0.25">
      <c r="A299" s="58" t="s">
        <v>155</v>
      </c>
      <c r="B299" s="67" t="s">
        <v>235</v>
      </c>
      <c r="C299" s="68"/>
      <c r="D299" s="68"/>
      <c r="E299" s="68"/>
      <c r="F299" s="68"/>
      <c r="G299" s="68"/>
      <c r="H299" s="69"/>
    </row>
    <row r="300" spans="1:15" ht="30.75" customHeight="1" x14ac:dyDescent="0.25">
      <c r="A300" s="65" t="s">
        <v>155</v>
      </c>
      <c r="B300" s="67" t="s">
        <v>236</v>
      </c>
      <c r="C300" s="68"/>
      <c r="D300" s="68"/>
      <c r="E300" s="68"/>
      <c r="F300" s="68"/>
      <c r="G300" s="68"/>
      <c r="H300" s="69"/>
    </row>
    <row r="301" spans="1:15" x14ac:dyDescent="0.25">
      <c r="A301" s="65" t="s">
        <v>155</v>
      </c>
      <c r="B301" s="67" t="s">
        <v>244</v>
      </c>
      <c r="C301" s="68"/>
      <c r="D301" s="68"/>
      <c r="E301" s="68"/>
      <c r="F301" s="68"/>
      <c r="G301" s="68"/>
      <c r="H301" s="69"/>
    </row>
    <row r="302" spans="1:15" x14ac:dyDescent="0.25">
      <c r="A302" s="65" t="s">
        <v>155</v>
      </c>
      <c r="B302" s="67" t="s">
        <v>240</v>
      </c>
      <c r="C302" s="68"/>
      <c r="D302" s="68"/>
      <c r="E302" s="68"/>
      <c r="F302" s="68"/>
      <c r="G302" s="68"/>
      <c r="H302" s="69"/>
      <c r="I302" s="67" t="s">
        <v>240</v>
      </c>
      <c r="J302" s="68"/>
      <c r="K302" s="68"/>
      <c r="L302" s="68"/>
      <c r="M302" s="68"/>
      <c r="N302" s="68"/>
      <c r="O302" s="69"/>
    </row>
    <row r="303" spans="1:15" x14ac:dyDescent="0.25">
      <c r="A303" s="159" t="s">
        <v>60</v>
      </c>
      <c r="B303" s="159"/>
      <c r="C303" s="159"/>
      <c r="D303" s="159"/>
      <c r="E303" s="159"/>
      <c r="F303" s="159"/>
      <c r="G303" s="159"/>
      <c r="H303" s="159"/>
    </row>
    <row r="304" spans="1:15" x14ac:dyDescent="0.25">
      <c r="A304" s="111" t="s">
        <v>61</v>
      </c>
      <c r="B304" s="111"/>
      <c r="C304" s="111"/>
      <c r="D304" s="111"/>
      <c r="E304" s="111"/>
      <c r="F304" s="111"/>
      <c r="G304" s="111"/>
      <c r="H304" s="111"/>
    </row>
    <row r="305" spans="1:8" x14ac:dyDescent="0.25">
      <c r="A305" s="175" t="s">
        <v>62</v>
      </c>
      <c r="B305" s="175"/>
      <c r="C305" s="175"/>
      <c r="D305" s="175"/>
      <c r="E305" s="175"/>
      <c r="F305" s="175"/>
      <c r="G305" s="175"/>
      <c r="H305" s="175"/>
    </row>
    <row r="306" spans="1:8" x14ac:dyDescent="0.25">
      <c r="A306" s="111" t="s">
        <v>63</v>
      </c>
      <c r="B306" s="111"/>
      <c r="C306" s="111"/>
      <c r="D306" s="111"/>
      <c r="E306" s="111"/>
      <c r="F306" s="111"/>
      <c r="G306" s="111"/>
      <c r="H306" s="111"/>
    </row>
    <row r="307" spans="1:8" x14ac:dyDescent="0.25">
      <c r="A307" s="111" t="s">
        <v>64</v>
      </c>
      <c r="B307" s="111"/>
      <c r="C307" s="111"/>
      <c r="D307" s="111"/>
      <c r="E307" s="111"/>
      <c r="F307" s="111"/>
      <c r="G307" s="111"/>
      <c r="H307" s="111"/>
    </row>
    <row r="308" spans="1:8" x14ac:dyDescent="0.25">
      <c r="A308" s="111" t="s">
        <v>128</v>
      </c>
      <c r="B308" s="111"/>
      <c r="C308" s="111"/>
      <c r="D308" s="111"/>
      <c r="E308" s="111"/>
      <c r="F308" s="111"/>
      <c r="G308" s="111"/>
      <c r="H308" s="111"/>
    </row>
    <row r="309" spans="1:8" x14ac:dyDescent="0.25">
      <c r="A309" s="115" t="s">
        <v>129</v>
      </c>
      <c r="B309" s="115"/>
      <c r="C309" s="115"/>
      <c r="D309" s="115"/>
      <c r="E309" s="115"/>
      <c r="F309" s="115"/>
      <c r="G309" s="115"/>
      <c r="H309" s="115"/>
    </row>
    <row r="310" spans="1:8" x14ac:dyDescent="0.25">
      <c r="A310" s="158" t="s">
        <v>77</v>
      </c>
      <c r="B310" s="158"/>
      <c r="C310" s="158" t="s">
        <v>195</v>
      </c>
      <c r="D310" s="158"/>
      <c r="E310" s="158" t="s">
        <v>107</v>
      </c>
      <c r="F310" s="158"/>
      <c r="G310" s="158" t="s">
        <v>222</v>
      </c>
      <c r="H310" s="158"/>
    </row>
    <row r="311" spans="1:8" ht="15" customHeight="1" x14ac:dyDescent="0.25">
      <c r="A311" s="157" t="s">
        <v>79</v>
      </c>
      <c r="B311" s="157"/>
      <c r="C311" s="157"/>
      <c r="D311" s="157"/>
      <c r="E311" s="157"/>
      <c r="F311" s="157"/>
      <c r="G311" s="157"/>
      <c r="H311" s="157"/>
    </row>
    <row r="312" spans="1:8" x14ac:dyDescent="0.25">
      <c r="A312" s="157"/>
      <c r="B312" s="157"/>
      <c r="C312" s="157"/>
      <c r="D312" s="157"/>
      <c r="E312" s="157"/>
      <c r="F312" s="157"/>
      <c r="G312" s="157"/>
      <c r="H312" s="157"/>
    </row>
    <row r="313" spans="1:8" x14ac:dyDescent="0.25">
      <c r="A313" s="157"/>
      <c r="B313" s="157"/>
      <c r="C313" s="157"/>
      <c r="D313" s="157"/>
      <c r="E313" s="157"/>
      <c r="F313" s="157"/>
      <c r="G313" s="157"/>
      <c r="H313" s="157"/>
    </row>
    <row r="314" spans="1:8" x14ac:dyDescent="0.25">
      <c r="A314" s="157"/>
      <c r="B314" s="157"/>
      <c r="C314" s="157"/>
      <c r="D314" s="157"/>
      <c r="E314" s="157"/>
      <c r="F314" s="157"/>
      <c r="G314" s="157"/>
      <c r="H314" s="157"/>
    </row>
    <row r="315" spans="1:8" x14ac:dyDescent="0.25">
      <c r="A315" s="35" t="s">
        <v>65</v>
      </c>
      <c r="B315" s="36"/>
      <c r="C315" s="36"/>
      <c r="D315" s="35" t="str">
        <f>E8</f>
        <v>AV Crystal Prestige</v>
      </c>
      <c r="F315" s="36"/>
      <c r="G315" s="36"/>
      <c r="H315" s="36"/>
    </row>
    <row r="316" spans="1:8" x14ac:dyDescent="0.25">
      <c r="A316" s="36"/>
      <c r="B316" s="36"/>
      <c r="C316" s="36"/>
      <c r="D316" s="36"/>
      <c r="E316" s="36"/>
      <c r="F316" s="36"/>
      <c r="G316" s="36"/>
      <c r="H316" s="36"/>
    </row>
    <row r="317" spans="1:8" x14ac:dyDescent="0.25">
      <c r="A317" s="36"/>
      <c r="B317" s="36"/>
      <c r="C317" s="36"/>
      <c r="D317" s="36"/>
      <c r="E317" s="36"/>
      <c r="F317" s="36"/>
      <c r="G317" s="36"/>
      <c r="H317" s="36"/>
    </row>
    <row r="358" spans="1:8" x14ac:dyDescent="0.25">
      <c r="A358" s="38" t="s">
        <v>168</v>
      </c>
      <c r="B358" s="18"/>
      <c r="C358" s="18"/>
      <c r="D358" s="18"/>
      <c r="E358" s="18"/>
      <c r="F358" s="18"/>
      <c r="G358" s="18"/>
      <c r="H358" s="18"/>
    </row>
    <row r="398" spans="1:8" x14ac:dyDescent="0.25">
      <c r="A398" s="38" t="s">
        <v>66</v>
      </c>
      <c r="B398" s="18"/>
      <c r="C398" s="18"/>
      <c r="D398" s="18"/>
      <c r="E398" s="18"/>
      <c r="F398" s="18"/>
      <c r="G398" s="18"/>
      <c r="H398" s="18"/>
    </row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</sheetData>
  <mergeCells count="529">
    <mergeCell ref="I82:M82"/>
    <mergeCell ref="B301:H301"/>
    <mergeCell ref="A54:B55"/>
    <mergeCell ref="C54:E54"/>
    <mergeCell ref="G54:H54"/>
    <mergeCell ref="C55:H55"/>
    <mergeCell ref="I302:O302"/>
    <mergeCell ref="I90:M90"/>
    <mergeCell ref="N90:P90"/>
    <mergeCell ref="A98:A99"/>
    <mergeCell ref="A52:B53"/>
    <mergeCell ref="C52:E52"/>
    <mergeCell ref="G52:H52"/>
    <mergeCell ref="C53:H53"/>
    <mergeCell ref="B302:H302"/>
    <mergeCell ref="B300:H300"/>
    <mergeCell ref="C281:F281"/>
    <mergeCell ref="A202:H202"/>
    <mergeCell ref="G203:H209"/>
    <mergeCell ref="A204:B204"/>
    <mergeCell ref="A205:B205"/>
    <mergeCell ref="A206:B206"/>
    <mergeCell ref="A207:B207"/>
    <mergeCell ref="A208:B208"/>
    <mergeCell ref="A209:B209"/>
    <mergeCell ref="C215:F215"/>
    <mergeCell ref="A269:H269"/>
    <mergeCell ref="A270:B270"/>
    <mergeCell ref="G270:H278"/>
    <mergeCell ref="A271:B271"/>
    <mergeCell ref="A259:H259"/>
    <mergeCell ref="G260:H268"/>
    <mergeCell ref="A261:B261"/>
    <mergeCell ref="A262:B262"/>
    <mergeCell ref="A215:B215"/>
    <mergeCell ref="A216:B216"/>
    <mergeCell ref="A217:B217"/>
    <mergeCell ref="A227:B227"/>
    <mergeCell ref="A279:H279"/>
    <mergeCell ref="A263:B263"/>
    <mergeCell ref="A264:B264"/>
    <mergeCell ref="A265:B265"/>
    <mergeCell ref="A266:B266"/>
    <mergeCell ref="A267:B267"/>
    <mergeCell ref="C251:F251"/>
    <mergeCell ref="A250:B250"/>
    <mergeCell ref="A251:B251"/>
    <mergeCell ref="G250:H258"/>
    <mergeCell ref="A272:B272"/>
    <mergeCell ref="A273:B273"/>
    <mergeCell ref="A274:B274"/>
    <mergeCell ref="A275:B275"/>
    <mergeCell ref="A276:B276"/>
    <mergeCell ref="A277:B277"/>
    <mergeCell ref="A278:B278"/>
    <mergeCell ref="A268:B268"/>
    <mergeCell ref="A254:B254"/>
    <mergeCell ref="A253:B253"/>
    <mergeCell ref="A255:B255"/>
    <mergeCell ref="A256:B256"/>
    <mergeCell ref="A258:B258"/>
    <mergeCell ref="A257:B257"/>
    <mergeCell ref="A280:B280"/>
    <mergeCell ref="A260:B260"/>
    <mergeCell ref="G280:H288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11:B211"/>
    <mergeCell ref="G211:H217"/>
    <mergeCell ref="A212:B212"/>
    <mergeCell ref="A213:B213"/>
    <mergeCell ref="A235:B235"/>
    <mergeCell ref="A236:B236"/>
    <mergeCell ref="A238:B238"/>
    <mergeCell ref="G230:H238"/>
    <mergeCell ref="A229:H229"/>
    <mergeCell ref="A218:H218"/>
    <mergeCell ref="A234:B234"/>
    <mergeCell ref="A225:B225"/>
    <mergeCell ref="A224:B224"/>
    <mergeCell ref="L220:M220"/>
    <mergeCell ref="A220:B220"/>
    <mergeCell ref="A239:H239"/>
    <mergeCell ref="A240:B240"/>
    <mergeCell ref="G240:H248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37:B237"/>
    <mergeCell ref="L161:M161"/>
    <mergeCell ref="L216:M216"/>
    <mergeCell ref="A221:B221"/>
    <mergeCell ref="L217:M217"/>
    <mergeCell ref="L225:M225"/>
    <mergeCell ref="A230:B230"/>
    <mergeCell ref="A231:B231"/>
    <mergeCell ref="A232:B232"/>
    <mergeCell ref="A233:B233"/>
    <mergeCell ref="A194:H194"/>
    <mergeCell ref="G195:H201"/>
    <mergeCell ref="A196:B196"/>
    <mergeCell ref="A203:B203"/>
    <mergeCell ref="A210:H210"/>
    <mergeCell ref="L221:M221"/>
    <mergeCell ref="A226:B226"/>
    <mergeCell ref="L222:M222"/>
    <mergeCell ref="L223:M223"/>
    <mergeCell ref="A228:B228"/>
    <mergeCell ref="L224:M224"/>
    <mergeCell ref="G220:H228"/>
    <mergeCell ref="L218:M218"/>
    <mergeCell ref="A223:B223"/>
    <mergeCell ref="L219:M219"/>
    <mergeCell ref="L159:M159"/>
    <mergeCell ref="L160:M160"/>
    <mergeCell ref="C163:F167"/>
    <mergeCell ref="A165:B165"/>
    <mergeCell ref="A163:B163"/>
    <mergeCell ref="A219:H219"/>
    <mergeCell ref="A183:B183"/>
    <mergeCell ref="L166:M166"/>
    <mergeCell ref="A184:B184"/>
    <mergeCell ref="A185:B185"/>
    <mergeCell ref="G179:H185"/>
    <mergeCell ref="A198:B198"/>
    <mergeCell ref="A199:B199"/>
    <mergeCell ref="A174:B174"/>
    <mergeCell ref="A182:B182"/>
    <mergeCell ref="A214:B214"/>
    <mergeCell ref="L162:M162"/>
    <mergeCell ref="A167:B167"/>
    <mergeCell ref="L163:M163"/>
    <mergeCell ref="A168:B168"/>
    <mergeCell ref="L164:M164"/>
    <mergeCell ref="A169:B169"/>
    <mergeCell ref="L165:M165"/>
    <mergeCell ref="G163:H169"/>
    <mergeCell ref="L152:M152"/>
    <mergeCell ref="A157:B157"/>
    <mergeCell ref="L153:M153"/>
    <mergeCell ref="G144:H157"/>
    <mergeCell ref="L148:M148"/>
    <mergeCell ref="A153:B153"/>
    <mergeCell ref="L149:M149"/>
    <mergeCell ref="A154:B154"/>
    <mergeCell ref="L150:M150"/>
    <mergeCell ref="A155:B155"/>
    <mergeCell ref="L151:M151"/>
    <mergeCell ref="L144:M144"/>
    <mergeCell ref="A149:B149"/>
    <mergeCell ref="L145:M145"/>
    <mergeCell ref="A150:B150"/>
    <mergeCell ref="L146:M146"/>
    <mergeCell ref="A151:B151"/>
    <mergeCell ref="L147:M147"/>
    <mergeCell ref="A156:B156"/>
    <mergeCell ref="L143:M143"/>
    <mergeCell ref="L142:M142"/>
    <mergeCell ref="A147:B147"/>
    <mergeCell ref="L141:M141"/>
    <mergeCell ref="L140:M140"/>
    <mergeCell ref="A152:B152"/>
    <mergeCell ref="E41:H41"/>
    <mergeCell ref="A41:D41"/>
    <mergeCell ref="A308:H308"/>
    <mergeCell ref="A305:H305"/>
    <mergeCell ref="A171:B171"/>
    <mergeCell ref="A102:B102"/>
    <mergeCell ref="D159:D160"/>
    <mergeCell ref="E159:E160"/>
    <mergeCell ref="G159:H160"/>
    <mergeCell ref="A78:B78"/>
    <mergeCell ref="F84:H84"/>
    <mergeCell ref="G99:H99"/>
    <mergeCell ref="A111:H111"/>
    <mergeCell ref="A148:B148"/>
    <mergeCell ref="A179:B179"/>
    <mergeCell ref="A161:H161"/>
    <mergeCell ref="A166:B166"/>
    <mergeCell ref="C222:F228"/>
    <mergeCell ref="A176:B176"/>
    <mergeCell ref="A177:B177"/>
    <mergeCell ref="A222:B222"/>
    <mergeCell ref="C56:E56"/>
    <mergeCell ref="A49:B49"/>
    <mergeCell ref="A57:H57"/>
    <mergeCell ref="A58:C58"/>
    <mergeCell ref="A59:C59"/>
    <mergeCell ref="A106:B106"/>
    <mergeCell ref="C106:D106"/>
    <mergeCell ref="E106:F106"/>
    <mergeCell ref="G106:H106"/>
    <mergeCell ref="C69:H69"/>
    <mergeCell ref="A77:B77"/>
    <mergeCell ref="C71:H71"/>
    <mergeCell ref="A74:B74"/>
    <mergeCell ref="A76:B76"/>
    <mergeCell ref="E72:F72"/>
    <mergeCell ref="A65:C65"/>
    <mergeCell ref="D65:H65"/>
    <mergeCell ref="A68:C68"/>
    <mergeCell ref="D68:H68"/>
    <mergeCell ref="A66:C66"/>
    <mergeCell ref="D66:H66"/>
    <mergeCell ref="A67:C67"/>
    <mergeCell ref="D67:H67"/>
    <mergeCell ref="A73:B73"/>
    <mergeCell ref="B293:H293"/>
    <mergeCell ref="B294:H294"/>
    <mergeCell ref="A107:H107"/>
    <mergeCell ref="B290:H290"/>
    <mergeCell ref="B291:H291"/>
    <mergeCell ref="A197:B197"/>
    <mergeCell ref="F90:H90"/>
    <mergeCell ref="C97:D97"/>
    <mergeCell ref="F93:H93"/>
    <mergeCell ref="F91:H91"/>
    <mergeCell ref="A180:B180"/>
    <mergeCell ref="A108:H108"/>
    <mergeCell ref="G97:H97"/>
    <mergeCell ref="A92:E92"/>
    <mergeCell ref="C99:D99"/>
    <mergeCell ref="E99:F99"/>
    <mergeCell ref="B109:B110"/>
    <mergeCell ref="A109:A110"/>
    <mergeCell ref="C159:C160"/>
    <mergeCell ref="C105:D105"/>
    <mergeCell ref="A162:H162"/>
    <mergeCell ref="B292:H292"/>
    <mergeCell ref="A252:B252"/>
    <mergeCell ref="A249:H249"/>
    <mergeCell ref="A311:H314"/>
    <mergeCell ref="A310:B310"/>
    <mergeCell ref="E310:F310"/>
    <mergeCell ref="C310:D310"/>
    <mergeCell ref="G310:H310"/>
    <mergeCell ref="A96:H96"/>
    <mergeCell ref="A94:E94"/>
    <mergeCell ref="F94:H94"/>
    <mergeCell ref="A95:E95"/>
    <mergeCell ref="F95:H95"/>
    <mergeCell ref="A170:H170"/>
    <mergeCell ref="A181:B181"/>
    <mergeCell ref="A306:H306"/>
    <mergeCell ref="A101:H101"/>
    <mergeCell ref="A309:H309"/>
    <mergeCell ref="A307:H307"/>
    <mergeCell ref="A303:H303"/>
    <mergeCell ref="A304:H304"/>
    <mergeCell ref="E102:F102"/>
    <mergeCell ref="B298:H298"/>
    <mergeCell ref="A164:B164"/>
    <mergeCell ref="B296:H296"/>
    <mergeCell ref="A143:H143"/>
    <mergeCell ref="E109:E110"/>
    <mergeCell ref="G72:H72"/>
    <mergeCell ref="A16:B16"/>
    <mergeCell ref="C16:H16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24:D24"/>
    <mergeCell ref="E24:H24"/>
    <mergeCell ref="A28:D28"/>
    <mergeCell ref="E28:H28"/>
    <mergeCell ref="A25:D25"/>
    <mergeCell ref="A29:D29"/>
    <mergeCell ref="E29:H29"/>
    <mergeCell ref="A11:D11"/>
    <mergeCell ref="E11:H11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4:B34"/>
    <mergeCell ref="C34:E34"/>
    <mergeCell ref="A27:D27"/>
    <mergeCell ref="E27:H27"/>
    <mergeCell ref="A62:C62"/>
    <mergeCell ref="D62:H62"/>
    <mergeCell ref="F35:H35"/>
    <mergeCell ref="A37:B37"/>
    <mergeCell ref="C37:H37"/>
    <mergeCell ref="A44:D44"/>
    <mergeCell ref="A38:B38"/>
    <mergeCell ref="C38:H38"/>
    <mergeCell ref="D59:H59"/>
    <mergeCell ref="G56:H56"/>
    <mergeCell ref="C51:H51"/>
    <mergeCell ref="A42:D42"/>
    <mergeCell ref="E42:H42"/>
    <mergeCell ref="E43:H43"/>
    <mergeCell ref="E44:H44"/>
    <mergeCell ref="E45:H45"/>
    <mergeCell ref="A43:D43"/>
    <mergeCell ref="A45:D45"/>
    <mergeCell ref="A46:H46"/>
    <mergeCell ref="C50:E50"/>
    <mergeCell ref="A61:C61"/>
    <mergeCell ref="D61:H61"/>
    <mergeCell ref="C49:E49"/>
    <mergeCell ref="A56:B56"/>
    <mergeCell ref="G109:H110"/>
    <mergeCell ref="G104:H104"/>
    <mergeCell ref="C102:D102"/>
    <mergeCell ref="G102:H102"/>
    <mergeCell ref="A36:H36"/>
    <mergeCell ref="A35:B35"/>
    <mergeCell ref="C35:E35"/>
    <mergeCell ref="A40:D40"/>
    <mergeCell ref="E40:H40"/>
    <mergeCell ref="D60:H60"/>
    <mergeCell ref="A60:C60"/>
    <mergeCell ref="G49:H49"/>
    <mergeCell ref="A50:B51"/>
    <mergeCell ref="F92:H92"/>
    <mergeCell ref="E97:F97"/>
    <mergeCell ref="A97:B97"/>
    <mergeCell ref="A48:B48"/>
    <mergeCell ref="C48:E48"/>
    <mergeCell ref="G48:H48"/>
    <mergeCell ref="G50:H50"/>
    <mergeCell ref="D58:H58"/>
    <mergeCell ref="A89:E89"/>
    <mergeCell ref="A39:H39"/>
    <mergeCell ref="F89:H89"/>
    <mergeCell ref="A63:C63"/>
    <mergeCell ref="E73:F82"/>
    <mergeCell ref="G73:H82"/>
    <mergeCell ref="F83:H83"/>
    <mergeCell ref="F88:H88"/>
    <mergeCell ref="C103:D103"/>
    <mergeCell ref="E103:F103"/>
    <mergeCell ref="G103:H103"/>
    <mergeCell ref="A84:E84"/>
    <mergeCell ref="D63:H63"/>
    <mergeCell ref="A64:C64"/>
    <mergeCell ref="D64:H64"/>
    <mergeCell ref="A80:B80"/>
    <mergeCell ref="A93:E93"/>
    <mergeCell ref="A81:B81"/>
    <mergeCell ref="A82:B82"/>
    <mergeCell ref="A79:B79"/>
    <mergeCell ref="A72:B72"/>
    <mergeCell ref="A75:B75"/>
    <mergeCell ref="A71:B71"/>
    <mergeCell ref="A69:B69"/>
    <mergeCell ref="C98:D98"/>
    <mergeCell ref="E98:F98"/>
    <mergeCell ref="G98:H98"/>
    <mergeCell ref="G105:H105"/>
    <mergeCell ref="A100:B100"/>
    <mergeCell ref="C100:D100"/>
    <mergeCell ref="E100:F100"/>
    <mergeCell ref="G100:H100"/>
    <mergeCell ref="C104:D104"/>
    <mergeCell ref="E104:F104"/>
    <mergeCell ref="A105:B105"/>
    <mergeCell ref="E105:F105"/>
    <mergeCell ref="B103:B104"/>
    <mergeCell ref="A158:H158"/>
    <mergeCell ref="A159:A160"/>
    <mergeCell ref="A175:B175"/>
    <mergeCell ref="A172:B172"/>
    <mergeCell ref="A173:B173"/>
    <mergeCell ref="G171:H177"/>
    <mergeCell ref="A195:B195"/>
    <mergeCell ref="C191:F191"/>
    <mergeCell ref="A186:H186"/>
    <mergeCell ref="A187:B187"/>
    <mergeCell ref="G187:H193"/>
    <mergeCell ref="A188:B188"/>
    <mergeCell ref="A189:B189"/>
    <mergeCell ref="A190:B190"/>
    <mergeCell ref="A191:B191"/>
    <mergeCell ref="A192:B192"/>
    <mergeCell ref="A193:B193"/>
    <mergeCell ref="B297:H297"/>
    <mergeCell ref="A47:B47"/>
    <mergeCell ref="C47:H47"/>
    <mergeCell ref="B295:H295"/>
    <mergeCell ref="F85:H85"/>
    <mergeCell ref="A85:E85"/>
    <mergeCell ref="D109:D110"/>
    <mergeCell ref="A87:E87"/>
    <mergeCell ref="A144:B144"/>
    <mergeCell ref="A145:B145"/>
    <mergeCell ref="A146:B146"/>
    <mergeCell ref="A91:E91"/>
    <mergeCell ref="F86:H86"/>
    <mergeCell ref="A90:E90"/>
    <mergeCell ref="A86:E86"/>
    <mergeCell ref="A83:E83"/>
    <mergeCell ref="F87:H87"/>
    <mergeCell ref="A88:E88"/>
    <mergeCell ref="A289:H289"/>
    <mergeCell ref="A200:B200"/>
    <mergeCell ref="A201:B201"/>
    <mergeCell ref="C109:C110"/>
    <mergeCell ref="B159:B160"/>
    <mergeCell ref="A178:H178"/>
    <mergeCell ref="L115:M115"/>
    <mergeCell ref="A120:B120"/>
    <mergeCell ref="L116:M116"/>
    <mergeCell ref="A121:B121"/>
    <mergeCell ref="L117:M117"/>
    <mergeCell ref="A122:B122"/>
    <mergeCell ref="L118:M118"/>
    <mergeCell ref="A123:B123"/>
    <mergeCell ref="L119:M119"/>
    <mergeCell ref="A117:B117"/>
    <mergeCell ref="A118:B118"/>
    <mergeCell ref="A119:B119"/>
    <mergeCell ref="L134:M134"/>
    <mergeCell ref="A139:B139"/>
    <mergeCell ref="A124:B124"/>
    <mergeCell ref="L120:M120"/>
    <mergeCell ref="A125:B125"/>
    <mergeCell ref="L121:M121"/>
    <mergeCell ref="A126:B126"/>
    <mergeCell ref="L122:M122"/>
    <mergeCell ref="A127:B127"/>
    <mergeCell ref="L123:M123"/>
    <mergeCell ref="A128:B128"/>
    <mergeCell ref="L124:M124"/>
    <mergeCell ref="A129:B129"/>
    <mergeCell ref="L125:M125"/>
    <mergeCell ref="A130:B130"/>
    <mergeCell ref="L126:M126"/>
    <mergeCell ref="A112:H112"/>
    <mergeCell ref="A113:B113"/>
    <mergeCell ref="L109:M109"/>
    <mergeCell ref="A114:B114"/>
    <mergeCell ref="L110:M110"/>
    <mergeCell ref="A115:B115"/>
    <mergeCell ref="L111:M111"/>
    <mergeCell ref="A116:B116"/>
    <mergeCell ref="L112:M112"/>
    <mergeCell ref="L113:M113"/>
    <mergeCell ref="L114:M114"/>
    <mergeCell ref="B299:H299"/>
    <mergeCell ref="L135:M135"/>
    <mergeCell ref="A140:B140"/>
    <mergeCell ref="L136:M136"/>
    <mergeCell ref="A141:B141"/>
    <mergeCell ref="L137:M137"/>
    <mergeCell ref="A142:B142"/>
    <mergeCell ref="L138:M138"/>
    <mergeCell ref="G113:H142"/>
    <mergeCell ref="A131:B131"/>
    <mergeCell ref="L127:M127"/>
    <mergeCell ref="A132:B132"/>
    <mergeCell ref="L128:M128"/>
    <mergeCell ref="A133:B133"/>
    <mergeCell ref="L129:M129"/>
    <mergeCell ref="A134:B134"/>
    <mergeCell ref="L130:M130"/>
    <mergeCell ref="A135:B135"/>
    <mergeCell ref="L131:M131"/>
    <mergeCell ref="A136:B136"/>
    <mergeCell ref="L132:M132"/>
    <mergeCell ref="A137:B137"/>
    <mergeCell ref="L133:M133"/>
    <mergeCell ref="A138:B138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8" max="7" man="1"/>
    <brk id="68" max="7" man="1"/>
    <brk id="314" max="7" man="1"/>
    <brk id="357" max="7" man="1"/>
    <brk id="397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5" t="s">
        <v>108</v>
      </c>
      <c r="C3" s="185"/>
      <c r="D3" s="185"/>
      <c r="E3" s="185"/>
      <c r="F3" s="185"/>
      <c r="G3" s="185"/>
      <c r="H3" s="185"/>
    </row>
    <row r="4" spans="1:9" x14ac:dyDescent="0.25">
      <c r="A4" s="2"/>
      <c r="B4" s="3" t="s">
        <v>109</v>
      </c>
      <c r="C4" s="3" t="s">
        <v>110</v>
      </c>
      <c r="D4" s="3" t="s">
        <v>68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18" sqref="E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2025-09-25T10:37:06Z</cp:lastPrinted>
  <dcterms:created xsi:type="dcterms:W3CDTF">2019-07-16T09:29:46Z</dcterms:created>
  <dcterms:modified xsi:type="dcterms:W3CDTF">2025-09-25T10:43:33Z</dcterms:modified>
</cp:coreProperties>
</file>