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3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G11" i="5" s="1"/>
  <c r="F10" i="5"/>
  <c r="G10" i="5" s="1"/>
  <c r="G9" i="5"/>
  <c r="F9" i="5"/>
  <c r="G8" i="5"/>
  <c r="F8" i="5"/>
  <c r="F7" i="5"/>
  <c r="G7" i="5" s="1"/>
  <c r="F6" i="5"/>
  <c r="G6" i="5" s="1"/>
  <c r="G5" i="5"/>
  <c r="G12" i="5" s="1"/>
  <c r="F5" i="5"/>
  <c r="D162" i="1"/>
  <c r="B140" i="1"/>
  <c r="D136" i="1"/>
  <c r="F136" i="1" s="1"/>
  <c r="D135" i="1"/>
  <c r="F135" i="1" s="1"/>
  <c r="D134" i="1"/>
  <c r="F134" i="1" s="1"/>
  <c r="D133" i="1"/>
  <c r="F133" i="1" s="1"/>
  <c r="A133" i="1"/>
  <c r="A134" i="1" s="1"/>
  <c r="A135" i="1" s="1"/>
  <c r="A136" i="1" s="1"/>
  <c r="A137" i="1" s="1"/>
  <c r="G132" i="1"/>
  <c r="D132" i="1"/>
  <c r="F132" i="1" s="1"/>
  <c r="D129" i="1"/>
  <c r="F129" i="1" s="1"/>
  <c r="D128" i="1"/>
  <c r="F128" i="1" s="1"/>
  <c r="D127" i="1"/>
  <c r="F127" i="1" s="1"/>
  <c r="D126" i="1"/>
  <c r="F126" i="1" s="1"/>
  <c r="J126" i="1" s="1"/>
  <c r="A126" i="1"/>
  <c r="A127" i="1" s="1"/>
  <c r="A128" i="1" s="1"/>
  <c r="A129" i="1" s="1"/>
  <c r="A130" i="1" s="1"/>
  <c r="G125" i="1"/>
  <c r="D125" i="1"/>
  <c r="F125" i="1" s="1"/>
  <c r="D123" i="1"/>
  <c r="F123" i="1" s="1"/>
  <c r="J123" i="1" s="1"/>
  <c r="D122" i="1"/>
  <c r="F122" i="1" s="1"/>
  <c r="J122" i="1" s="1"/>
  <c r="D121" i="1"/>
  <c r="F121" i="1" s="1"/>
  <c r="D120" i="1"/>
  <c r="F120" i="1" s="1"/>
  <c r="D119" i="1"/>
  <c r="F119" i="1" s="1"/>
  <c r="A119" i="1"/>
  <c r="A120" i="1" s="1"/>
  <c r="A121" i="1" s="1"/>
  <c r="A122" i="1" s="1"/>
  <c r="A123" i="1" s="1"/>
  <c r="G118" i="1"/>
  <c r="D118" i="1"/>
  <c r="F118" i="1" s="1"/>
  <c r="D115" i="1"/>
  <c r="F115" i="1" s="1"/>
  <c r="F114" i="1"/>
  <c r="J112" i="1" s="1"/>
  <c r="D114" i="1"/>
  <c r="D113" i="1"/>
  <c r="F113" i="1" s="1"/>
  <c r="D112" i="1"/>
  <c r="F112" i="1" s="1"/>
  <c r="A112" i="1"/>
  <c r="A113" i="1" s="1"/>
  <c r="A114" i="1" s="1"/>
  <c r="A115" i="1" s="1"/>
  <c r="A116" i="1" s="1"/>
  <c r="G111" i="1"/>
  <c r="D111" i="1"/>
  <c r="F111" i="1" s="1"/>
  <c r="K111" i="1" s="1"/>
  <c r="K109" i="1"/>
  <c r="J109" i="1"/>
  <c r="I109" i="1"/>
  <c r="D109" i="1"/>
  <c r="F109" i="1" s="1"/>
  <c r="D108" i="1"/>
  <c r="F108" i="1" s="1"/>
  <c r="D107" i="1"/>
  <c r="F107" i="1" s="1"/>
  <c r="K106" i="1"/>
  <c r="J106" i="1"/>
  <c r="I106" i="1"/>
  <c r="D106" i="1"/>
  <c r="F106" i="1" s="1"/>
  <c r="L105" i="1"/>
  <c r="K105" i="1"/>
  <c r="J105" i="1"/>
  <c r="I105" i="1"/>
  <c r="D105" i="1"/>
  <c r="F105" i="1" s="1"/>
  <c r="A105" i="1"/>
  <c r="A106" i="1" s="1"/>
  <c r="A107" i="1" s="1"/>
  <c r="A108" i="1" s="1"/>
  <c r="A109" i="1" s="1"/>
  <c r="K104" i="1"/>
  <c r="J104" i="1"/>
  <c r="I104" i="1"/>
  <c r="G104" i="1"/>
  <c r="D104" i="1"/>
  <c r="F93" i="1"/>
  <c r="D79" i="1"/>
  <c r="J78" i="1"/>
  <c r="D78" i="1"/>
  <c r="J77" i="1"/>
  <c r="D77" i="1"/>
  <c r="J76" i="1"/>
  <c r="D76" i="1"/>
  <c r="J75" i="1"/>
  <c r="D75" i="1"/>
  <c r="L74" i="1"/>
  <c r="D74" i="1"/>
  <c r="C73" i="1"/>
  <c r="J66" i="1" s="1"/>
  <c r="J68" i="1" s="1"/>
  <c r="J72" i="1"/>
  <c r="J73" i="1" s="1"/>
  <c r="D72" i="1"/>
  <c r="J71" i="1"/>
  <c r="C70" i="1" s="1"/>
  <c r="J70" i="1"/>
  <c r="J69" i="1"/>
  <c r="C66" i="1"/>
  <c r="D60" i="1"/>
  <c r="G50" i="1"/>
  <c r="G51" i="1" s="1"/>
  <c r="C50" i="1"/>
  <c r="E43" i="1"/>
  <c r="E44" i="1" s="1"/>
  <c r="E30" i="1"/>
  <c r="E27" i="1"/>
  <c r="E25" i="1"/>
  <c r="C15" i="1"/>
  <c r="I14" i="1"/>
  <c r="Z12" i="1"/>
  <c r="E7" i="1"/>
  <c r="E3" i="1"/>
  <c r="E96" i="1" l="1"/>
  <c r="J74" i="1"/>
  <c r="J79" i="1" s="1"/>
  <c r="C71" i="1" s="1"/>
  <c r="D70" i="1"/>
  <c r="F104" i="1"/>
  <c r="G96" i="1" s="1"/>
  <c r="D73" i="1"/>
  <c r="C96" i="1"/>
  <c r="J67" i="1" l="1"/>
  <c r="G70" i="1"/>
  <c r="D64" i="1" s="1"/>
  <c r="F65" i="1" s="1"/>
  <c r="E70" i="1"/>
  <c r="D71" i="1"/>
  <c r="I67" i="1"/>
  <c r="D65" i="1" l="1"/>
  <c r="I68" i="1"/>
  <c r="I66" i="1" s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<sst xmlns="http://schemas.openxmlformats.org/spreadsheetml/2006/main" count="398" uniqueCount="285">
  <si>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</si>
  <si>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</si>
  <si>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</si>
  <si>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</si>
  <si>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</si>
  <si>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</si>
  <si>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</si>
  <si>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Siddhi Gaurav Enterprises</t>
  </si>
  <si>
    <t>Name of the builder company</t>
  </si>
  <si>
    <t>Name of the Project</t>
  </si>
  <si>
    <t>Highland Park Building 2 ­ K25 Wing A</t>
  </si>
  <si>
    <t>Provided Contact Details (Name &amp; Contact No.)</t>
  </si>
  <si>
    <t>Mr. Chirag 9819203285</t>
  </si>
  <si>
    <t>Site Person - Contact Details (Name &amp; Contact No.)</t>
  </si>
  <si>
    <t>NA</t>
  </si>
  <si>
    <t>Name / No of the Building</t>
  </si>
  <si>
    <t>Building No.2 K25 Wing A Phase 2</t>
  </si>
  <si>
    <t>Name / No of the Existing Building</t>
  </si>
  <si>
    <t xml:space="preserve">Thane </t>
  </si>
  <si>
    <t>Palghar</t>
  </si>
  <si>
    <t>Mumbai</t>
  </si>
  <si>
    <t>Raigad</t>
  </si>
  <si>
    <t>Pune</t>
  </si>
  <si>
    <t>Docouments Provided</t>
  </si>
  <si>
    <t>Approved Plans, CC.</t>
  </si>
  <si>
    <t>Thane</t>
  </si>
  <si>
    <t>Mokhada</t>
  </si>
  <si>
    <t>Andheri</t>
  </si>
  <si>
    <t>Alibag</t>
  </si>
  <si>
    <t>Pune City</t>
  </si>
  <si>
    <t>RERA No.</t>
  </si>
  <si>
    <t>P51700005485</t>
  </si>
  <si>
    <t>Shahpur</t>
  </si>
  <si>
    <t>Talasari</t>
  </si>
  <si>
    <t>Borivali</t>
  </si>
  <si>
    <t>Panvel</t>
  </si>
  <si>
    <t>Haveli</t>
  </si>
  <si>
    <t xml:space="preserve">Project location details       </t>
  </si>
  <si>
    <t>Kalyan</t>
  </si>
  <si>
    <t>Vasai</t>
  </si>
  <si>
    <t>Kurla</t>
  </si>
  <si>
    <t>Uran</t>
  </si>
  <si>
    <t>Khed</t>
  </si>
  <si>
    <t>Survey No</t>
  </si>
  <si>
    <t>79, H.No.1,2A,2B,3, S.No.80,1(PT)H.No.2A,2B,3,4,5,8,9 &amp; Others</t>
  </si>
  <si>
    <t>Bhiwandi</t>
  </si>
  <si>
    <t>Vikramgad</t>
  </si>
  <si>
    <t>Karjat</t>
  </si>
  <si>
    <t>Baramati</t>
  </si>
  <si>
    <t>Locality</t>
  </si>
  <si>
    <t>Kailash Nagar</t>
  </si>
  <si>
    <t>Ulhasnagar</t>
  </si>
  <si>
    <t>Khalapur</t>
  </si>
  <si>
    <t>Junnar</t>
  </si>
  <si>
    <t>Road</t>
  </si>
  <si>
    <t>Dhokali - Balkum Road</t>
  </si>
  <si>
    <t>Locality/Village</t>
  </si>
  <si>
    <t>Dhokali</t>
  </si>
  <si>
    <t>Ambernath</t>
  </si>
  <si>
    <t>Dahanu</t>
  </si>
  <si>
    <t>Pen</t>
  </si>
  <si>
    <t>Shirur</t>
  </si>
  <si>
    <t>City</t>
  </si>
  <si>
    <t>Thane West</t>
  </si>
  <si>
    <t>District</t>
  </si>
  <si>
    <t>Murbad</t>
  </si>
  <si>
    <t>Wada</t>
  </si>
  <si>
    <t>Sudhagad</t>
  </si>
  <si>
    <t>Indapur</t>
  </si>
  <si>
    <t>Taluka</t>
  </si>
  <si>
    <t>Pin Code</t>
  </si>
  <si>
    <t>Mahad</t>
  </si>
  <si>
    <t>Daund</t>
  </si>
  <si>
    <t>Nearby Landmark</t>
  </si>
  <si>
    <t>Twinkle Towers</t>
  </si>
  <si>
    <t xml:space="preserve">Distance from city centre: </t>
  </si>
  <si>
    <t>4.50KM from Thane Railway Station</t>
  </si>
  <si>
    <t>Roha</t>
  </si>
  <si>
    <t>Mawal</t>
  </si>
  <si>
    <t>Accessibility to the Project from the City: (Proximity to civic amenities like school, hospital, market, etc.)</t>
  </si>
  <si>
    <t>all available at  1 to 2 km.</t>
  </si>
  <si>
    <t>Mangaon</t>
  </si>
  <si>
    <t>Ambegaon</t>
  </si>
  <si>
    <t>Poladpur</t>
  </si>
  <si>
    <t>Purandhar</t>
  </si>
  <si>
    <t>Does property have Electricity / Water / Drainage Connection</t>
  </si>
  <si>
    <t>Yes</t>
  </si>
  <si>
    <t>Mahasala</t>
  </si>
  <si>
    <t>Bhor</t>
  </si>
  <si>
    <t>Class of locality</t>
  </si>
  <si>
    <t>Shriwardhan</t>
  </si>
  <si>
    <t>Mulshi</t>
  </si>
  <si>
    <t>Nature of land with topographical condtion</t>
  </si>
  <si>
    <t>Plane</t>
  </si>
  <si>
    <t>Murud</t>
  </si>
  <si>
    <t>Velhe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</si>
  <si>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</si>
  <si>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</si>
  <si>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</si>
  <si>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</si>
  <si>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</si>
  <si>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</si>
  <si>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</si>
  <si>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</si>
  <si>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</si>
  <si>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</si>
  <si>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</si>
  <si>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</si>
  <si>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Tekson LTD</t>
  </si>
  <si>
    <t>Open Plot</t>
  </si>
  <si>
    <t>West</t>
  </si>
  <si>
    <t>Shruti Park</t>
  </si>
  <si>
    <t>North</t>
  </si>
  <si>
    <t>Internal Road</t>
  </si>
  <si>
    <t>South</t>
  </si>
  <si>
    <t>Other Plot</t>
  </si>
  <si>
    <t>Does the boundaries at site match, as mentioned in the Docoumentation: NA</t>
  </si>
  <si>
    <t>Latitude, Longitude</t>
  </si>
  <si>
    <t>19.223093,72.980966</t>
  </si>
  <si>
    <t>Location Link</t>
  </si>
  <si>
    <t>https://goo.gl/maps/cxgjgdbWceQeGv7B8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</si>
  <si>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</si>
  <si>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</si>
  <si>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</si>
  <si>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</si>
  <si>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</si>
  <si>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</si>
  <si>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</si>
  <si>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</si>
  <si>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</si>
  <si>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</si>
  <si>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Thane Municipal Corporation (TMC)</t>
  </si>
  <si>
    <t xml:space="preserve">Layout Approval No     </t>
  </si>
  <si>
    <t>S05/0085/14TMC/TP-DP/TPS/4192/22</t>
  </si>
  <si>
    <t>Dated</t>
  </si>
  <si>
    <t xml:space="preserve">Approved Floor plan No.  </t>
  </si>
  <si>
    <t>Commencement-CC No</t>
  </si>
  <si>
    <t>S05/0085/14TMC/TDD/4192/22</t>
  </si>
  <si>
    <t xml:space="preserve">Valid Up to: </t>
  </si>
  <si>
    <t>Building K 25 Wing A = Lower Podium + Upper Podium + Stilt + 1st to 32 nd Floors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</si>
  <si>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</si>
  <si>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</si>
  <si>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</si>
  <si>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</si>
  <si>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</si>
  <si>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- 186</t>
  </si>
  <si>
    <t>Approved no of Floors</t>
  </si>
  <si>
    <t xml:space="preserve">A Wing = 2P + G + 1st to 32nd Floor
</t>
  </si>
  <si>
    <t>Proposed no of Floors</t>
  </si>
  <si>
    <t>A Wing = 2P + G + 1st to 32nd Floor</t>
  </si>
  <si>
    <t>Expected Completion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</si>
  <si>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</si>
  <si>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</si>
  <si>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</si>
  <si>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Swimming Pool, Banquet Hall, Community Hall, Indoor Games,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</si>
  <si>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</si>
  <si>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</si>
  <si>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</si>
  <si>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</si>
  <si>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</si>
  <si>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</si>
  <si>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</si>
  <si>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</si>
  <si>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</si>
  <si>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</si>
  <si>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</si>
  <si>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</si>
  <si>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</si>
  <si>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</si>
  <si>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</si>
  <si>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</si>
  <si>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</si>
  <si>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</si>
  <si>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</si>
  <si>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</si>
  <si>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</si>
  <si>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</si>
  <si>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</si>
  <si>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</si>
  <si>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</si>
  <si>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</si>
  <si>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</si>
  <si>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</si>
  <si>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</si>
  <si>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</si>
  <si>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</si>
  <si>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</si>
  <si>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</si>
  <si>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</si>
  <si>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</si>
  <si>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</si>
  <si>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</si>
  <si>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</si>
  <si>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</si>
  <si>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</si>
  <si>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</si>
  <si>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</si>
  <si>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 from    Floor</t>
  </si>
  <si>
    <t xml:space="preserve">Development charges 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</si>
  <si>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</si>
  <si>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</si>
  <si>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</si>
  <si>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</si>
  <si>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</si>
  <si>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</si>
  <si>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</si>
  <si>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</si>
  <si>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Residential Area Details :</t>
  </si>
  <si>
    <t>Building &amp; Wing</t>
  </si>
  <si>
    <t>No. of Units</t>
  </si>
  <si>
    <t>Total Carpet Area</t>
  </si>
  <si>
    <t>Total Saleable Area</t>
  </si>
  <si>
    <t>Bldg K 25 Wing A</t>
  </si>
  <si>
    <t>Building details Floor Wise</t>
  </si>
  <si>
    <t xml:space="preserve">Details of Residential in Building   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</si>
  <si>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</si>
  <si>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 (Sale Plan)</t>
  </si>
  <si>
    <t>Description</t>
  </si>
  <si>
    <t>Gross Carpet area</t>
  </si>
  <si>
    <t>Attached Terrace area</t>
  </si>
  <si>
    <t>Saleable area Loading :</t>
  </si>
  <si>
    <t>Floor</t>
  </si>
  <si>
    <t>Lower Podium &amp; Upper Podium Floor For Parking</t>
  </si>
  <si>
    <t>Ground Floor For Meter Room, Society Office, Drivers Room &amp; Parking</t>
  </si>
  <si>
    <t>1st to 4th, 6th to 8th, 10th to 13th, 15th to 18th &amp; 20th to 22nd Floor for Residential</t>
  </si>
  <si>
    <t>Given CA</t>
  </si>
  <si>
    <t>Balcony</t>
  </si>
  <si>
    <t>cal CA</t>
  </si>
  <si>
    <t>2BHK</t>
  </si>
  <si>
    <t>3BHK</t>
  </si>
  <si>
    <t>1BHK</t>
  </si>
  <si>
    <t>5th, 9th, 14th &amp; 19th Floor (Part Refuge Area)</t>
  </si>
  <si>
    <t>Refuge area</t>
  </si>
  <si>
    <t xml:space="preserve">23rd, 25th to 28th, 30th to 32nd Floor </t>
  </si>
  <si>
    <t>24th Floor For Fitness Centre (Part Refuge Area)</t>
  </si>
  <si>
    <t>Refuge area &amp; Fitness centre</t>
  </si>
  <si>
    <t>29th Floor For Creche Room (Part Refuge Area)</t>
  </si>
  <si>
    <t>Refuge area &amp; Creche Room</t>
  </si>
  <si>
    <t xml:space="preserve">Remarks:  </t>
  </si>
  <si>
    <t>*</t>
  </si>
  <si>
    <t>We considered Carpet area as per Approved Plan.</t>
  </si>
  <si>
    <t>We considered Gross carpet area = Net carpet + Enclose balcony + Open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</si>
  <si>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</si>
  <si>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</si>
  <si>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</si>
  <si>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</si>
  <si>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 xml:space="preserve">As the project is redevelopement project but rehab statement or rehab flats is not mentioned approved layout plan &amp; floor plan.
</t>
  </si>
  <si>
    <t xml:space="preserve">We have updated revised approved floor plan &amp; C.C (on 31/08/2023).
</t>
  </si>
  <si>
    <t xml:space="preserve">We have considered construction percent as per proposed no of floor.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</si>
  <si>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</si>
  <si>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</si>
  <si>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</si>
  <si>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</si>
  <si>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</si>
  <si>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</si>
  <si>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</si>
  <si>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</si>
  <si>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Ajay Songare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</si>
  <si>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</si>
  <si>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</si>
  <si>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</si>
  <si>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</si>
  <si>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</si>
  <si>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</si>
  <si>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</si>
  <si>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</si>
  <si>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</si>
  <si>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</si>
  <si>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</si>
  <si>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</si>
  <si>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</si>
  <si>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</si>
  <si>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</si>
  <si>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</si>
  <si>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</si>
  <si>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Approved Plans, CC, Sale Plans, Builder Saleable Area, Cost Sheet, Airport Noc, Railway Noc, OC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</si>
  <si>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</si>
  <si>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</si>
  <si>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</si>
  <si>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</si>
  <si>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</si>
  <si>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As per RERA - 29/12/2025</t>
  </si>
  <si>
    <t>Security</t>
  </si>
  <si>
    <t>Construction work is in process at the time of Visit (Slow Speed). Internal Photos was not allowed.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</si>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</sst>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1" fillId="0" borderId="0"/>
    <xf numFmtId="0" fontId="2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9" fontId="7" fillId="0" borderId="20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/>
    <xf numFmtId="0" fontId="18" fillId="0" borderId="15" xfId="0" applyFont="1" applyBorder="1"/>
    <xf numFmtId="0" fontId="19" fillId="0" borderId="0" xfId="0" applyFont="1" applyProtection="1">
      <protection hidden="1"/>
    </xf>
    <xf numFmtId="0" fontId="7" fillId="0" borderId="18" xfId="8" applyFont="1" applyBorder="1"/>
    <xf numFmtId="0" fontId="19" fillId="0" borderId="18" xfId="0" applyFont="1" applyBorder="1" applyProtection="1">
      <protection hidden="1"/>
    </xf>
    <xf numFmtId="1" fontId="18" fillId="0" borderId="18" xfId="0" applyNumberFormat="1" applyFont="1" applyBorder="1"/>
    <xf numFmtId="1" fontId="18" fillId="0" borderId="18" xfId="0" applyNumberFormat="1" applyFont="1" applyBorder="1" applyAlignment="1">
      <alignment horizontal="right"/>
    </xf>
    <xf numFmtId="0" fontId="19" fillId="0" borderId="25" xfId="0" applyFont="1" applyBorder="1" applyProtection="1">
      <protection hidden="1"/>
    </xf>
    <xf numFmtId="1" fontId="18" fillId="0" borderId="23" xfId="0" applyNumberFormat="1" applyFont="1" applyBorder="1"/>
    <xf numFmtId="1" fontId="10" fillId="0" borderId="0" xfId="8" applyNumberFormat="1" applyFont="1" applyAlignment="1">
      <alignment horizontal="center" vertical="center"/>
    </xf>
    <xf numFmtId="0" fontId="10" fillId="0" borderId="0" xfId="8" applyFont="1" applyAlignment="1">
      <alignment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6" fillId="0" borderId="0" xfId="8" applyFont="1" applyProtection="1"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0" fillId="0" borderId="12" xfId="8" applyFont="1" applyBorder="1" applyAlignment="1">
      <alignment horizontal="center"/>
    </xf>
    <xf numFmtId="0" fontId="10" fillId="0" borderId="0" xfId="8" applyFont="1" applyAlignment="1">
      <alignment horizontal="center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2" xfId="8" applyFont="1" applyBorder="1" applyAlignment="1" applyProtection="1">
      <alignment horizontal="center" vertical="top"/>
      <protection locked="0"/>
    </xf>
    <xf numFmtId="0" fontId="13" fillId="0" borderId="3" xfId="8" applyFont="1" applyBorder="1" applyAlignment="1" applyProtection="1">
      <alignment horizontal="center" vertical="top"/>
      <protection locked="0"/>
    </xf>
    <xf numFmtId="0" fontId="13" fillId="0" borderId="4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2" xfId="8" applyFont="1" applyBorder="1" applyAlignment="1" applyProtection="1">
      <alignment horizontal="center" vertical="top"/>
      <protection locked="0"/>
    </xf>
    <xf numFmtId="0" fontId="7" fillId="0" borderId="3" xfId="8" applyFont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4" fillId="0" borderId="2" xfId="3" applyFill="1" applyBorder="1" applyAlignment="1" applyProtection="1">
      <alignment horizontal="left" vertical="top" wrapText="1"/>
      <protection locked="0"/>
    </xf>
    <xf numFmtId="0" fontId="14" fillId="0" borderId="3" xfId="3" applyFill="1" applyBorder="1" applyAlignment="1" applyProtection="1">
      <alignment horizontal="left" vertical="top" wrapText="1"/>
      <protection locked="0"/>
    </xf>
    <xf numFmtId="0" fontId="14" fillId="0" borderId="4" xfId="3" applyFill="1" applyBorder="1" applyAlignment="1" applyProtection="1">
      <alignment horizontal="left" vertical="top" wrapText="1"/>
      <protection locked="0"/>
    </xf>
    <xf numFmtId="2" fontId="7" fillId="0" borderId="1" xfId="8" applyNumberFormat="1" applyFont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/>
      <protection locked="0"/>
    </xf>
    <xf numFmtId="0" fontId="9" fillId="0" borderId="4" xfId="8" applyFont="1" applyBorder="1" applyAlignment="1" applyProtection="1">
      <alignment horizontal="left" vertical="top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7" fillId="0" borderId="14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5" xfId="8" applyFont="1" applyBorder="1" applyAlignment="1" applyProtection="1">
      <alignment horizontal="center" vertical="top" wrapText="1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9" fontId="7" fillId="0" borderId="7" xfId="2" applyFont="1" applyFill="1" applyBorder="1" applyAlignment="1" applyProtection="1">
      <alignment horizontal="center" vertical="center" wrapText="1"/>
      <protection locked="0"/>
    </xf>
    <xf numFmtId="9" fontId="7" fillId="0" borderId="9" xfId="2" applyFont="1" applyFill="1" applyBorder="1" applyAlignment="1" applyProtection="1">
      <alignment horizontal="center" vertical="center" wrapText="1"/>
      <protection locked="0"/>
    </xf>
    <xf numFmtId="9" fontId="7" fillId="0" borderId="12" xfId="2" applyFont="1" applyFill="1" applyBorder="1" applyAlignment="1" applyProtection="1">
      <alignment horizontal="center" vertical="center" wrapText="1"/>
      <protection locked="0"/>
    </xf>
    <xf numFmtId="9" fontId="7" fillId="0" borderId="17" xfId="2" applyFont="1" applyFill="1" applyBorder="1" applyAlignment="1" applyProtection="1">
      <alignment horizontal="center" vertical="center" wrapText="1"/>
      <protection locked="0"/>
    </xf>
    <xf numFmtId="9" fontId="7" fillId="0" borderId="21" xfId="2" applyFont="1" applyFill="1" applyBorder="1" applyAlignment="1" applyProtection="1">
      <alignment horizontal="center" vertical="center" wrapText="1"/>
      <protection locked="0"/>
    </xf>
    <xf numFmtId="9" fontId="7" fillId="0" borderId="22" xfId="2" applyFont="1" applyFill="1" applyBorder="1" applyAlignment="1" applyProtection="1">
      <alignment horizontal="center" vertical="center" wrapText="1"/>
      <protection locked="0"/>
    </xf>
    <xf numFmtId="9" fontId="7" fillId="0" borderId="16" xfId="2" applyFont="1" applyFill="1" applyBorder="1" applyAlignment="1" applyProtection="1">
      <alignment horizontal="center" vertical="center" wrapText="1"/>
      <protection locked="0"/>
    </xf>
    <xf numFmtId="9" fontId="7" fillId="0" borderId="18" xfId="2" applyFont="1" applyFill="1" applyBorder="1" applyAlignment="1" applyProtection="1">
      <alignment horizontal="center" vertical="center" wrapText="1"/>
      <protection locked="0"/>
    </xf>
    <xf numFmtId="9" fontId="7" fillId="0" borderId="23" xfId="2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9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0" fontId="10" fillId="0" borderId="0" xfId="8" applyFont="1" applyAlignment="1">
      <alignment horizontal="center" vertical="center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2" xfId="8" applyNumberFormat="1" applyFont="1" applyBorder="1" applyAlignment="1" applyProtection="1">
      <alignment horizontal="center" vertical="center" wrapText="1"/>
      <protection locked="0"/>
    </xf>
    <xf numFmtId="1" fontId="9" fillId="0" borderId="17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19" fillId="0" borderId="1" xfId="8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20" fillId="0" borderId="2" xfId="0" applyNumberFormat="1" applyFont="1" applyBorder="1" applyAlignment="1" applyProtection="1">
      <alignment vertical="top" wrapText="1"/>
      <protection locked="0"/>
    </xf>
    <xf numFmtId="1" fontId="20" fillId="0" borderId="3" xfId="0" applyNumberFormat="1" applyFont="1" applyBorder="1" applyAlignment="1" applyProtection="1">
      <alignment vertical="top" wrapText="1"/>
      <protection locked="0"/>
    </xf>
    <xf numFmtId="1" fontId="20" fillId="0" borderId="4" xfId="0" applyNumberFormat="1" applyFont="1" applyBorder="1" applyAlignment="1" applyProtection="1">
      <alignment vertical="top" wrapText="1"/>
      <protection locked="0"/>
    </xf>
    <xf numFmtId="0" fontId="3" fillId="0" borderId="1" xfId="10" applyFont="1" applyBorder="1" applyAlignment="1">
      <alignment horizontal="left"/>
    </xf>
    <xf numFmtId="0" fontId="18" fillId="2" borderId="13" xfId="0" applyFont="1" applyFill="1" applyBorder="1"/>
    <xf numFmtId="0" fontId="18" fillId="0" borderId="4" xfId="0" applyFont="1" applyBorder="1"/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204</xdr:row>
      <xdr:rowOff>79375</xdr:rowOff>
    </xdr:from>
    <xdr:to>
      <xdr:col>7</xdr:col>
      <xdr:colOff>188277</xdr:colOff>
      <xdr:row>239</xdr:row>
      <xdr:rowOff>182562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370" t="6042" r="370" b="16875"/>
        <a:stretch>
          <a:fillRect/>
        </a:stretch>
      </xdr:blipFill>
      <xdr:spPr>
        <a:xfrm>
          <a:off x="714375" y="42306240"/>
          <a:ext cx="5150485" cy="71037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506095</xdr:colOff>
      <xdr:row>224</xdr:row>
      <xdr:rowOff>149224</xdr:rowOff>
    </xdr:from>
    <xdr:to>
      <xdr:col>4</xdr:col>
      <xdr:colOff>603250</xdr:colOff>
      <xdr:row>234</xdr:row>
      <xdr:rowOff>198436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8195" y="46375955"/>
          <a:ext cx="1887855" cy="2049780"/>
        </a:xfrm>
        <a:prstGeom prst="rect">
          <a:avLst/>
        </a:prstGeom>
        <a:noFill/>
        <a:ln w="57150">
          <a:solidFill>
            <a:schemeClr val="accent4">
              <a:lumMod val="60000"/>
              <a:lumOff val="40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4</xdr:col>
      <xdr:colOff>576014</xdr:colOff>
      <xdr:row>226</xdr:row>
      <xdr:rowOff>43934</xdr:rowOff>
    </xdr:from>
    <xdr:to>
      <xdr:col>5</xdr:col>
      <xdr:colOff>726598</xdr:colOff>
      <xdr:row>228</xdr:row>
      <xdr:rowOff>16391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28745" y="46671230"/>
          <a:ext cx="931545" cy="3721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 editAs="oneCell">
    <xdr:from>
      <xdr:col>1</xdr:col>
      <xdr:colOff>373063</xdr:colOff>
      <xdr:row>246</xdr:row>
      <xdr:rowOff>71437</xdr:rowOff>
    </xdr:from>
    <xdr:to>
      <xdr:col>6</xdr:col>
      <xdr:colOff>272330</xdr:colOff>
      <xdr:row>260</xdr:row>
      <xdr:rowOff>173312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134745" y="51099085"/>
          <a:ext cx="4051935" cy="290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373063</xdr:colOff>
      <xdr:row>261</xdr:row>
      <xdr:rowOff>170329</xdr:rowOff>
    </xdr:from>
    <xdr:to>
      <xdr:col>6</xdr:col>
      <xdr:colOff>272330</xdr:colOff>
      <xdr:row>276</xdr:row>
      <xdr:rowOff>73767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34745" y="54198520"/>
          <a:ext cx="4051935" cy="290385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933450</xdr:colOff>
      <xdr:row>40</xdr:row>
      <xdr:rowOff>199171</xdr:rowOff>
    </xdr:from>
    <xdr:to>
      <xdr:col>14</xdr:col>
      <xdr:colOff>627893</xdr:colOff>
      <xdr:row>52</xdr:row>
      <xdr:rowOff>190037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9219346"/>
          <a:ext cx="4656968" cy="2848366"/>
        </a:xfrm>
        <a:prstGeom prst="rect">
          <a:avLst/>
        </a:prstGeom>
      </xdr:spPr>
    </xdr:pic>
    <xdr:clientData/>
  </xdr:twoCellAnchor>
  <xdr:twoCellAnchor editAs="oneCell">
    <xdr:from>
      <xdr:col>13</xdr:col>
      <xdr:colOff>58654</xdr:colOff>
      <xdr:row>181</xdr:row>
      <xdr:rowOff>85725</xdr:rowOff>
    </xdr:from>
    <xdr:to>
      <xdr:col>16</xdr:col>
      <xdr:colOff>122889</xdr:colOff>
      <xdr:row>197</xdr:row>
      <xdr:rowOff>11430</xdr:rowOff>
    </xdr:to>
    <xdr:pic>
      <xdr:nvPicPr>
        <xdr:cNvPr id="12" name="Picture 11" descr="https://vsjcllp.vsjadon.com/upload/insp-220642-1525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6194" y="37172265"/>
          <a:ext cx="2403575" cy="30956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161</xdr:row>
      <xdr:rowOff>66675</xdr:rowOff>
    </xdr:from>
    <xdr:to>
      <xdr:col>12</xdr:col>
      <xdr:colOff>769427</xdr:colOff>
      <xdr:row>180</xdr:row>
      <xdr:rowOff>180975</xdr:rowOff>
    </xdr:to>
    <xdr:pic>
      <xdr:nvPicPr>
        <xdr:cNvPr id="13" name="Picture 12" descr="https://vsjcllp.vsjadon.com/upload/insp-220642-843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9065" y="33198435"/>
          <a:ext cx="2992562" cy="38709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614914</xdr:colOff>
      <xdr:row>181</xdr:row>
      <xdr:rowOff>76200</xdr:rowOff>
    </xdr:from>
    <xdr:to>
      <xdr:col>12</xdr:col>
      <xdr:colOff>766779</xdr:colOff>
      <xdr:row>197</xdr:row>
      <xdr:rowOff>1905</xdr:rowOff>
    </xdr:to>
    <xdr:pic>
      <xdr:nvPicPr>
        <xdr:cNvPr id="14" name="Picture 13" descr="https://vsjcllp.vsjadon.com/upload/insp-220642-849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64454" y="37162740"/>
          <a:ext cx="2384525" cy="30956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161</xdr:row>
      <xdr:rowOff>66675</xdr:rowOff>
    </xdr:from>
    <xdr:to>
      <xdr:col>17</xdr:col>
      <xdr:colOff>104582</xdr:colOff>
      <xdr:row>180</xdr:row>
      <xdr:rowOff>180975</xdr:rowOff>
    </xdr:to>
    <xdr:pic>
      <xdr:nvPicPr>
        <xdr:cNvPr id="15" name="Picture 14" descr="https://vsjcllp.vsjadon.com/upload/insp-220642-85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4690" y="33198435"/>
          <a:ext cx="3011612" cy="38709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273050</xdr:colOff>
      <xdr:row>162</xdr:row>
      <xdr:rowOff>114300</xdr:rowOff>
    </xdr:from>
    <xdr:to>
      <xdr:col>7</xdr:col>
      <xdr:colOff>412564</xdr:colOff>
      <xdr:row>196</xdr:row>
      <xdr:rowOff>11706</xdr:rowOff>
    </xdr:to>
    <xdr:grpSp>
      <xdr:nvGrpSpPr>
        <xdr:cNvPr id="21" name="Group 20"/>
        <xdr:cNvGrpSpPr/>
      </xdr:nvGrpSpPr>
      <xdr:grpSpPr>
        <a:xfrm>
          <a:off x="273050" y="33445450"/>
          <a:ext cx="6070414" cy="6583956"/>
          <a:chOff x="273050" y="33445450"/>
          <a:chExt cx="6070414" cy="6583956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6557" y="37509406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050" y="334454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51925" y="37509406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6557" y="334454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xgjgdbWceQeGv7B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46"/>
  <sheetViews>
    <sheetView tabSelected="1" view="pageBreakPreview" topLeftCell="A52" zoomScaleNormal="100" zoomScaleSheetLayoutView="100" zoomScalePageLayoutView="120" workbookViewId="0">
      <selection activeCell="A61" sqref="A61:H68"/>
    </sheetView>
  </sheetViews>
  <sheetFormatPr defaultColWidth="9.08984375" defaultRowHeight="15.5"/>
  <cols>
    <col min="1" max="1" width="11.453125" style="21" customWidth="1"/>
    <col min="2" max="2" width="12" style="21" customWidth="1"/>
    <col min="3" max="3" width="12.6328125" style="21" customWidth="1"/>
    <col min="4" max="4" width="14.08984375" style="21" customWidth="1"/>
    <col min="5" max="6" width="11.6328125" style="21" customWidth="1"/>
    <col min="7" max="7" width="11.453125" style="21" customWidth="1"/>
    <col min="8" max="8" width="10.54296875" style="21" customWidth="1"/>
    <col min="9" max="9" width="17.453125" style="22" customWidth="1"/>
    <col min="10" max="10" width="11.453125" style="22" customWidth="1"/>
    <col min="11" max="12" width="10.54296875" style="22" customWidth="1"/>
    <col min="13" max="13" width="11.90625" style="22" customWidth="1"/>
    <col min="14" max="14" width="12.54296875" style="22" customWidth="1"/>
    <col min="15" max="15" width="9.90625" style="22" customWidth="1"/>
    <col min="16" max="16" width="11.6328125" style="22" customWidth="1"/>
    <col min="17" max="247" width="9.08984375" style="22"/>
    <col min="248" max="248" width="8.6328125" style="22" customWidth="1"/>
    <col min="249" max="249" width="9.90625" style="22" customWidth="1"/>
    <col min="250" max="250" width="14.453125" style="22" customWidth="1"/>
    <col min="251" max="251" width="7.36328125" style="22" customWidth="1"/>
    <col min="252" max="252" width="5.54296875" style="22" customWidth="1"/>
    <col min="253" max="253" width="9" style="22" customWidth="1"/>
    <col min="254" max="255" width="9.90625" style="22" customWidth="1"/>
    <col min="256" max="256" width="11.08984375" style="22" customWidth="1"/>
    <col min="257" max="257" width="2.90625" style="22" customWidth="1"/>
    <col min="258" max="258" width="3.54296875" style="22" customWidth="1"/>
    <col min="259" max="503" width="9.08984375" style="22"/>
    <col min="504" max="504" width="8.6328125" style="22" customWidth="1"/>
    <col min="505" max="505" width="9.90625" style="22" customWidth="1"/>
    <col min="506" max="506" width="14.453125" style="22" customWidth="1"/>
    <col min="507" max="507" width="7.36328125" style="22" customWidth="1"/>
    <col min="508" max="508" width="5.54296875" style="22" customWidth="1"/>
    <col min="509" max="509" width="9" style="22" customWidth="1"/>
    <col min="510" max="511" width="9.90625" style="22" customWidth="1"/>
    <col min="512" max="512" width="11.08984375" style="22" customWidth="1"/>
    <col min="513" max="513" width="2.90625" style="22" customWidth="1"/>
    <col min="514" max="514" width="3.54296875" style="22" customWidth="1"/>
    <col min="515" max="759" width="9.08984375" style="22"/>
    <col min="760" max="760" width="8.6328125" style="22" customWidth="1"/>
    <col min="761" max="761" width="9.90625" style="22" customWidth="1"/>
    <col min="762" max="762" width="14.453125" style="22" customWidth="1"/>
    <col min="763" max="763" width="7.36328125" style="22" customWidth="1"/>
    <col min="764" max="764" width="5.54296875" style="22" customWidth="1"/>
    <col min="765" max="765" width="9" style="22" customWidth="1"/>
    <col min="766" max="767" width="9.90625" style="22" customWidth="1"/>
    <col min="768" max="768" width="11.08984375" style="22" customWidth="1"/>
    <col min="769" max="769" width="2.90625" style="22" customWidth="1"/>
    <col min="770" max="770" width="3.54296875" style="22" customWidth="1"/>
    <col min="771" max="1015" width="9.08984375" style="22"/>
    <col min="1016" max="1016" width="8.6328125" style="22" customWidth="1"/>
    <col min="1017" max="1017" width="9.90625" style="22" customWidth="1"/>
    <col min="1018" max="1018" width="14.453125" style="22" customWidth="1"/>
    <col min="1019" max="1019" width="7.36328125" style="22" customWidth="1"/>
    <col min="1020" max="1020" width="5.54296875" style="22" customWidth="1"/>
    <col min="1021" max="1021" width="9" style="22" customWidth="1"/>
    <col min="1022" max="1023" width="9.90625" style="22" customWidth="1"/>
    <col min="1024" max="1024" width="11.08984375" style="22" customWidth="1"/>
    <col min="1025" max="1025" width="2.90625" style="22" customWidth="1"/>
    <col min="1026" max="1026" width="3.54296875" style="22" customWidth="1"/>
    <col min="1027" max="1271" width="9.08984375" style="22"/>
    <col min="1272" max="1272" width="8.6328125" style="22" customWidth="1"/>
    <col min="1273" max="1273" width="9.90625" style="22" customWidth="1"/>
    <col min="1274" max="1274" width="14.453125" style="22" customWidth="1"/>
    <col min="1275" max="1275" width="7.36328125" style="22" customWidth="1"/>
    <col min="1276" max="1276" width="5.54296875" style="22" customWidth="1"/>
    <col min="1277" max="1277" width="9" style="22" customWidth="1"/>
    <col min="1278" max="1279" width="9.90625" style="22" customWidth="1"/>
    <col min="1280" max="1280" width="11.08984375" style="22" customWidth="1"/>
    <col min="1281" max="1281" width="2.90625" style="22" customWidth="1"/>
    <col min="1282" max="1282" width="3.54296875" style="22" customWidth="1"/>
    <col min="1283" max="1527" width="9.08984375" style="22"/>
    <col min="1528" max="1528" width="8.6328125" style="22" customWidth="1"/>
    <col min="1529" max="1529" width="9.90625" style="22" customWidth="1"/>
    <col min="1530" max="1530" width="14.453125" style="22" customWidth="1"/>
    <col min="1531" max="1531" width="7.36328125" style="22" customWidth="1"/>
    <col min="1532" max="1532" width="5.54296875" style="22" customWidth="1"/>
    <col min="1533" max="1533" width="9" style="22" customWidth="1"/>
    <col min="1534" max="1535" width="9.90625" style="22" customWidth="1"/>
    <col min="1536" max="1536" width="11.08984375" style="22" customWidth="1"/>
    <col min="1537" max="1537" width="2.90625" style="22" customWidth="1"/>
    <col min="1538" max="1538" width="3.54296875" style="22" customWidth="1"/>
    <col min="1539" max="1783" width="9.08984375" style="22"/>
    <col min="1784" max="1784" width="8.6328125" style="22" customWidth="1"/>
    <col min="1785" max="1785" width="9.90625" style="22" customWidth="1"/>
    <col min="1786" max="1786" width="14.453125" style="22" customWidth="1"/>
    <col min="1787" max="1787" width="7.36328125" style="22" customWidth="1"/>
    <col min="1788" max="1788" width="5.54296875" style="22" customWidth="1"/>
    <col min="1789" max="1789" width="9" style="22" customWidth="1"/>
    <col min="1790" max="1791" width="9.90625" style="22" customWidth="1"/>
    <col min="1792" max="1792" width="11.08984375" style="22" customWidth="1"/>
    <col min="1793" max="1793" width="2.90625" style="22" customWidth="1"/>
    <col min="1794" max="1794" width="3.54296875" style="22" customWidth="1"/>
    <col min="1795" max="2039" width="9.08984375" style="22"/>
    <col min="2040" max="2040" width="8.6328125" style="22" customWidth="1"/>
    <col min="2041" max="2041" width="9.90625" style="22" customWidth="1"/>
    <col min="2042" max="2042" width="14.453125" style="22" customWidth="1"/>
    <col min="2043" max="2043" width="7.36328125" style="22" customWidth="1"/>
    <col min="2044" max="2044" width="5.54296875" style="22" customWidth="1"/>
    <col min="2045" max="2045" width="9" style="22" customWidth="1"/>
    <col min="2046" max="2047" width="9.90625" style="22" customWidth="1"/>
    <col min="2048" max="2048" width="11.08984375" style="22" customWidth="1"/>
    <col min="2049" max="2049" width="2.90625" style="22" customWidth="1"/>
    <col min="2050" max="2050" width="3.54296875" style="22" customWidth="1"/>
    <col min="2051" max="2295" width="9.08984375" style="22"/>
    <col min="2296" max="2296" width="8.6328125" style="22" customWidth="1"/>
    <col min="2297" max="2297" width="9.90625" style="22" customWidth="1"/>
    <col min="2298" max="2298" width="14.453125" style="22" customWidth="1"/>
    <col min="2299" max="2299" width="7.36328125" style="22" customWidth="1"/>
    <col min="2300" max="2300" width="5.54296875" style="22" customWidth="1"/>
    <col min="2301" max="2301" width="9" style="22" customWidth="1"/>
    <col min="2302" max="2303" width="9.90625" style="22" customWidth="1"/>
    <col min="2304" max="2304" width="11.08984375" style="22" customWidth="1"/>
    <col min="2305" max="2305" width="2.90625" style="22" customWidth="1"/>
    <col min="2306" max="2306" width="3.54296875" style="22" customWidth="1"/>
    <col min="2307" max="2551" width="9.08984375" style="22"/>
    <col min="2552" max="2552" width="8.6328125" style="22" customWidth="1"/>
    <col min="2553" max="2553" width="9.90625" style="22" customWidth="1"/>
    <col min="2554" max="2554" width="14.453125" style="22" customWidth="1"/>
    <col min="2555" max="2555" width="7.36328125" style="22" customWidth="1"/>
    <col min="2556" max="2556" width="5.54296875" style="22" customWidth="1"/>
    <col min="2557" max="2557" width="9" style="22" customWidth="1"/>
    <col min="2558" max="2559" width="9.90625" style="22" customWidth="1"/>
    <col min="2560" max="2560" width="11.08984375" style="22" customWidth="1"/>
    <col min="2561" max="2561" width="2.90625" style="22" customWidth="1"/>
    <col min="2562" max="2562" width="3.54296875" style="22" customWidth="1"/>
    <col min="2563" max="2807" width="9.08984375" style="22"/>
    <col min="2808" max="2808" width="8.6328125" style="22" customWidth="1"/>
    <col min="2809" max="2809" width="9.90625" style="22" customWidth="1"/>
    <col min="2810" max="2810" width="14.453125" style="22" customWidth="1"/>
    <col min="2811" max="2811" width="7.36328125" style="22" customWidth="1"/>
    <col min="2812" max="2812" width="5.54296875" style="22" customWidth="1"/>
    <col min="2813" max="2813" width="9" style="22" customWidth="1"/>
    <col min="2814" max="2815" width="9.90625" style="22" customWidth="1"/>
    <col min="2816" max="2816" width="11.08984375" style="22" customWidth="1"/>
    <col min="2817" max="2817" width="2.90625" style="22" customWidth="1"/>
    <col min="2818" max="2818" width="3.54296875" style="22" customWidth="1"/>
    <col min="2819" max="3063" width="9.08984375" style="22"/>
    <col min="3064" max="3064" width="8.6328125" style="22" customWidth="1"/>
    <col min="3065" max="3065" width="9.90625" style="22" customWidth="1"/>
    <col min="3066" max="3066" width="14.453125" style="22" customWidth="1"/>
    <col min="3067" max="3067" width="7.36328125" style="22" customWidth="1"/>
    <col min="3068" max="3068" width="5.54296875" style="22" customWidth="1"/>
    <col min="3069" max="3069" width="9" style="22" customWidth="1"/>
    <col min="3070" max="3071" width="9.90625" style="22" customWidth="1"/>
    <col min="3072" max="3072" width="11.08984375" style="22" customWidth="1"/>
    <col min="3073" max="3073" width="2.90625" style="22" customWidth="1"/>
    <col min="3074" max="3074" width="3.54296875" style="22" customWidth="1"/>
    <col min="3075" max="3319" width="9.08984375" style="22"/>
    <col min="3320" max="3320" width="8.6328125" style="22" customWidth="1"/>
    <col min="3321" max="3321" width="9.90625" style="22" customWidth="1"/>
    <col min="3322" max="3322" width="14.453125" style="22" customWidth="1"/>
    <col min="3323" max="3323" width="7.36328125" style="22" customWidth="1"/>
    <col min="3324" max="3324" width="5.54296875" style="22" customWidth="1"/>
    <col min="3325" max="3325" width="9" style="22" customWidth="1"/>
    <col min="3326" max="3327" width="9.90625" style="22" customWidth="1"/>
    <col min="3328" max="3328" width="11.08984375" style="22" customWidth="1"/>
    <col min="3329" max="3329" width="2.90625" style="22" customWidth="1"/>
    <col min="3330" max="3330" width="3.54296875" style="22" customWidth="1"/>
    <col min="3331" max="3575" width="9.08984375" style="22"/>
    <col min="3576" max="3576" width="8.6328125" style="22" customWidth="1"/>
    <col min="3577" max="3577" width="9.90625" style="22" customWidth="1"/>
    <col min="3578" max="3578" width="14.453125" style="22" customWidth="1"/>
    <col min="3579" max="3579" width="7.36328125" style="22" customWidth="1"/>
    <col min="3580" max="3580" width="5.54296875" style="22" customWidth="1"/>
    <col min="3581" max="3581" width="9" style="22" customWidth="1"/>
    <col min="3582" max="3583" width="9.90625" style="22" customWidth="1"/>
    <col min="3584" max="3584" width="11.08984375" style="22" customWidth="1"/>
    <col min="3585" max="3585" width="2.90625" style="22" customWidth="1"/>
    <col min="3586" max="3586" width="3.54296875" style="22" customWidth="1"/>
    <col min="3587" max="3831" width="9.08984375" style="22"/>
    <col min="3832" max="3832" width="8.6328125" style="22" customWidth="1"/>
    <col min="3833" max="3833" width="9.90625" style="22" customWidth="1"/>
    <col min="3834" max="3834" width="14.453125" style="22" customWidth="1"/>
    <col min="3835" max="3835" width="7.36328125" style="22" customWidth="1"/>
    <col min="3836" max="3836" width="5.54296875" style="22" customWidth="1"/>
    <col min="3837" max="3837" width="9" style="22" customWidth="1"/>
    <col min="3838" max="3839" width="9.90625" style="22" customWidth="1"/>
    <col min="3840" max="3840" width="11.08984375" style="22" customWidth="1"/>
    <col min="3841" max="3841" width="2.90625" style="22" customWidth="1"/>
    <col min="3842" max="3842" width="3.54296875" style="22" customWidth="1"/>
    <col min="3843" max="4087" width="9.08984375" style="22"/>
    <col min="4088" max="4088" width="8.6328125" style="22" customWidth="1"/>
    <col min="4089" max="4089" width="9.90625" style="22" customWidth="1"/>
    <col min="4090" max="4090" width="14.453125" style="22" customWidth="1"/>
    <col min="4091" max="4091" width="7.36328125" style="22" customWidth="1"/>
    <col min="4092" max="4092" width="5.54296875" style="22" customWidth="1"/>
    <col min="4093" max="4093" width="9" style="22" customWidth="1"/>
    <col min="4094" max="4095" width="9.90625" style="22" customWidth="1"/>
    <col min="4096" max="4096" width="11.08984375" style="22" customWidth="1"/>
    <col min="4097" max="4097" width="2.90625" style="22" customWidth="1"/>
    <col min="4098" max="4098" width="3.54296875" style="22" customWidth="1"/>
    <col min="4099" max="4343" width="9.08984375" style="22"/>
    <col min="4344" max="4344" width="8.6328125" style="22" customWidth="1"/>
    <col min="4345" max="4345" width="9.90625" style="22" customWidth="1"/>
    <col min="4346" max="4346" width="14.453125" style="22" customWidth="1"/>
    <col min="4347" max="4347" width="7.36328125" style="22" customWidth="1"/>
    <col min="4348" max="4348" width="5.54296875" style="22" customWidth="1"/>
    <col min="4349" max="4349" width="9" style="22" customWidth="1"/>
    <col min="4350" max="4351" width="9.90625" style="22" customWidth="1"/>
    <col min="4352" max="4352" width="11.08984375" style="22" customWidth="1"/>
    <col min="4353" max="4353" width="2.90625" style="22" customWidth="1"/>
    <col min="4354" max="4354" width="3.54296875" style="22" customWidth="1"/>
    <col min="4355" max="4599" width="9.08984375" style="22"/>
    <col min="4600" max="4600" width="8.6328125" style="22" customWidth="1"/>
    <col min="4601" max="4601" width="9.90625" style="22" customWidth="1"/>
    <col min="4602" max="4602" width="14.453125" style="22" customWidth="1"/>
    <col min="4603" max="4603" width="7.36328125" style="22" customWidth="1"/>
    <col min="4604" max="4604" width="5.54296875" style="22" customWidth="1"/>
    <col min="4605" max="4605" width="9" style="22" customWidth="1"/>
    <col min="4606" max="4607" width="9.90625" style="22" customWidth="1"/>
    <col min="4608" max="4608" width="11.08984375" style="22" customWidth="1"/>
    <col min="4609" max="4609" width="2.90625" style="22" customWidth="1"/>
    <col min="4610" max="4610" width="3.54296875" style="22" customWidth="1"/>
    <col min="4611" max="4855" width="9.08984375" style="22"/>
    <col min="4856" max="4856" width="8.6328125" style="22" customWidth="1"/>
    <col min="4857" max="4857" width="9.90625" style="22" customWidth="1"/>
    <col min="4858" max="4858" width="14.453125" style="22" customWidth="1"/>
    <col min="4859" max="4859" width="7.36328125" style="22" customWidth="1"/>
    <col min="4860" max="4860" width="5.54296875" style="22" customWidth="1"/>
    <col min="4861" max="4861" width="9" style="22" customWidth="1"/>
    <col min="4862" max="4863" width="9.90625" style="22" customWidth="1"/>
    <col min="4864" max="4864" width="11.08984375" style="22" customWidth="1"/>
    <col min="4865" max="4865" width="2.90625" style="22" customWidth="1"/>
    <col min="4866" max="4866" width="3.54296875" style="22" customWidth="1"/>
    <col min="4867" max="5111" width="9.08984375" style="22"/>
    <col min="5112" max="5112" width="8.6328125" style="22" customWidth="1"/>
    <col min="5113" max="5113" width="9.90625" style="22" customWidth="1"/>
    <col min="5114" max="5114" width="14.453125" style="22" customWidth="1"/>
    <col min="5115" max="5115" width="7.36328125" style="22" customWidth="1"/>
    <col min="5116" max="5116" width="5.54296875" style="22" customWidth="1"/>
    <col min="5117" max="5117" width="9" style="22" customWidth="1"/>
    <col min="5118" max="5119" width="9.90625" style="22" customWidth="1"/>
    <col min="5120" max="5120" width="11.08984375" style="22" customWidth="1"/>
    <col min="5121" max="5121" width="2.90625" style="22" customWidth="1"/>
    <col min="5122" max="5122" width="3.54296875" style="22" customWidth="1"/>
    <col min="5123" max="5367" width="9.08984375" style="22"/>
    <col min="5368" max="5368" width="8.6328125" style="22" customWidth="1"/>
    <col min="5369" max="5369" width="9.90625" style="22" customWidth="1"/>
    <col min="5370" max="5370" width="14.453125" style="22" customWidth="1"/>
    <col min="5371" max="5371" width="7.36328125" style="22" customWidth="1"/>
    <col min="5372" max="5372" width="5.54296875" style="22" customWidth="1"/>
    <col min="5373" max="5373" width="9" style="22" customWidth="1"/>
    <col min="5374" max="5375" width="9.90625" style="22" customWidth="1"/>
    <col min="5376" max="5376" width="11.08984375" style="22" customWidth="1"/>
    <col min="5377" max="5377" width="2.90625" style="22" customWidth="1"/>
    <col min="5378" max="5378" width="3.54296875" style="22" customWidth="1"/>
    <col min="5379" max="5623" width="9.08984375" style="22"/>
    <col min="5624" max="5624" width="8.6328125" style="22" customWidth="1"/>
    <col min="5625" max="5625" width="9.90625" style="22" customWidth="1"/>
    <col min="5626" max="5626" width="14.453125" style="22" customWidth="1"/>
    <col min="5627" max="5627" width="7.36328125" style="22" customWidth="1"/>
    <col min="5628" max="5628" width="5.54296875" style="22" customWidth="1"/>
    <col min="5629" max="5629" width="9" style="22" customWidth="1"/>
    <col min="5630" max="5631" width="9.90625" style="22" customWidth="1"/>
    <col min="5632" max="5632" width="11.08984375" style="22" customWidth="1"/>
    <col min="5633" max="5633" width="2.90625" style="22" customWidth="1"/>
    <col min="5634" max="5634" width="3.54296875" style="22" customWidth="1"/>
    <col min="5635" max="5879" width="9.08984375" style="22"/>
    <col min="5880" max="5880" width="8.6328125" style="22" customWidth="1"/>
    <col min="5881" max="5881" width="9.90625" style="22" customWidth="1"/>
    <col min="5882" max="5882" width="14.453125" style="22" customWidth="1"/>
    <col min="5883" max="5883" width="7.36328125" style="22" customWidth="1"/>
    <col min="5884" max="5884" width="5.54296875" style="22" customWidth="1"/>
    <col min="5885" max="5885" width="9" style="22" customWidth="1"/>
    <col min="5886" max="5887" width="9.90625" style="22" customWidth="1"/>
    <col min="5888" max="5888" width="11.08984375" style="22" customWidth="1"/>
    <col min="5889" max="5889" width="2.90625" style="22" customWidth="1"/>
    <col min="5890" max="5890" width="3.54296875" style="22" customWidth="1"/>
    <col min="5891" max="6135" width="9.08984375" style="22"/>
    <col min="6136" max="6136" width="8.6328125" style="22" customWidth="1"/>
    <col min="6137" max="6137" width="9.90625" style="22" customWidth="1"/>
    <col min="6138" max="6138" width="14.453125" style="22" customWidth="1"/>
    <col min="6139" max="6139" width="7.36328125" style="22" customWidth="1"/>
    <col min="6140" max="6140" width="5.54296875" style="22" customWidth="1"/>
    <col min="6141" max="6141" width="9" style="22" customWidth="1"/>
    <col min="6142" max="6143" width="9.90625" style="22" customWidth="1"/>
    <col min="6144" max="6144" width="11.08984375" style="22" customWidth="1"/>
    <col min="6145" max="6145" width="2.90625" style="22" customWidth="1"/>
    <col min="6146" max="6146" width="3.54296875" style="22" customWidth="1"/>
    <col min="6147" max="6391" width="9.08984375" style="22"/>
    <col min="6392" max="6392" width="8.6328125" style="22" customWidth="1"/>
    <col min="6393" max="6393" width="9.90625" style="22" customWidth="1"/>
    <col min="6394" max="6394" width="14.453125" style="22" customWidth="1"/>
    <col min="6395" max="6395" width="7.36328125" style="22" customWidth="1"/>
    <col min="6396" max="6396" width="5.54296875" style="22" customWidth="1"/>
    <col min="6397" max="6397" width="9" style="22" customWidth="1"/>
    <col min="6398" max="6399" width="9.90625" style="22" customWidth="1"/>
    <col min="6400" max="6400" width="11.08984375" style="22" customWidth="1"/>
    <col min="6401" max="6401" width="2.90625" style="22" customWidth="1"/>
    <col min="6402" max="6402" width="3.54296875" style="22" customWidth="1"/>
    <col min="6403" max="6647" width="9.08984375" style="22"/>
    <col min="6648" max="6648" width="8.6328125" style="22" customWidth="1"/>
    <col min="6649" max="6649" width="9.90625" style="22" customWidth="1"/>
    <col min="6650" max="6650" width="14.453125" style="22" customWidth="1"/>
    <col min="6651" max="6651" width="7.36328125" style="22" customWidth="1"/>
    <col min="6652" max="6652" width="5.54296875" style="22" customWidth="1"/>
    <col min="6653" max="6653" width="9" style="22" customWidth="1"/>
    <col min="6654" max="6655" width="9.90625" style="22" customWidth="1"/>
    <col min="6656" max="6656" width="11.08984375" style="22" customWidth="1"/>
    <col min="6657" max="6657" width="2.90625" style="22" customWidth="1"/>
    <col min="6658" max="6658" width="3.54296875" style="22" customWidth="1"/>
    <col min="6659" max="6903" width="9.08984375" style="22"/>
    <col min="6904" max="6904" width="8.6328125" style="22" customWidth="1"/>
    <col min="6905" max="6905" width="9.90625" style="22" customWidth="1"/>
    <col min="6906" max="6906" width="14.453125" style="22" customWidth="1"/>
    <col min="6907" max="6907" width="7.36328125" style="22" customWidth="1"/>
    <col min="6908" max="6908" width="5.54296875" style="22" customWidth="1"/>
    <col min="6909" max="6909" width="9" style="22" customWidth="1"/>
    <col min="6910" max="6911" width="9.90625" style="22" customWidth="1"/>
    <col min="6912" max="6912" width="11.08984375" style="22" customWidth="1"/>
    <col min="6913" max="6913" width="2.90625" style="22" customWidth="1"/>
    <col min="6914" max="6914" width="3.54296875" style="22" customWidth="1"/>
    <col min="6915" max="7159" width="9.08984375" style="22"/>
    <col min="7160" max="7160" width="8.6328125" style="22" customWidth="1"/>
    <col min="7161" max="7161" width="9.90625" style="22" customWidth="1"/>
    <col min="7162" max="7162" width="14.453125" style="22" customWidth="1"/>
    <col min="7163" max="7163" width="7.36328125" style="22" customWidth="1"/>
    <col min="7164" max="7164" width="5.54296875" style="22" customWidth="1"/>
    <col min="7165" max="7165" width="9" style="22" customWidth="1"/>
    <col min="7166" max="7167" width="9.90625" style="22" customWidth="1"/>
    <col min="7168" max="7168" width="11.08984375" style="22" customWidth="1"/>
    <col min="7169" max="7169" width="2.90625" style="22" customWidth="1"/>
    <col min="7170" max="7170" width="3.54296875" style="22" customWidth="1"/>
    <col min="7171" max="7415" width="9.08984375" style="22"/>
    <col min="7416" max="7416" width="8.6328125" style="22" customWidth="1"/>
    <col min="7417" max="7417" width="9.90625" style="22" customWidth="1"/>
    <col min="7418" max="7418" width="14.453125" style="22" customWidth="1"/>
    <col min="7419" max="7419" width="7.36328125" style="22" customWidth="1"/>
    <col min="7420" max="7420" width="5.54296875" style="22" customWidth="1"/>
    <col min="7421" max="7421" width="9" style="22" customWidth="1"/>
    <col min="7422" max="7423" width="9.90625" style="22" customWidth="1"/>
    <col min="7424" max="7424" width="11.08984375" style="22" customWidth="1"/>
    <col min="7425" max="7425" width="2.90625" style="22" customWidth="1"/>
    <col min="7426" max="7426" width="3.54296875" style="22" customWidth="1"/>
    <col min="7427" max="7671" width="9.08984375" style="22"/>
    <col min="7672" max="7672" width="8.6328125" style="22" customWidth="1"/>
    <col min="7673" max="7673" width="9.90625" style="22" customWidth="1"/>
    <col min="7674" max="7674" width="14.453125" style="22" customWidth="1"/>
    <col min="7675" max="7675" width="7.36328125" style="22" customWidth="1"/>
    <col min="7676" max="7676" width="5.54296875" style="22" customWidth="1"/>
    <col min="7677" max="7677" width="9" style="22" customWidth="1"/>
    <col min="7678" max="7679" width="9.90625" style="22" customWidth="1"/>
    <col min="7680" max="7680" width="11.08984375" style="22" customWidth="1"/>
    <col min="7681" max="7681" width="2.90625" style="22" customWidth="1"/>
    <col min="7682" max="7682" width="3.54296875" style="22" customWidth="1"/>
    <col min="7683" max="7927" width="9.08984375" style="22"/>
    <col min="7928" max="7928" width="8.6328125" style="22" customWidth="1"/>
    <col min="7929" max="7929" width="9.90625" style="22" customWidth="1"/>
    <col min="7930" max="7930" width="14.453125" style="22" customWidth="1"/>
    <col min="7931" max="7931" width="7.36328125" style="22" customWidth="1"/>
    <col min="7932" max="7932" width="5.54296875" style="22" customWidth="1"/>
    <col min="7933" max="7933" width="9" style="22" customWidth="1"/>
    <col min="7934" max="7935" width="9.90625" style="22" customWidth="1"/>
    <col min="7936" max="7936" width="11.08984375" style="22" customWidth="1"/>
    <col min="7937" max="7937" width="2.90625" style="22" customWidth="1"/>
    <col min="7938" max="7938" width="3.54296875" style="22" customWidth="1"/>
    <col min="7939" max="8183" width="9.08984375" style="22"/>
    <col min="8184" max="8184" width="8.6328125" style="22" customWidth="1"/>
    <col min="8185" max="8185" width="9.90625" style="22" customWidth="1"/>
    <col min="8186" max="8186" width="14.453125" style="22" customWidth="1"/>
    <col min="8187" max="8187" width="7.36328125" style="22" customWidth="1"/>
    <col min="8188" max="8188" width="5.54296875" style="22" customWidth="1"/>
    <col min="8189" max="8189" width="9" style="22" customWidth="1"/>
    <col min="8190" max="8191" width="9.90625" style="22" customWidth="1"/>
    <col min="8192" max="8192" width="11.08984375" style="22" customWidth="1"/>
    <col min="8193" max="8193" width="2.90625" style="22" customWidth="1"/>
    <col min="8194" max="8194" width="3.54296875" style="22" customWidth="1"/>
    <col min="8195" max="8439" width="9.08984375" style="22"/>
    <col min="8440" max="8440" width="8.6328125" style="22" customWidth="1"/>
    <col min="8441" max="8441" width="9.90625" style="22" customWidth="1"/>
    <col min="8442" max="8442" width="14.453125" style="22" customWidth="1"/>
    <col min="8443" max="8443" width="7.36328125" style="22" customWidth="1"/>
    <col min="8444" max="8444" width="5.54296875" style="22" customWidth="1"/>
    <col min="8445" max="8445" width="9" style="22" customWidth="1"/>
    <col min="8446" max="8447" width="9.90625" style="22" customWidth="1"/>
    <col min="8448" max="8448" width="11.08984375" style="22" customWidth="1"/>
    <col min="8449" max="8449" width="2.90625" style="22" customWidth="1"/>
    <col min="8450" max="8450" width="3.54296875" style="22" customWidth="1"/>
    <col min="8451" max="8695" width="9.08984375" style="22"/>
    <col min="8696" max="8696" width="8.6328125" style="22" customWidth="1"/>
    <col min="8697" max="8697" width="9.90625" style="22" customWidth="1"/>
    <col min="8698" max="8698" width="14.453125" style="22" customWidth="1"/>
    <col min="8699" max="8699" width="7.36328125" style="22" customWidth="1"/>
    <col min="8700" max="8700" width="5.54296875" style="22" customWidth="1"/>
    <col min="8701" max="8701" width="9" style="22" customWidth="1"/>
    <col min="8702" max="8703" width="9.90625" style="22" customWidth="1"/>
    <col min="8704" max="8704" width="11.08984375" style="22" customWidth="1"/>
    <col min="8705" max="8705" width="2.90625" style="22" customWidth="1"/>
    <col min="8706" max="8706" width="3.54296875" style="22" customWidth="1"/>
    <col min="8707" max="8951" width="9.08984375" style="22"/>
    <col min="8952" max="8952" width="8.6328125" style="22" customWidth="1"/>
    <col min="8953" max="8953" width="9.90625" style="22" customWidth="1"/>
    <col min="8954" max="8954" width="14.453125" style="22" customWidth="1"/>
    <col min="8955" max="8955" width="7.36328125" style="22" customWidth="1"/>
    <col min="8956" max="8956" width="5.54296875" style="22" customWidth="1"/>
    <col min="8957" max="8957" width="9" style="22" customWidth="1"/>
    <col min="8958" max="8959" width="9.90625" style="22" customWidth="1"/>
    <col min="8960" max="8960" width="11.08984375" style="22" customWidth="1"/>
    <col min="8961" max="8961" width="2.90625" style="22" customWidth="1"/>
    <col min="8962" max="8962" width="3.54296875" style="22" customWidth="1"/>
    <col min="8963" max="9207" width="9.08984375" style="22"/>
    <col min="9208" max="9208" width="8.6328125" style="22" customWidth="1"/>
    <col min="9209" max="9209" width="9.90625" style="22" customWidth="1"/>
    <col min="9210" max="9210" width="14.453125" style="22" customWidth="1"/>
    <col min="9211" max="9211" width="7.36328125" style="22" customWidth="1"/>
    <col min="9212" max="9212" width="5.54296875" style="22" customWidth="1"/>
    <col min="9213" max="9213" width="9" style="22" customWidth="1"/>
    <col min="9214" max="9215" width="9.90625" style="22" customWidth="1"/>
    <col min="9216" max="9216" width="11.08984375" style="22" customWidth="1"/>
    <col min="9217" max="9217" width="2.90625" style="22" customWidth="1"/>
    <col min="9218" max="9218" width="3.54296875" style="22" customWidth="1"/>
    <col min="9219" max="9463" width="9.08984375" style="22"/>
    <col min="9464" max="9464" width="8.6328125" style="22" customWidth="1"/>
    <col min="9465" max="9465" width="9.90625" style="22" customWidth="1"/>
    <col min="9466" max="9466" width="14.453125" style="22" customWidth="1"/>
    <col min="9467" max="9467" width="7.36328125" style="22" customWidth="1"/>
    <col min="9468" max="9468" width="5.54296875" style="22" customWidth="1"/>
    <col min="9469" max="9469" width="9" style="22" customWidth="1"/>
    <col min="9470" max="9471" width="9.90625" style="22" customWidth="1"/>
    <col min="9472" max="9472" width="11.08984375" style="22" customWidth="1"/>
    <col min="9473" max="9473" width="2.90625" style="22" customWidth="1"/>
    <col min="9474" max="9474" width="3.54296875" style="22" customWidth="1"/>
    <col min="9475" max="9719" width="9.08984375" style="22"/>
    <col min="9720" max="9720" width="8.6328125" style="22" customWidth="1"/>
    <col min="9721" max="9721" width="9.90625" style="22" customWidth="1"/>
    <col min="9722" max="9722" width="14.453125" style="22" customWidth="1"/>
    <col min="9723" max="9723" width="7.36328125" style="22" customWidth="1"/>
    <col min="9724" max="9724" width="5.54296875" style="22" customWidth="1"/>
    <col min="9725" max="9725" width="9" style="22" customWidth="1"/>
    <col min="9726" max="9727" width="9.90625" style="22" customWidth="1"/>
    <col min="9728" max="9728" width="11.08984375" style="22" customWidth="1"/>
    <col min="9729" max="9729" width="2.90625" style="22" customWidth="1"/>
    <col min="9730" max="9730" width="3.54296875" style="22" customWidth="1"/>
    <col min="9731" max="9975" width="9.08984375" style="22"/>
    <col min="9976" max="9976" width="8.6328125" style="22" customWidth="1"/>
    <col min="9977" max="9977" width="9.90625" style="22" customWidth="1"/>
    <col min="9978" max="9978" width="14.453125" style="22" customWidth="1"/>
    <col min="9979" max="9979" width="7.36328125" style="22" customWidth="1"/>
    <col min="9980" max="9980" width="5.54296875" style="22" customWidth="1"/>
    <col min="9981" max="9981" width="9" style="22" customWidth="1"/>
    <col min="9982" max="9983" width="9.90625" style="22" customWidth="1"/>
    <col min="9984" max="9984" width="11.08984375" style="22" customWidth="1"/>
    <col min="9985" max="9985" width="2.90625" style="22" customWidth="1"/>
    <col min="9986" max="9986" width="3.54296875" style="22" customWidth="1"/>
    <col min="9987" max="10231" width="9.08984375" style="22"/>
    <col min="10232" max="10232" width="8.6328125" style="22" customWidth="1"/>
    <col min="10233" max="10233" width="9.90625" style="22" customWidth="1"/>
    <col min="10234" max="10234" width="14.453125" style="22" customWidth="1"/>
    <col min="10235" max="10235" width="7.36328125" style="22" customWidth="1"/>
    <col min="10236" max="10236" width="5.54296875" style="22" customWidth="1"/>
    <col min="10237" max="10237" width="9" style="22" customWidth="1"/>
    <col min="10238" max="10239" width="9.90625" style="22" customWidth="1"/>
    <col min="10240" max="10240" width="11.08984375" style="22" customWidth="1"/>
    <col min="10241" max="10241" width="2.90625" style="22" customWidth="1"/>
    <col min="10242" max="10242" width="3.54296875" style="22" customWidth="1"/>
    <col min="10243" max="10487" width="9.08984375" style="22"/>
    <col min="10488" max="10488" width="8.6328125" style="22" customWidth="1"/>
    <col min="10489" max="10489" width="9.90625" style="22" customWidth="1"/>
    <col min="10490" max="10490" width="14.453125" style="22" customWidth="1"/>
    <col min="10491" max="10491" width="7.36328125" style="22" customWidth="1"/>
    <col min="10492" max="10492" width="5.54296875" style="22" customWidth="1"/>
    <col min="10493" max="10493" width="9" style="22" customWidth="1"/>
    <col min="10494" max="10495" width="9.90625" style="22" customWidth="1"/>
    <col min="10496" max="10496" width="11.08984375" style="22" customWidth="1"/>
    <col min="10497" max="10497" width="2.90625" style="22" customWidth="1"/>
    <col min="10498" max="10498" width="3.54296875" style="22" customWidth="1"/>
    <col min="10499" max="10743" width="9.08984375" style="22"/>
    <col min="10744" max="10744" width="8.6328125" style="22" customWidth="1"/>
    <col min="10745" max="10745" width="9.90625" style="22" customWidth="1"/>
    <col min="10746" max="10746" width="14.453125" style="22" customWidth="1"/>
    <col min="10747" max="10747" width="7.36328125" style="22" customWidth="1"/>
    <col min="10748" max="10748" width="5.54296875" style="22" customWidth="1"/>
    <col min="10749" max="10749" width="9" style="22" customWidth="1"/>
    <col min="10750" max="10751" width="9.90625" style="22" customWidth="1"/>
    <col min="10752" max="10752" width="11.08984375" style="22" customWidth="1"/>
    <col min="10753" max="10753" width="2.90625" style="22" customWidth="1"/>
    <col min="10754" max="10754" width="3.54296875" style="22" customWidth="1"/>
    <col min="10755" max="10999" width="9.08984375" style="22"/>
    <col min="11000" max="11000" width="8.6328125" style="22" customWidth="1"/>
    <col min="11001" max="11001" width="9.90625" style="22" customWidth="1"/>
    <col min="11002" max="11002" width="14.453125" style="22" customWidth="1"/>
    <col min="11003" max="11003" width="7.36328125" style="22" customWidth="1"/>
    <col min="11004" max="11004" width="5.54296875" style="22" customWidth="1"/>
    <col min="11005" max="11005" width="9" style="22" customWidth="1"/>
    <col min="11006" max="11007" width="9.90625" style="22" customWidth="1"/>
    <col min="11008" max="11008" width="11.08984375" style="22" customWidth="1"/>
    <col min="11009" max="11009" width="2.90625" style="22" customWidth="1"/>
    <col min="11010" max="11010" width="3.54296875" style="22" customWidth="1"/>
    <col min="11011" max="11255" width="9.08984375" style="22"/>
    <col min="11256" max="11256" width="8.6328125" style="22" customWidth="1"/>
    <col min="11257" max="11257" width="9.90625" style="22" customWidth="1"/>
    <col min="11258" max="11258" width="14.453125" style="22" customWidth="1"/>
    <col min="11259" max="11259" width="7.36328125" style="22" customWidth="1"/>
    <col min="11260" max="11260" width="5.54296875" style="22" customWidth="1"/>
    <col min="11261" max="11261" width="9" style="22" customWidth="1"/>
    <col min="11262" max="11263" width="9.90625" style="22" customWidth="1"/>
    <col min="11264" max="11264" width="11.08984375" style="22" customWidth="1"/>
    <col min="11265" max="11265" width="2.90625" style="22" customWidth="1"/>
    <col min="11266" max="11266" width="3.54296875" style="22" customWidth="1"/>
    <col min="11267" max="11511" width="9.08984375" style="22"/>
    <col min="11512" max="11512" width="8.6328125" style="22" customWidth="1"/>
    <col min="11513" max="11513" width="9.90625" style="22" customWidth="1"/>
    <col min="11514" max="11514" width="14.453125" style="22" customWidth="1"/>
    <col min="11515" max="11515" width="7.36328125" style="22" customWidth="1"/>
    <col min="11516" max="11516" width="5.54296875" style="22" customWidth="1"/>
    <col min="11517" max="11517" width="9" style="22" customWidth="1"/>
    <col min="11518" max="11519" width="9.90625" style="22" customWidth="1"/>
    <col min="11520" max="11520" width="11.08984375" style="22" customWidth="1"/>
    <col min="11521" max="11521" width="2.90625" style="22" customWidth="1"/>
    <col min="11522" max="11522" width="3.54296875" style="22" customWidth="1"/>
    <col min="11523" max="11767" width="9.08984375" style="22"/>
    <col min="11768" max="11768" width="8.6328125" style="22" customWidth="1"/>
    <col min="11769" max="11769" width="9.90625" style="22" customWidth="1"/>
    <col min="11770" max="11770" width="14.453125" style="22" customWidth="1"/>
    <col min="11771" max="11771" width="7.36328125" style="22" customWidth="1"/>
    <col min="11772" max="11772" width="5.54296875" style="22" customWidth="1"/>
    <col min="11773" max="11773" width="9" style="22" customWidth="1"/>
    <col min="11774" max="11775" width="9.90625" style="22" customWidth="1"/>
    <col min="11776" max="11776" width="11.08984375" style="22" customWidth="1"/>
    <col min="11777" max="11777" width="2.90625" style="22" customWidth="1"/>
    <col min="11778" max="11778" width="3.54296875" style="22" customWidth="1"/>
    <col min="11779" max="12023" width="9.08984375" style="22"/>
    <col min="12024" max="12024" width="8.6328125" style="22" customWidth="1"/>
    <col min="12025" max="12025" width="9.90625" style="22" customWidth="1"/>
    <col min="12026" max="12026" width="14.453125" style="22" customWidth="1"/>
    <col min="12027" max="12027" width="7.36328125" style="22" customWidth="1"/>
    <col min="12028" max="12028" width="5.54296875" style="22" customWidth="1"/>
    <col min="12029" max="12029" width="9" style="22" customWidth="1"/>
    <col min="12030" max="12031" width="9.90625" style="22" customWidth="1"/>
    <col min="12032" max="12032" width="11.08984375" style="22" customWidth="1"/>
    <col min="12033" max="12033" width="2.90625" style="22" customWidth="1"/>
    <col min="12034" max="12034" width="3.54296875" style="22" customWidth="1"/>
    <col min="12035" max="12279" width="9.08984375" style="22"/>
    <col min="12280" max="12280" width="8.6328125" style="22" customWidth="1"/>
    <col min="12281" max="12281" width="9.90625" style="22" customWidth="1"/>
    <col min="12282" max="12282" width="14.453125" style="22" customWidth="1"/>
    <col min="12283" max="12283" width="7.36328125" style="22" customWidth="1"/>
    <col min="12284" max="12284" width="5.54296875" style="22" customWidth="1"/>
    <col min="12285" max="12285" width="9" style="22" customWidth="1"/>
    <col min="12286" max="12287" width="9.90625" style="22" customWidth="1"/>
    <col min="12288" max="12288" width="11.08984375" style="22" customWidth="1"/>
    <col min="12289" max="12289" width="2.90625" style="22" customWidth="1"/>
    <col min="12290" max="12290" width="3.54296875" style="22" customWidth="1"/>
    <col min="12291" max="12535" width="9.08984375" style="22"/>
    <col min="12536" max="12536" width="8.6328125" style="22" customWidth="1"/>
    <col min="12537" max="12537" width="9.90625" style="22" customWidth="1"/>
    <col min="12538" max="12538" width="14.453125" style="22" customWidth="1"/>
    <col min="12539" max="12539" width="7.36328125" style="22" customWidth="1"/>
    <col min="12540" max="12540" width="5.54296875" style="22" customWidth="1"/>
    <col min="12541" max="12541" width="9" style="22" customWidth="1"/>
    <col min="12542" max="12543" width="9.90625" style="22" customWidth="1"/>
    <col min="12544" max="12544" width="11.08984375" style="22" customWidth="1"/>
    <col min="12545" max="12545" width="2.90625" style="22" customWidth="1"/>
    <col min="12546" max="12546" width="3.54296875" style="22" customWidth="1"/>
    <col min="12547" max="12791" width="9.08984375" style="22"/>
    <col min="12792" max="12792" width="8.6328125" style="22" customWidth="1"/>
    <col min="12793" max="12793" width="9.90625" style="22" customWidth="1"/>
    <col min="12794" max="12794" width="14.453125" style="22" customWidth="1"/>
    <col min="12795" max="12795" width="7.36328125" style="22" customWidth="1"/>
    <col min="12796" max="12796" width="5.54296875" style="22" customWidth="1"/>
    <col min="12797" max="12797" width="9" style="22" customWidth="1"/>
    <col min="12798" max="12799" width="9.90625" style="22" customWidth="1"/>
    <col min="12800" max="12800" width="11.08984375" style="22" customWidth="1"/>
    <col min="12801" max="12801" width="2.90625" style="22" customWidth="1"/>
    <col min="12802" max="12802" width="3.54296875" style="22" customWidth="1"/>
    <col min="12803" max="13047" width="9.08984375" style="22"/>
    <col min="13048" max="13048" width="8.6328125" style="22" customWidth="1"/>
    <col min="13049" max="13049" width="9.90625" style="22" customWidth="1"/>
    <col min="13050" max="13050" width="14.453125" style="22" customWidth="1"/>
    <col min="13051" max="13051" width="7.36328125" style="22" customWidth="1"/>
    <col min="13052" max="13052" width="5.54296875" style="22" customWidth="1"/>
    <col min="13053" max="13053" width="9" style="22" customWidth="1"/>
    <col min="13054" max="13055" width="9.90625" style="22" customWidth="1"/>
    <col min="13056" max="13056" width="11.08984375" style="22" customWidth="1"/>
    <col min="13057" max="13057" width="2.90625" style="22" customWidth="1"/>
    <col min="13058" max="13058" width="3.54296875" style="22" customWidth="1"/>
    <col min="13059" max="13303" width="9.08984375" style="22"/>
    <col min="13304" max="13304" width="8.6328125" style="22" customWidth="1"/>
    <col min="13305" max="13305" width="9.90625" style="22" customWidth="1"/>
    <col min="13306" max="13306" width="14.453125" style="22" customWidth="1"/>
    <col min="13307" max="13307" width="7.36328125" style="22" customWidth="1"/>
    <col min="13308" max="13308" width="5.54296875" style="22" customWidth="1"/>
    <col min="13309" max="13309" width="9" style="22" customWidth="1"/>
    <col min="13310" max="13311" width="9.90625" style="22" customWidth="1"/>
    <col min="13312" max="13312" width="11.08984375" style="22" customWidth="1"/>
    <col min="13313" max="13313" width="2.90625" style="22" customWidth="1"/>
    <col min="13314" max="13314" width="3.54296875" style="22" customWidth="1"/>
    <col min="13315" max="13559" width="9.08984375" style="22"/>
    <col min="13560" max="13560" width="8.6328125" style="22" customWidth="1"/>
    <col min="13561" max="13561" width="9.90625" style="22" customWidth="1"/>
    <col min="13562" max="13562" width="14.453125" style="22" customWidth="1"/>
    <col min="13563" max="13563" width="7.36328125" style="22" customWidth="1"/>
    <col min="13564" max="13564" width="5.54296875" style="22" customWidth="1"/>
    <col min="13565" max="13565" width="9" style="22" customWidth="1"/>
    <col min="13566" max="13567" width="9.90625" style="22" customWidth="1"/>
    <col min="13568" max="13568" width="11.08984375" style="22" customWidth="1"/>
    <col min="13569" max="13569" width="2.90625" style="22" customWidth="1"/>
    <col min="13570" max="13570" width="3.54296875" style="22" customWidth="1"/>
    <col min="13571" max="13815" width="9.08984375" style="22"/>
    <col min="13816" max="13816" width="8.6328125" style="22" customWidth="1"/>
    <col min="13817" max="13817" width="9.90625" style="22" customWidth="1"/>
    <col min="13818" max="13818" width="14.453125" style="22" customWidth="1"/>
    <col min="13819" max="13819" width="7.36328125" style="22" customWidth="1"/>
    <col min="13820" max="13820" width="5.54296875" style="22" customWidth="1"/>
    <col min="13821" max="13821" width="9" style="22" customWidth="1"/>
    <col min="13822" max="13823" width="9.90625" style="22" customWidth="1"/>
    <col min="13824" max="13824" width="11.08984375" style="22" customWidth="1"/>
    <col min="13825" max="13825" width="2.90625" style="22" customWidth="1"/>
    <col min="13826" max="13826" width="3.54296875" style="22" customWidth="1"/>
    <col min="13827" max="14071" width="9.08984375" style="22"/>
    <col min="14072" max="14072" width="8.6328125" style="22" customWidth="1"/>
    <col min="14073" max="14073" width="9.90625" style="22" customWidth="1"/>
    <col min="14074" max="14074" width="14.453125" style="22" customWidth="1"/>
    <col min="14075" max="14075" width="7.36328125" style="22" customWidth="1"/>
    <col min="14076" max="14076" width="5.54296875" style="22" customWidth="1"/>
    <col min="14077" max="14077" width="9" style="22" customWidth="1"/>
    <col min="14078" max="14079" width="9.90625" style="22" customWidth="1"/>
    <col min="14080" max="14080" width="11.08984375" style="22" customWidth="1"/>
    <col min="14081" max="14081" width="2.90625" style="22" customWidth="1"/>
    <col min="14082" max="14082" width="3.54296875" style="22" customWidth="1"/>
    <col min="14083" max="14327" width="9.08984375" style="22"/>
    <col min="14328" max="14328" width="8.6328125" style="22" customWidth="1"/>
    <col min="14329" max="14329" width="9.90625" style="22" customWidth="1"/>
    <col min="14330" max="14330" width="14.453125" style="22" customWidth="1"/>
    <col min="14331" max="14331" width="7.36328125" style="22" customWidth="1"/>
    <col min="14332" max="14332" width="5.54296875" style="22" customWidth="1"/>
    <col min="14333" max="14333" width="9" style="22" customWidth="1"/>
    <col min="14334" max="14335" width="9.90625" style="22" customWidth="1"/>
    <col min="14336" max="14336" width="11.08984375" style="22" customWidth="1"/>
    <col min="14337" max="14337" width="2.90625" style="22" customWidth="1"/>
    <col min="14338" max="14338" width="3.54296875" style="22" customWidth="1"/>
    <col min="14339" max="14583" width="9.08984375" style="22"/>
    <col min="14584" max="14584" width="8.6328125" style="22" customWidth="1"/>
    <col min="14585" max="14585" width="9.90625" style="22" customWidth="1"/>
    <col min="14586" max="14586" width="14.453125" style="22" customWidth="1"/>
    <col min="14587" max="14587" width="7.36328125" style="22" customWidth="1"/>
    <col min="14588" max="14588" width="5.54296875" style="22" customWidth="1"/>
    <col min="14589" max="14589" width="9" style="22" customWidth="1"/>
    <col min="14590" max="14591" width="9.90625" style="22" customWidth="1"/>
    <col min="14592" max="14592" width="11.08984375" style="22" customWidth="1"/>
    <col min="14593" max="14593" width="2.90625" style="22" customWidth="1"/>
    <col min="14594" max="14594" width="3.54296875" style="22" customWidth="1"/>
    <col min="14595" max="14839" width="9.08984375" style="22"/>
    <col min="14840" max="14840" width="8.6328125" style="22" customWidth="1"/>
    <col min="14841" max="14841" width="9.90625" style="22" customWidth="1"/>
    <col min="14842" max="14842" width="14.453125" style="22" customWidth="1"/>
    <col min="14843" max="14843" width="7.36328125" style="22" customWidth="1"/>
    <col min="14844" max="14844" width="5.54296875" style="22" customWidth="1"/>
    <col min="14845" max="14845" width="9" style="22" customWidth="1"/>
    <col min="14846" max="14847" width="9.90625" style="22" customWidth="1"/>
    <col min="14848" max="14848" width="11.08984375" style="22" customWidth="1"/>
    <col min="14849" max="14849" width="2.90625" style="22" customWidth="1"/>
    <col min="14850" max="14850" width="3.54296875" style="22" customWidth="1"/>
    <col min="14851" max="15095" width="9.08984375" style="22"/>
    <col min="15096" max="15096" width="8.6328125" style="22" customWidth="1"/>
    <col min="15097" max="15097" width="9.90625" style="22" customWidth="1"/>
    <col min="15098" max="15098" width="14.453125" style="22" customWidth="1"/>
    <col min="15099" max="15099" width="7.36328125" style="22" customWidth="1"/>
    <col min="15100" max="15100" width="5.54296875" style="22" customWidth="1"/>
    <col min="15101" max="15101" width="9" style="22" customWidth="1"/>
    <col min="15102" max="15103" width="9.90625" style="22" customWidth="1"/>
    <col min="15104" max="15104" width="11.08984375" style="22" customWidth="1"/>
    <col min="15105" max="15105" width="2.90625" style="22" customWidth="1"/>
    <col min="15106" max="15106" width="3.54296875" style="22" customWidth="1"/>
    <col min="15107" max="15351" width="9.08984375" style="22"/>
    <col min="15352" max="15352" width="8.6328125" style="22" customWidth="1"/>
    <col min="15353" max="15353" width="9.90625" style="22" customWidth="1"/>
    <col min="15354" max="15354" width="14.453125" style="22" customWidth="1"/>
    <col min="15355" max="15355" width="7.36328125" style="22" customWidth="1"/>
    <col min="15356" max="15356" width="5.54296875" style="22" customWidth="1"/>
    <col min="15357" max="15357" width="9" style="22" customWidth="1"/>
    <col min="15358" max="15359" width="9.90625" style="22" customWidth="1"/>
    <col min="15360" max="15360" width="11.08984375" style="22" customWidth="1"/>
    <col min="15361" max="15361" width="2.90625" style="22" customWidth="1"/>
    <col min="15362" max="15362" width="3.54296875" style="22" customWidth="1"/>
    <col min="15363" max="15607" width="9.08984375" style="22"/>
    <col min="15608" max="15608" width="8.6328125" style="22" customWidth="1"/>
    <col min="15609" max="15609" width="9.90625" style="22" customWidth="1"/>
    <col min="15610" max="15610" width="14.453125" style="22" customWidth="1"/>
    <col min="15611" max="15611" width="7.36328125" style="22" customWidth="1"/>
    <col min="15612" max="15612" width="5.54296875" style="22" customWidth="1"/>
    <col min="15613" max="15613" width="9" style="22" customWidth="1"/>
    <col min="15614" max="15615" width="9.90625" style="22" customWidth="1"/>
    <col min="15616" max="15616" width="11.08984375" style="22" customWidth="1"/>
    <col min="15617" max="15617" width="2.90625" style="22" customWidth="1"/>
    <col min="15618" max="15618" width="3.54296875" style="22" customWidth="1"/>
    <col min="15619" max="15863" width="9.08984375" style="22"/>
    <col min="15864" max="15864" width="8.6328125" style="22" customWidth="1"/>
    <col min="15865" max="15865" width="9.90625" style="22" customWidth="1"/>
    <col min="15866" max="15866" width="14.453125" style="22" customWidth="1"/>
    <col min="15867" max="15867" width="7.36328125" style="22" customWidth="1"/>
    <col min="15868" max="15868" width="5.54296875" style="22" customWidth="1"/>
    <col min="15869" max="15869" width="9" style="22" customWidth="1"/>
    <col min="15870" max="15871" width="9.90625" style="22" customWidth="1"/>
    <col min="15872" max="15872" width="11.08984375" style="22" customWidth="1"/>
    <col min="15873" max="15873" width="2.90625" style="22" customWidth="1"/>
    <col min="15874" max="15874" width="3.54296875" style="22" customWidth="1"/>
    <col min="15875" max="16119" width="9.08984375" style="22"/>
    <col min="16120" max="16120" width="8.6328125" style="22" customWidth="1"/>
    <col min="16121" max="16121" width="9.90625" style="22" customWidth="1"/>
    <col min="16122" max="16122" width="14.453125" style="22" customWidth="1"/>
    <col min="16123" max="16123" width="7.36328125" style="22" customWidth="1"/>
    <col min="16124" max="16124" width="5.54296875" style="22" customWidth="1"/>
    <col min="16125" max="16125" width="9" style="22" customWidth="1"/>
    <col min="16126" max="16127" width="9.90625" style="22" customWidth="1"/>
    <col min="16128" max="16128" width="11.08984375" style="22" customWidth="1"/>
    <col min="16129" max="16129" width="2.90625" style="22" customWidth="1"/>
    <col min="16130" max="16130" width="3.54296875" style="22" customWidth="1"/>
    <col min="16131" max="16384" width="9.08984375" style="22"/>
  </cols>
  <sheetData>
    <row r="1" spans="1:26" ht="46.5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26" ht="16.5" customHeight="1">
      <c r="A2" s="55" t="s">
        <v>1</v>
      </c>
      <c r="B2" s="55"/>
      <c r="C2" s="55"/>
      <c r="D2" s="55"/>
      <c r="E2" s="55"/>
      <c r="F2" s="55"/>
      <c r="G2" s="55"/>
      <c r="H2" s="55"/>
    </row>
    <row r="3" spans="1:26">
      <c r="A3" s="56" t="s">
        <v>2</v>
      </c>
      <c r="B3" s="56"/>
      <c r="C3" s="56"/>
      <c r="D3" s="56"/>
      <c r="E3" s="56" t="str">
        <f ca="1">TEXT(TODAY(),"DD/MM/YYYY")</f>
        <v>31/07/2025</v>
      </c>
      <c r="F3" s="56"/>
      <c r="G3" s="56"/>
      <c r="H3" s="56"/>
    </row>
    <row r="4" spans="1:26" ht="15" customHeight="1">
      <c r="A4" s="56" t="s">
        <v>3</v>
      </c>
      <c r="B4" s="56"/>
      <c r="C4" s="56"/>
      <c r="D4" s="56"/>
      <c r="E4" s="56" t="s">
        <v>4</v>
      </c>
      <c r="F4" s="56"/>
      <c r="G4" s="56"/>
      <c r="H4" s="56"/>
    </row>
    <row r="5" spans="1:26">
      <c r="A5" s="56" t="s">
        <v>5</v>
      </c>
      <c r="B5" s="56"/>
      <c r="C5" s="56"/>
      <c r="D5" s="56"/>
      <c r="E5" s="57">
        <v>45869</v>
      </c>
      <c r="F5" s="56"/>
      <c r="G5" s="56"/>
      <c r="H5" s="56"/>
    </row>
    <row r="6" spans="1:26" ht="16.5" customHeight="1">
      <c r="A6" s="56" t="s">
        <v>6</v>
      </c>
      <c r="B6" s="56"/>
      <c r="C6" s="56"/>
      <c r="D6" s="56"/>
      <c r="E6" s="58" t="s">
        <v>7</v>
      </c>
      <c r="F6" s="59"/>
      <c r="G6" s="59"/>
      <c r="H6" s="60"/>
    </row>
    <row r="7" spans="1:26" ht="15" customHeight="1">
      <c r="A7" s="56" t="s">
        <v>8</v>
      </c>
      <c r="B7" s="56"/>
      <c r="C7" s="56"/>
      <c r="D7" s="56"/>
      <c r="E7" s="56" t="str">
        <f>E6</f>
        <v>Siddhi Gaurav Enterprises</v>
      </c>
      <c r="F7" s="56"/>
      <c r="G7" s="56"/>
      <c r="H7" s="56"/>
    </row>
    <row r="8" spans="1:26">
      <c r="A8" s="56" t="s">
        <v>9</v>
      </c>
      <c r="B8" s="56"/>
      <c r="C8" s="56"/>
      <c r="D8" s="56"/>
      <c r="E8" s="61" t="s">
        <v>10</v>
      </c>
      <c r="F8" s="62"/>
      <c r="G8" s="62"/>
      <c r="H8" s="63"/>
    </row>
    <row r="9" spans="1:26">
      <c r="A9" s="56" t="s">
        <v>11</v>
      </c>
      <c r="B9" s="56"/>
      <c r="C9" s="56"/>
      <c r="D9" s="56"/>
      <c r="E9" s="58" t="s">
        <v>12</v>
      </c>
      <c r="F9" s="59"/>
      <c r="G9" s="59"/>
      <c r="H9" s="60"/>
    </row>
    <row r="10" spans="1:26">
      <c r="A10" s="56" t="s">
        <v>13</v>
      </c>
      <c r="B10" s="56"/>
      <c r="C10" s="56"/>
      <c r="D10" s="56"/>
      <c r="E10" s="56" t="s">
        <v>282</v>
      </c>
      <c r="F10" s="56"/>
      <c r="G10" s="56"/>
      <c r="H10" s="56"/>
    </row>
    <row r="11" spans="1:26">
      <c r="A11" s="56" t="s">
        <v>15</v>
      </c>
      <c r="B11" s="56"/>
      <c r="C11" s="56"/>
      <c r="D11" s="56"/>
      <c r="E11" s="56" t="s">
        <v>16</v>
      </c>
      <c r="F11" s="56"/>
      <c r="G11" s="56"/>
      <c r="H11" s="56"/>
    </row>
    <row r="12" spans="1:26">
      <c r="A12" s="56" t="s">
        <v>17</v>
      </c>
      <c r="B12" s="56"/>
      <c r="C12" s="56"/>
      <c r="D12" s="56"/>
      <c r="E12" s="56" t="s">
        <v>14</v>
      </c>
      <c r="F12" s="56"/>
      <c r="G12" s="56"/>
      <c r="H12" s="56"/>
      <c r="S12" s="2" t="s">
        <v>18</v>
      </c>
      <c r="T12" s="2" t="s">
        <v>19</v>
      </c>
      <c r="U12" s="2" t="s">
        <v>20</v>
      </c>
      <c r="V12" s="2" t="s">
        <v>21</v>
      </c>
      <c r="W12" s="2" t="s">
        <v>22</v>
      </c>
      <c r="X12"/>
      <c r="Y12" t="s">
        <v>21</v>
      </c>
      <c r="Z12" t="e">
        <f ca="1">OFFSET($S$12,1,MATCH($G19,$S$12:$W$12,0)-1,15,1)</f>
        <v>#VALUE!</v>
      </c>
    </row>
    <row r="13" spans="1:26">
      <c r="A13" s="64" t="s">
        <v>23</v>
      </c>
      <c r="B13" s="64"/>
      <c r="C13" s="64"/>
      <c r="D13" s="64"/>
      <c r="E13" s="65" t="s">
        <v>24</v>
      </c>
      <c r="F13" s="65"/>
      <c r="G13" s="65"/>
      <c r="H13" s="65"/>
      <c r="S13" s="2" t="s">
        <v>25</v>
      </c>
      <c r="T13" s="2" t="s">
        <v>26</v>
      </c>
      <c r="U13" s="2" t="s">
        <v>27</v>
      </c>
      <c r="V13" s="2" t="s">
        <v>28</v>
      </c>
      <c r="W13" s="2" t="s">
        <v>29</v>
      </c>
      <c r="X13"/>
      <c r="Y13"/>
      <c r="Z13"/>
    </row>
    <row r="14" spans="1:26">
      <c r="A14" s="64" t="s">
        <v>30</v>
      </c>
      <c r="B14" s="64"/>
      <c r="C14" s="64"/>
      <c r="D14" s="64"/>
      <c r="E14" s="65" t="s">
        <v>31</v>
      </c>
      <c r="F14" s="56"/>
      <c r="G14" s="56"/>
      <c r="H14" s="56"/>
      <c r="I14" s="66" t="e">
        <f ca="1">OFFSET($D$4,1,MATCH($J12,$D$4:$H$4,0)-1,15,1)</f>
        <v>#N/A</v>
      </c>
      <c r="J14" s="67"/>
      <c r="K14" s="67"/>
      <c r="L14" s="67"/>
      <c r="M14" s="67"/>
      <c r="N14" s="67"/>
      <c r="O14" s="67"/>
      <c r="P14" s="67"/>
      <c r="S14" s="2" t="s">
        <v>32</v>
      </c>
      <c r="T14" s="2" t="s">
        <v>33</v>
      </c>
      <c r="U14" s="2" t="s">
        <v>34</v>
      </c>
      <c r="V14" s="2" t="s">
        <v>35</v>
      </c>
      <c r="W14" s="2" t="s">
        <v>36</v>
      </c>
      <c r="X14"/>
      <c r="Y14"/>
      <c r="Z14"/>
    </row>
    <row r="15" spans="1:26" ht="48.75" customHeight="1">
      <c r="A15" s="68" t="s">
        <v>37</v>
      </c>
      <c r="B15" s="68"/>
      <c r="C15" s="6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Highland Park Building 2 ­ K25 Wing A, Survey No.79, H.No.1,2A,2B,3, S.No.80,1(PT)H.No.2A,2B,3,4,5,8,9 &amp; Others, near Twinkle Towers, Dhokali - Balkum Road, Kailash Nagar, Dhokali, Thane West, Thane, Thane  - 400607.</v>
      </c>
      <c r="D15" s="68"/>
      <c r="E15" s="68"/>
      <c r="F15" s="68"/>
      <c r="G15" s="68"/>
      <c r="H15" s="68"/>
      <c r="S15" s="2" t="s">
        <v>38</v>
      </c>
      <c r="T15" s="2" t="s">
        <v>39</v>
      </c>
      <c r="U15" s="2" t="s">
        <v>40</v>
      </c>
      <c r="V15" s="2" t="s">
        <v>41</v>
      </c>
      <c r="W15" s="2" t="s">
        <v>42</v>
      </c>
      <c r="X15"/>
      <c r="Y15"/>
      <c r="Z15"/>
    </row>
    <row r="16" spans="1:26">
      <c r="A16" s="65" t="s">
        <v>43</v>
      </c>
      <c r="B16" s="65"/>
      <c r="C16" s="65" t="s">
        <v>44</v>
      </c>
      <c r="D16" s="65"/>
      <c r="E16" s="65"/>
      <c r="F16" s="65"/>
      <c r="G16" s="65"/>
      <c r="H16" s="65"/>
      <c r="S16" s="2" t="s">
        <v>45</v>
      </c>
      <c r="T16" s="2" t="s">
        <v>46</v>
      </c>
      <c r="U16" s="2"/>
      <c r="V16" s="2" t="s">
        <v>47</v>
      </c>
      <c r="W16" s="2" t="s">
        <v>48</v>
      </c>
      <c r="X16"/>
      <c r="Y16"/>
      <c r="Z16"/>
    </row>
    <row r="17" spans="1:26" ht="15.75" customHeight="1">
      <c r="A17" s="65" t="s">
        <v>49</v>
      </c>
      <c r="B17" s="65"/>
      <c r="C17" s="65" t="s">
        <v>50</v>
      </c>
      <c r="D17" s="65"/>
      <c r="E17" s="65"/>
      <c r="F17" s="65"/>
      <c r="G17" s="65"/>
      <c r="H17" s="65"/>
      <c r="S17" s="2" t="s">
        <v>51</v>
      </c>
      <c r="T17" s="2" t="s">
        <v>19</v>
      </c>
      <c r="U17" s="2"/>
      <c r="V17" s="2" t="s">
        <v>52</v>
      </c>
      <c r="W17" s="2" t="s">
        <v>53</v>
      </c>
      <c r="X17"/>
      <c r="Y17"/>
      <c r="Z17"/>
    </row>
    <row r="18" spans="1:26" ht="15.75" customHeight="1">
      <c r="A18" s="68" t="s">
        <v>54</v>
      </c>
      <c r="B18" s="68"/>
      <c r="C18" s="56" t="s">
        <v>55</v>
      </c>
      <c r="D18" s="56"/>
      <c r="E18" s="68" t="s">
        <v>56</v>
      </c>
      <c r="F18" s="68"/>
      <c r="G18" s="65" t="s">
        <v>57</v>
      </c>
      <c r="H18" s="65"/>
      <c r="S18" s="2" t="s">
        <v>58</v>
      </c>
      <c r="T18" s="2" t="s">
        <v>59</v>
      </c>
      <c r="U18" s="2"/>
      <c r="V18" s="2" t="s">
        <v>60</v>
      </c>
      <c r="W18" s="2" t="s">
        <v>61</v>
      </c>
      <c r="X18"/>
      <c r="Y18"/>
      <c r="Z18"/>
    </row>
    <row r="19" spans="1:26">
      <c r="A19" s="64" t="s">
        <v>62</v>
      </c>
      <c r="B19" s="64"/>
      <c r="C19" s="65" t="s">
        <v>63</v>
      </c>
      <c r="D19" s="65"/>
      <c r="E19" s="65" t="s">
        <v>64</v>
      </c>
      <c r="F19" s="65"/>
      <c r="G19" s="69" t="s">
        <v>18</v>
      </c>
      <c r="H19" s="69"/>
      <c r="S19" s="2" t="s">
        <v>65</v>
      </c>
      <c r="T19" s="2" t="s">
        <v>66</v>
      </c>
      <c r="U19" s="2"/>
      <c r="V19" s="2" t="s">
        <v>67</v>
      </c>
      <c r="W19" s="2" t="s">
        <v>68</v>
      </c>
      <c r="X19"/>
      <c r="Y19"/>
      <c r="Z19"/>
    </row>
    <row r="20" spans="1:26">
      <c r="A20" s="64" t="s">
        <v>69</v>
      </c>
      <c r="B20" s="64"/>
      <c r="C20" s="65" t="s">
        <v>25</v>
      </c>
      <c r="D20" s="65"/>
      <c r="E20" s="65" t="s">
        <v>70</v>
      </c>
      <c r="F20" s="65"/>
      <c r="G20" s="65">
        <v>400607</v>
      </c>
      <c r="H20" s="65"/>
      <c r="S20" s="2"/>
      <c r="T20" s="2"/>
      <c r="U20" s="2"/>
      <c r="V20" s="2" t="s">
        <v>71</v>
      </c>
      <c r="W20" s="2" t="s">
        <v>72</v>
      </c>
      <c r="X20"/>
      <c r="Y20"/>
      <c r="Z20"/>
    </row>
    <row r="21" spans="1:26" ht="32.25" customHeight="1">
      <c r="A21" s="64" t="s">
        <v>73</v>
      </c>
      <c r="B21" s="64"/>
      <c r="C21" s="65" t="s">
        <v>74</v>
      </c>
      <c r="D21" s="65"/>
      <c r="E21" s="65" t="s">
        <v>75</v>
      </c>
      <c r="F21" s="65"/>
      <c r="G21" s="65" t="s">
        <v>76</v>
      </c>
      <c r="H21" s="65"/>
      <c r="S21" s="2"/>
      <c r="T21" s="2"/>
      <c r="U21" s="2"/>
      <c r="V21" s="2" t="s">
        <v>77</v>
      </c>
      <c r="W21" s="2" t="s">
        <v>78</v>
      </c>
      <c r="X21"/>
      <c r="Y21"/>
      <c r="Z21"/>
    </row>
    <row r="22" spans="1:26" ht="15" customHeight="1">
      <c r="A22" s="68" t="s">
        <v>79</v>
      </c>
      <c r="B22" s="68"/>
      <c r="C22" s="68"/>
      <c r="D22" s="68"/>
      <c r="E22" s="56" t="s">
        <v>80</v>
      </c>
      <c r="F22" s="56"/>
      <c r="G22" s="56"/>
      <c r="H22" s="56"/>
      <c r="S22" s="2"/>
      <c r="T22" s="2"/>
      <c r="U22" s="2"/>
      <c r="V22" s="2" t="s">
        <v>81</v>
      </c>
      <c r="W22" s="2" t="s">
        <v>82</v>
      </c>
      <c r="X22"/>
      <c r="Y22"/>
      <c r="Z22"/>
    </row>
    <row r="23" spans="1:26" ht="18.75" customHeight="1">
      <c r="A23" s="68"/>
      <c r="B23" s="68"/>
      <c r="C23" s="68"/>
      <c r="D23" s="68"/>
      <c r="E23" s="56"/>
      <c r="F23" s="56"/>
      <c r="G23" s="56"/>
      <c r="H23" s="56"/>
      <c r="S23" s="2"/>
      <c r="T23" s="2"/>
      <c r="U23" s="2"/>
      <c r="V23" s="2" t="s">
        <v>83</v>
      </c>
      <c r="W23" s="2" t="s">
        <v>84</v>
      </c>
      <c r="X23"/>
      <c r="Y23"/>
      <c r="Z23"/>
    </row>
    <row r="24" spans="1:26" ht="15" customHeight="1">
      <c r="A24" s="68" t="s">
        <v>85</v>
      </c>
      <c r="B24" s="68"/>
      <c r="C24" s="68"/>
      <c r="D24" s="68"/>
      <c r="E24" s="65" t="s">
        <v>86</v>
      </c>
      <c r="F24" s="65"/>
      <c r="G24" s="65"/>
      <c r="H24" s="65"/>
      <c r="S24" s="2"/>
      <c r="T24" s="2"/>
      <c r="U24" s="2"/>
      <c r="V24" s="2" t="s">
        <v>87</v>
      </c>
      <c r="W24" s="2" t="s">
        <v>88</v>
      </c>
      <c r="X24"/>
      <c r="Y24"/>
      <c r="Z24"/>
    </row>
    <row r="25" spans="1:26" ht="15" customHeight="1">
      <c r="A25" s="64" t="s">
        <v>89</v>
      </c>
      <c r="B25" s="64"/>
      <c r="C25" s="64"/>
      <c r="D25" s="64"/>
      <c r="E25" s="65" t="str">
        <f>IF(AND(G19="Mumbai"),"Upper Class","Middle Class")</f>
        <v>Middle Class</v>
      </c>
      <c r="F25" s="65"/>
      <c r="G25" s="65"/>
      <c r="H25" s="65"/>
      <c r="S25" s="2"/>
      <c r="T25" s="2"/>
      <c r="U25" s="2"/>
      <c r="V25" s="2" t="s">
        <v>90</v>
      </c>
      <c r="W25" s="2" t="s">
        <v>91</v>
      </c>
      <c r="X25"/>
      <c r="Y25"/>
      <c r="Z25"/>
    </row>
    <row r="26" spans="1:26">
      <c r="A26" s="64" t="s">
        <v>92</v>
      </c>
      <c r="B26" s="64"/>
      <c r="C26" s="64"/>
      <c r="D26" s="64"/>
      <c r="E26" s="65" t="s">
        <v>93</v>
      </c>
      <c r="F26" s="65"/>
      <c r="G26" s="65"/>
      <c r="H26" s="65"/>
      <c r="S26" s="2"/>
      <c r="T26" s="2"/>
      <c r="U26" s="2"/>
      <c r="V26" s="2" t="s">
        <v>94</v>
      </c>
      <c r="W26" s="2" t="s">
        <v>95</v>
      </c>
      <c r="X26"/>
      <c r="Y26"/>
      <c r="Z26"/>
    </row>
    <row r="27" spans="1:26" ht="15.75" customHeight="1">
      <c r="A27" s="64" t="s">
        <v>96</v>
      </c>
      <c r="B27" s="64"/>
      <c r="C27" s="64"/>
      <c r="D27" s="64"/>
      <c r="E27" s="65" t="str">
        <f>IF(AND(G19="Mumbai"),"Developed","Developing")</f>
        <v>Developing</v>
      </c>
      <c r="F27" s="65"/>
      <c r="G27" s="65"/>
      <c r="H27" s="65"/>
    </row>
    <row r="28" spans="1:26">
      <c r="A28" s="64" t="s">
        <v>97</v>
      </c>
      <c r="B28" s="64"/>
      <c r="C28" s="64"/>
      <c r="D28" s="64"/>
      <c r="E28" s="65" t="s">
        <v>98</v>
      </c>
      <c r="F28" s="65"/>
      <c r="G28" s="65"/>
      <c r="H28" s="65"/>
    </row>
    <row r="29" spans="1:26" ht="15.75" customHeight="1">
      <c r="A29" s="64" t="s">
        <v>99</v>
      </c>
      <c r="B29" s="64"/>
      <c r="C29" s="64"/>
      <c r="D29" s="64"/>
      <c r="E29" s="65" t="s">
        <v>100</v>
      </c>
      <c r="F29" s="65"/>
      <c r="G29" s="65"/>
      <c r="H29" s="65"/>
    </row>
    <row r="30" spans="1:26" ht="15" customHeight="1">
      <c r="A30" s="64" t="s">
        <v>101</v>
      </c>
      <c r="B30" s="64"/>
      <c r="C30" s="64"/>
      <c r="D30" s="64"/>
      <c r="E30" s="6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5"/>
      <c r="G30" s="65"/>
      <c r="H30" s="65"/>
    </row>
    <row r="31" spans="1:26" ht="15.75" customHeight="1">
      <c r="A31" s="64" t="s">
        <v>102</v>
      </c>
      <c r="B31" s="64"/>
      <c r="C31" s="64"/>
      <c r="D31" s="64"/>
      <c r="E31" s="65" t="s">
        <v>103</v>
      </c>
      <c r="F31" s="65"/>
      <c r="G31" s="65"/>
      <c r="H31" s="65"/>
    </row>
    <row r="32" spans="1:26" s="15" customFormat="1">
      <c r="A32" s="70" t="s">
        <v>104</v>
      </c>
      <c r="B32" s="70"/>
      <c r="C32" s="71" t="s">
        <v>105</v>
      </c>
      <c r="D32" s="72"/>
      <c r="E32" s="73"/>
      <c r="F32" s="71" t="s">
        <v>106</v>
      </c>
      <c r="G32" s="72"/>
      <c r="H32" s="73"/>
    </row>
    <row r="33" spans="1:8" s="15" customFormat="1">
      <c r="A33" s="74" t="s">
        <v>107</v>
      </c>
      <c r="B33" s="74" t="s">
        <v>14</v>
      </c>
      <c r="C33" s="75" t="s">
        <v>108</v>
      </c>
      <c r="D33" s="76"/>
      <c r="E33" s="77"/>
      <c r="F33" s="75" t="s">
        <v>109</v>
      </c>
      <c r="G33" s="76"/>
      <c r="H33" s="77"/>
    </row>
    <row r="34" spans="1:8">
      <c r="A34" s="74" t="s">
        <v>110</v>
      </c>
      <c r="B34" s="74" t="s">
        <v>14</v>
      </c>
      <c r="C34" s="75" t="s">
        <v>111</v>
      </c>
      <c r="D34" s="76"/>
      <c r="E34" s="77"/>
      <c r="F34" s="75" t="s">
        <v>74</v>
      </c>
      <c r="G34" s="76"/>
      <c r="H34" s="77"/>
    </row>
    <row r="35" spans="1:8" s="15" customFormat="1">
      <c r="A35" s="74" t="s">
        <v>112</v>
      </c>
      <c r="B35" s="74" t="s">
        <v>14</v>
      </c>
      <c r="C35" s="75" t="s">
        <v>54</v>
      </c>
      <c r="D35" s="76"/>
      <c r="E35" s="77"/>
      <c r="F35" s="75" t="s">
        <v>113</v>
      </c>
      <c r="G35" s="76"/>
      <c r="H35" s="77"/>
    </row>
    <row r="36" spans="1:8">
      <c r="A36" s="74" t="s">
        <v>114</v>
      </c>
      <c r="B36" s="74" t="s">
        <v>14</v>
      </c>
      <c r="C36" s="75" t="s">
        <v>115</v>
      </c>
      <c r="D36" s="76"/>
      <c r="E36" s="77"/>
      <c r="F36" s="75" t="s">
        <v>109</v>
      </c>
      <c r="G36" s="76"/>
      <c r="H36" s="77"/>
    </row>
    <row r="37" spans="1:8">
      <c r="A37" s="64" t="s">
        <v>116</v>
      </c>
      <c r="B37" s="64"/>
      <c r="C37" s="64"/>
      <c r="D37" s="64"/>
      <c r="E37" s="64"/>
      <c r="F37" s="64"/>
      <c r="G37" s="64"/>
      <c r="H37" s="64"/>
    </row>
    <row r="38" spans="1:8" ht="15.75" customHeight="1">
      <c r="A38" s="78" t="s">
        <v>117</v>
      </c>
      <c r="B38" s="78"/>
      <c r="C38" s="79" t="s">
        <v>118</v>
      </c>
      <c r="D38" s="80"/>
      <c r="E38" s="80"/>
      <c r="F38" s="80"/>
      <c r="G38" s="80"/>
      <c r="H38" s="81"/>
    </row>
    <row r="39" spans="1:8">
      <c r="A39" s="78" t="s">
        <v>119</v>
      </c>
      <c r="B39" s="78"/>
      <c r="C39" s="82" t="s">
        <v>120</v>
      </c>
      <c r="D39" s="83"/>
      <c r="E39" s="83"/>
      <c r="F39" s="83"/>
      <c r="G39" s="83"/>
      <c r="H39" s="84"/>
    </row>
    <row r="40" spans="1:8">
      <c r="A40" s="78" t="s">
        <v>121</v>
      </c>
      <c r="B40" s="78"/>
      <c r="C40" s="78"/>
      <c r="D40" s="78"/>
      <c r="E40" s="78"/>
      <c r="F40" s="78"/>
      <c r="G40" s="78"/>
      <c r="H40" s="78"/>
    </row>
    <row r="41" spans="1:8">
      <c r="A41" s="64" t="s">
        <v>122</v>
      </c>
      <c r="B41" s="64"/>
      <c r="C41" s="64"/>
      <c r="D41" s="64"/>
      <c r="E41" s="85">
        <v>53952.36</v>
      </c>
      <c r="F41" s="85"/>
      <c r="G41" s="85"/>
      <c r="H41" s="85"/>
    </row>
    <row r="42" spans="1:8">
      <c r="A42" s="64" t="s">
        <v>123</v>
      </c>
      <c r="B42" s="64"/>
      <c r="C42" s="64"/>
      <c r="D42" s="64"/>
      <c r="E42" s="86">
        <v>1.1000000000000001</v>
      </c>
      <c r="F42" s="86"/>
      <c r="G42" s="86"/>
      <c r="H42" s="86"/>
    </row>
    <row r="43" spans="1:8">
      <c r="A43" s="64" t="s">
        <v>124</v>
      </c>
      <c r="B43" s="64"/>
      <c r="C43" s="64"/>
      <c r="D43" s="64"/>
      <c r="E43" s="86">
        <f>E45/E41-E42</f>
        <v>0.45804176128717988</v>
      </c>
      <c r="F43" s="86"/>
      <c r="G43" s="86"/>
      <c r="H43" s="86"/>
    </row>
    <row r="44" spans="1:8">
      <c r="A44" s="64" t="s">
        <v>125</v>
      </c>
      <c r="B44" s="64"/>
      <c r="C44" s="64"/>
      <c r="D44" s="64"/>
      <c r="E44" s="86">
        <f>E42+E43</f>
        <v>1.55804176128718</v>
      </c>
      <c r="F44" s="86"/>
      <c r="G44" s="86"/>
      <c r="H44" s="86"/>
    </row>
    <row r="45" spans="1:8">
      <c r="A45" s="64" t="s">
        <v>126</v>
      </c>
      <c r="B45" s="64"/>
      <c r="C45" s="64"/>
      <c r="D45" s="64"/>
      <c r="E45" s="87">
        <v>84060.03</v>
      </c>
      <c r="F45" s="87"/>
      <c r="G45" s="87"/>
      <c r="H45" s="87"/>
    </row>
    <row r="46" spans="1:8">
      <c r="A46" s="56" t="s">
        <v>127</v>
      </c>
      <c r="B46" s="56"/>
      <c r="C46" s="56"/>
      <c r="D46" s="56"/>
      <c r="E46" s="56" t="s">
        <v>128</v>
      </c>
      <c r="F46" s="56"/>
      <c r="G46" s="56"/>
      <c r="H46" s="56"/>
    </row>
    <row r="47" spans="1:8">
      <c r="A47" s="78" t="s">
        <v>129</v>
      </c>
      <c r="B47" s="78"/>
      <c r="C47" s="78"/>
      <c r="D47" s="78"/>
      <c r="E47" s="78"/>
      <c r="F47" s="78"/>
      <c r="G47" s="78"/>
      <c r="H47" s="78"/>
    </row>
    <row r="48" spans="1:8" ht="33.75" customHeight="1">
      <c r="A48" s="79" t="s">
        <v>130</v>
      </c>
      <c r="B48" s="81"/>
      <c r="C48" s="88" t="s">
        <v>131</v>
      </c>
      <c r="D48" s="62"/>
      <c r="E48" s="62"/>
      <c r="F48" s="62"/>
      <c r="G48" s="62"/>
      <c r="H48" s="63"/>
    </row>
    <row r="49" spans="1:14">
      <c r="A49" s="79" t="s">
        <v>132</v>
      </c>
      <c r="B49" s="81"/>
      <c r="C49" s="89" t="s">
        <v>133</v>
      </c>
      <c r="D49" s="90"/>
      <c r="E49" s="91"/>
      <c r="F49" s="23" t="s">
        <v>134</v>
      </c>
      <c r="G49" s="92">
        <v>44817</v>
      </c>
      <c r="H49" s="93"/>
    </row>
    <row r="50" spans="1:14">
      <c r="A50" s="79" t="s">
        <v>135</v>
      </c>
      <c r="B50" s="81"/>
      <c r="C50" s="89" t="str">
        <f>C49</f>
        <v>S05/0085/14TMC/TP-DP/TPS/4192/22</v>
      </c>
      <c r="D50" s="90"/>
      <c r="E50" s="91"/>
      <c r="F50" s="23" t="s">
        <v>134</v>
      </c>
      <c r="G50" s="92">
        <f>G49</f>
        <v>44817</v>
      </c>
      <c r="H50" s="93"/>
    </row>
    <row r="51" spans="1:14" s="16" customFormat="1">
      <c r="A51" s="79" t="s">
        <v>136</v>
      </c>
      <c r="B51" s="81"/>
      <c r="C51" s="79" t="s">
        <v>137</v>
      </c>
      <c r="D51" s="80"/>
      <c r="E51" s="81"/>
      <c r="F51" s="23" t="s">
        <v>134</v>
      </c>
      <c r="G51" s="92">
        <f>G50</f>
        <v>44817</v>
      </c>
      <c r="H51" s="93"/>
    </row>
    <row r="52" spans="1:14" s="16" customFormat="1" ht="33.75" customHeight="1">
      <c r="A52" s="94" t="s">
        <v>138</v>
      </c>
      <c r="B52" s="95"/>
      <c r="C52" s="79" t="s">
        <v>139</v>
      </c>
      <c r="D52" s="80"/>
      <c r="E52" s="80"/>
      <c r="F52" s="80"/>
      <c r="G52" s="80"/>
      <c r="H52" s="81"/>
    </row>
    <row r="53" spans="1:14">
      <c r="A53" s="96" t="s">
        <v>140</v>
      </c>
      <c r="B53" s="97"/>
      <c r="C53" s="96" t="s">
        <v>141</v>
      </c>
      <c r="D53" s="98"/>
      <c r="E53" s="97"/>
      <c r="F53" s="24" t="s">
        <v>134</v>
      </c>
      <c r="G53" s="99" t="s">
        <v>14</v>
      </c>
      <c r="H53" s="100"/>
    </row>
    <row r="54" spans="1:14">
      <c r="A54" s="101" t="s">
        <v>142</v>
      </c>
      <c r="B54" s="101"/>
      <c r="C54" s="101"/>
      <c r="D54" s="101"/>
      <c r="E54" s="101"/>
      <c r="F54" s="101"/>
      <c r="G54" s="101"/>
      <c r="H54" s="101"/>
    </row>
    <row r="55" spans="1:14">
      <c r="A55" s="68" t="s">
        <v>143</v>
      </c>
      <c r="B55" s="68"/>
      <c r="C55" s="68"/>
      <c r="D55" s="64">
        <v>16907.400000000001</v>
      </c>
      <c r="E55" s="64"/>
      <c r="F55" s="64"/>
      <c r="G55" s="64"/>
      <c r="H55" s="64"/>
    </row>
    <row r="56" spans="1:14">
      <c r="A56" s="65" t="s">
        <v>144</v>
      </c>
      <c r="B56" s="56"/>
      <c r="C56" s="56"/>
      <c r="D56" s="56" t="s">
        <v>145</v>
      </c>
      <c r="E56" s="56"/>
      <c r="F56" s="56"/>
      <c r="G56" s="56"/>
      <c r="H56" s="56"/>
      <c r="I56" s="25"/>
    </row>
    <row r="57" spans="1:14">
      <c r="A57" s="102" t="s">
        <v>146</v>
      </c>
      <c r="B57" s="103"/>
      <c r="C57" s="104"/>
      <c r="D57" s="105" t="s">
        <v>147</v>
      </c>
      <c r="E57" s="106"/>
      <c r="F57" s="106"/>
      <c r="G57" s="106"/>
      <c r="H57" s="106"/>
    </row>
    <row r="58" spans="1:14" ht="15.75" customHeight="1">
      <c r="A58" s="102" t="s">
        <v>148</v>
      </c>
      <c r="B58" s="103"/>
      <c r="C58" s="103"/>
      <c r="D58" s="56" t="s">
        <v>149</v>
      </c>
      <c r="E58" s="56"/>
      <c r="F58" s="56"/>
      <c r="G58" s="56"/>
      <c r="H58" s="56"/>
    </row>
    <row r="59" spans="1:14" ht="15.75" customHeight="1">
      <c r="A59" s="64" t="s">
        <v>150</v>
      </c>
      <c r="B59" s="64"/>
      <c r="C59" s="64"/>
      <c r="D59" s="107" t="s">
        <v>281</v>
      </c>
      <c r="E59" s="107"/>
      <c r="F59" s="107"/>
      <c r="G59" s="107"/>
      <c r="H59" s="107"/>
      <c r="J59" s="26"/>
      <c r="K59" s="25"/>
      <c r="N59" s="25"/>
    </row>
    <row r="60" spans="1:14" ht="15.75" customHeight="1">
      <c r="A60" s="64" t="s">
        <v>151</v>
      </c>
      <c r="B60" s="64"/>
      <c r="C60" s="64"/>
      <c r="D60" s="108" t="str">
        <f>(IF(G53="NA","60 Years After Completion",IF(G53&lt;&gt;"NA",""&amp;60-ROUNDDOWN((E3-G53)/360,0)&amp;" Years"," ")))</f>
        <v>60 Years After Completion</v>
      </c>
      <c r="E60" s="108"/>
      <c r="F60" s="108"/>
      <c r="G60" s="108"/>
      <c r="H60" s="108"/>
      <c r="N60" s="25"/>
    </row>
    <row r="61" spans="1:14" ht="15.75" customHeight="1">
      <c r="A61" s="64" t="s">
        <v>152</v>
      </c>
      <c r="B61" s="64"/>
      <c r="C61" s="64"/>
      <c r="D61" s="68" t="s">
        <v>98</v>
      </c>
      <c r="E61" s="68"/>
      <c r="F61" s="68"/>
      <c r="G61" s="68"/>
      <c r="H61" s="68"/>
      <c r="J61" s="27"/>
      <c r="K61" s="27"/>
    </row>
    <row r="62" spans="1:14">
      <c r="A62" s="56" t="s">
        <v>153</v>
      </c>
      <c r="B62" s="56"/>
      <c r="C62" s="56"/>
      <c r="D62" s="65" t="s">
        <v>154</v>
      </c>
      <c r="E62" s="68"/>
      <c r="F62" s="68"/>
      <c r="G62" s="68"/>
      <c r="H62" s="68"/>
    </row>
    <row r="63" spans="1:14">
      <c r="A63" s="68" t="s">
        <v>155</v>
      </c>
      <c r="B63" s="68"/>
      <c r="C63" s="68"/>
      <c r="D63" s="68" t="s">
        <v>14</v>
      </c>
      <c r="E63" s="68"/>
      <c r="F63" s="68"/>
      <c r="G63" s="68"/>
      <c r="H63" s="68"/>
      <c r="I63" s="28"/>
      <c r="J63" s="28"/>
      <c r="K63" s="28"/>
      <c r="L63" s="28"/>
      <c r="M63" s="28"/>
      <c r="N63" s="28"/>
    </row>
    <row r="64" spans="1:14" ht="15.75" customHeight="1">
      <c r="A64" s="64" t="s">
        <v>156</v>
      </c>
      <c r="B64" s="64"/>
      <c r="C64" s="64"/>
      <c r="D64" s="65" t="str">
        <f>(IF(G70&gt;95%,"Nothing",IF(G70&gt;0%,"Cement, Aggregate, Steel, etc",IF(G70=0%,"Work not yet Started"))))</f>
        <v>Cement, Aggregate, Steel, etc</v>
      </c>
      <c r="E64" s="65"/>
      <c r="F64" s="65"/>
      <c r="G64" s="65"/>
      <c r="H64" s="65"/>
      <c r="J64" s="27"/>
    </row>
    <row r="65" spans="1:12" ht="33.75" customHeight="1">
      <c r="A65" s="68" t="s">
        <v>157</v>
      </c>
      <c r="B65" s="68"/>
      <c r="C65" s="68"/>
      <c r="D65" s="65" t="str">
        <f>(IF(D64="Nothing","Yes",IF(D64="Cement, Aggregate, Steel, etc","Under Construction",IF(D64="Work not yet Started","Work not yet Started"))))</f>
        <v>Under Construction</v>
      </c>
      <c r="E65" s="65"/>
      <c r="F65" s="65" t="str">
        <f>(IF(D64="Nothing","Yes",IF(D64="Cement, Aggregate, Steel, etc","Under Construction",IF(D64="Work not yet Started","Work not yet Started"))))</f>
        <v>Under Construction</v>
      </c>
      <c r="G65" s="65"/>
      <c r="H65" s="65"/>
    </row>
    <row r="66" spans="1:12" s="16" customFormat="1" ht="15.75" customHeight="1">
      <c r="A66" s="109" t="s">
        <v>158</v>
      </c>
      <c r="B66" s="109"/>
      <c r="C66" s="109" t="str">
        <f>D58</f>
        <v>A Wing = 2P + G + 1st to 32nd Floor</v>
      </c>
      <c r="D66" s="109"/>
      <c r="E66" s="109"/>
      <c r="F66" s="109"/>
      <c r="G66" s="109"/>
      <c r="H66" s="109"/>
      <c r="I66" s="171" t="str">
        <f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31 Floor, Flooring upto 20 Floor, Painting upto 10 Floor Completed</v>
      </c>
      <c r="J66" s="39" t="str">
        <f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31 Floor, Flooring upto 20 Floor, Painting upto 10 Floor</v>
      </c>
    </row>
    <row r="67" spans="1:12" s="16" customFormat="1">
      <c r="A67" s="29" t="s">
        <v>159</v>
      </c>
      <c r="B67" s="29">
        <v>2</v>
      </c>
      <c r="C67" s="29" t="s">
        <v>160</v>
      </c>
      <c r="D67" s="29">
        <v>1</v>
      </c>
      <c r="E67" s="29" t="s">
        <v>161</v>
      </c>
      <c r="F67" s="29">
        <v>0</v>
      </c>
      <c r="G67" s="29" t="s">
        <v>162</v>
      </c>
      <c r="H67" s="29">
        <v>32</v>
      </c>
      <c r="I67" s="172" t="str">
        <f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0" t="str">
        <f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2" s="16" customFormat="1" ht="48.75" customHeight="1">
      <c r="A68" s="61" t="s">
        <v>163</v>
      </c>
      <c r="B68" s="61"/>
      <c r="C68" s="109" t="str">
        <f>I66</f>
        <v>Excavation, Plinth, RCC Slab, Brickwork, Internal Plaster Completed, External Plaster upto 31 Floor, Flooring upto 20 Floor, Painting upto 10 Floor Completed</v>
      </c>
      <c r="D68" s="109"/>
      <c r="E68" s="109"/>
      <c r="F68" s="109"/>
      <c r="G68" s="109"/>
      <c r="H68" s="109"/>
      <c r="I68" s="172" t="str">
        <f>IF(I67&lt;&gt;""," Completed","")</f>
        <v xml:space="preserve"> Completed</v>
      </c>
      <c r="J68" s="40" t="str">
        <f>IF(J66&lt;&gt;"","Completed","")</f>
        <v>Completed</v>
      </c>
    </row>
    <row r="69" spans="1:12" s="16" customFormat="1" ht="15.75" customHeight="1">
      <c r="A69" s="110" t="s">
        <v>164</v>
      </c>
      <c r="B69" s="111"/>
      <c r="C69" s="30" t="s">
        <v>165</v>
      </c>
      <c r="D69" s="30" t="s">
        <v>166</v>
      </c>
      <c r="E69" s="111" t="s">
        <v>167</v>
      </c>
      <c r="F69" s="111"/>
      <c r="G69" s="111" t="s">
        <v>168</v>
      </c>
      <c r="H69" s="112"/>
      <c r="I69" s="41" t="s">
        <v>169</v>
      </c>
      <c r="J69" s="42">
        <f>H67*25%</f>
        <v>8</v>
      </c>
    </row>
    <row r="70" spans="1:12" s="16" customFormat="1">
      <c r="A70" s="110" t="s">
        <v>170</v>
      </c>
      <c r="B70" s="111"/>
      <c r="C70" s="30">
        <f>J71</f>
        <v>32</v>
      </c>
      <c r="D70" s="31">
        <f>((100/H67)*C70)/100</f>
        <v>1</v>
      </c>
      <c r="E70" s="118">
        <f>(((C71/H67*10)+(40/(D67+F67+H67)*C72)+(7.5/(H67)*C73)+(7.5/(H67)*C74)+(10/H67*C75)+(10/H67*C76)+(5/H67*C77)+(5/H67*C78)+(5/H67*C79))/100)</f>
        <v>0.82499999999999996</v>
      </c>
      <c r="F70" s="119"/>
      <c r="G70" s="118">
        <f>((((C70/H67)*20)+((C71/H67)*25)+(30/(H67+F67+D67)*C72)+(5/H67*C73)+(5/H67*C74)+(5/H67*C75)+(5/H67*C76)+(0/H67*C77)+(0/H67*C78)+(5/H67*C79))/100)</f>
        <v>0.9296875</v>
      </c>
      <c r="H70" s="124"/>
      <c r="I70" s="41" t="s">
        <v>171</v>
      </c>
      <c r="J70" s="43">
        <f>H67*50%</f>
        <v>16</v>
      </c>
    </row>
    <row r="71" spans="1:12" s="16" customFormat="1">
      <c r="A71" s="110" t="s">
        <v>172</v>
      </c>
      <c r="B71" s="111"/>
      <c r="C71" s="30">
        <f>J79</f>
        <v>32</v>
      </c>
      <c r="D71" s="31">
        <f>((100/H67)*C71)/100</f>
        <v>1</v>
      </c>
      <c r="E71" s="120"/>
      <c r="F71" s="121"/>
      <c r="G71" s="120"/>
      <c r="H71" s="125"/>
      <c r="I71" s="41" t="s">
        <v>173</v>
      </c>
      <c r="J71" s="43">
        <f>H67</f>
        <v>32</v>
      </c>
    </row>
    <row r="72" spans="1:12" s="16" customFormat="1" ht="15.75" customHeight="1">
      <c r="A72" s="110" t="s">
        <v>174</v>
      </c>
      <c r="B72" s="111"/>
      <c r="C72" s="30">
        <v>33</v>
      </c>
      <c r="D72" s="31">
        <f>((100/(D67+F67+H67))*C72)/100</f>
        <v>1</v>
      </c>
      <c r="E72" s="120"/>
      <c r="F72" s="121"/>
      <c r="G72" s="120"/>
      <c r="H72" s="125"/>
      <c r="I72" s="41" t="s">
        <v>175</v>
      </c>
      <c r="J72" s="44">
        <f>(IF(B67&gt;1,(H67/(B67+2)),H67/4))</f>
        <v>8</v>
      </c>
    </row>
    <row r="73" spans="1:12" s="16" customFormat="1" ht="15.75" customHeight="1">
      <c r="A73" s="110" t="s">
        <v>176</v>
      </c>
      <c r="B73" s="111" t="s">
        <v>177</v>
      </c>
      <c r="C73" s="30">
        <f>C72-F67-D67</f>
        <v>32</v>
      </c>
      <c r="D73" s="31">
        <f>((100/H67)*C73)/100</f>
        <v>1</v>
      </c>
      <c r="E73" s="120"/>
      <c r="F73" s="121"/>
      <c r="G73" s="120"/>
      <c r="H73" s="125"/>
      <c r="I73" s="41" t="s">
        <v>178</v>
      </c>
      <c r="J73" s="44">
        <f>(IF(B67&gt;1,(H67/(B67+2)+J72),H67/4+J72))</f>
        <v>16</v>
      </c>
    </row>
    <row r="74" spans="1:12" s="16" customFormat="1" ht="15.75" customHeight="1">
      <c r="A74" s="110" t="s">
        <v>179</v>
      </c>
      <c r="B74" s="111" t="s">
        <v>177</v>
      </c>
      <c r="C74" s="32">
        <v>32</v>
      </c>
      <c r="D74" s="31">
        <f>((100/H67)*C74)/100</f>
        <v>1</v>
      </c>
      <c r="E74" s="120"/>
      <c r="F74" s="121"/>
      <c r="G74" s="120"/>
      <c r="H74" s="125"/>
      <c r="I74" s="41" t="s">
        <v>180</v>
      </c>
      <c r="J74" s="44">
        <f>(IF(B67&gt;1,(H67/(B67+2)+J73),0))</f>
        <v>24</v>
      </c>
      <c r="L74" s="16">
        <f>31-2</f>
        <v>29</v>
      </c>
    </row>
    <row r="75" spans="1:12" s="16" customFormat="1" ht="15" customHeight="1">
      <c r="A75" s="110" t="s">
        <v>181</v>
      </c>
      <c r="B75" s="111" t="s">
        <v>182</v>
      </c>
      <c r="C75" s="32">
        <v>31</v>
      </c>
      <c r="D75" s="31">
        <f>((100/(H67))*C75)/100</f>
        <v>0.96875</v>
      </c>
      <c r="E75" s="120"/>
      <c r="F75" s="121"/>
      <c r="G75" s="120"/>
      <c r="H75" s="125"/>
      <c r="I75" s="41" t="s">
        <v>183</v>
      </c>
      <c r="J75" s="44">
        <f>(IF(B67&gt;2,(H67/(B67+2)+J74),0))</f>
        <v>0</v>
      </c>
    </row>
    <row r="76" spans="1:12" s="16" customFormat="1" ht="15.75" customHeight="1">
      <c r="A76" s="110" t="s">
        <v>184</v>
      </c>
      <c r="B76" s="111" t="s">
        <v>184</v>
      </c>
      <c r="C76" s="30">
        <v>20</v>
      </c>
      <c r="D76" s="31">
        <f>((100/H67)*C76)/100</f>
        <v>0.625</v>
      </c>
      <c r="E76" s="120"/>
      <c r="F76" s="121"/>
      <c r="G76" s="120"/>
      <c r="H76" s="125"/>
      <c r="I76" s="41" t="s">
        <v>185</v>
      </c>
      <c r="J76" s="45">
        <f>(IF(B67&gt;3,(H67/(B67+2)+J75),0))</f>
        <v>0</v>
      </c>
    </row>
    <row r="77" spans="1:12" s="16" customFormat="1" ht="15.75" customHeight="1">
      <c r="A77" s="110" t="s">
        <v>186</v>
      </c>
      <c r="B77" s="111"/>
      <c r="C77" s="30">
        <v>10</v>
      </c>
      <c r="D77" s="31">
        <f>((100/H67)*C77)/100</f>
        <v>0.3125</v>
      </c>
      <c r="E77" s="120"/>
      <c r="F77" s="121"/>
      <c r="G77" s="120"/>
      <c r="H77" s="125"/>
      <c r="I77" s="41" t="s">
        <v>187</v>
      </c>
      <c r="J77" s="44">
        <f>(IF(B67&gt;4,(H67/(B67+2)+J76),0))</f>
        <v>0</v>
      </c>
    </row>
    <row r="78" spans="1:12" s="16" customFormat="1" ht="15.75" customHeight="1">
      <c r="A78" s="110" t="s">
        <v>188</v>
      </c>
      <c r="B78" s="111" t="s">
        <v>188</v>
      </c>
      <c r="C78" s="30">
        <v>0</v>
      </c>
      <c r="D78" s="31">
        <f>((100/(H67))*C78)/100</f>
        <v>0</v>
      </c>
      <c r="E78" s="120"/>
      <c r="F78" s="121"/>
      <c r="G78" s="120"/>
      <c r="H78" s="125"/>
      <c r="I78" s="41" t="s">
        <v>189</v>
      </c>
      <c r="J78" s="44">
        <f>(IF(B67=1,(H67/(B67+3)+J73),IF(B67=0,(H67/4+J73),IF(B67&gt;1,0))))</f>
        <v>0</v>
      </c>
    </row>
    <row r="79" spans="1:12" s="16" customFormat="1">
      <c r="A79" s="113" t="s">
        <v>190</v>
      </c>
      <c r="B79" s="114"/>
      <c r="C79" s="33">
        <v>0</v>
      </c>
      <c r="D79" s="34">
        <f>((100/(H67))*C79)/100</f>
        <v>0</v>
      </c>
      <c r="E79" s="122"/>
      <c r="F79" s="123"/>
      <c r="G79" s="122"/>
      <c r="H79" s="126"/>
      <c r="I79" s="46" t="s">
        <v>191</v>
      </c>
      <c r="J79" s="47">
        <f>(IF(B67&gt;1.5,(H67/(B67+2)+J73+MAX(0,J74-J73)+MAX(0,J75-J74)+MAX(0,J76-J75)+MAX(0,J77-J76)+MAX(0,J78-J77)),IF(B67=1,(H67/(B67+3)+J78),IF(B67=0,H67/4+J78))))</f>
        <v>32</v>
      </c>
    </row>
    <row r="80" spans="1:12">
      <c r="A80" s="115" t="s">
        <v>192</v>
      </c>
      <c r="B80" s="115"/>
      <c r="C80" s="115"/>
      <c r="D80" s="115"/>
      <c r="E80" s="115"/>
      <c r="F80" s="116" t="s">
        <v>193</v>
      </c>
      <c r="G80" s="116"/>
      <c r="H80" s="116"/>
    </row>
    <row r="81" spans="1:8">
      <c r="A81" s="64" t="s">
        <v>194</v>
      </c>
      <c r="B81" s="64"/>
      <c r="C81" s="64"/>
      <c r="D81" s="64"/>
      <c r="E81" s="64"/>
      <c r="F81" s="117">
        <v>11000</v>
      </c>
      <c r="G81" s="117"/>
      <c r="H81" s="117"/>
    </row>
    <row r="82" spans="1:8" hidden="1">
      <c r="A82" s="64" t="s">
        <v>195</v>
      </c>
      <c r="B82" s="64"/>
      <c r="C82" s="64"/>
      <c r="D82" s="64"/>
      <c r="E82" s="64"/>
      <c r="F82" s="117"/>
      <c r="G82" s="117"/>
      <c r="H82" s="117"/>
    </row>
    <row r="83" spans="1:8" hidden="1">
      <c r="A83" s="64" t="s">
        <v>196</v>
      </c>
      <c r="B83" s="64"/>
      <c r="C83" s="64"/>
      <c r="D83" s="64"/>
      <c r="E83" s="64"/>
      <c r="F83" s="117"/>
      <c r="G83" s="117"/>
      <c r="H83" s="117"/>
    </row>
    <row r="84" spans="1:8" s="17" customFormat="1" hidden="1">
      <c r="A84" s="64" t="s">
        <v>197</v>
      </c>
      <c r="B84" s="64"/>
      <c r="C84" s="64"/>
      <c r="D84" s="64"/>
      <c r="E84" s="64"/>
      <c r="F84" s="117"/>
      <c r="G84" s="117"/>
      <c r="H84" s="117"/>
    </row>
    <row r="85" spans="1:8" s="17" customFormat="1">
      <c r="A85" s="64" t="s">
        <v>198</v>
      </c>
      <c r="B85" s="64"/>
      <c r="C85" s="64"/>
      <c r="D85" s="64"/>
      <c r="E85" s="64"/>
      <c r="F85" s="117">
        <v>200000</v>
      </c>
      <c r="G85" s="117"/>
      <c r="H85" s="117"/>
    </row>
    <row r="86" spans="1:8" s="17" customFormat="1">
      <c r="A86" s="64" t="s">
        <v>199</v>
      </c>
      <c r="B86" s="64"/>
      <c r="C86" s="64"/>
      <c r="D86" s="64"/>
      <c r="E86" s="64"/>
      <c r="F86" s="117">
        <v>100000</v>
      </c>
      <c r="G86" s="117"/>
      <c r="H86" s="117"/>
    </row>
    <row r="87" spans="1:8" s="17" customFormat="1" hidden="1">
      <c r="A87" s="64" t="s">
        <v>200</v>
      </c>
      <c r="B87" s="64"/>
      <c r="C87" s="64"/>
      <c r="D87" s="64"/>
      <c r="E87" s="64"/>
      <c r="F87" s="117"/>
      <c r="G87" s="117"/>
      <c r="H87" s="117"/>
    </row>
    <row r="88" spans="1:8" s="17" customFormat="1" hidden="1">
      <c r="A88" s="64" t="s">
        <v>201</v>
      </c>
      <c r="B88" s="64"/>
      <c r="C88" s="64"/>
      <c r="D88" s="64"/>
      <c r="E88" s="64"/>
      <c r="F88" s="117"/>
      <c r="G88" s="117"/>
      <c r="H88" s="117"/>
    </row>
    <row r="89" spans="1:8" s="17" customFormat="1" hidden="1">
      <c r="A89" s="64" t="s">
        <v>202</v>
      </c>
      <c r="B89" s="64"/>
      <c r="C89" s="64"/>
      <c r="D89" s="64"/>
      <c r="E89" s="64"/>
      <c r="F89" s="117"/>
      <c r="G89" s="117"/>
      <c r="H89" s="117"/>
    </row>
    <row r="90" spans="1:8" s="17" customFormat="1" hidden="1">
      <c r="A90" s="64" t="s">
        <v>203</v>
      </c>
      <c r="B90" s="64"/>
      <c r="C90" s="64"/>
      <c r="D90" s="64"/>
      <c r="E90" s="64"/>
      <c r="F90" s="117"/>
      <c r="G90" s="117"/>
      <c r="H90" s="117"/>
    </row>
    <row r="91" spans="1:8" s="17" customFormat="1" hidden="1">
      <c r="A91" s="64" t="s">
        <v>204</v>
      </c>
      <c r="B91" s="64"/>
      <c r="C91" s="64"/>
      <c r="D91" s="64"/>
      <c r="E91" s="64"/>
      <c r="F91" s="117"/>
      <c r="G91" s="117"/>
      <c r="H91" s="117"/>
    </row>
    <row r="92" spans="1:8">
      <c r="A92" s="64" t="s">
        <v>205</v>
      </c>
      <c r="B92" s="64"/>
      <c r="C92" s="64"/>
      <c r="D92" s="64"/>
      <c r="E92" s="64"/>
      <c r="F92" s="117">
        <v>800000</v>
      </c>
      <c r="G92" s="117"/>
      <c r="H92" s="117"/>
    </row>
    <row r="93" spans="1:8" s="18" customFormat="1">
      <c r="A93" s="78" t="s">
        <v>206</v>
      </c>
      <c r="B93" s="78"/>
      <c r="C93" s="78"/>
      <c r="D93" s="78"/>
      <c r="E93" s="78"/>
      <c r="F93" s="117">
        <f>F81*0.8</f>
        <v>8800</v>
      </c>
      <c r="G93" s="117"/>
      <c r="H93" s="117"/>
    </row>
    <row r="94" spans="1:8" s="19" customFormat="1">
      <c r="A94" s="127" t="s">
        <v>207</v>
      </c>
      <c r="B94" s="127"/>
      <c r="C94" s="127"/>
      <c r="D94" s="127"/>
      <c r="E94" s="127"/>
      <c r="F94" s="127"/>
      <c r="G94" s="127"/>
      <c r="H94" s="127"/>
    </row>
    <row r="95" spans="1:8" s="19" customFormat="1" ht="15.75" customHeight="1">
      <c r="A95" s="128" t="s">
        <v>208</v>
      </c>
      <c r="B95" s="128"/>
      <c r="C95" s="129" t="s">
        <v>209</v>
      </c>
      <c r="D95" s="129"/>
      <c r="E95" s="130" t="s">
        <v>210</v>
      </c>
      <c r="F95" s="130"/>
      <c r="G95" s="128" t="s">
        <v>211</v>
      </c>
      <c r="H95" s="128"/>
    </row>
    <row r="96" spans="1:8" s="19" customFormat="1">
      <c r="A96" s="131" t="s">
        <v>212</v>
      </c>
      <c r="B96" s="131"/>
      <c r="C96" s="132">
        <f>COUNT(D104:D109)*18+COUNT(D118:D123)*8+COUNT(D111:D115)*4+COUNT(D125:D129)+COUNT(D132:D136)</f>
        <v>186</v>
      </c>
      <c r="D96" s="132"/>
      <c r="E96" s="133">
        <f>SUM(D104:D109)*18+SUM(D118:D123)*8+SUM(D111:D115)*4+SUM(D125:D129)+SUM(D132:D136)</f>
        <v>123299.47024</v>
      </c>
      <c r="F96" s="133"/>
      <c r="G96" s="133">
        <f>SUM(F104:F109)*18+SUM(F118:F123)*8+SUM(F111:F115)*4+SUM(F125:F129)+SUM(F132:F136)</f>
        <v>184949.20536000002</v>
      </c>
      <c r="H96" s="133"/>
    </row>
    <row r="97" spans="1:14" s="18" customFormat="1">
      <c r="A97" s="116" t="s">
        <v>213</v>
      </c>
      <c r="B97" s="116"/>
      <c r="C97" s="116"/>
      <c r="D97" s="116"/>
      <c r="E97" s="116"/>
      <c r="F97" s="116"/>
      <c r="G97" s="116"/>
      <c r="H97" s="116"/>
    </row>
    <row r="98" spans="1:14">
      <c r="A98" s="55" t="s">
        <v>214</v>
      </c>
      <c r="B98" s="55"/>
      <c r="C98" s="55"/>
      <c r="D98" s="55"/>
      <c r="E98" s="55"/>
      <c r="F98" s="55"/>
      <c r="G98" s="55"/>
      <c r="H98" s="55"/>
    </row>
    <row r="99" spans="1:14" ht="47.25" customHeight="1">
      <c r="A99" s="137" t="s">
        <v>215</v>
      </c>
      <c r="B99" s="139" t="s">
        <v>216</v>
      </c>
      <c r="C99" s="139" t="s">
        <v>217</v>
      </c>
      <c r="D99" s="139" t="s">
        <v>218</v>
      </c>
      <c r="E99" s="141" t="s">
        <v>219</v>
      </c>
      <c r="F99" s="36" t="s">
        <v>220</v>
      </c>
      <c r="G99" s="137" t="s">
        <v>221</v>
      </c>
      <c r="H99" s="143"/>
      <c r="I99" s="48"/>
    </row>
    <row r="100" spans="1:14" s="20" customFormat="1">
      <c r="A100" s="138"/>
      <c r="B100" s="140"/>
      <c r="C100" s="140"/>
      <c r="D100" s="140"/>
      <c r="E100" s="142"/>
      <c r="F100" s="37">
        <v>0.5</v>
      </c>
      <c r="G100" s="138"/>
      <c r="H100" s="144"/>
      <c r="I100" s="48"/>
    </row>
    <row r="101" spans="1:14" s="20" customFormat="1">
      <c r="A101" s="134" t="s">
        <v>222</v>
      </c>
      <c r="B101" s="135"/>
      <c r="C101" s="135"/>
      <c r="D101" s="135"/>
      <c r="E101" s="135"/>
      <c r="F101" s="135"/>
      <c r="G101" s="135"/>
      <c r="H101" s="136"/>
      <c r="J101" s="48"/>
    </row>
    <row r="102" spans="1:14" s="20" customFormat="1">
      <c r="A102" s="134" t="s">
        <v>223</v>
      </c>
      <c r="B102" s="135"/>
      <c r="C102" s="135"/>
      <c r="D102" s="135"/>
      <c r="E102" s="135"/>
      <c r="F102" s="135"/>
      <c r="G102" s="135"/>
      <c r="H102" s="136"/>
      <c r="J102" s="48"/>
    </row>
    <row r="103" spans="1:14" s="20" customFormat="1">
      <c r="A103" s="155" t="s">
        <v>224</v>
      </c>
      <c r="B103" s="155"/>
      <c r="C103" s="155"/>
      <c r="D103" s="155"/>
      <c r="E103" s="155"/>
      <c r="F103" s="155"/>
      <c r="G103" s="155"/>
      <c r="H103" s="155"/>
      <c r="I103" s="20" t="s">
        <v>225</v>
      </c>
      <c r="J103" s="48" t="s">
        <v>226</v>
      </c>
      <c r="K103" s="20" t="s">
        <v>227</v>
      </c>
    </row>
    <row r="104" spans="1:14" s="20" customFormat="1" ht="15.75" customHeight="1">
      <c r="A104" s="156">
        <v>1</v>
      </c>
      <c r="B104" s="156"/>
      <c r="C104" s="53" t="s">
        <v>228</v>
      </c>
      <c r="D104" s="53">
        <f>(58.96+7.87)*10.76</f>
        <v>719.09079999999994</v>
      </c>
      <c r="E104" s="53">
        <v>0</v>
      </c>
      <c r="F104" s="53">
        <f t="shared" ref="F104:F109" si="0">D104*(($F$100)+1)+(IF(E104&lt;101,E104,IF(E104&lt;201,E104/2,IF(E104&lt;=301,E104/3,E104/4))))</f>
        <v>1078.6361999999999</v>
      </c>
      <c r="G104" s="156" t="str">
        <f>A103</f>
        <v>1st to 4th, 6th to 8th, 10th to 13th, 15th to 18th &amp; 20th to 22nd Floor for Residential</v>
      </c>
      <c r="H104" s="156"/>
      <c r="I104" s="20">
        <f>58.96+7.87</f>
        <v>66.83</v>
      </c>
      <c r="J104" s="20">
        <f>1.35*3.05+0.95*3.35</f>
        <v>7.3</v>
      </c>
      <c r="K104" s="20">
        <f>(3.05*4.9+2.3*2.45+2.45*2.45+3.35*3.05+3.35*2.4+2.2*1.3+2.2*1.3+1.4*1.2+1.2*1+0.6*(2.1+1.7))</f>
        <v>55.72</v>
      </c>
      <c r="L104" s="145"/>
      <c r="M104" s="145"/>
      <c r="N104" s="48"/>
    </row>
    <row r="105" spans="1:14" s="20" customFormat="1" ht="15.75" customHeight="1">
      <c r="A105" s="156">
        <f t="shared" ref="A105:A109" si="1">A104+1</f>
        <v>2</v>
      </c>
      <c r="B105" s="156"/>
      <c r="C105" s="53" t="s">
        <v>229</v>
      </c>
      <c r="D105" s="53">
        <f>(75.62+9.8)*10.764</f>
        <v>919.46087999999997</v>
      </c>
      <c r="E105" s="53">
        <v>0</v>
      </c>
      <c r="F105" s="53">
        <f t="shared" si="0"/>
        <v>1379.1913199999999</v>
      </c>
      <c r="G105" s="156"/>
      <c r="H105" s="156"/>
      <c r="I105" s="48">
        <f>(75.62+9.8)</f>
        <v>85.42</v>
      </c>
      <c r="J105" s="20">
        <f>(1.35*3.05+0.65*3.65+1.2*3.05)</f>
        <v>10.15</v>
      </c>
      <c r="K105" s="20">
        <f>(3.05*5.15+1.51*3.35+2.45*2.75+3.05*3.35+3.65*2.4+2.15*3.05+1.35*2.2+1.35*2.2+2.5*1.3+0.6*(2.1+1.4+2.1)+1*4.3+1*1.3+0.65*3.65+1.2*3.05)</f>
        <v>77.220999999999989</v>
      </c>
      <c r="L105" s="145">
        <f>1.35*3.05+0.6*2.45</f>
        <v>5.5874999999999995</v>
      </c>
      <c r="M105" s="145"/>
      <c r="N105" s="48"/>
    </row>
    <row r="106" spans="1:14" s="20" customFormat="1" ht="15.75" customHeight="1">
      <c r="A106" s="156">
        <f t="shared" si="1"/>
        <v>3</v>
      </c>
      <c r="B106" s="156"/>
      <c r="C106" s="53" t="s">
        <v>230</v>
      </c>
      <c r="D106" s="53">
        <f>(35.48+2.82)*10.764</f>
        <v>412.26119999999992</v>
      </c>
      <c r="E106" s="53">
        <v>0</v>
      </c>
      <c r="F106" s="53">
        <f t="shared" si="0"/>
        <v>618.39179999999988</v>
      </c>
      <c r="G106" s="156"/>
      <c r="H106" s="156"/>
      <c r="I106" s="48">
        <f>(35.48+2.82)</f>
        <v>38.299999999999997</v>
      </c>
      <c r="J106" s="20">
        <f>1.35*3.05</f>
        <v>4.1174999999999997</v>
      </c>
      <c r="K106" s="20">
        <f>(3.2*3.05+2.45*2.45+3.05*3.35+1.35*2.2+2.2*1.35+0.6*1.7+1.35*1+1.35*3.05)</f>
        <v>38.407500000000006</v>
      </c>
      <c r="L106" s="145"/>
      <c r="M106" s="145"/>
      <c r="N106" s="48"/>
    </row>
    <row r="107" spans="1:14" s="20" customFormat="1" ht="15.75" customHeight="1">
      <c r="A107" s="156">
        <f t="shared" si="1"/>
        <v>4</v>
      </c>
      <c r="B107" s="156"/>
      <c r="C107" s="53" t="s">
        <v>230</v>
      </c>
      <c r="D107" s="53">
        <f>(35.5+3.84)*10.764</f>
        <v>423.45576</v>
      </c>
      <c r="E107" s="53">
        <v>0</v>
      </c>
      <c r="F107" s="53">
        <f t="shared" si="0"/>
        <v>635.18363999999997</v>
      </c>
      <c r="G107" s="156"/>
      <c r="H107" s="156"/>
      <c r="I107" s="48"/>
      <c r="L107" s="145"/>
      <c r="M107" s="145"/>
      <c r="N107" s="48"/>
    </row>
    <row r="108" spans="1:14" s="20" customFormat="1" ht="15.75" customHeight="1">
      <c r="A108" s="156">
        <f t="shared" si="1"/>
        <v>5</v>
      </c>
      <c r="B108" s="156"/>
      <c r="C108" s="53" t="s">
        <v>228</v>
      </c>
      <c r="D108" s="53">
        <f>(57.22+8.19)*10.764</f>
        <v>704.07323999999994</v>
      </c>
      <c r="E108" s="53">
        <v>0</v>
      </c>
      <c r="F108" s="53">
        <f t="shared" si="0"/>
        <v>1056.10986</v>
      </c>
      <c r="G108" s="156"/>
      <c r="H108" s="156"/>
      <c r="I108" s="48"/>
      <c r="L108" s="145"/>
      <c r="M108" s="145"/>
      <c r="N108" s="48"/>
    </row>
    <row r="109" spans="1:14" s="20" customFormat="1" ht="15.75" customHeight="1">
      <c r="A109" s="156">
        <f t="shared" si="1"/>
        <v>6</v>
      </c>
      <c r="B109" s="156"/>
      <c r="C109" s="53" t="s">
        <v>228</v>
      </c>
      <c r="D109" s="53">
        <f>(59.42+7.04)*10.764</f>
        <v>715.37544000000003</v>
      </c>
      <c r="E109" s="53">
        <v>0</v>
      </c>
      <c r="F109" s="53">
        <f t="shared" si="0"/>
        <v>1073.0631600000002</v>
      </c>
      <c r="G109" s="156"/>
      <c r="H109" s="156"/>
      <c r="I109" s="20">
        <f>(59.42)</f>
        <v>59.42</v>
      </c>
      <c r="J109" s="20">
        <f>7.04</f>
        <v>7.04</v>
      </c>
      <c r="K109" s="48">
        <f>(3.05*5.15+1.45*3.35+2.45*2.45+3.05*3.05+3.35*3.35+1.35*2.2+1.35*2.2+0.6*(2.1+1.4)+1*3+1.35*3.05)</f>
        <v>62.25</v>
      </c>
      <c r="M109" s="49"/>
      <c r="N109" s="48"/>
    </row>
    <row r="110" spans="1:14" s="20" customFormat="1" ht="15.75" customHeight="1">
      <c r="A110" s="155" t="s">
        <v>231</v>
      </c>
      <c r="B110" s="155"/>
      <c r="C110" s="155"/>
      <c r="D110" s="155"/>
      <c r="E110" s="155"/>
      <c r="F110" s="155"/>
      <c r="G110" s="155"/>
      <c r="H110" s="155"/>
      <c r="I110" s="48"/>
    </row>
    <row r="111" spans="1:14" s="20" customFormat="1" ht="15.75" customHeight="1">
      <c r="A111" s="156">
        <v>1</v>
      </c>
      <c r="B111" s="156"/>
      <c r="C111" s="53" t="s">
        <v>228</v>
      </c>
      <c r="D111" s="53">
        <f>(58.96+7.87)*10.76</f>
        <v>719.09079999999994</v>
      </c>
      <c r="E111" s="53">
        <v>0</v>
      </c>
      <c r="F111" s="53">
        <f>D111*(($F$100)+1)+(IF(E111&lt;101,E111,IF(E111&lt;201,E111/2,IF(E111&lt;=301,E111/3,E111/4))))</f>
        <v>1078.6361999999999</v>
      </c>
      <c r="G111" s="156" t="str">
        <f>A110</f>
        <v>5th, 9th, 14th &amp; 19th Floor (Part Refuge Area)</v>
      </c>
      <c r="H111" s="156"/>
      <c r="I111" s="48"/>
      <c r="K111" s="20">
        <f>13000000/F111</f>
        <v>12052.256358538682</v>
      </c>
    </row>
    <row r="112" spans="1:14" s="20" customFormat="1" ht="15.75" customHeight="1">
      <c r="A112" s="156">
        <f>A111+1</f>
        <v>2</v>
      </c>
      <c r="B112" s="156"/>
      <c r="C112" s="53" t="s">
        <v>229</v>
      </c>
      <c r="D112" s="53">
        <f>(75.62+9.8)*10.764</f>
        <v>919.46087999999997</v>
      </c>
      <c r="E112" s="53">
        <v>0</v>
      </c>
      <c r="F112" s="53">
        <f>D112*(($F$100)+1)+(IF(E112&lt;101,E112,IF(E112&lt;201,E112/2,IF(E112&lt;=301,E112/3,E112/4))))</f>
        <v>1379.1913199999999</v>
      </c>
      <c r="G112" s="156"/>
      <c r="H112" s="156"/>
      <c r="I112" s="48"/>
      <c r="J112" s="48">
        <f>7400000/F114</f>
        <v>11650.174113426474</v>
      </c>
    </row>
    <row r="113" spans="1:14" s="20" customFormat="1" ht="15.75" customHeight="1">
      <c r="A113" s="156">
        <f t="shared" ref="A113:A116" si="2">A112+1</f>
        <v>3</v>
      </c>
      <c r="B113" s="156"/>
      <c r="C113" s="53" t="s">
        <v>230</v>
      </c>
      <c r="D113" s="53">
        <f>(35.48+2.82)*10.764</f>
        <v>412.26119999999992</v>
      </c>
      <c r="E113" s="53">
        <v>0</v>
      </c>
      <c r="F113" s="53">
        <f>D113*(($F$100)+1)+(IF(E113&lt;101,E113,IF(E113&lt;201,E113/2,IF(E113&lt;=301,E113/3,E113/4))))</f>
        <v>618.39179999999988</v>
      </c>
      <c r="G113" s="156"/>
      <c r="H113" s="156"/>
      <c r="I113" s="48"/>
    </row>
    <row r="114" spans="1:14" s="20" customFormat="1" ht="15.75" customHeight="1">
      <c r="A114" s="156">
        <f t="shared" si="2"/>
        <v>4</v>
      </c>
      <c r="B114" s="156"/>
      <c r="C114" s="53" t="s">
        <v>230</v>
      </c>
      <c r="D114" s="53">
        <f>(35.5+3.84)*10.764</f>
        <v>423.45576</v>
      </c>
      <c r="E114" s="53">
        <v>0</v>
      </c>
      <c r="F114" s="53">
        <f>D114*(($F$100)+1)+(IF(E114&lt;101,E114,IF(E114&lt;201,E114/2,IF(E114&lt;=301,E114/3,E114/4))))</f>
        <v>635.18363999999997</v>
      </c>
      <c r="G114" s="156"/>
      <c r="H114" s="156"/>
      <c r="I114" s="48"/>
    </row>
    <row r="115" spans="1:14" s="20" customFormat="1" ht="15.75" customHeight="1">
      <c r="A115" s="156">
        <f t="shared" si="2"/>
        <v>5</v>
      </c>
      <c r="B115" s="156"/>
      <c r="C115" s="53" t="s">
        <v>228</v>
      </c>
      <c r="D115" s="53">
        <f>(57.22+8.19)*10.764</f>
        <v>704.07323999999994</v>
      </c>
      <c r="E115" s="53">
        <v>0</v>
      </c>
      <c r="F115" s="53">
        <f>D115*(($F$100)+1)+(IF(E115&lt;101,E115,IF(E115&lt;201,E115/2,IF(E115&lt;=301,E115/3,E115/4))))</f>
        <v>1056.10986</v>
      </c>
      <c r="G115" s="156"/>
      <c r="H115" s="156"/>
      <c r="I115" s="48"/>
    </row>
    <row r="116" spans="1:14" s="20" customFormat="1" ht="15.75" customHeight="1">
      <c r="A116" s="156">
        <f t="shared" si="2"/>
        <v>6</v>
      </c>
      <c r="B116" s="156"/>
      <c r="C116" s="156" t="s">
        <v>232</v>
      </c>
      <c r="D116" s="156"/>
      <c r="E116" s="156"/>
      <c r="F116" s="156"/>
      <c r="G116" s="156"/>
      <c r="H116" s="156"/>
      <c r="I116" s="48"/>
    </row>
    <row r="117" spans="1:14" s="20" customFormat="1">
      <c r="A117" s="155" t="s">
        <v>233</v>
      </c>
      <c r="B117" s="155"/>
      <c r="C117" s="155"/>
      <c r="D117" s="155"/>
      <c r="E117" s="155"/>
      <c r="F117" s="155"/>
      <c r="G117" s="155"/>
      <c r="H117" s="155"/>
      <c r="I117" s="48"/>
      <c r="L117" s="145"/>
      <c r="M117" s="145"/>
    </row>
    <row r="118" spans="1:14" s="20" customFormat="1" ht="15.75" customHeight="1">
      <c r="A118" s="156">
        <v>1</v>
      </c>
      <c r="B118" s="156"/>
      <c r="C118" s="38" t="s">
        <v>228</v>
      </c>
      <c r="D118" s="38">
        <f>(58.06+4.12+7.87)*10.764</f>
        <v>754.01819999999998</v>
      </c>
      <c r="E118" s="38">
        <v>0</v>
      </c>
      <c r="F118" s="38">
        <f t="shared" ref="F118:F123" si="3">D118*(($F$100)+1)+(IF(E118&lt;101,E118,IF(E118&lt;201,E118/2,IF(E118&lt;=301,E118/3,E118/4))))</f>
        <v>1131.0273</v>
      </c>
      <c r="G118" s="149" t="str">
        <f>A117</f>
        <v xml:space="preserve">23rd, 25th to 28th, 30th to 32nd Floor </v>
      </c>
      <c r="H118" s="150"/>
      <c r="I118" s="48"/>
      <c r="N118" s="48"/>
    </row>
    <row r="119" spans="1:14" s="20" customFormat="1" ht="15.75" customHeight="1">
      <c r="A119" s="156">
        <f>A118+1</f>
        <v>2</v>
      </c>
      <c r="B119" s="156"/>
      <c r="C119" s="38" t="s">
        <v>229</v>
      </c>
      <c r="D119" s="38">
        <f>(75.62+8.96+9.8)*10.764</f>
        <v>1015.9063200000001</v>
      </c>
      <c r="E119" s="38">
        <v>0</v>
      </c>
      <c r="F119" s="38">
        <f t="shared" si="3"/>
        <v>1523.8594800000001</v>
      </c>
      <c r="G119" s="151"/>
      <c r="H119" s="152"/>
      <c r="I119" s="48"/>
      <c r="N119" s="48"/>
    </row>
    <row r="120" spans="1:14" s="20" customFormat="1" ht="15.75" customHeight="1">
      <c r="A120" s="156">
        <f>A119+1</f>
        <v>3</v>
      </c>
      <c r="B120" s="156"/>
      <c r="C120" s="38" t="s">
        <v>230</v>
      </c>
      <c r="D120" s="38">
        <f>(35.48+5.17+2.82)*10.764</f>
        <v>467.91107999999997</v>
      </c>
      <c r="E120" s="38">
        <v>0</v>
      </c>
      <c r="F120" s="38">
        <f t="shared" si="3"/>
        <v>701.86662000000001</v>
      </c>
      <c r="G120" s="151"/>
      <c r="H120" s="152"/>
      <c r="I120" s="48"/>
      <c r="N120" s="48"/>
    </row>
    <row r="121" spans="1:14" s="20" customFormat="1" ht="15.75" customHeight="1">
      <c r="A121" s="156">
        <f>A120+1</f>
        <v>4</v>
      </c>
      <c r="B121" s="156"/>
      <c r="C121" s="38" t="s">
        <v>230</v>
      </c>
      <c r="D121" s="38">
        <f>(35.5+5.9+3.84)*10.764</f>
        <v>486.96335999999991</v>
      </c>
      <c r="E121" s="38">
        <v>0</v>
      </c>
      <c r="F121" s="38">
        <f t="shared" si="3"/>
        <v>730.44503999999984</v>
      </c>
      <c r="G121" s="151"/>
      <c r="H121" s="152"/>
      <c r="I121" s="48"/>
      <c r="N121" s="48"/>
    </row>
    <row r="122" spans="1:14" s="20" customFormat="1" ht="15.75" customHeight="1">
      <c r="A122" s="156">
        <f>A121+1</f>
        <v>5</v>
      </c>
      <c r="B122" s="156"/>
      <c r="C122" s="38" t="s">
        <v>228</v>
      </c>
      <c r="D122" s="38">
        <f>(55.96+4.08+6.54)*10.764</f>
        <v>716.66711999999995</v>
      </c>
      <c r="E122" s="38">
        <v>0</v>
      </c>
      <c r="F122" s="38">
        <f t="shared" si="3"/>
        <v>1075.0006799999999</v>
      </c>
      <c r="G122" s="151"/>
      <c r="H122" s="152"/>
      <c r="I122" s="48"/>
      <c r="J122" s="20">
        <f>13500000/F122</f>
        <v>12558.131591135367</v>
      </c>
      <c r="N122" s="48"/>
    </row>
    <row r="123" spans="1:14" s="20" customFormat="1" ht="15.75" customHeight="1">
      <c r="A123" s="156">
        <f>A122+1</f>
        <v>6</v>
      </c>
      <c r="B123" s="156"/>
      <c r="C123" s="38" t="s">
        <v>228</v>
      </c>
      <c r="D123" s="38">
        <f>(58.64+3.2+7.04)*10.764</f>
        <v>741.42432000000008</v>
      </c>
      <c r="E123" s="38">
        <v>0</v>
      </c>
      <c r="F123" s="38">
        <f t="shared" si="3"/>
        <v>1112.1364800000001</v>
      </c>
      <c r="G123" s="153"/>
      <c r="H123" s="154"/>
      <c r="I123" s="48"/>
      <c r="J123" s="20">
        <f>11000*F123+300000+800000</f>
        <v>13333501.280000001</v>
      </c>
      <c r="N123" s="48"/>
    </row>
    <row r="124" spans="1:14" s="20" customFormat="1">
      <c r="A124" s="134" t="s">
        <v>234</v>
      </c>
      <c r="B124" s="135"/>
      <c r="C124" s="135"/>
      <c r="D124" s="135"/>
      <c r="E124" s="135"/>
      <c r="F124" s="135"/>
      <c r="G124" s="135"/>
      <c r="H124" s="136"/>
      <c r="I124" s="48"/>
    </row>
    <row r="125" spans="1:14" s="20" customFormat="1" ht="15.75" customHeight="1">
      <c r="A125" s="146">
        <v>1</v>
      </c>
      <c r="B125" s="147"/>
      <c r="C125" s="38" t="s">
        <v>228</v>
      </c>
      <c r="D125" s="38">
        <f>(58.96+4.96+7.87)*10.76</f>
        <v>772.46040000000005</v>
      </c>
      <c r="E125" s="38">
        <v>0</v>
      </c>
      <c r="F125" s="38">
        <f>D125*(($F$100)+1)+(IF(E125&lt;101,E125,IF(E125&lt;201,E125/2,IF(E125&lt;=301,E125/3,E125/4))))</f>
        <v>1158.6906000000001</v>
      </c>
      <c r="G125" s="149" t="str">
        <f>A124</f>
        <v>24th Floor For Fitness Centre (Part Refuge Area)</v>
      </c>
      <c r="H125" s="150"/>
      <c r="I125" s="48"/>
    </row>
    <row r="126" spans="1:14" s="20" customFormat="1" ht="15.75" customHeight="1">
      <c r="A126" s="146">
        <f>A125+1</f>
        <v>2</v>
      </c>
      <c r="B126" s="147"/>
      <c r="C126" s="38" t="s">
        <v>229</v>
      </c>
      <c r="D126" s="38">
        <f>(75.62+8.96+9.8)*10.764</f>
        <v>1015.9063200000001</v>
      </c>
      <c r="E126" s="38">
        <v>0</v>
      </c>
      <c r="F126" s="38">
        <f>D126*(($F$100)+1)+(IF(E126&lt;101,E126,IF(E126&lt;201,E126/2,IF(E126&lt;=301,E126/3,E126/4))))</f>
        <v>1523.8594800000001</v>
      </c>
      <c r="G126" s="151"/>
      <c r="H126" s="152"/>
      <c r="I126" s="48"/>
      <c r="J126" s="20">
        <f>176000000/F126</f>
        <v>115496.21360100736</v>
      </c>
    </row>
    <row r="127" spans="1:14" s="20" customFormat="1" ht="15.75" customHeight="1">
      <c r="A127" s="146">
        <f t="shared" ref="A127:A129" si="4">A126+1</f>
        <v>3</v>
      </c>
      <c r="B127" s="147"/>
      <c r="C127" s="38" t="s">
        <v>230</v>
      </c>
      <c r="D127" s="38">
        <f>(35.48+5.87+2.82)*10.764</f>
        <v>475.44587999999993</v>
      </c>
      <c r="E127" s="38">
        <v>0</v>
      </c>
      <c r="F127" s="38">
        <f>D127*(($F$100)+1)+(IF(E127&lt;101,E127,IF(E127&lt;201,E127/2,IF(E127&lt;=301,E127/3,E127/4))))</f>
        <v>713.16881999999987</v>
      </c>
      <c r="G127" s="151"/>
      <c r="H127" s="152"/>
      <c r="I127" s="48"/>
    </row>
    <row r="128" spans="1:14" s="20" customFormat="1" ht="15.75" customHeight="1">
      <c r="A128" s="146">
        <f t="shared" si="4"/>
        <v>4</v>
      </c>
      <c r="B128" s="147"/>
      <c r="C128" s="38" t="s">
        <v>230</v>
      </c>
      <c r="D128" s="38">
        <f>(35.5+6.86+3.84)*10.764</f>
        <v>497.29680000000002</v>
      </c>
      <c r="E128" s="38">
        <v>0</v>
      </c>
      <c r="F128" s="38">
        <f>D128*(($F$100)+1)+(IF(E128&lt;101,E128,IF(E128&lt;201,E128/2,IF(E128&lt;=301,E128/3,E128/4))))</f>
        <v>745.9452</v>
      </c>
      <c r="G128" s="151"/>
      <c r="H128" s="152"/>
      <c r="I128" s="48"/>
    </row>
    <row r="129" spans="1:9" s="20" customFormat="1" ht="15.75" customHeight="1">
      <c r="A129" s="146">
        <f t="shared" si="4"/>
        <v>5</v>
      </c>
      <c r="B129" s="147"/>
      <c r="C129" s="38" t="s">
        <v>228</v>
      </c>
      <c r="D129" s="38">
        <f>(57.22+4.91+8.19)*10.764</f>
        <v>756.9244799999999</v>
      </c>
      <c r="E129" s="38">
        <v>0</v>
      </c>
      <c r="F129" s="38">
        <f>D129*(($F$100)+1)+(IF(E129&lt;101,E129,IF(E129&lt;201,E129/2,IF(E129&lt;=301,E129/3,E129/4))))</f>
        <v>1135.38672</v>
      </c>
      <c r="G129" s="151"/>
      <c r="H129" s="152"/>
      <c r="I129" s="48"/>
    </row>
    <row r="130" spans="1:9" s="20" customFormat="1" ht="15.75" customHeight="1">
      <c r="A130" s="146">
        <f t="shared" ref="A130" si="5">A129+1</f>
        <v>6</v>
      </c>
      <c r="B130" s="147"/>
      <c r="C130" s="146" t="s">
        <v>235</v>
      </c>
      <c r="D130" s="148"/>
      <c r="E130" s="148"/>
      <c r="F130" s="147"/>
      <c r="G130" s="153"/>
      <c r="H130" s="154"/>
      <c r="I130" s="48"/>
    </row>
    <row r="131" spans="1:9" s="20" customFormat="1">
      <c r="A131" s="134" t="s">
        <v>236</v>
      </c>
      <c r="B131" s="135"/>
      <c r="C131" s="135"/>
      <c r="D131" s="135"/>
      <c r="E131" s="135"/>
      <c r="F131" s="135"/>
      <c r="G131" s="135"/>
      <c r="H131" s="136"/>
      <c r="I131" s="48"/>
    </row>
    <row r="132" spans="1:9" s="20" customFormat="1" ht="15.75" customHeight="1">
      <c r="A132" s="146">
        <v>1</v>
      </c>
      <c r="B132" s="147"/>
      <c r="C132" s="38" t="s">
        <v>228</v>
      </c>
      <c r="D132" s="38">
        <f>(58.96+4.96+7.87)*10.76</f>
        <v>772.46040000000005</v>
      </c>
      <c r="E132" s="38">
        <v>0</v>
      </c>
      <c r="F132" s="38">
        <f>D132*(($F$100)+1)+(IF(E132&lt;101,E132,IF(E132&lt;201,E132/2,IF(E132&lt;=301,E132/3,E132/4))))</f>
        <v>1158.6906000000001</v>
      </c>
      <c r="G132" s="149" t="str">
        <f>A131</f>
        <v>29th Floor For Creche Room (Part Refuge Area)</v>
      </c>
      <c r="H132" s="150"/>
      <c r="I132" s="48"/>
    </row>
    <row r="133" spans="1:9" s="20" customFormat="1" ht="15.75" customHeight="1">
      <c r="A133" s="146">
        <f>A132+1</f>
        <v>2</v>
      </c>
      <c r="B133" s="147"/>
      <c r="C133" s="38" t="s">
        <v>229</v>
      </c>
      <c r="D133" s="38">
        <f>(75.62+8.96+9.8)*10.764</f>
        <v>1015.9063200000001</v>
      </c>
      <c r="E133" s="38">
        <v>0</v>
      </c>
      <c r="F133" s="38">
        <f>D133*(($F$100)+1)+(IF(E133&lt;101,E133,IF(E133&lt;201,E133/2,IF(E133&lt;=301,E133/3,E133/4))))</f>
        <v>1523.8594800000001</v>
      </c>
      <c r="G133" s="151"/>
      <c r="H133" s="152"/>
      <c r="I133" s="48"/>
    </row>
    <row r="134" spans="1:9" s="20" customFormat="1" ht="15.75" customHeight="1">
      <c r="A134" s="146">
        <f t="shared" ref="A134:A137" si="6">A133+1</f>
        <v>3</v>
      </c>
      <c r="B134" s="147"/>
      <c r="C134" s="38" t="s">
        <v>230</v>
      </c>
      <c r="D134" s="38">
        <f>(35.48+5.87+2.82)*10.764</f>
        <v>475.44587999999993</v>
      </c>
      <c r="E134" s="38">
        <v>0</v>
      </c>
      <c r="F134" s="38">
        <f>D134*(($F$100)+1)+(IF(E134&lt;101,E134,IF(E134&lt;201,E134/2,IF(E134&lt;=301,E134/3,E134/4))))</f>
        <v>713.16881999999987</v>
      </c>
      <c r="G134" s="151"/>
      <c r="H134" s="152"/>
      <c r="I134" s="48"/>
    </row>
    <row r="135" spans="1:9" s="20" customFormat="1" ht="15.75" customHeight="1">
      <c r="A135" s="146">
        <f t="shared" si="6"/>
        <v>4</v>
      </c>
      <c r="B135" s="147"/>
      <c r="C135" s="38" t="s">
        <v>230</v>
      </c>
      <c r="D135" s="38">
        <f>(35.5+6.86+3.84)*10.764</f>
        <v>497.29680000000002</v>
      </c>
      <c r="E135" s="38">
        <v>0</v>
      </c>
      <c r="F135" s="38">
        <f>D135*(($F$100)+1)+(IF(E135&lt;101,E135,IF(E135&lt;201,E135/2,IF(E135&lt;=301,E135/3,E135/4))))</f>
        <v>745.9452</v>
      </c>
      <c r="G135" s="151"/>
      <c r="H135" s="152"/>
      <c r="I135" s="48"/>
    </row>
    <row r="136" spans="1:9" s="20" customFormat="1" ht="15.75" customHeight="1">
      <c r="A136" s="146">
        <f t="shared" si="6"/>
        <v>5</v>
      </c>
      <c r="B136" s="147"/>
      <c r="C136" s="38" t="s">
        <v>228</v>
      </c>
      <c r="D136" s="38">
        <f>(57.22+4.91+8.19)*10.764</f>
        <v>756.9244799999999</v>
      </c>
      <c r="E136" s="38">
        <v>0</v>
      </c>
      <c r="F136" s="38">
        <f>D136*(($F$100)+1)+(IF(E136&lt;101,E136,IF(E136&lt;201,E136/2,IF(E136&lt;=301,E136/3,E136/4))))</f>
        <v>1135.38672</v>
      </c>
      <c r="G136" s="151"/>
      <c r="H136" s="152"/>
      <c r="I136" s="48"/>
    </row>
    <row r="137" spans="1:9" s="20" customFormat="1" ht="15.75" customHeight="1">
      <c r="A137" s="146">
        <f t="shared" si="6"/>
        <v>6</v>
      </c>
      <c r="B137" s="147"/>
      <c r="C137" s="146" t="s">
        <v>237</v>
      </c>
      <c r="D137" s="148"/>
      <c r="E137" s="148"/>
      <c r="F137" s="147"/>
      <c r="G137" s="153"/>
      <c r="H137" s="154"/>
      <c r="I137" s="48"/>
    </row>
    <row r="138" spans="1:9" s="19" customFormat="1">
      <c r="A138" s="157" t="s">
        <v>238</v>
      </c>
      <c r="B138" s="157"/>
      <c r="C138" s="157"/>
      <c r="D138" s="157"/>
      <c r="E138" s="157"/>
      <c r="F138" s="157"/>
      <c r="G138" s="157"/>
      <c r="H138" s="157"/>
    </row>
    <row r="139" spans="1:9" s="19" customFormat="1" ht="31" customHeight="1">
      <c r="A139" s="35" t="s">
        <v>239</v>
      </c>
      <c r="B139" s="158" t="s">
        <v>283</v>
      </c>
      <c r="C139" s="159"/>
      <c r="D139" s="159"/>
      <c r="E139" s="159"/>
      <c r="F139" s="159"/>
      <c r="G139" s="159"/>
      <c r="H139" s="160"/>
    </row>
    <row r="140" spans="1:9" s="19" customFormat="1">
      <c r="A140" s="35" t="s">
        <v>239</v>
      </c>
      <c r="B140" s="158" t="str">
        <f>(IF(F99="Saleable area Loading :","We have considered Saleable area of Flats as per our Calculation.","We considered Saleable area of Flat as per Builder area Sheet."))</f>
        <v>We have considered Saleable area of Flats as per our Calculation.</v>
      </c>
      <c r="C140" s="159"/>
      <c r="D140" s="159"/>
      <c r="E140" s="159"/>
      <c r="F140" s="159"/>
      <c r="G140" s="159"/>
      <c r="H140" s="160"/>
    </row>
    <row r="141" spans="1:9" s="19" customFormat="1">
      <c r="A141" s="35" t="s">
        <v>239</v>
      </c>
      <c r="B141" s="164" t="s">
        <v>240</v>
      </c>
      <c r="C141" s="165"/>
      <c r="D141" s="165"/>
      <c r="E141" s="165"/>
      <c r="F141" s="165"/>
      <c r="G141" s="165"/>
      <c r="H141" s="166"/>
    </row>
    <row r="142" spans="1:9" s="19" customFormat="1">
      <c r="A142" s="35" t="s">
        <v>239</v>
      </c>
      <c r="B142" s="164" t="s">
        <v>241</v>
      </c>
      <c r="C142" s="165"/>
      <c r="D142" s="165"/>
      <c r="E142" s="165"/>
      <c r="F142" s="165"/>
      <c r="G142" s="165"/>
      <c r="H142" s="166"/>
    </row>
    <row r="143" spans="1:9" s="19" customFormat="1">
      <c r="A143" s="35" t="s">
        <v>239</v>
      </c>
      <c r="B143" s="164" t="s">
        <v>242</v>
      </c>
      <c r="C143" s="165"/>
      <c r="D143" s="165"/>
      <c r="E143" s="165"/>
      <c r="F143" s="165"/>
      <c r="G143" s="165"/>
      <c r="H143" s="166"/>
    </row>
    <row r="144" spans="1:9" s="19" customFormat="1">
      <c r="A144" s="35" t="s">
        <v>239</v>
      </c>
      <c r="B144" s="164" t="s">
        <v>243</v>
      </c>
      <c r="C144" s="165"/>
      <c r="D144" s="165"/>
      <c r="E144" s="165"/>
      <c r="F144" s="165"/>
      <c r="G144" s="165"/>
      <c r="H144" s="166"/>
    </row>
    <row r="145" spans="1:8" s="19" customFormat="1" ht="34.5" customHeight="1">
      <c r="A145" s="35" t="s">
        <v>239</v>
      </c>
      <c r="B145" s="164" t="s">
        <v>244</v>
      </c>
      <c r="C145" s="165"/>
      <c r="D145" s="165"/>
      <c r="E145" s="165"/>
      <c r="F145" s="165"/>
      <c r="G145" s="165"/>
      <c r="H145" s="166"/>
    </row>
    <row r="146" spans="1:8" s="19" customFormat="1">
      <c r="A146" s="35" t="s">
        <v>239</v>
      </c>
      <c r="B146" s="164" t="s">
        <v>245</v>
      </c>
      <c r="C146" s="165"/>
      <c r="D146" s="165"/>
      <c r="E146" s="165"/>
      <c r="F146" s="165"/>
      <c r="G146" s="165"/>
      <c r="H146" s="166"/>
    </row>
    <row r="147" spans="1:8" s="19" customFormat="1" ht="32.25" hidden="1" customHeight="1">
      <c r="A147" s="35" t="s">
        <v>239</v>
      </c>
      <c r="B147" s="167" t="s">
        <v>246</v>
      </c>
      <c r="C147" s="168"/>
      <c r="D147" s="168"/>
      <c r="E147" s="168"/>
      <c r="F147" s="168"/>
      <c r="G147" s="168"/>
      <c r="H147" s="169"/>
    </row>
    <row r="148" spans="1:8" s="19" customFormat="1">
      <c r="A148" s="35" t="s">
        <v>239</v>
      </c>
      <c r="B148" s="164" t="s">
        <v>247</v>
      </c>
      <c r="C148" s="165"/>
      <c r="D148" s="165"/>
      <c r="E148" s="165"/>
      <c r="F148" s="165"/>
      <c r="G148" s="165"/>
      <c r="H148" s="166"/>
    </row>
    <row r="149" spans="1:8" s="19" customFormat="1">
      <c r="A149" s="35" t="s">
        <v>239</v>
      </c>
      <c r="B149" s="164" t="s">
        <v>248</v>
      </c>
      <c r="C149" s="165"/>
      <c r="D149" s="165"/>
      <c r="E149" s="165"/>
      <c r="F149" s="165"/>
      <c r="G149" s="165"/>
      <c r="H149" s="166"/>
    </row>
    <row r="150" spans="1:8">
      <c r="A150" s="101" t="s">
        <v>249</v>
      </c>
      <c r="B150" s="101"/>
      <c r="C150" s="101"/>
      <c r="D150" s="101"/>
      <c r="E150" s="101"/>
      <c r="F150" s="101"/>
      <c r="G150" s="101"/>
      <c r="H150" s="101"/>
    </row>
    <row r="151" spans="1:8">
      <c r="A151" s="64" t="s">
        <v>250</v>
      </c>
      <c r="B151" s="64"/>
      <c r="C151" s="64"/>
      <c r="D151" s="64"/>
      <c r="E151" s="64"/>
      <c r="F151" s="64"/>
      <c r="G151" s="64"/>
      <c r="H151" s="64"/>
    </row>
    <row r="152" spans="1:8" ht="15.75" customHeight="1">
      <c r="A152" s="162" t="s">
        <v>251</v>
      </c>
      <c r="B152" s="162"/>
      <c r="C152" s="162"/>
      <c r="D152" s="162"/>
      <c r="E152" s="162"/>
      <c r="F152" s="162"/>
      <c r="G152" s="162"/>
      <c r="H152" s="162"/>
    </row>
    <row r="153" spans="1:8">
      <c r="A153" s="64" t="s">
        <v>252</v>
      </c>
      <c r="B153" s="64"/>
      <c r="C153" s="64"/>
      <c r="D153" s="64"/>
      <c r="E153" s="64"/>
      <c r="F153" s="64"/>
      <c r="G153" s="64"/>
      <c r="H153" s="64"/>
    </row>
    <row r="154" spans="1:8">
      <c r="A154" s="64" t="s">
        <v>253</v>
      </c>
      <c r="B154" s="64"/>
      <c r="C154" s="64"/>
      <c r="D154" s="64"/>
      <c r="E154" s="64"/>
      <c r="F154" s="64"/>
      <c r="G154" s="64"/>
      <c r="H154" s="64"/>
    </row>
    <row r="155" spans="1:8">
      <c r="A155" s="64" t="s">
        <v>254</v>
      </c>
      <c r="B155" s="64"/>
      <c r="C155" s="64"/>
      <c r="D155" s="64"/>
      <c r="E155" s="64"/>
      <c r="F155" s="64"/>
      <c r="G155" s="64"/>
      <c r="H155" s="64"/>
    </row>
    <row r="156" spans="1:8" ht="33.9" customHeight="1">
      <c r="A156" s="68" t="s">
        <v>255</v>
      </c>
      <c r="B156" s="68"/>
      <c r="C156" s="68"/>
      <c r="D156" s="68"/>
      <c r="E156" s="68"/>
      <c r="F156" s="68"/>
      <c r="G156" s="68"/>
      <c r="H156" s="68"/>
    </row>
    <row r="157" spans="1:8">
      <c r="A157" s="163" t="s">
        <v>256</v>
      </c>
      <c r="B157" s="163"/>
      <c r="C157" s="163" t="s">
        <v>257</v>
      </c>
      <c r="D157" s="163"/>
      <c r="E157" s="163" t="s">
        <v>258</v>
      </c>
      <c r="F157" s="163"/>
      <c r="G157" s="163" t="s">
        <v>284</v>
      </c>
      <c r="H157" s="163"/>
    </row>
    <row r="158" spans="1:8">
      <c r="A158" s="161" t="s">
        <v>259</v>
      </c>
      <c r="B158" s="161"/>
      <c r="C158" s="161"/>
      <c r="D158" s="161"/>
      <c r="E158" s="161"/>
      <c r="F158" s="161"/>
      <c r="G158" s="161"/>
      <c r="H158" s="161"/>
    </row>
    <row r="159" spans="1:8">
      <c r="A159" s="161"/>
      <c r="B159" s="161"/>
      <c r="C159" s="161"/>
      <c r="D159" s="161"/>
      <c r="E159" s="161"/>
      <c r="F159" s="161"/>
      <c r="G159" s="161"/>
      <c r="H159" s="161"/>
    </row>
    <row r="160" spans="1:8">
      <c r="A160" s="161"/>
      <c r="B160" s="161"/>
      <c r="C160" s="161"/>
      <c r="D160" s="161"/>
      <c r="E160" s="161"/>
      <c r="F160" s="161"/>
      <c r="G160" s="161"/>
      <c r="H160" s="161"/>
    </row>
    <row r="161" spans="1:8">
      <c r="A161" s="161"/>
      <c r="B161" s="161"/>
      <c r="C161" s="161"/>
      <c r="D161" s="161"/>
      <c r="E161" s="161"/>
      <c r="F161" s="161"/>
      <c r="G161" s="161"/>
      <c r="H161" s="161"/>
    </row>
    <row r="162" spans="1:8">
      <c r="A162" s="50" t="s">
        <v>260</v>
      </c>
      <c r="B162" s="51"/>
      <c r="C162" s="51"/>
      <c r="D162" s="50" t="str">
        <f>E8</f>
        <v>Highland Park Building 2 ­ K25 Wing A</v>
      </c>
      <c r="F162" s="51"/>
      <c r="G162" s="51"/>
      <c r="H162" s="51"/>
    </row>
    <row r="163" spans="1:8">
      <c r="A163" s="51"/>
      <c r="B163" s="51"/>
      <c r="C163" s="51"/>
      <c r="D163" s="51"/>
      <c r="E163" s="51"/>
      <c r="F163" s="51"/>
      <c r="G163" s="51"/>
      <c r="H163" s="51"/>
    </row>
    <row r="164" spans="1:8">
      <c r="A164" s="51"/>
      <c r="B164" s="51"/>
      <c r="C164" s="51"/>
      <c r="D164" s="51"/>
      <c r="E164" s="51"/>
      <c r="F164" s="51"/>
      <c r="G164" s="51"/>
      <c r="H164" s="51"/>
    </row>
    <row r="165" spans="1:8" ht="15" customHeight="1"/>
    <row r="204" spans="1:1">
      <c r="A204" s="52" t="s">
        <v>261</v>
      </c>
    </row>
    <row r="246" spans="1:1">
      <c r="A246" s="52" t="s">
        <v>262</v>
      </c>
    </row>
  </sheetData>
  <mergeCells count="279">
    <mergeCell ref="A158:H161"/>
    <mergeCell ref="A22:D23"/>
    <mergeCell ref="E22:H23"/>
    <mergeCell ref="A150:H150"/>
    <mergeCell ref="A151:H151"/>
    <mergeCell ref="A152:H152"/>
    <mergeCell ref="A153:H153"/>
    <mergeCell ref="A154:H154"/>
    <mergeCell ref="A155:H155"/>
    <mergeCell ref="A156:H156"/>
    <mergeCell ref="A157:B157"/>
    <mergeCell ref="C157:D157"/>
    <mergeCell ref="E157:F157"/>
    <mergeCell ref="G157:H157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A133:B133"/>
    <mergeCell ref="A134:B134"/>
    <mergeCell ref="A135:B135"/>
    <mergeCell ref="A136:B136"/>
    <mergeCell ref="A137:B137"/>
    <mergeCell ref="C137:F137"/>
    <mergeCell ref="A138:H138"/>
    <mergeCell ref="B139:H139"/>
    <mergeCell ref="B140:H140"/>
    <mergeCell ref="G132:H137"/>
    <mergeCell ref="A125:B125"/>
    <mergeCell ref="A126:B126"/>
    <mergeCell ref="A127:B127"/>
    <mergeCell ref="A128:B128"/>
    <mergeCell ref="A129:B129"/>
    <mergeCell ref="A130:B130"/>
    <mergeCell ref="C130:F130"/>
    <mergeCell ref="A131:H131"/>
    <mergeCell ref="A132:B132"/>
    <mergeCell ref="G125:H130"/>
    <mergeCell ref="A117:H117"/>
    <mergeCell ref="L117:M117"/>
    <mergeCell ref="A118:B118"/>
    <mergeCell ref="A119:B119"/>
    <mergeCell ref="A120:B120"/>
    <mergeCell ref="A121:B121"/>
    <mergeCell ref="A122:B122"/>
    <mergeCell ref="A123:B123"/>
    <mergeCell ref="A124:H124"/>
    <mergeCell ref="G118:H123"/>
    <mergeCell ref="A109:B109"/>
    <mergeCell ref="A110:H110"/>
    <mergeCell ref="A111:B111"/>
    <mergeCell ref="A112:B112"/>
    <mergeCell ref="A113:B113"/>
    <mergeCell ref="A114:B114"/>
    <mergeCell ref="A115:B115"/>
    <mergeCell ref="A116:B116"/>
    <mergeCell ref="C116:F116"/>
    <mergeCell ref="G104:H109"/>
    <mergeCell ref="G111:H116"/>
    <mergeCell ref="A104:B104"/>
    <mergeCell ref="L104:M104"/>
    <mergeCell ref="A105:B105"/>
    <mergeCell ref="L105:M105"/>
    <mergeCell ref="A106:B106"/>
    <mergeCell ref="L106:M106"/>
    <mergeCell ref="A107:B107"/>
    <mergeCell ref="L107:M107"/>
    <mergeCell ref="A108:B108"/>
    <mergeCell ref="L108:M108"/>
    <mergeCell ref="A96:B96"/>
    <mergeCell ref="C96:D96"/>
    <mergeCell ref="E96:F96"/>
    <mergeCell ref="G96:H96"/>
    <mergeCell ref="A97:H97"/>
    <mergeCell ref="A98:H98"/>
    <mergeCell ref="A101:H101"/>
    <mergeCell ref="A102:H102"/>
    <mergeCell ref="A103:H103"/>
    <mergeCell ref="A99:A100"/>
    <mergeCell ref="B99:B100"/>
    <mergeCell ref="C99:C100"/>
    <mergeCell ref="D99:D100"/>
    <mergeCell ref="E99:E100"/>
    <mergeCell ref="G99:H100"/>
    <mergeCell ref="A92:E92"/>
    <mergeCell ref="F92:H92"/>
    <mergeCell ref="A93:E93"/>
    <mergeCell ref="F93:H93"/>
    <mergeCell ref="A94:H94"/>
    <mergeCell ref="A95:B95"/>
    <mergeCell ref="C95:D95"/>
    <mergeCell ref="E95:F95"/>
    <mergeCell ref="G95:H95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74:B74"/>
    <mergeCell ref="A75:B75"/>
    <mergeCell ref="A76:B76"/>
    <mergeCell ref="A77:B77"/>
    <mergeCell ref="A78:B78"/>
    <mergeCell ref="A79:B79"/>
    <mergeCell ref="A80:E80"/>
    <mergeCell ref="F80:H80"/>
    <mergeCell ref="A81:E81"/>
    <mergeCell ref="F81:H81"/>
    <mergeCell ref="E70:F79"/>
    <mergeCell ref="G70:H79"/>
    <mergeCell ref="A68:B68"/>
    <mergeCell ref="C68:H68"/>
    <mergeCell ref="A69:B69"/>
    <mergeCell ref="E69:F69"/>
    <mergeCell ref="G69:H69"/>
    <mergeCell ref="A70:B70"/>
    <mergeCell ref="A71:B71"/>
    <mergeCell ref="A72:B72"/>
    <mergeCell ref="A73:B73"/>
    <mergeCell ref="A62:C62"/>
    <mergeCell ref="D62:H62"/>
    <mergeCell ref="A63:C63"/>
    <mergeCell ref="D63:H63"/>
    <mergeCell ref="A64:C64"/>
    <mergeCell ref="D64:H64"/>
    <mergeCell ref="A65:C65"/>
    <mergeCell ref="D65:H65"/>
    <mergeCell ref="A66:B66"/>
    <mergeCell ref="C66:H6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2:B52"/>
    <mergeCell ref="C52:H52"/>
    <mergeCell ref="A53:B53"/>
    <mergeCell ref="C53:E53"/>
    <mergeCell ref="G53:H53"/>
    <mergeCell ref="A54:H54"/>
    <mergeCell ref="A55:C55"/>
    <mergeCell ref="D55:H55"/>
    <mergeCell ref="A56:C56"/>
    <mergeCell ref="D56:H56"/>
    <mergeCell ref="A48:B48"/>
    <mergeCell ref="C48:H48"/>
    <mergeCell ref="A49:B49"/>
    <mergeCell ref="C49:E49"/>
    <mergeCell ref="G49:H49"/>
    <mergeCell ref="A50:B50"/>
    <mergeCell ref="C50:E50"/>
    <mergeCell ref="G50:H50"/>
    <mergeCell ref="A51:B51"/>
    <mergeCell ref="C51:E51"/>
    <mergeCell ref="G51:H51"/>
    <mergeCell ref="A43:D43"/>
    <mergeCell ref="E43:H43"/>
    <mergeCell ref="A44:D44"/>
    <mergeCell ref="E44:H44"/>
    <mergeCell ref="A45:D45"/>
    <mergeCell ref="E45:H45"/>
    <mergeCell ref="A46:D46"/>
    <mergeCell ref="E46:H46"/>
    <mergeCell ref="A47:H47"/>
    <mergeCell ref="A37:H37"/>
    <mergeCell ref="A38:B38"/>
    <mergeCell ref="C38:H38"/>
    <mergeCell ref="A39:B39"/>
    <mergeCell ref="C39:H39"/>
    <mergeCell ref="A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B36"/>
    <mergeCell ref="C36:E36"/>
    <mergeCell ref="F36:H36"/>
    <mergeCell ref="A30:D30"/>
    <mergeCell ref="E30:H30"/>
    <mergeCell ref="A31:D31"/>
    <mergeCell ref="E31:H31"/>
    <mergeCell ref="A32:B32"/>
    <mergeCell ref="C32:E32"/>
    <mergeCell ref="F32:H32"/>
    <mergeCell ref="A33:B33"/>
    <mergeCell ref="C33:E33"/>
    <mergeCell ref="F33:H33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20:B20"/>
    <mergeCell ref="C20:D20"/>
    <mergeCell ref="E20:F20"/>
    <mergeCell ref="G20:H20"/>
    <mergeCell ref="A21:B21"/>
    <mergeCell ref="C21:D21"/>
    <mergeCell ref="E21:F21"/>
    <mergeCell ref="G21:H21"/>
    <mergeCell ref="A24:D24"/>
    <mergeCell ref="E24:H24"/>
    <mergeCell ref="A16:B16"/>
    <mergeCell ref="C16:H16"/>
    <mergeCell ref="A17:B17"/>
    <mergeCell ref="C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D14"/>
    <mergeCell ref="E14:H14"/>
    <mergeCell ref="I14:P14"/>
    <mergeCell ref="A15:B15"/>
    <mergeCell ref="C15:H15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dataValidations count="11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99">
      <formula1>"Saleable area Loading :,Builder Saleable area"</formula1>
    </dataValidation>
    <dataValidation type="list" allowBlank="1" showInputMessage="1" showErrorMessage="1" sqref="F100">
      <formula1>"45%,50%,55%,60%"</formula1>
    </dataValidation>
    <dataValidation type="list" allowBlank="1" showInputMessage="1" showErrorMessage="1" sqref="G157:H157">
      <formula1>"Kunal Kadam,Shruti Tathare,Pranita Mhatre,Shruti Fule,Pooja Kawale,Mansee Mohite,Anjali Kamble, Hitakshi Mhatre, Sachin Sawant"</formula1>
    </dataValidation>
    <dataValidation type="list" allowBlank="1" showInputMessage="1" showErrorMessage="1" sqref="B99:B100">
      <formula1>"Flat No. (Sale Plan),Sale / Rehab,Sale / Mhada"</formula1>
    </dataValidation>
  </dataValidation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61" max="16383" man="1"/>
    <brk id="203" max="16383" man="1"/>
    <brk id="24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/>
  <cols>
    <col min="1" max="1" width="8.6328125" style="3"/>
    <col min="2" max="2" width="22.08984375" style="3" customWidth="1"/>
    <col min="3" max="3" width="37" style="3" customWidth="1"/>
    <col min="4" max="5" width="11.453125" style="3" customWidth="1"/>
    <col min="6" max="6" width="14" style="3" customWidth="1"/>
    <col min="7" max="7" width="20" style="3" customWidth="1"/>
    <col min="8" max="8" width="16.453125" style="3" customWidth="1"/>
    <col min="9" max="16384" width="8.6328125" style="3"/>
  </cols>
  <sheetData>
    <row r="1" spans="1:9" ht="15" customHeight="1"/>
    <row r="2" spans="1:9" ht="15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"/>
      <c r="B3" s="170" t="s">
        <v>263</v>
      </c>
      <c r="C3" s="170"/>
      <c r="D3" s="170"/>
      <c r="E3" s="170"/>
      <c r="F3" s="170"/>
      <c r="G3" s="170"/>
      <c r="H3" s="170"/>
    </row>
    <row r="4" spans="1:9">
      <c r="A4" s="4"/>
      <c r="B4" s="5" t="s">
        <v>264</v>
      </c>
      <c r="C4" s="5" t="s">
        <v>265</v>
      </c>
      <c r="D4" s="5" t="s">
        <v>266</v>
      </c>
      <c r="E4" s="5" t="s">
        <v>267</v>
      </c>
      <c r="F4" s="5" t="s">
        <v>268</v>
      </c>
      <c r="G4" s="5" t="s">
        <v>269</v>
      </c>
      <c r="H4" s="5" t="s">
        <v>270</v>
      </c>
    </row>
    <row r="5" spans="1:9" ht="15" customHeight="1">
      <c r="A5" s="4"/>
      <c r="B5" s="6" t="s">
        <v>271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>
      <c r="A6" s="4"/>
      <c r="B6" s="6" t="s">
        <v>271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>
      <c r="A7" s="4"/>
      <c r="B7" s="6" t="s">
        <v>271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>
      <c r="A8" s="4"/>
      <c r="B8" s="6" t="s">
        <v>271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>
      <c r="A9" s="4"/>
      <c r="B9" s="6" t="s">
        <v>271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>
      <c r="A10" s="4"/>
      <c r="B10" s="6" t="s">
        <v>272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>
      <c r="A11" s="4"/>
      <c r="B11" s="6" t="s">
        <v>272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>
      <c r="A12" s="4"/>
      <c r="B12" s="11" t="s">
        <v>273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>
      <c r="B13" s="11" t="s">
        <v>274</v>
      </c>
      <c r="C13" s="6"/>
      <c r="D13" s="6"/>
      <c r="E13" s="6"/>
      <c r="F13" s="13"/>
      <c r="G13" s="11"/>
      <c r="H13" s="11"/>
      <c r="I13" s="14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ColWidth="9" defaultRowHeight="14.5"/>
  <cols>
    <col min="4" max="4" width="11" customWidth="1"/>
    <col min="5" max="5" width="10.453125" customWidth="1"/>
    <col min="8" max="8" width="10.54296875" customWidth="1"/>
  </cols>
  <sheetData>
    <row r="3" spans="2:11">
      <c r="J3">
        <v>1</v>
      </c>
      <c r="K3">
        <v>2</v>
      </c>
    </row>
    <row r="4" spans="2:11">
      <c r="B4" s="1"/>
      <c r="C4" s="1" t="s">
        <v>64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J4" t="s">
        <v>21</v>
      </c>
      <c r="K4" t="s">
        <v>34</v>
      </c>
    </row>
    <row r="5" spans="2:11">
      <c r="B5" s="1"/>
      <c r="C5" s="1"/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</row>
    <row r="6" spans="2:11">
      <c r="B6" s="1"/>
      <c r="C6" s="1"/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</row>
    <row r="7" spans="2:11">
      <c r="B7" s="1"/>
      <c r="C7" s="1"/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</row>
    <row r="8" spans="2:11">
      <c r="B8" s="1"/>
      <c r="C8" s="1"/>
      <c r="D8" s="2" t="s">
        <v>45</v>
      </c>
      <c r="E8" s="2" t="s">
        <v>46</v>
      </c>
      <c r="F8" s="2"/>
      <c r="G8" s="2" t="s">
        <v>47</v>
      </c>
      <c r="H8" s="2" t="s">
        <v>48</v>
      </c>
    </row>
    <row r="9" spans="2:11">
      <c r="B9" s="1"/>
      <c r="C9" s="1"/>
      <c r="D9" s="2" t="s">
        <v>51</v>
      </c>
      <c r="E9" s="2" t="s">
        <v>19</v>
      </c>
      <c r="F9" s="2"/>
      <c r="G9" s="2" t="s">
        <v>52</v>
      </c>
      <c r="H9" s="2" t="s">
        <v>53</v>
      </c>
    </row>
    <row r="10" spans="2:11">
      <c r="B10" s="1"/>
      <c r="C10" s="1"/>
      <c r="D10" s="2" t="s">
        <v>58</v>
      </c>
      <c r="E10" s="2" t="s">
        <v>59</v>
      </c>
      <c r="F10" s="2"/>
      <c r="G10" s="2" t="s">
        <v>60</v>
      </c>
      <c r="H10" s="2" t="s">
        <v>61</v>
      </c>
    </row>
    <row r="11" spans="2:11">
      <c r="B11" s="1"/>
      <c r="C11" s="1"/>
      <c r="D11" s="2" t="s">
        <v>65</v>
      </c>
      <c r="E11" s="2" t="s">
        <v>66</v>
      </c>
      <c r="F11" s="2"/>
      <c r="G11" s="2" t="s">
        <v>67</v>
      </c>
      <c r="H11" s="2" t="s">
        <v>68</v>
      </c>
    </row>
    <row r="12" spans="2:11">
      <c r="B12" s="1"/>
      <c r="C12" s="1"/>
      <c r="D12" s="2"/>
      <c r="E12" s="2"/>
      <c r="F12" s="2"/>
      <c r="G12" s="2" t="s">
        <v>71</v>
      </c>
      <c r="H12" s="2" t="s">
        <v>72</v>
      </c>
    </row>
    <row r="13" spans="2:11">
      <c r="B13" s="1"/>
      <c r="C13" s="1"/>
      <c r="D13" s="2"/>
      <c r="E13" s="2"/>
      <c r="F13" s="2"/>
      <c r="G13" s="2" t="s">
        <v>77</v>
      </c>
      <c r="H13" s="2" t="s">
        <v>78</v>
      </c>
    </row>
    <row r="14" spans="2:11">
      <c r="B14" s="1"/>
      <c r="C14" s="1"/>
      <c r="D14" s="2"/>
      <c r="E14" s="2"/>
      <c r="F14" s="2"/>
      <c r="G14" s="2" t="s">
        <v>81</v>
      </c>
      <c r="H14" s="2" t="s">
        <v>82</v>
      </c>
    </row>
    <row r="15" spans="2:11">
      <c r="B15" s="1"/>
      <c r="C15" s="1"/>
      <c r="D15" s="2"/>
      <c r="E15" s="2"/>
      <c r="F15" s="2"/>
      <c r="G15" s="2" t="s">
        <v>83</v>
      </c>
      <c r="H15" s="2" t="s">
        <v>84</v>
      </c>
    </row>
    <row r="16" spans="2:11">
      <c r="B16" s="1"/>
      <c r="C16" s="1"/>
      <c r="D16" s="2"/>
      <c r="E16" s="2"/>
      <c r="F16" s="2"/>
      <c r="G16" s="2" t="s">
        <v>87</v>
      </c>
      <c r="H16" s="2" t="s">
        <v>88</v>
      </c>
    </row>
    <row r="17" spans="2:8">
      <c r="B17" s="1"/>
      <c r="C17" s="1"/>
      <c r="D17" s="2"/>
      <c r="E17" s="2"/>
      <c r="F17" s="2"/>
      <c r="G17" s="2" t="s">
        <v>90</v>
      </c>
      <c r="H17" s="2" t="s">
        <v>91</v>
      </c>
    </row>
    <row r="18" spans="2:8">
      <c r="B18" s="1"/>
      <c r="C18" s="1"/>
      <c r="D18" s="2"/>
      <c r="E18" s="2"/>
      <c r="F18" s="2"/>
      <c r="G18" s="2" t="s">
        <v>94</v>
      </c>
      <c r="H18" s="2" t="s">
        <v>95</v>
      </c>
    </row>
    <row r="24" spans="2:8">
      <c r="C24" t="s">
        <v>275</v>
      </c>
    </row>
    <row r="25" spans="2:8">
      <c r="C25" t="s">
        <v>276</v>
      </c>
    </row>
    <row r="26" spans="2:8">
      <c r="C26" t="s">
        <v>277</v>
      </c>
    </row>
    <row r="27" spans="2:8">
      <c r="C27" t="s">
        <v>278</v>
      </c>
    </row>
    <row r="28" spans="2:8">
      <c r="C28" t="s">
        <v>279</v>
      </c>
    </row>
    <row r="29" spans="2:8">
      <c r="C29" t="s">
        <v>280</v>
      </c>
    </row>
    <row r="30" spans="2:8">
      <c r="C30" t="s">
        <v>275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2025-07-31T09:53:54Z</cp:lastPrinted>
  <dcterms:created xsi:type="dcterms:W3CDTF">2019-07-16T09:29:00Z</dcterms:created>
  <dcterms:modified xsi:type="dcterms:W3CDTF">2025-07-31T09:54:36Z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8F6DC0C1FF3843AC8FD8300D0B7E680F_12</vt:lpwstr>
  </property>
  <property fmtid="{D5CDD505-2E9C-101B-9397-08002B2CF9AE}" pid="3" name="KSOProductBuildVer">
    <vt:lpwstr>1033-12.2.0.17562</vt:lpwstr>
  </property>
</Properties>
</file>