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bookViews>
  <sheets>
    <sheet name="Report (2)" sheetId="1" r:id="rId1"/>
    <sheet name="VALUATION" sheetId="7" r:id="rId2"/>
    <sheet name="NOTE" sheetId="8" r:id="rId3"/>
    <sheet name="A &amp; B" sheetId="2" r:id="rId4"/>
    <sheet name="B" sheetId="5" r:id="rId5"/>
    <sheet name="C&amp;D" sheetId="4" r:id="rId6"/>
    <sheet name="E&amp;F(2)" sheetId="6" r:id="rId7"/>
    <sheet name="Flat detail" sheetId="3" r:id="rId8"/>
  </sheets>
  <definedNames>
    <definedName name="_xlnm.Print_Area" localSheetId="0">'Report (2)'!$A$1:$J$424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 r="L109" i="1" l="1"/>
  <c r="L108" i="1"/>
  <c r="L107" i="1"/>
  <c r="L106" i="1"/>
  <c r="I99" i="1"/>
  <c r="L103" i="1" l="1"/>
  <c r="C102" i="1" s="1"/>
  <c r="D102" i="1" s="1"/>
  <c r="L101" i="1"/>
  <c r="D111" i="1"/>
  <c r="D109" i="1"/>
  <c r="D107" i="1"/>
  <c r="D105" i="1"/>
  <c r="L104" i="1"/>
  <c r="L105" i="1" s="1"/>
  <c r="L110" i="1" s="1"/>
  <c r="L111" i="1" s="1"/>
  <c r="C103" i="1" s="1"/>
  <c r="D110" i="1"/>
  <c r="D108" i="1"/>
  <c r="D106" i="1"/>
  <c r="D104" i="1"/>
  <c r="L102" i="1"/>
  <c r="F3" i="1"/>
  <c r="F102" i="1" l="1"/>
  <c r="K98" i="1" s="1"/>
  <c r="C100" i="1" s="1"/>
  <c r="D103" i="1"/>
  <c r="H102" i="1"/>
  <c r="G122" i="1"/>
  <c r="G125" i="1" l="1"/>
  <c r="G126" i="1"/>
  <c r="G127" i="1"/>
  <c r="G128" i="1"/>
  <c r="G129" i="1"/>
  <c r="G130" i="1"/>
  <c r="F327" i="1"/>
  <c r="D327" i="1"/>
  <c r="D293" i="1"/>
  <c r="D292" i="1"/>
  <c r="F261" i="1"/>
  <c r="D261" i="1"/>
  <c r="D264" i="1"/>
  <c r="D263" i="1"/>
  <c r="F230" i="1"/>
  <c r="F164" i="1"/>
  <c r="D230" i="1"/>
  <c r="D229" i="1"/>
  <c r="D196" i="1"/>
  <c r="D195" i="1"/>
  <c r="I164" i="1"/>
  <c r="D167" i="1"/>
  <c r="D166" i="1"/>
  <c r="D165" i="1"/>
  <c r="D164" i="1"/>
  <c r="D326" i="1"/>
  <c r="D325" i="1"/>
  <c r="I324" i="1"/>
  <c r="D324" i="1"/>
  <c r="I318" i="1"/>
  <c r="I292" i="1"/>
  <c r="D262" i="1"/>
  <c r="I227" i="1"/>
  <c r="I261" i="1" s="1"/>
  <c r="D228" i="1"/>
  <c r="D227" i="1"/>
  <c r="I190" i="1"/>
  <c r="I195" i="1"/>
  <c r="L95" i="1" l="1"/>
  <c r="L94" i="1"/>
  <c r="L93" i="1"/>
  <c r="L92" i="1"/>
  <c r="L81" i="1"/>
  <c r="L80" i="1"/>
  <c r="L79" i="1"/>
  <c r="L78" i="1"/>
  <c r="L67" i="1"/>
  <c r="L66" i="1"/>
  <c r="L65" i="1"/>
  <c r="L64" i="1"/>
  <c r="I71" i="1"/>
  <c r="I85" i="1"/>
  <c r="I57" i="1"/>
  <c r="D97" i="1" l="1"/>
  <c r="D91" i="1"/>
  <c r="D96" i="1"/>
  <c r="D90" i="1"/>
  <c r="L89" i="1"/>
  <c r="C88" i="1" s="1"/>
  <c r="L90" i="1"/>
  <c r="L91" i="1" s="1"/>
  <c r="L96" i="1" s="1"/>
  <c r="L97" i="1" s="1"/>
  <c r="C89" i="1" s="1"/>
  <c r="F88" i="1" s="1"/>
  <c r="D95" i="1"/>
  <c r="D92" i="1"/>
  <c r="D94" i="1"/>
  <c r="L88" i="1"/>
  <c r="D93" i="1"/>
  <c r="L87" i="1"/>
  <c r="L76" i="1"/>
  <c r="L77" i="1" s="1"/>
  <c r="L82" i="1" s="1"/>
  <c r="L83" i="1" s="1"/>
  <c r="C75" i="1" s="1"/>
  <c r="D80" i="1"/>
  <c r="L74" i="1"/>
  <c r="D78" i="1"/>
  <c r="D82" i="1"/>
  <c r="L75" i="1"/>
  <c r="C74" i="1" s="1"/>
  <c r="D81" i="1"/>
  <c r="D79" i="1"/>
  <c r="L73" i="1"/>
  <c r="D83" i="1"/>
  <c r="D77" i="1"/>
  <c r="D76" i="1"/>
  <c r="D65" i="1"/>
  <c r="D69" i="1"/>
  <c r="D63" i="1"/>
  <c r="L59" i="1"/>
  <c r="L62" i="1"/>
  <c r="L63" i="1" s="1"/>
  <c r="L68" i="1" s="1"/>
  <c r="L69" i="1" s="1"/>
  <c r="C61" i="1" s="1"/>
  <c r="L61" i="1"/>
  <c r="C60" i="1" s="1"/>
  <c r="D68" i="1"/>
  <c r="D62" i="1"/>
  <c r="D67" i="1"/>
  <c r="D66" i="1"/>
  <c r="L60" i="1"/>
  <c r="D64" i="1"/>
  <c r="C9" i="6"/>
  <c r="C9" i="4"/>
  <c r="D89" i="1" l="1"/>
  <c r="H88" i="1"/>
  <c r="D88" i="1"/>
  <c r="K84" i="1" s="1"/>
  <c r="C86" i="1" s="1"/>
  <c r="F74" i="1"/>
  <c r="D75" i="1"/>
  <c r="H74" i="1"/>
  <c r="D74" i="1"/>
  <c r="F60" i="1"/>
  <c r="D61" i="1"/>
  <c r="H60" i="1"/>
  <c r="D60" i="1"/>
  <c r="F12" i="7"/>
  <c r="F11" i="7"/>
  <c r="G11" i="7" s="1"/>
  <c r="F10" i="7"/>
  <c r="G10" i="7" s="1"/>
  <c r="F9" i="7"/>
  <c r="G9" i="7" s="1"/>
  <c r="F8" i="7"/>
  <c r="G8" i="7" s="1"/>
  <c r="F7" i="7"/>
  <c r="G7" i="7" s="1"/>
  <c r="G6" i="7"/>
  <c r="G5" i="7"/>
  <c r="K70" i="1" l="1"/>
  <c r="C72" i="1" s="1"/>
  <c r="K56" i="1"/>
  <c r="G12" i="7"/>
  <c r="G15" i="6" l="1"/>
  <c r="G16" i="6" s="1"/>
  <c r="C15" i="6" s="1"/>
  <c r="B7" i="6"/>
  <c r="H15" i="6" s="1"/>
  <c r="B16" i="6" s="1"/>
  <c r="D6" i="6"/>
  <c r="C5" i="6"/>
  <c r="B12" i="6" s="1"/>
  <c r="G15" i="5"/>
  <c r="B15" i="5" s="1"/>
  <c r="B7" i="5"/>
  <c r="D7" i="5" s="1"/>
  <c r="D6" i="5"/>
  <c r="C5" i="5"/>
  <c r="B12" i="5" s="1"/>
  <c r="B9" i="6" l="1"/>
  <c r="J16" i="6" s="1"/>
  <c r="C18" i="6" s="1"/>
  <c r="B15" i="6"/>
  <c r="B11" i="6"/>
  <c r="L15" i="6" s="1"/>
  <c r="B20" i="6" s="1"/>
  <c r="D12" i="6"/>
  <c r="M16" i="6"/>
  <c r="C21" i="6" s="1"/>
  <c r="M15" i="6"/>
  <c r="B21" i="6" s="1"/>
  <c r="H16" i="6"/>
  <c r="C16" i="6" s="1"/>
  <c r="L16" i="6"/>
  <c r="C20" i="6" s="1"/>
  <c r="D7" i="6"/>
  <c r="J15" i="6"/>
  <c r="B18" i="6" s="1"/>
  <c r="B8" i="6"/>
  <c r="B10" i="6"/>
  <c r="M16" i="5"/>
  <c r="C21" i="5" s="1"/>
  <c r="M15" i="5"/>
  <c r="B21" i="5" s="1"/>
  <c r="D12" i="5"/>
  <c r="B10" i="5"/>
  <c r="H15" i="5"/>
  <c r="B16" i="5" s="1"/>
  <c r="G16" i="5"/>
  <c r="C15" i="5" s="1"/>
  <c r="B9" i="5"/>
  <c r="B11" i="5"/>
  <c r="H16" i="5"/>
  <c r="C16" i="5" s="1"/>
  <c r="B8" i="5"/>
  <c r="G15" i="4"/>
  <c r="B15" i="4" s="1"/>
  <c r="B7" i="4"/>
  <c r="D7" i="4" s="1"/>
  <c r="D6" i="4"/>
  <c r="C5" i="4"/>
  <c r="B11" i="4" s="1"/>
  <c r="D11" i="6" l="1"/>
  <c r="D9" i="6"/>
  <c r="K16" i="6"/>
  <c r="C19" i="6" s="1"/>
  <c r="D10" i="6"/>
  <c r="K15" i="6"/>
  <c r="B19" i="6" s="1"/>
  <c r="D8" i="6"/>
  <c r="I16" i="6"/>
  <c r="C17" i="6" s="1"/>
  <c r="C22" i="6" s="1"/>
  <c r="I15" i="6"/>
  <c r="B17" i="6" s="1"/>
  <c r="J15" i="5"/>
  <c r="B18" i="5" s="1"/>
  <c r="D9" i="5"/>
  <c r="J16" i="5"/>
  <c r="C18" i="5" s="1"/>
  <c r="D11" i="5"/>
  <c r="L16" i="5"/>
  <c r="C20" i="5" s="1"/>
  <c r="L15" i="5"/>
  <c r="B20" i="5" s="1"/>
  <c r="K15" i="5"/>
  <c r="B19" i="5" s="1"/>
  <c r="K16" i="5"/>
  <c r="C19" i="5" s="1"/>
  <c r="D10" i="5"/>
  <c r="I16" i="5"/>
  <c r="C17" i="5" s="1"/>
  <c r="D8" i="5"/>
  <c r="I15" i="5"/>
  <c r="B17" i="5" s="1"/>
  <c r="D11" i="4"/>
  <c r="L16" i="4"/>
  <c r="C20" i="4" s="1"/>
  <c r="L15" i="4"/>
  <c r="B20" i="4" s="1"/>
  <c r="B12" i="4"/>
  <c r="H15" i="4"/>
  <c r="B16" i="4" s="1"/>
  <c r="G16" i="4"/>
  <c r="C15" i="4" s="1"/>
  <c r="B8" i="4"/>
  <c r="B10" i="4"/>
  <c r="B9" i="4"/>
  <c r="H16" i="4"/>
  <c r="C16" i="4" s="1"/>
  <c r="C22" i="5" l="1"/>
  <c r="B22" i="6"/>
  <c r="B22" i="5"/>
  <c r="I16" i="4"/>
  <c r="C17" i="4" s="1"/>
  <c r="I15" i="4"/>
  <c r="B17" i="4" s="1"/>
  <c r="D8" i="4"/>
  <c r="J15" i="4"/>
  <c r="B18" i="4" s="1"/>
  <c r="D9" i="4"/>
  <c r="J16" i="4"/>
  <c r="C18" i="4" s="1"/>
  <c r="K15" i="4"/>
  <c r="B19" i="4" s="1"/>
  <c r="K16" i="4"/>
  <c r="C19" i="4" s="1"/>
  <c r="D10" i="4"/>
  <c r="M16" i="4"/>
  <c r="C21" i="4" s="1"/>
  <c r="M15" i="4"/>
  <c r="B21" i="4" s="1"/>
  <c r="D12" i="4"/>
  <c r="D137" i="1"/>
  <c r="K137" i="1" s="1"/>
  <c r="C22" i="4" l="1"/>
  <c r="B22" i="4"/>
  <c r="D322" i="1"/>
  <c r="D321" i="1"/>
  <c r="D320" i="1"/>
  <c r="D319" i="1"/>
  <c r="D318" i="1"/>
  <c r="D290" i="1"/>
  <c r="D289" i="1"/>
  <c r="D288" i="1"/>
  <c r="D287" i="1"/>
  <c r="D259" i="1"/>
  <c r="D258" i="1"/>
  <c r="D257" i="1"/>
  <c r="D256" i="1"/>
  <c r="D255" i="1"/>
  <c r="D225" i="1"/>
  <c r="D224" i="1"/>
  <c r="D223" i="1"/>
  <c r="D222" i="1"/>
  <c r="D221" i="1"/>
  <c r="D193" i="1"/>
  <c r="D192" i="1"/>
  <c r="D191" i="1"/>
  <c r="D190" i="1"/>
  <c r="D162" i="1"/>
  <c r="D161" i="1"/>
  <c r="D160" i="1"/>
  <c r="D159" i="1"/>
  <c r="D158" i="1"/>
  <c r="D316" i="1"/>
  <c r="D315" i="1"/>
  <c r="D314" i="1"/>
  <c r="D313" i="1"/>
  <c r="D312" i="1"/>
  <c r="D285" i="1"/>
  <c r="D284" i="1"/>
  <c r="D283" i="1"/>
  <c r="D282" i="1"/>
  <c r="D253" i="1"/>
  <c r="D252" i="1"/>
  <c r="D251" i="1"/>
  <c r="D250" i="1"/>
  <c r="D249" i="1"/>
  <c r="D238" i="1"/>
  <c r="D219" i="1"/>
  <c r="D218" i="1"/>
  <c r="D217" i="1"/>
  <c r="D216" i="1"/>
  <c r="D215" i="1"/>
  <c r="D188" i="1"/>
  <c r="D187" i="1"/>
  <c r="D186" i="1"/>
  <c r="D185" i="1"/>
  <c r="D156" i="1"/>
  <c r="D155" i="1"/>
  <c r="D154" i="1"/>
  <c r="D153" i="1"/>
  <c r="D152" i="1"/>
  <c r="D310" i="1"/>
  <c r="D309" i="1"/>
  <c r="D308" i="1"/>
  <c r="D307" i="1"/>
  <c r="D306" i="1"/>
  <c r="D280" i="1"/>
  <c r="D279" i="1"/>
  <c r="D278" i="1"/>
  <c r="D277" i="1"/>
  <c r="D247" i="1"/>
  <c r="D246" i="1"/>
  <c r="D245" i="1"/>
  <c r="D244" i="1"/>
  <c r="D243" i="1"/>
  <c r="D213" i="1"/>
  <c r="D212" i="1"/>
  <c r="D211" i="1"/>
  <c r="D210" i="1"/>
  <c r="D209" i="1"/>
  <c r="D183" i="1"/>
  <c r="D182" i="1"/>
  <c r="D181" i="1"/>
  <c r="D180" i="1"/>
  <c r="D150" i="1"/>
  <c r="D149" i="1"/>
  <c r="D148" i="1"/>
  <c r="D147" i="1"/>
  <c r="D146" i="1"/>
  <c r="D304" i="1"/>
  <c r="D303" i="1"/>
  <c r="D302" i="1"/>
  <c r="D301" i="1"/>
  <c r="D300" i="1"/>
  <c r="D275" i="1"/>
  <c r="D274" i="1"/>
  <c r="D273" i="1"/>
  <c r="D272" i="1"/>
  <c r="D241" i="1"/>
  <c r="D240" i="1"/>
  <c r="D239" i="1"/>
  <c r="D237" i="1"/>
  <c r="D207" i="1"/>
  <c r="D206" i="1"/>
  <c r="D205" i="1"/>
  <c r="D204" i="1"/>
  <c r="D203" i="1"/>
  <c r="D178" i="1"/>
  <c r="D177" i="1"/>
  <c r="D176" i="1"/>
  <c r="D175" i="1"/>
  <c r="D144" i="1"/>
  <c r="D143" i="1"/>
  <c r="D142" i="1"/>
  <c r="D141" i="1"/>
  <c r="D140" i="1"/>
  <c r="D298" i="1"/>
  <c r="D297" i="1"/>
  <c r="D270" i="1"/>
  <c r="D269" i="1"/>
  <c r="D268" i="1"/>
  <c r="D235" i="1"/>
  <c r="D234" i="1"/>
  <c r="D201" i="1"/>
  <c r="D200" i="1"/>
  <c r="D173" i="1"/>
  <c r="D172" i="1"/>
  <c r="D171" i="1"/>
  <c r="D138" i="1"/>
  <c r="I282" i="1"/>
  <c r="I249" i="1"/>
  <c r="I243" i="1"/>
  <c r="I209" i="1"/>
  <c r="I185" i="1"/>
  <c r="I180" i="1"/>
  <c r="I152" i="1"/>
  <c r="I146" i="1"/>
  <c r="I277" i="1"/>
  <c r="C125" i="1" l="1"/>
  <c r="D128" i="1"/>
  <c r="C128" i="1"/>
  <c r="C126" i="1"/>
  <c r="D126" i="1"/>
  <c r="C130" i="1"/>
  <c r="D130" i="1"/>
  <c r="D125" i="1"/>
  <c r="D127" i="1"/>
  <c r="C127" i="1"/>
  <c r="C129" i="1"/>
  <c r="D129" i="1"/>
  <c r="I221" i="1"/>
  <c r="I255" i="1" s="1"/>
  <c r="I287" i="1" s="1"/>
  <c r="I158" i="1"/>
  <c r="I215" i="1"/>
  <c r="I312" i="1" s="1"/>
  <c r="I306" i="1"/>
  <c r="F7" i="1" l="1"/>
  <c r="C14" i="1"/>
  <c r="F41" i="1"/>
  <c r="F42" i="1" s="1"/>
  <c r="D51" i="1" s="1"/>
  <c r="C46" i="1"/>
  <c r="I171" i="1"/>
  <c r="I200" i="1" s="1"/>
  <c r="I234" i="1" s="1"/>
  <c r="I268" i="1" s="1"/>
  <c r="I297" i="1" s="1"/>
  <c r="I140" i="1"/>
  <c r="I175" i="1" s="1"/>
  <c r="I203" i="1" s="1"/>
  <c r="I237" i="1" s="1"/>
  <c r="I272" i="1" s="1"/>
  <c r="I300" i="1" s="1"/>
  <c r="D340" i="1"/>
  <c r="B7" i="2" l="1"/>
  <c r="D131" i="1" l="1"/>
  <c r="G131" i="1"/>
  <c r="C131" i="1"/>
  <c r="G15" i="2"/>
  <c r="G16" i="2" s="1"/>
  <c r="C15" i="2" s="1"/>
  <c r="H15" i="2"/>
  <c r="B16" i="2" s="1"/>
  <c r="D6" i="2"/>
  <c r="C5" i="2"/>
  <c r="B12" i="2" s="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<sst xmlns="http://schemas.openxmlformats.org/spreadsheetml/2006/main" count="970" uniqueCount="289">
  <si>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</si>
  <si>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</si>
  <si>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</si>
  <si>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</si>
  <si>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</si>
  <si>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</si>
  <si>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</si>
  <si>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</si>
  <si>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</si>
  <si>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</si>
  <si>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</si>
  <si>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</si>
  <si>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</si>
  <si>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</si>
  <si>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</si>
  <si>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</si>
  <si>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</si>
  <si>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</si>
  <si>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</si>
  <si>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</si>
  <si>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</si>
  <si>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</si>
  <si>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</si>
  <si>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</si>
  <si>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</si>
  <si>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</si>
  <si>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</si>
  <si>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</si>
  <si>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</si>
  <si>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</si>
  <si>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</si>
  <si>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</si>
  <si>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</si>
  <si>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</si>
  <si>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</si>
  <si>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</si>
  <si>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</si>
  <si>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</si>
  <si>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</si>
  <si>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</si>
  <si>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</si>
  <si>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</si>
  <si>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</si>
  <si>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</si>
  <si>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</si>
  <si>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</si>
  <si>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</si>
  <si>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</si>
  <si>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</si>
  <si>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</si>
  <si>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</si>
  <si>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</si>
  <si>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</si>
  <si>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</si>
  <si>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</si>
  <si>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</si>
  <si>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</si>
  <si>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</si>
  <si>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</si>
  <si>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</si>
  <si>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</si>
  <si>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</si>
  <si>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</si>
  <si>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</si>
  <si>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</si>
  <si>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</si>
  <si>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Type of Work</t>
  </si>
  <si>
    <t>Plinth</t>
  </si>
  <si>
    <t>RCC</t>
  </si>
  <si>
    <t>Plaster</t>
  </si>
  <si>
    <t>Flooring</t>
  </si>
  <si>
    <t>Finishing</t>
  </si>
  <si>
    <t>Violations Observed if any : NA</t>
  </si>
  <si>
    <t>Recommended Rates of the Property :</t>
  </si>
  <si>
    <t>Club Charges</t>
  </si>
  <si>
    <t xml:space="preserve">Recommended rate of Parking </t>
  </si>
  <si>
    <t>Distressed valuation of the Property</t>
  </si>
  <si>
    <t>Building &amp; Wing</t>
  </si>
  <si>
    <t>Total Carpet Area</t>
  </si>
  <si>
    <t>Total Saleable Area</t>
  </si>
  <si>
    <t>A</t>
  </si>
  <si>
    <t>B</t>
  </si>
  <si>
    <t>C</t>
  </si>
  <si>
    <t>Total</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</si>
  <si>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</si>
  <si>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</si>
  <si>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</si>
  <si>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</si>
  <si>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</si>
  <si>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</si>
  <si>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</si>
  <si>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</si>
  <si>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</si>
  <si>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</si>
  <si>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</si>
  <si>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</si>
  <si>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</si>
  <si>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</si>
  <si>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</si>
  <si>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</si>
  <si>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</si>
  <si>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</si>
  <si>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</si>
  <si>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</si>
  <si>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</si>
  <si>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</si>
  <si>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</si>
  <si>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</si>
  <si>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</si>
  <si>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</si>
  <si>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</si>
  <si>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</si>
  <si>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</si>
  <si>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</si>
  <si>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</si>
  <si>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</si>
  <si>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</si>
  <si>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</si>
  <si>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</si>
  <si>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</si>
  <si>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</si>
  <si>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</si>
  <si>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</si>
  <si>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</si>
  <si>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</si>
  <si>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</si>
  <si>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</si>
  <si>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</si>
  <si>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</si>
  <si>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</si>
  <si>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</si>
  <si>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</si>
  <si>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</si>
  <si>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</si>
  <si>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</si>
  <si>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</si>
  <si>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</si>
  <si>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</si>
  <si>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</si>
  <si>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</si>
  <si>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</si>
  <si>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</si>
  <si>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</si>
  <si>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</si>
  <si>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</si>
  <si>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</si>
  <si>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</si>
  <si>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</si>
  <si>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</si>
  <si>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</si>
  <si>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</si>
  <si>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</si>
  <si>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</si>
  <si>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</si>
  <si>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</si>
  <si>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</si>
  <si>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</si>
  <si>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</si>
  <si>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</si>
  <si>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</si>
  <si>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</si>
  <si>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</si>
  <si>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</si>
  <si>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</si>
  <si>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</si>
  <si>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</si>
  <si>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</si>
  <si>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</si>
  <si>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</si>
  <si>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</si>
  <si>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</si>
  <si>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</si>
  <si>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</si>
  <si>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</si>
  <si>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</si>
  <si>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</si>
  <si>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</si>
  <si>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M/s.Juhi Infrabuild LLP</t>
  </si>
  <si>
    <t>Niharika Absolute</t>
  </si>
  <si>
    <t xml:space="preserve">P52000020033
</t>
  </si>
  <si>
    <t>Plot No</t>
  </si>
  <si>
    <t>Sector</t>
  </si>
  <si>
    <t>A-10</t>
  </si>
  <si>
    <t>39-A</t>
  </si>
  <si>
    <t>Plot no A-10</t>
  </si>
  <si>
    <t>Kharghar</t>
  </si>
  <si>
    <t>Navi Mumbai</t>
  </si>
  <si>
    <t>About 1.6 Km from Taloja Panchnand Railway Station</t>
  </si>
  <si>
    <t>Ground Floor and 1st Floor is for Parking</t>
  </si>
  <si>
    <t xml:space="preserve">A Wing </t>
  </si>
  <si>
    <t>2nd Floor</t>
  </si>
  <si>
    <t>2 BHK</t>
  </si>
  <si>
    <t>B Wing</t>
  </si>
  <si>
    <t>1 BHK</t>
  </si>
  <si>
    <t>C Wing</t>
  </si>
  <si>
    <t>D Wing</t>
  </si>
  <si>
    <t>E Wing</t>
  </si>
  <si>
    <t>F Wing</t>
  </si>
  <si>
    <t>3rd Floor</t>
  </si>
  <si>
    <t>F</t>
  </si>
  <si>
    <t>D</t>
  </si>
  <si>
    <t>E</t>
  </si>
  <si>
    <t xml:space="preserve">CIDCO Transfer charges </t>
  </si>
  <si>
    <t>Residential</t>
  </si>
  <si>
    <t>4th &amp; 6th Floor</t>
  </si>
  <si>
    <t>Raigad</t>
  </si>
  <si>
    <t xml:space="preserve">Road </t>
  </si>
  <si>
    <t>Open Land</t>
  </si>
  <si>
    <t>01 Building (06 Wing)</t>
  </si>
  <si>
    <t>2nd Floor (Part Podium)</t>
  </si>
  <si>
    <t>Cidco garden Kharghar</t>
  </si>
  <si>
    <t>Builder Saleable area</t>
  </si>
  <si>
    <t>17/10/2020.</t>
  </si>
  <si>
    <t>Market Research Data</t>
  </si>
  <si>
    <t>Source</t>
  </si>
  <si>
    <t>Distance from proposed property</t>
  </si>
  <si>
    <t>Net Carpet</t>
  </si>
  <si>
    <t>Saleable Area</t>
  </si>
  <si>
    <t>Rate on Saleable</t>
  </si>
  <si>
    <t>Market Value</t>
  </si>
  <si>
    <t>magicbricks.</t>
  </si>
  <si>
    <t>1BHK</t>
  </si>
  <si>
    <t>2BHK</t>
  </si>
  <si>
    <t>99acres</t>
  </si>
  <si>
    <t>housing</t>
  </si>
  <si>
    <t>Average</t>
  </si>
  <si>
    <t xml:space="preserve">Valuation Adopted </t>
  </si>
  <si>
    <t>Dhanashree</t>
  </si>
  <si>
    <t>OLD APF</t>
  </si>
  <si>
    <t>Rate has not Changed</t>
  </si>
  <si>
    <t>Proposed no of Floors</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</si>
  <si>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</si>
  <si>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</si>
  <si>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</si>
  <si>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</si>
  <si>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</si>
  <si>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</si>
  <si>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</si>
  <si>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</si>
  <si>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</si>
  <si>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</si>
  <si>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</si>
  <si>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</si>
  <si>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</si>
  <si>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</si>
  <si>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</si>
  <si>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</si>
  <si>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</si>
  <si>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</si>
  <si>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</si>
  <si>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</si>
  <si>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</si>
  <si>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</si>
  <si>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</si>
  <si>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</si>
  <si>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Wing A To F =  G + 1st to 14th Floor</t>
  </si>
  <si>
    <t>Ground Floor and 1st Floor for Parking</t>
  </si>
  <si>
    <t>2nd Floor for Residential &amp; Amenties</t>
  </si>
  <si>
    <t>5th, 7th, 9th, 11th &amp; 13th Floor</t>
  </si>
  <si>
    <t>8th, 10th &amp; 12th Floor (Part Refuge Area)</t>
  </si>
  <si>
    <t>14th Floor (Part Terrace Area)</t>
  </si>
  <si>
    <t>RCC(Including podiums)</t>
  </si>
  <si>
    <t>80000/-</t>
  </si>
  <si>
    <t>3,50,000/-</t>
  </si>
  <si>
    <t xml:space="preserve">Development charges </t>
  </si>
  <si>
    <t>A, B, C, D, E &amp; F Wing</t>
  </si>
  <si>
    <t>Wing C &amp; D =  G + 1st to 14th Floor</t>
  </si>
  <si>
    <t>Location Link</t>
  </si>
  <si>
    <t>https://goo.gl/maps/3e4fqKxp1Yz4veMv7?coh=178572&amp;entry=tt</t>
  </si>
  <si>
    <t>Wing F =  G + 1st to 14th Floor</t>
  </si>
  <si>
    <t xml:space="preserve">Office No. 1031, Wing J, Akshar Business Park, Plot No. 03 Sector 25, Near APMC Market, Vashi, Navi Mumbai, Maharashtra 400703 TEL: 022-46090378/79/80                                                                       
E mail : vsjcapf@gmail.com. Web site : www.vsjadon.com
</t>
  </si>
  <si>
    <t xml:space="preserve">Site Person - Contact Details ( Name &amp; Contact No.)
</t>
  </si>
  <si>
    <t>CIDCO/BP-15232/TPO(NM &amp; K)/2016/6166</t>
  </si>
  <si>
    <t>CIDCO/BP-15232/TPO(NM &amp; K)/2016/6166
Valid Up to: 
Wing A To F =  G + 1st to 14th Floor</t>
  </si>
  <si>
    <t>Wing E &amp; F =  G + 1st to 14th Floor</t>
  </si>
  <si>
    <t>Wing A to F =  G + 1st to 14th Floor</t>
  </si>
  <si>
    <t>Completed</t>
  </si>
  <si>
    <t>Material laying at Site: Nothing</t>
  </si>
  <si>
    <t>Wheather the construction is as per approved Building plan : Yes</t>
  </si>
  <si>
    <t>Floor rise rate  Per Sq. Ft.  from 2nd Floor</t>
  </si>
  <si>
    <t>8000 to 9600</t>
  </si>
  <si>
    <t>smith</t>
  </si>
  <si>
    <t xml:space="preserve">cost sheet </t>
  </si>
  <si>
    <t>Sunil</t>
  </si>
  <si>
    <t>Security</t>
  </si>
  <si>
    <t>CIDCO/BP-15232/TPO(NM &amp; K)/2016/11737
Approved upto : Gr/St + 1st to 14th Floor
Total BUA = 13947.89Sq.mtrs
No. of Residential Units = 342No.</t>
  </si>
  <si>
    <t>Projected life of the structure: 59 Years</t>
  </si>
  <si>
    <t>1. Wing A to F = All work Completed. OC Received.
2. We considered Saleable area as per Builder area sheet.
3. We considered Carpet area as per Approved Plan.
4. We considered Gross carpet area = Net carpet + Enclose balcony + Chajja/cornice.
5. We considered Flat rate as per Market Inquire &amp; Other charges as per Builder cost sheet.
6. Car parking is subjected to authentic documentation.
7.Recommended rate should be considered as all inclusive rate if other charges are not mentioned. (Excluding GST &amp; other government Taxes).
8. We have considered construction percent as per proposed no of floor(Gr.+ 1st to 16th Floor).
9. We have updated latest approved floor plan &amp; CC for all wings.(on 24/09/2021).
10. Recommended Rates/Other Charges of the Property have been revised on 06/03/2024.
11. We have updated OC (On 30/07/2025).
10. On site, we meet Mr. Vikas - 9820074059.</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</si>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</sst>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u/>
      <sz val="11"/>
      <color theme="10"/>
      <name val="Calibri"/>
      <family val="2"/>
    </font>
    <font>
      <sz val="11"/>
      <name val="Calibri"/>
      <family val="2"/>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5" fillId="0" borderId="0"/>
    <xf numFmtId="0" fontId="1" fillId="0" borderId="0"/>
    <xf numFmtId="0" fontId="20" fillId="0" borderId="0" applyNumberFormat="0" applyFill="0" applyBorder="0" applyAlignment="0" applyProtection="0"/>
    <xf numFmtId="165" fontId="5" fillId="0" borderId="0" applyFont="0" applyFill="0" applyBorder="0" applyAlignment="0" applyProtection="0"/>
  </cellStyleXfs>
  <cellXfs count="292">
    <xf numFmtId="0" fontId="0" fillId="0" borderId="0" xfId="0"/>
    <xf numFmtId="0" fontId="7" fillId="0" borderId="0" xfId="0" applyFont="1" applyAlignment="1">
      <alignment horizontal="center" vertical="center"/>
    </xf>
    <xf numFmtId="1" fontId="8" fillId="0" borderId="4" xfId="1" applyNumberFormat="1" applyFont="1" applyFill="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1" fontId="4" fillId="0" borderId="4" xfId="1" applyNumberFormat="1" applyFont="1" applyFill="1" applyBorder="1" applyAlignment="1">
      <alignment horizontal="center" vertical="top" wrapText="1"/>
    </xf>
    <xf numFmtId="0" fontId="8" fillId="0" borderId="0" xfId="1" applyFont="1" applyBorder="1" applyAlignment="1">
      <alignment vertical="top"/>
    </xf>
    <xf numFmtId="0" fontId="8" fillId="0" borderId="0" xfId="1" applyFont="1" applyBorder="1" applyAlignment="1">
      <alignment vertical="top" wrapText="1"/>
    </xf>
    <xf numFmtId="0" fontId="10" fillId="0" borderId="0" xfId="1" applyFont="1"/>
    <xf numFmtId="0" fontId="16" fillId="0" borderId="0" xfId="0" applyFont="1"/>
    <xf numFmtId="0" fontId="16" fillId="0" borderId="4" xfId="0" applyFont="1" applyBorder="1"/>
    <xf numFmtId="0" fontId="17" fillId="0" borderId="4" xfId="0" applyFont="1" applyFill="1" applyBorder="1" applyAlignment="1">
      <alignment horizontal="center"/>
    </xf>
    <xf numFmtId="0" fontId="17" fillId="0" borderId="0" xfId="0" applyFont="1" applyFill="1" applyBorder="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6" fillId="0" borderId="0" xfId="0"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0" fontId="16" fillId="0" borderId="0" xfId="0" applyFont="1" applyFill="1" applyBorder="1"/>
    <xf numFmtId="9" fontId="16" fillId="0" borderId="0" xfId="0" applyNumberFormat="1" applyFont="1"/>
    <xf numFmtId="0" fontId="16" fillId="0" borderId="0" xfId="0" applyFont="1" applyBorder="1" applyAlignment="1">
      <alignment horizontal="right"/>
    </xf>
    <xf numFmtId="0" fontId="6" fillId="2" borderId="4" xfId="1" applyFont="1" applyFill="1" applyBorder="1" applyAlignment="1">
      <alignment horizontal="left" vertical="top"/>
    </xf>
    <xf numFmtId="1" fontId="7" fillId="0" borderId="4" xfId="0" applyNumberFormat="1" applyFont="1" applyBorder="1" applyAlignment="1">
      <alignment horizontal="center" vertical="center"/>
    </xf>
    <xf numFmtId="0" fontId="13" fillId="0" borderId="0" xfId="1" applyFont="1"/>
    <xf numFmtId="0" fontId="13" fillId="0" borderId="0" xfId="0" applyFont="1"/>
    <xf numFmtId="0" fontId="16" fillId="0" borderId="4" xfId="0" applyFont="1" applyBorder="1" applyAlignment="1">
      <alignment horizontal="center"/>
    </xf>
    <xf numFmtId="0" fontId="16" fillId="3" borderId="4" xfId="0" applyFont="1" applyFill="1" applyBorder="1" applyAlignment="1">
      <alignment horizontal="center"/>
    </xf>
    <xf numFmtId="0" fontId="15" fillId="0" borderId="4" xfId="0" applyFont="1" applyBorder="1" applyAlignment="1">
      <alignment horizontal="center"/>
    </xf>
    <xf numFmtId="2" fontId="7" fillId="0" borderId="0" xfId="1" applyNumberFormat="1" applyFont="1" applyAlignment="1">
      <alignment horizontal="center" vertical="center"/>
    </xf>
    <xf numFmtId="0" fontId="16" fillId="0" borderId="4" xfId="0" applyFont="1" applyBorder="1" applyAlignment="1">
      <alignment horizontal="center"/>
    </xf>
    <xf numFmtId="0" fontId="16" fillId="3" borderId="4" xfId="0" applyFont="1" applyFill="1" applyBorder="1" applyAlignment="1">
      <alignment horizontal="center"/>
    </xf>
    <xf numFmtId="0" fontId="15" fillId="0" borderId="4" xfId="0" applyFont="1" applyBorder="1" applyAlignment="1">
      <alignment horizontal="center"/>
    </xf>
    <xf numFmtId="0" fontId="5" fillId="0" borderId="0" xfId="5" applyFont="1"/>
    <xf numFmtId="0" fontId="5" fillId="0" borderId="0" xfId="5"/>
    <xf numFmtId="0" fontId="1" fillId="0" borderId="0" xfId="6"/>
    <xf numFmtId="0" fontId="9" fillId="0" borderId="4" xfId="6" applyFont="1" applyBorder="1" applyAlignment="1">
      <alignment horizontal="center" vertical="top" wrapText="1"/>
    </xf>
    <xf numFmtId="0" fontId="21" fillId="0" borderId="4" xfId="7" applyFont="1" applyBorder="1" applyAlignment="1">
      <alignment horizontal="center" vertical="top" wrapText="1"/>
    </xf>
    <xf numFmtId="0" fontId="1" fillId="0" borderId="4" xfId="6" applyFont="1" applyBorder="1" applyAlignment="1">
      <alignment horizontal="left" vertical="center"/>
    </xf>
    <xf numFmtId="0" fontId="1" fillId="0" borderId="4" xfId="6" applyFont="1" applyBorder="1" applyAlignment="1">
      <alignment horizontal="center" vertical="center"/>
    </xf>
    <xf numFmtId="0" fontId="1" fillId="0" borderId="4" xfId="6" applyBorder="1" applyAlignment="1">
      <alignment horizontal="center" vertical="center"/>
    </xf>
    <xf numFmtId="1" fontId="1" fillId="0" borderId="4" xfId="6" applyNumberFormat="1" applyFont="1" applyBorder="1" applyAlignment="1">
      <alignment horizontal="center" vertical="center"/>
    </xf>
    <xf numFmtId="1" fontId="1" fillId="0" borderId="4" xfId="6" applyNumberFormat="1" applyBorder="1" applyAlignment="1">
      <alignment horizontal="center" vertical="center"/>
    </xf>
    <xf numFmtId="166" fontId="1" fillId="0" borderId="4" xfId="8" applyNumberFormat="1" applyFont="1" applyBorder="1" applyAlignment="1">
      <alignment horizontal="right" vertical="center"/>
    </xf>
    <xf numFmtId="43" fontId="5" fillId="0" borderId="0" xfId="5" applyNumberFormat="1"/>
    <xf numFmtId="0" fontId="9" fillId="0" borderId="4" xfId="6" applyFont="1" applyBorder="1" applyAlignment="1">
      <alignment horizontal="center" vertical="center"/>
    </xf>
    <xf numFmtId="1" fontId="19" fillId="0" borderId="4" xfId="6" applyNumberFormat="1" applyFont="1" applyBorder="1" applyAlignment="1">
      <alignment horizontal="center" vertical="center"/>
    </xf>
    <xf numFmtId="0" fontId="5" fillId="0" borderId="4" xfId="5" applyFont="1" applyBorder="1" applyAlignment="1">
      <alignment horizontal="center" vertical="center"/>
    </xf>
    <xf numFmtId="0" fontId="22" fillId="0" borderId="0" xfId="5" applyFont="1"/>
    <xf numFmtId="1" fontId="5" fillId="0" borderId="0" xfId="5" applyNumberFormat="1"/>
    <xf numFmtId="0" fontId="5" fillId="0" borderId="0" xfId="5" applyAlignment="1">
      <alignment wrapText="1"/>
    </xf>
    <xf numFmtId="0" fontId="7" fillId="0" borderId="0" xfId="1" applyFont="1" applyFill="1" applyBorder="1" applyProtection="1">
      <protection hidden="1"/>
    </xf>
    <xf numFmtId="0" fontId="7" fillId="0" borderId="0" xfId="1" applyFont="1" applyBorder="1" applyProtection="1">
      <protection hidden="1"/>
    </xf>
    <xf numFmtId="0" fontId="13" fillId="0" borderId="18"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6" fillId="0" borderId="0" xfId="0" applyFont="1" applyFill="1" applyBorder="1" applyProtection="1">
      <protection hidden="1"/>
    </xf>
    <xf numFmtId="0" fontId="7" fillId="0" borderId="0" xfId="1" applyFont="1" applyBorder="1"/>
    <xf numFmtId="0" fontId="16" fillId="0" borderId="0" xfId="0" applyNumberFormat="1" applyFont="1" applyBorder="1" applyProtection="1">
      <protection hidden="1"/>
    </xf>
    <xf numFmtId="1" fontId="0" fillId="0" borderId="0" xfId="0" applyNumberFormat="1" applyBorder="1"/>
    <xf numFmtId="1" fontId="0" fillId="0" borderId="0" xfId="0" applyNumberFormat="1" applyBorder="1" applyAlignment="1">
      <alignment horizontal="right"/>
    </xf>
    <xf numFmtId="0" fontId="13" fillId="0" borderId="1" xfId="1" applyFont="1" applyFill="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23" xfId="1" applyFont="1" applyBorder="1" applyAlignment="1" applyProtection="1">
      <alignment horizontal="center" wrapText="1"/>
      <protection locked="0"/>
    </xf>
    <xf numFmtId="2" fontId="13" fillId="0" borderId="0" xfId="1" applyNumberFormat="1" applyFont="1" applyAlignment="1">
      <alignment horizontal="center" vertical="center"/>
    </xf>
    <xf numFmtId="0" fontId="13" fillId="0" borderId="0" xfId="1" applyFont="1" applyAlignment="1">
      <alignment horizontal="center" vertical="center"/>
    </xf>
    <xf numFmtId="1" fontId="13" fillId="0" borderId="4" xfId="1" applyNumberFormat="1" applyFont="1" applyFill="1" applyBorder="1" applyAlignment="1">
      <alignment horizontal="center" vertical="center" wrapText="1"/>
    </xf>
    <xf numFmtId="0" fontId="13" fillId="0" borderId="18"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14" fontId="7" fillId="0" borderId="0" xfId="1" applyNumberFormat="1" applyFont="1"/>
    <xf numFmtId="0" fontId="13" fillId="0" borderId="18" xfId="1" applyFont="1" applyFill="1" applyBorder="1" applyAlignment="1" applyProtection="1">
      <alignment horizontal="center" vertical="top"/>
      <protection locked="0"/>
    </xf>
    <xf numFmtId="0" fontId="13" fillId="0" borderId="1" xfId="1" applyFont="1" applyFill="1" applyBorder="1" applyAlignment="1" applyProtection="1">
      <alignment horizontal="center" vertical="top"/>
      <protection locked="0"/>
    </xf>
    <xf numFmtId="9" fontId="13" fillId="2" borderId="4" xfId="1" applyNumberFormat="1" applyFont="1" applyFill="1" applyBorder="1" applyAlignment="1" applyProtection="1">
      <alignment horizontal="center" vertical="center" wrapText="1"/>
      <protection hidden="1"/>
    </xf>
    <xf numFmtId="9" fontId="13" fillId="2" borderId="23"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0" fontId="13" fillId="0" borderId="18" xfId="1"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wrapText="1"/>
      <protection locked="0"/>
    </xf>
    <xf numFmtId="0" fontId="13" fillId="0" borderId="21" xfId="1" applyFont="1" applyFill="1" applyBorder="1" applyAlignment="1" applyProtection="1">
      <alignment horizontal="center" vertical="top"/>
      <protection locked="0"/>
    </xf>
    <xf numFmtId="0" fontId="13" fillId="0" borderId="22" xfId="1" applyFont="1" applyFill="1" applyBorder="1" applyAlignment="1" applyProtection="1">
      <alignment horizontal="center" vertical="top"/>
      <protection locked="0"/>
    </xf>
    <xf numFmtId="0" fontId="6" fillId="0" borderId="1" xfId="1" applyFont="1" applyFill="1" applyBorder="1" applyAlignment="1">
      <alignment horizontal="left" vertical="top"/>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164" fontId="6" fillId="0" borderId="1" xfId="1" applyNumberFormat="1" applyFont="1" applyFill="1" applyBorder="1" applyAlignment="1">
      <alignment horizontal="left" vertical="top" wrapText="1"/>
    </xf>
    <xf numFmtId="164" fontId="6" fillId="0" borderId="2" xfId="1" applyNumberFormat="1" applyFont="1" applyFill="1" applyBorder="1" applyAlignment="1">
      <alignment horizontal="left" vertical="top" wrapText="1"/>
    </xf>
    <xf numFmtId="164" fontId="6" fillId="0" borderId="3" xfId="1" applyNumberFormat="1" applyFont="1" applyFill="1" applyBorder="1" applyAlignment="1">
      <alignment horizontal="left" vertical="top" wrapText="1"/>
    </xf>
    <xf numFmtId="14" fontId="6" fillId="2" borderId="1" xfId="1" applyNumberFormat="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164" fontId="6" fillId="0" borderId="1" xfId="1" applyNumberFormat="1" applyFont="1" applyFill="1" applyBorder="1" applyAlignment="1">
      <alignment horizontal="left" vertical="top"/>
    </xf>
    <xf numFmtId="164" fontId="6" fillId="0" borderId="2" xfId="1" applyNumberFormat="1" applyFont="1" applyFill="1" applyBorder="1" applyAlignment="1">
      <alignment horizontal="left" vertical="top"/>
    </xf>
    <xf numFmtId="164" fontId="6" fillId="0" borderId="3" xfId="1" applyNumberFormat="1" applyFont="1" applyFill="1" applyBorder="1" applyAlignment="1">
      <alignment horizontal="left" vertical="top"/>
    </xf>
    <xf numFmtId="0" fontId="13" fillId="0" borderId="1" xfId="1" applyFont="1" applyFill="1" applyBorder="1" applyAlignment="1">
      <alignment horizontal="left" vertical="top"/>
    </xf>
    <xf numFmtId="0" fontId="13" fillId="0" borderId="2" xfId="1" applyFont="1" applyFill="1" applyBorder="1" applyAlignment="1">
      <alignment horizontal="left" vertical="top"/>
    </xf>
    <xf numFmtId="0" fontId="13" fillId="0" borderId="3" xfId="1" applyFont="1" applyFill="1" applyBorder="1" applyAlignment="1">
      <alignment horizontal="left" vertical="top"/>
    </xf>
    <xf numFmtId="0" fontId="14" fillId="0" borderId="18"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Fill="1" applyBorder="1" applyAlignment="1" applyProtection="1">
      <alignment horizontal="left" vertical="top" wrapText="1"/>
      <protection locked="0"/>
    </xf>
    <xf numFmtId="0" fontId="14" fillId="0" borderId="19" xfId="1" applyFont="1" applyFill="1" applyBorder="1" applyAlignment="1" applyProtection="1">
      <alignment horizontal="left" vertical="top" wrapText="1"/>
      <protection locked="0"/>
    </xf>
    <xf numFmtId="0" fontId="13" fillId="0" borderId="20"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14" fontId="6" fillId="0" borderId="1" xfId="1" applyNumberFormat="1" applyFont="1" applyFill="1" applyBorder="1" applyAlignment="1">
      <alignment horizontal="center" vertical="top"/>
    </xf>
    <xf numFmtId="0" fontId="6" fillId="0" borderId="3" xfId="1" applyFont="1" applyFill="1" applyBorder="1" applyAlignment="1">
      <alignment horizontal="center" vertical="top"/>
    </xf>
    <xf numFmtId="14" fontId="13" fillId="0" borderId="1" xfId="1" applyNumberFormat="1" applyFont="1" applyFill="1" applyBorder="1" applyAlignment="1">
      <alignment horizontal="left" vertical="top"/>
    </xf>
    <xf numFmtId="1" fontId="8" fillId="0" borderId="1"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6" fillId="0" borderId="5"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0" xfId="1" applyNumberFormat="1" applyFont="1" applyFill="1" applyBorder="1" applyAlignment="1">
      <alignment horizontal="center" vertical="center" wrapText="1"/>
    </xf>
    <xf numFmtId="1" fontId="14" fillId="0" borderId="1" xfId="1" applyNumberFormat="1" applyFont="1" applyFill="1" applyBorder="1" applyAlignment="1">
      <alignment horizontal="center" vertical="center" wrapText="1"/>
    </xf>
    <xf numFmtId="1" fontId="14" fillId="0" borderId="2" xfId="1" applyNumberFormat="1" applyFont="1" applyFill="1" applyBorder="1" applyAlignment="1">
      <alignment horizontal="center" vertical="center" wrapText="1"/>
    </xf>
    <xf numFmtId="1" fontId="14" fillId="0" borderId="3" xfId="1"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3" xfId="1" applyNumberFormat="1" applyFont="1" applyFill="1" applyBorder="1" applyAlignment="1">
      <alignment horizontal="center" vertical="center" wrapText="1"/>
    </xf>
    <xf numFmtId="0" fontId="14" fillId="0" borderId="14" xfId="1" applyFont="1" applyFill="1" applyBorder="1" applyAlignment="1" applyProtection="1">
      <alignment horizontal="center" vertical="top" wrapText="1"/>
      <protection locked="0"/>
    </xf>
    <xf numFmtId="0" fontId="14" fillId="0" borderId="15" xfId="1" applyFont="1" applyFill="1" applyBorder="1" applyAlignment="1" applyProtection="1">
      <alignment horizontal="center" vertical="top" wrapText="1"/>
      <protection locked="0"/>
    </xf>
    <xf numFmtId="0" fontId="14" fillId="0" borderId="16" xfId="1" applyFont="1" applyFill="1" applyBorder="1" applyAlignment="1" applyProtection="1">
      <alignment horizontal="left" vertical="top" wrapText="1"/>
      <protection locked="0"/>
    </xf>
    <xf numFmtId="0" fontId="14" fillId="0" borderId="17" xfId="1" applyFont="1" applyFill="1" applyBorder="1" applyAlignment="1" applyProtection="1">
      <alignment horizontal="left" vertical="top" wrapText="1"/>
      <protection locked="0"/>
    </xf>
    <xf numFmtId="0" fontId="13" fillId="0" borderId="4" xfId="1" applyFont="1" applyFill="1" applyBorder="1" applyAlignment="1" applyProtection="1">
      <alignment horizontal="center" vertical="top"/>
      <protection locked="0"/>
    </xf>
    <xf numFmtId="0" fontId="13" fillId="0" borderId="19" xfId="1" applyFont="1" applyFill="1" applyBorder="1" applyAlignment="1" applyProtection="1">
      <alignment horizontal="center" vertical="top"/>
      <protection locked="0"/>
    </xf>
    <xf numFmtId="1" fontId="13" fillId="0" borderId="5" xfId="1" applyNumberFormat="1" applyFont="1" applyFill="1" applyBorder="1" applyAlignment="1">
      <alignment horizontal="center" vertical="center" wrapText="1"/>
    </xf>
    <xf numFmtId="1" fontId="13" fillId="0" borderId="7" xfId="1" applyNumberFormat="1" applyFont="1" applyFill="1" applyBorder="1" applyAlignment="1">
      <alignment horizontal="center" vertical="center" wrapText="1"/>
    </xf>
    <xf numFmtId="1" fontId="13" fillId="0" borderId="11" xfId="1" applyNumberFormat="1" applyFont="1" applyFill="1" applyBorder="1" applyAlignment="1">
      <alignment horizontal="center" vertical="center" wrapText="1"/>
    </xf>
    <xf numFmtId="1" fontId="13" fillId="0" borderId="12" xfId="1" applyNumberFormat="1" applyFont="1" applyFill="1" applyBorder="1" applyAlignment="1">
      <alignment horizontal="center" vertical="center"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Border="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8" fillId="0" borderId="1" xfId="1" applyFont="1" applyBorder="1" applyAlignment="1">
      <alignment horizontal="center" vertical="top" wrapText="1"/>
    </xf>
    <xf numFmtId="0" fontId="18" fillId="0" borderId="3" xfId="1" applyFont="1" applyBorder="1" applyAlignment="1">
      <alignment horizontal="center" vertical="top" wrapText="1"/>
    </xf>
    <xf numFmtId="0" fontId="18" fillId="0" borderId="2" xfId="1" applyFont="1" applyBorder="1" applyAlignment="1">
      <alignment horizontal="center"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8" fillId="0" borderId="1" xfId="0" applyNumberFormat="1" applyFont="1" applyFill="1" applyBorder="1" applyAlignment="1">
      <alignment horizontal="left" vertical="top" wrapText="1"/>
    </xf>
    <xf numFmtId="1" fontId="8" fillId="0" borderId="2" xfId="0" applyNumberFormat="1" applyFont="1" applyFill="1" applyBorder="1" applyAlignment="1">
      <alignment horizontal="left" vertical="top" wrapText="1"/>
    </xf>
    <xf numFmtId="1" fontId="8" fillId="0" borderId="3" xfId="0" applyNumberFormat="1" applyFont="1" applyFill="1" applyBorder="1" applyAlignment="1">
      <alignment horizontal="left" vertical="top" wrapText="1"/>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6" fillId="0" borderId="4" xfId="1" applyFont="1" applyFill="1" applyBorder="1" applyAlignment="1">
      <alignment horizontal="left" vertical="top"/>
    </xf>
    <xf numFmtId="0" fontId="20" fillId="0" borderId="4" xfId="7" applyFont="1" applyFill="1" applyBorder="1" applyAlignment="1">
      <alignment horizontal="left" vertical="top"/>
    </xf>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7" fillId="0" borderId="1" xfId="1" applyFont="1" applyBorder="1" applyAlignment="1">
      <alignment horizontal="left"/>
    </xf>
    <xf numFmtId="0" fontId="7" fillId="0" borderId="2" xfId="1" applyFont="1" applyBorder="1" applyAlignment="1">
      <alignment horizontal="left"/>
    </xf>
    <xf numFmtId="0" fontId="7" fillId="0" borderId="3" xfId="1" applyFont="1" applyBorder="1" applyAlignment="1">
      <alignment horizontal="left"/>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6" fillId="0" borderId="1" xfId="1" applyFont="1" applyFill="1" applyBorder="1" applyAlignment="1">
      <alignment horizontal="center" vertical="top"/>
    </xf>
    <xf numFmtId="0" fontId="13" fillId="0" borderId="1"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wrapText="1"/>
      <protection locked="0"/>
    </xf>
    <xf numFmtId="0" fontId="13" fillId="0" borderId="3" xfId="1" applyFont="1" applyFill="1" applyBorder="1" applyAlignment="1" applyProtection="1">
      <alignment horizontal="left" vertical="center" wrapText="1"/>
      <protection locked="0"/>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left" vertical="center" wrapText="1"/>
      <protection locked="0"/>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0" fontId="13" fillId="0" borderId="1" xfId="1" applyFont="1" applyFill="1" applyBorder="1" applyAlignment="1">
      <alignment horizontal="center" vertical="top" wrapText="1"/>
    </xf>
    <xf numFmtId="0" fontId="13" fillId="0" borderId="3" xfId="1" applyFont="1" applyFill="1" applyBorder="1" applyAlignment="1">
      <alignment horizontal="center" vertical="top" wrapText="1"/>
    </xf>
    <xf numFmtId="0" fontId="6" fillId="2" borderId="1" xfId="1" applyFont="1" applyFill="1" applyBorder="1" applyAlignment="1">
      <alignment horizontal="left" vertical="top"/>
    </xf>
    <xf numFmtId="0" fontId="14" fillId="0" borderId="1"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1"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6" fillId="0" borderId="5" xfId="1" applyNumberFormat="1" applyFont="1" applyFill="1" applyBorder="1" applyAlignment="1">
      <alignment horizontal="center" vertical="center"/>
    </xf>
    <xf numFmtId="1" fontId="6" fillId="0" borderId="7" xfId="1" applyNumberFormat="1" applyFont="1" applyFill="1" applyBorder="1" applyAlignment="1">
      <alignment horizontal="center" vertical="center"/>
    </xf>
    <xf numFmtId="1" fontId="6" fillId="0" borderId="11" xfId="1" applyNumberFormat="1" applyFont="1" applyFill="1" applyBorder="1" applyAlignment="1">
      <alignment horizontal="center" vertical="center"/>
    </xf>
    <xf numFmtId="1" fontId="6" fillId="0" borderId="12" xfId="1" applyNumberFormat="1" applyFont="1" applyFill="1" applyBorder="1" applyAlignment="1">
      <alignment horizontal="center" vertical="center"/>
    </xf>
    <xf numFmtId="1" fontId="6" fillId="0" borderId="8" xfId="1" applyNumberFormat="1" applyFont="1" applyFill="1" applyBorder="1" applyAlignment="1">
      <alignment horizontal="center" vertical="center"/>
    </xf>
    <xf numFmtId="1" fontId="6" fillId="0" borderId="10" xfId="1" applyNumberFormat="1" applyFont="1" applyFill="1" applyBorder="1" applyAlignment="1">
      <alignment horizontal="center" vertical="center"/>
    </xf>
    <xf numFmtId="1" fontId="8" fillId="0" borderId="1" xfId="1" applyNumberFormat="1" applyFont="1" applyFill="1" applyBorder="1" applyAlignment="1">
      <alignment horizontal="center" vertical="top" wrapText="1"/>
    </xf>
    <xf numFmtId="1" fontId="8" fillId="0" borderId="3" xfId="1" applyNumberFormat="1" applyFont="1" applyFill="1" applyBorder="1" applyAlignment="1">
      <alignment horizontal="center" vertical="top"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0" fontId="8" fillId="0" borderId="1" xfId="1" applyFont="1" applyFill="1" applyBorder="1" applyAlignment="1">
      <alignment horizontal="center" vertical="top"/>
    </xf>
    <xf numFmtId="0" fontId="8" fillId="0" borderId="2" xfId="1" applyFont="1" applyFill="1" applyBorder="1" applyAlignment="1">
      <alignment horizontal="center" vertical="top"/>
    </xf>
    <xf numFmtId="0" fontId="8" fillId="0" borderId="3" xfId="1" applyFont="1" applyFill="1" applyBorder="1" applyAlignment="1">
      <alignment horizontal="center" vertical="top"/>
    </xf>
    <xf numFmtId="0" fontId="9" fillId="0" borderId="4" xfId="6" applyFont="1" applyBorder="1" applyAlignment="1">
      <alignment horizontal="left"/>
    </xf>
    <xf numFmtId="0" fontId="16" fillId="0" borderId="4" xfId="0" applyFont="1" applyBorder="1" applyAlignment="1">
      <alignment horizontal="center"/>
    </xf>
    <xf numFmtId="0" fontId="16" fillId="0" borderId="4" xfId="0" applyFont="1" applyBorder="1" applyAlignment="1">
      <alignment horizontal="left"/>
    </xf>
    <xf numFmtId="0" fontId="16" fillId="3" borderId="4" xfId="0" applyFont="1" applyFill="1" applyBorder="1" applyAlignment="1">
      <alignment horizontal="center"/>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8" fillId="0" borderId="1"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2" borderId="4" xfId="1" applyFont="1" applyFill="1" applyBorder="1" applyAlignment="1">
      <alignment horizontal="left" vertical="top"/>
    </xf>
    <xf numFmtId="14" fontId="8" fillId="0" borderId="1" xfId="1" applyNumberFormat="1" applyFont="1" applyFill="1" applyBorder="1" applyAlignment="1">
      <alignment horizontal="left" vertical="top" wrapText="1"/>
    </xf>
    <xf numFmtId="14" fontId="8" fillId="0" borderId="2" xfId="1" applyNumberFormat="1" applyFont="1" applyFill="1" applyBorder="1" applyAlignment="1">
      <alignment horizontal="left" vertical="top" wrapText="1"/>
    </xf>
    <xf numFmtId="14" fontId="8" fillId="0" borderId="3" xfId="1" applyNumberFormat="1" applyFont="1" applyFill="1" applyBorder="1" applyAlignment="1">
      <alignment horizontal="left" vertical="top" wrapText="1"/>
    </xf>
    <xf numFmtId="0" fontId="8" fillId="0" borderId="4" xfId="1" applyFont="1" applyFill="1" applyBorder="1" applyAlignment="1">
      <alignment horizontal="left" vertical="top"/>
    </xf>
    <xf numFmtId="0" fontId="6" fillId="2" borderId="4" xfId="1" applyFont="1" applyFill="1" applyBorder="1" applyAlignment="1">
      <alignment horizontal="left" vertical="top"/>
    </xf>
    <xf numFmtId="0" fontId="6" fillId="2" borderId="4" xfId="1" applyFont="1" applyFill="1" applyBorder="1" applyAlignment="1">
      <alignment horizontal="left" vertical="top" wrapText="1"/>
    </xf>
    <xf numFmtId="0" fontId="6" fillId="0" borderId="4" xfId="1" applyFont="1" applyFill="1" applyBorder="1" applyAlignment="1">
      <alignment horizontal="left" vertical="top" wrapText="1"/>
    </xf>
    <xf numFmtId="1" fontId="8" fillId="0" borderId="4" xfId="0" applyNumberFormat="1" applyFont="1" applyFill="1" applyBorder="1" applyAlignment="1">
      <alignment horizontal="center" vertical="center" wrapText="1"/>
    </xf>
    <xf numFmtId="1" fontId="8" fillId="0" borderId="4" xfId="0" applyNumberFormat="1" applyFont="1" applyFill="1" applyBorder="1" applyAlignment="1">
      <alignment horizontal="center" vertical="top" wrapText="1"/>
    </xf>
    <xf numFmtId="0" fontId="10" fillId="0" borderId="4" xfId="0" applyFont="1" applyBorder="1" applyAlignment="1">
      <alignment horizontal="center" vertical="top" wrapText="1"/>
    </xf>
    <xf numFmtId="1" fontId="6" fillId="0" borderId="4" xfId="0" applyNumberFormat="1" applyFont="1" applyFill="1" applyBorder="1" applyAlignment="1">
      <alignment horizontal="center" vertical="center" wrapText="1"/>
    </xf>
    <xf numFmtId="1" fontId="7" fillId="0" borderId="4" xfId="0" applyNumberFormat="1" applyFont="1" applyBorder="1" applyAlignment="1">
      <alignment horizontal="center" vertical="top" wrapText="1"/>
    </xf>
  </cellXfs>
  <cellStyles count="9">
    <cellStyle name="Comma 2" xfId="8"/>
    <cellStyle name="Excel Built-in Normal" xfId="2"/>
    <cellStyle name="Excel Built-in Normal 2" xfId="5"/>
    <cellStyle name="Hyperlink" xfId="7"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5" Type="http://schemas.openxmlformats.org/officeDocument/2006/relationships/image" Target="../media/image27.png"/><Relationship Id="rId4"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jpg"/><Relationship Id="rId2" Type="http://schemas.openxmlformats.org/officeDocument/2006/relationships/image" Target="../media/image29.jpeg"/><Relationship Id="rId1" Type="http://schemas.openxmlformats.org/officeDocument/2006/relationships/image" Target="../media/image28.jpeg"/><Relationship Id="rId4" Type="http://schemas.openxmlformats.org/officeDocument/2006/relationships/image" Target="../media/image3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287131</xdr:colOff>
      <xdr:row>383</xdr:row>
      <xdr:rowOff>168088</xdr:rowOff>
    </xdr:from>
    <xdr:to>
      <xdr:col>9</xdr:col>
      <xdr:colOff>28584</xdr:colOff>
      <xdr:row>400</xdr:row>
      <xdr:rowOff>40189</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7131" y="72088188"/>
          <a:ext cx="5970803" cy="3218551"/>
        </a:xfrm>
        <a:prstGeom prst="rect">
          <a:avLst/>
        </a:prstGeom>
        <a:ln>
          <a:solidFill>
            <a:schemeClr val="tx1"/>
          </a:solidFill>
        </a:ln>
      </xdr:spPr>
    </xdr:pic>
    <xdr:clientData/>
  </xdr:twoCellAnchor>
  <xdr:twoCellAnchor editAs="oneCell">
    <xdr:from>
      <xdr:col>0</xdr:col>
      <xdr:colOff>287131</xdr:colOff>
      <xdr:row>401</xdr:row>
      <xdr:rowOff>128806</xdr:rowOff>
    </xdr:from>
    <xdr:to>
      <xdr:col>9</xdr:col>
      <xdr:colOff>28584</xdr:colOff>
      <xdr:row>418</xdr:row>
      <xdr:rowOff>3829</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87131" y="75592206"/>
          <a:ext cx="5970803" cy="3221473"/>
        </a:xfrm>
        <a:prstGeom prst="rect">
          <a:avLst/>
        </a:prstGeom>
        <a:ln>
          <a:solidFill>
            <a:schemeClr val="tx1"/>
          </a:solidFill>
        </a:ln>
      </xdr:spPr>
    </xdr:pic>
    <xdr:clientData/>
  </xdr:twoCellAnchor>
  <xdr:twoCellAnchor>
    <xdr:from>
      <xdr:col>11</xdr:col>
      <xdr:colOff>49334</xdr:colOff>
      <xdr:row>340</xdr:row>
      <xdr:rowOff>17317</xdr:rowOff>
    </xdr:from>
    <xdr:to>
      <xdr:col>11</xdr:col>
      <xdr:colOff>404357</xdr:colOff>
      <xdr:row>341</xdr:row>
      <xdr:rowOff>192298</xdr:rowOff>
    </xdr:to>
    <xdr:sp macro="" textlink="">
      <xdr:nvSpPr>
        <xdr:cNvPr id="50" name="TextBox 2"/>
        <xdr:cNvSpPr txBox="1"/>
      </xdr:nvSpPr>
      <xdr:spPr>
        <a:xfrm>
          <a:off x="7496152" y="74520135"/>
          <a:ext cx="355023" cy="3741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A</a:t>
          </a:r>
        </a:p>
      </xdr:txBody>
    </xdr:sp>
    <xdr:clientData/>
  </xdr:twoCellAnchor>
  <xdr:twoCellAnchor>
    <xdr:from>
      <xdr:col>14</xdr:col>
      <xdr:colOff>371860</xdr:colOff>
      <xdr:row>344</xdr:row>
      <xdr:rowOff>30152</xdr:rowOff>
    </xdr:from>
    <xdr:to>
      <xdr:col>15</xdr:col>
      <xdr:colOff>113616</xdr:colOff>
      <xdr:row>346</xdr:row>
      <xdr:rowOff>5973</xdr:rowOff>
    </xdr:to>
    <xdr:sp macro="" textlink="">
      <xdr:nvSpPr>
        <xdr:cNvPr id="57" name="TextBox 2"/>
        <xdr:cNvSpPr txBox="1"/>
      </xdr:nvSpPr>
      <xdr:spPr>
        <a:xfrm>
          <a:off x="10378713" y="75983623"/>
          <a:ext cx="402903" cy="37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B</a:t>
          </a:r>
        </a:p>
      </xdr:txBody>
    </xdr:sp>
    <xdr:clientData/>
  </xdr:twoCellAnchor>
  <xdr:twoCellAnchor>
    <xdr:from>
      <xdr:col>15</xdr:col>
      <xdr:colOff>67744</xdr:colOff>
      <xdr:row>343</xdr:row>
      <xdr:rowOff>122755</xdr:rowOff>
    </xdr:from>
    <xdr:to>
      <xdr:col>15</xdr:col>
      <xdr:colOff>475231</xdr:colOff>
      <xdr:row>345</xdr:row>
      <xdr:rowOff>98576</xdr:rowOff>
    </xdr:to>
    <xdr:sp macro="" textlink="">
      <xdr:nvSpPr>
        <xdr:cNvPr id="58" name="TextBox 2"/>
        <xdr:cNvSpPr txBox="1"/>
      </xdr:nvSpPr>
      <xdr:spPr>
        <a:xfrm>
          <a:off x="10735744" y="75874520"/>
          <a:ext cx="407487" cy="37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C</a:t>
          </a:r>
        </a:p>
      </xdr:txBody>
    </xdr:sp>
    <xdr:clientData/>
  </xdr:twoCellAnchor>
  <xdr:twoCellAnchor>
    <xdr:from>
      <xdr:col>15</xdr:col>
      <xdr:colOff>631096</xdr:colOff>
      <xdr:row>342</xdr:row>
      <xdr:rowOff>114097</xdr:rowOff>
    </xdr:from>
    <xdr:to>
      <xdr:col>16</xdr:col>
      <xdr:colOff>324972</xdr:colOff>
      <xdr:row>344</xdr:row>
      <xdr:rowOff>98578</xdr:rowOff>
    </xdr:to>
    <xdr:sp macro="" textlink="">
      <xdr:nvSpPr>
        <xdr:cNvPr id="59" name="TextBox 2"/>
        <xdr:cNvSpPr txBox="1"/>
      </xdr:nvSpPr>
      <xdr:spPr>
        <a:xfrm>
          <a:off x="11299096" y="75675362"/>
          <a:ext cx="355023" cy="3766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D</a:t>
          </a:r>
        </a:p>
      </xdr:txBody>
    </xdr:sp>
    <xdr:clientData/>
  </xdr:twoCellAnchor>
  <xdr:twoCellAnchor>
    <xdr:from>
      <xdr:col>16</xdr:col>
      <xdr:colOff>420221</xdr:colOff>
      <xdr:row>341</xdr:row>
      <xdr:rowOff>53482</xdr:rowOff>
    </xdr:from>
    <xdr:to>
      <xdr:col>17</xdr:col>
      <xdr:colOff>163505</xdr:colOff>
      <xdr:row>343</xdr:row>
      <xdr:rowOff>37963</xdr:rowOff>
    </xdr:to>
    <xdr:sp macro="" textlink="">
      <xdr:nvSpPr>
        <xdr:cNvPr id="60" name="TextBox 2"/>
        <xdr:cNvSpPr txBox="1"/>
      </xdr:nvSpPr>
      <xdr:spPr>
        <a:xfrm>
          <a:off x="11749368" y="75413041"/>
          <a:ext cx="404431" cy="3766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E</a:t>
          </a:r>
        </a:p>
      </xdr:txBody>
    </xdr:sp>
    <xdr:clientData/>
  </xdr:twoCellAnchor>
  <xdr:twoCellAnchor>
    <xdr:from>
      <xdr:col>17</xdr:col>
      <xdr:colOff>483891</xdr:colOff>
      <xdr:row>343</xdr:row>
      <xdr:rowOff>122755</xdr:rowOff>
    </xdr:from>
    <xdr:to>
      <xdr:col>18</xdr:col>
      <xdr:colOff>228194</xdr:colOff>
      <xdr:row>345</xdr:row>
      <xdr:rowOff>98576</xdr:rowOff>
    </xdr:to>
    <xdr:sp macro="" textlink="">
      <xdr:nvSpPr>
        <xdr:cNvPr id="61" name="TextBox 2"/>
        <xdr:cNvSpPr txBox="1"/>
      </xdr:nvSpPr>
      <xdr:spPr>
        <a:xfrm>
          <a:off x="12474185" y="75874520"/>
          <a:ext cx="405450" cy="3792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F</a:t>
          </a:r>
        </a:p>
      </xdr:txBody>
    </xdr:sp>
    <xdr:clientData/>
  </xdr:twoCellAnchor>
  <xdr:twoCellAnchor>
    <xdr:from>
      <xdr:col>10</xdr:col>
      <xdr:colOff>219024</xdr:colOff>
      <xdr:row>341</xdr:row>
      <xdr:rowOff>188462</xdr:rowOff>
    </xdr:from>
    <xdr:to>
      <xdr:col>10</xdr:col>
      <xdr:colOff>633642</xdr:colOff>
      <xdr:row>343</xdr:row>
      <xdr:rowOff>175490</xdr:rowOff>
    </xdr:to>
    <xdr:sp macro="" textlink="">
      <xdr:nvSpPr>
        <xdr:cNvPr id="65" name="TextBox 2"/>
        <xdr:cNvSpPr txBox="1"/>
      </xdr:nvSpPr>
      <xdr:spPr>
        <a:xfrm>
          <a:off x="7144259" y="75548021"/>
          <a:ext cx="414618" cy="37923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E</a:t>
          </a:r>
        </a:p>
      </xdr:txBody>
    </xdr:sp>
    <xdr:clientData/>
  </xdr:twoCellAnchor>
  <xdr:twoCellAnchor>
    <xdr:from>
      <xdr:col>11</xdr:col>
      <xdr:colOff>86184</xdr:colOff>
      <xdr:row>343</xdr:row>
      <xdr:rowOff>92296</xdr:rowOff>
    </xdr:from>
    <xdr:to>
      <xdr:col>11</xdr:col>
      <xdr:colOff>494689</xdr:colOff>
      <xdr:row>345</xdr:row>
      <xdr:rowOff>63025</xdr:rowOff>
    </xdr:to>
    <xdr:sp macro="" textlink="">
      <xdr:nvSpPr>
        <xdr:cNvPr id="66" name="TextBox 2"/>
        <xdr:cNvSpPr txBox="1"/>
      </xdr:nvSpPr>
      <xdr:spPr>
        <a:xfrm>
          <a:off x="8109596" y="75844061"/>
          <a:ext cx="408505" cy="3741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D</a:t>
          </a:r>
        </a:p>
      </xdr:txBody>
    </xdr:sp>
    <xdr:clientData/>
  </xdr:twoCellAnchor>
  <xdr:twoCellAnchor>
    <xdr:from>
      <xdr:col>12</xdr:col>
      <xdr:colOff>179904</xdr:colOff>
      <xdr:row>343</xdr:row>
      <xdr:rowOff>161568</xdr:rowOff>
    </xdr:from>
    <xdr:to>
      <xdr:col>12</xdr:col>
      <xdr:colOff>534927</xdr:colOff>
      <xdr:row>345</xdr:row>
      <xdr:rowOff>134844</xdr:rowOff>
    </xdr:to>
    <xdr:sp macro="" textlink="">
      <xdr:nvSpPr>
        <xdr:cNvPr id="67" name="TextBox 2"/>
        <xdr:cNvSpPr txBox="1"/>
      </xdr:nvSpPr>
      <xdr:spPr>
        <a:xfrm>
          <a:off x="8864463" y="75913333"/>
          <a:ext cx="355023" cy="3766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C</a:t>
          </a:r>
        </a:p>
      </xdr:txBody>
    </xdr:sp>
    <xdr:clientData/>
  </xdr:twoCellAnchor>
  <xdr:twoCellAnchor>
    <xdr:from>
      <xdr:col>12</xdr:col>
      <xdr:colOff>539540</xdr:colOff>
      <xdr:row>343</xdr:row>
      <xdr:rowOff>166761</xdr:rowOff>
    </xdr:from>
    <xdr:to>
      <xdr:col>13</xdr:col>
      <xdr:colOff>308292</xdr:colOff>
      <xdr:row>345</xdr:row>
      <xdr:rowOff>140037</xdr:rowOff>
    </xdr:to>
    <xdr:sp macro="" textlink="">
      <xdr:nvSpPr>
        <xdr:cNvPr id="68" name="TextBox 2"/>
        <xdr:cNvSpPr txBox="1"/>
      </xdr:nvSpPr>
      <xdr:spPr>
        <a:xfrm>
          <a:off x="9224099" y="75918526"/>
          <a:ext cx="429899" cy="3766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B</a:t>
          </a:r>
        </a:p>
      </xdr:txBody>
    </xdr:sp>
    <xdr:clientData/>
  </xdr:twoCellAnchor>
  <xdr:twoCellAnchor>
    <xdr:from>
      <xdr:col>11</xdr:col>
      <xdr:colOff>470239</xdr:colOff>
      <xdr:row>347</xdr:row>
      <xdr:rowOff>15893</xdr:rowOff>
    </xdr:from>
    <xdr:to>
      <xdr:col>12</xdr:col>
      <xdr:colOff>164115</xdr:colOff>
      <xdr:row>348</xdr:row>
      <xdr:rowOff>193420</xdr:rowOff>
    </xdr:to>
    <xdr:sp macro="" textlink="">
      <xdr:nvSpPr>
        <xdr:cNvPr id="69" name="TextBox 2"/>
        <xdr:cNvSpPr txBox="1"/>
      </xdr:nvSpPr>
      <xdr:spPr>
        <a:xfrm>
          <a:off x="8493651" y="76574481"/>
          <a:ext cx="355023" cy="3792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F</a:t>
          </a:r>
        </a:p>
      </xdr:txBody>
    </xdr:sp>
    <xdr:clientData/>
  </xdr:twoCellAnchor>
  <xdr:twoCellAnchor>
    <xdr:from>
      <xdr:col>12</xdr:col>
      <xdr:colOff>656053</xdr:colOff>
      <xdr:row>349</xdr:row>
      <xdr:rowOff>45334</xdr:rowOff>
    </xdr:from>
    <xdr:to>
      <xdr:col>13</xdr:col>
      <xdr:colOff>349929</xdr:colOff>
      <xdr:row>351</xdr:row>
      <xdr:rowOff>21155</xdr:rowOff>
    </xdr:to>
    <xdr:sp macro="" textlink="">
      <xdr:nvSpPr>
        <xdr:cNvPr id="70" name="TextBox 2"/>
        <xdr:cNvSpPr txBox="1"/>
      </xdr:nvSpPr>
      <xdr:spPr>
        <a:xfrm>
          <a:off x="9340612" y="77007334"/>
          <a:ext cx="355023" cy="37923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E</a:t>
          </a:r>
        </a:p>
      </xdr:txBody>
    </xdr:sp>
    <xdr:clientData/>
  </xdr:twoCellAnchor>
  <xdr:twoCellAnchor>
    <xdr:from>
      <xdr:col>10</xdr:col>
      <xdr:colOff>570917</xdr:colOff>
      <xdr:row>338</xdr:row>
      <xdr:rowOff>57047</xdr:rowOff>
    </xdr:from>
    <xdr:to>
      <xdr:col>11</xdr:col>
      <xdr:colOff>431800</xdr:colOff>
      <xdr:row>338</xdr:row>
      <xdr:rowOff>431188</xdr:rowOff>
    </xdr:to>
    <xdr:sp macro="" textlink="">
      <xdr:nvSpPr>
        <xdr:cNvPr id="35" name="TextBox 2"/>
        <xdr:cNvSpPr txBox="1"/>
      </xdr:nvSpPr>
      <xdr:spPr>
        <a:xfrm>
          <a:off x="7759117" y="64204747"/>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A Wing</a:t>
          </a:r>
        </a:p>
      </xdr:txBody>
    </xdr:sp>
    <xdr:clientData/>
  </xdr:twoCellAnchor>
  <xdr:twoCellAnchor>
    <xdr:from>
      <xdr:col>12</xdr:col>
      <xdr:colOff>0</xdr:colOff>
      <xdr:row>337</xdr:row>
      <xdr:rowOff>0</xdr:rowOff>
    </xdr:from>
    <xdr:to>
      <xdr:col>12</xdr:col>
      <xdr:colOff>355023</xdr:colOff>
      <xdr:row>338</xdr:row>
      <xdr:rowOff>170125</xdr:rowOff>
    </xdr:to>
    <xdr:sp macro="" textlink="">
      <xdr:nvSpPr>
        <xdr:cNvPr id="48" name="TextBox 2"/>
        <xdr:cNvSpPr txBox="1"/>
      </xdr:nvSpPr>
      <xdr:spPr>
        <a:xfrm>
          <a:off x="8439150" y="62572900"/>
          <a:ext cx="355023" cy="3669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0000"/>
              </a:solidFill>
              <a:effectLst>
                <a:outerShdw blurRad="38100" dist="19050" dir="2700000" algn="tl" rotWithShape="0">
                  <a:schemeClr val="dk1">
                    <a:alpha val="40000"/>
                  </a:schemeClr>
                </a:outerShdw>
              </a:effectLst>
            </a:rPr>
            <a:t>A</a:t>
          </a:r>
        </a:p>
      </xdr:txBody>
    </xdr:sp>
    <xdr:clientData/>
  </xdr:twoCellAnchor>
  <xdr:twoCellAnchor>
    <xdr:from>
      <xdr:col>10</xdr:col>
      <xdr:colOff>361950</xdr:colOff>
      <xdr:row>340</xdr:row>
      <xdr:rowOff>142875</xdr:rowOff>
    </xdr:from>
    <xdr:to>
      <xdr:col>19</xdr:col>
      <xdr:colOff>588365</xdr:colOff>
      <xdr:row>378</xdr:row>
      <xdr:rowOff>197178</xdr:rowOff>
    </xdr:to>
    <xdr:grpSp>
      <xdr:nvGrpSpPr>
        <xdr:cNvPr id="4" name="Group 3"/>
        <xdr:cNvGrpSpPr/>
      </xdr:nvGrpSpPr>
      <xdr:grpSpPr>
        <a:xfrm>
          <a:off x="7550150" y="64982725"/>
          <a:ext cx="6570065" cy="7528253"/>
          <a:chOff x="180975" y="64722375"/>
          <a:chExt cx="6265265" cy="7645728"/>
        </a:xfrm>
      </xdr:grpSpPr>
      <xdr:pic>
        <xdr:nvPicPr>
          <xdr:cNvPr id="25" name="Picture 24" descr="https://vsjcllp.vsjadon.com/upload/insp-191887-844.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674667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191887-847.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37364" y="674667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191887-85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22927" y="64725447"/>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191887-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322926" y="674667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191887-87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0975" y="64722375"/>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191887-94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27927" y="7020810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191887-102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33961" y="7020810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191887-88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51951" y="64725447"/>
            <a:ext cx="1941975" cy="2592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191887-93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0975" y="7020810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368300</xdr:colOff>
      <xdr:row>340</xdr:row>
      <xdr:rowOff>88900</xdr:rowOff>
    </xdr:from>
    <xdr:to>
      <xdr:col>9</xdr:col>
      <xdr:colOff>578906</xdr:colOff>
      <xdr:row>380</xdr:row>
      <xdr:rowOff>110492</xdr:rowOff>
    </xdr:to>
    <xdr:grpSp>
      <xdr:nvGrpSpPr>
        <xdr:cNvPr id="6" name="Group 5"/>
        <xdr:cNvGrpSpPr/>
      </xdr:nvGrpSpPr>
      <xdr:grpSpPr>
        <a:xfrm>
          <a:off x="368300" y="64928750"/>
          <a:ext cx="6439956" cy="7889242"/>
          <a:chOff x="368300" y="64928750"/>
          <a:chExt cx="6439956" cy="7889242"/>
        </a:xfrm>
      </xdr:grpSpPr>
      <xdr:pic>
        <xdr:nvPicPr>
          <xdr:cNvPr id="43" name="Picture 4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502208" y="70657992"/>
            <a:ext cx="161831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68301" y="64928750"/>
            <a:ext cx="204986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563347" y="64932827"/>
            <a:ext cx="2049863"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758393" y="64928750"/>
            <a:ext cx="2049863"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68300" y="67793371"/>
            <a:ext cx="2049863" cy="2736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563347" y="67793371"/>
            <a:ext cx="2049863"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758392" y="67793371"/>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738711" y="70657992"/>
            <a:ext cx="1618313" cy="21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975214" y="70657992"/>
            <a:ext cx="1618313" cy="2160000"/>
          </a:xfrm>
          <a:prstGeom prst="rect">
            <a:avLst/>
          </a:prstGeom>
          <a:ln>
            <a:solidFill>
              <a:schemeClr val="tx1"/>
            </a:solidFill>
          </a:ln>
        </xdr:spPr>
      </xdr:pic>
      <xdr:sp macro="" textlink="">
        <xdr:nvSpPr>
          <xdr:cNvPr id="54" name="TextBox 2"/>
          <xdr:cNvSpPr txBox="1"/>
        </xdr:nvSpPr>
        <xdr:spPr>
          <a:xfrm>
            <a:off x="895351" y="67030600"/>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A Wing</a:t>
            </a:r>
          </a:p>
        </xdr:txBody>
      </xdr:sp>
      <xdr:sp macro="" textlink="">
        <xdr:nvSpPr>
          <xdr:cNvPr id="55" name="TextBox 2"/>
          <xdr:cNvSpPr txBox="1"/>
        </xdr:nvSpPr>
        <xdr:spPr>
          <a:xfrm>
            <a:off x="3350747" y="67028327"/>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B Wing</a:t>
            </a:r>
          </a:p>
        </xdr:txBody>
      </xdr:sp>
      <xdr:sp macro="" textlink="">
        <xdr:nvSpPr>
          <xdr:cNvPr id="56" name="TextBox 2"/>
          <xdr:cNvSpPr txBox="1"/>
        </xdr:nvSpPr>
        <xdr:spPr>
          <a:xfrm>
            <a:off x="5266393" y="66700400"/>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C Wing</a:t>
            </a:r>
          </a:p>
        </xdr:txBody>
      </xdr:sp>
      <xdr:sp macro="" textlink="">
        <xdr:nvSpPr>
          <xdr:cNvPr id="62" name="TextBox 2"/>
          <xdr:cNvSpPr txBox="1"/>
        </xdr:nvSpPr>
        <xdr:spPr>
          <a:xfrm>
            <a:off x="869950" y="69450721"/>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D Wing</a:t>
            </a:r>
          </a:p>
        </xdr:txBody>
      </xdr:sp>
      <xdr:sp macro="" textlink="">
        <xdr:nvSpPr>
          <xdr:cNvPr id="63" name="TextBox 2"/>
          <xdr:cNvSpPr txBox="1"/>
        </xdr:nvSpPr>
        <xdr:spPr>
          <a:xfrm>
            <a:off x="2918947" y="69679321"/>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E Wing</a:t>
            </a:r>
          </a:p>
        </xdr:txBody>
      </xdr:sp>
      <xdr:sp macro="" textlink="">
        <xdr:nvSpPr>
          <xdr:cNvPr id="64" name="TextBox 2"/>
          <xdr:cNvSpPr txBox="1"/>
        </xdr:nvSpPr>
        <xdr:spPr>
          <a:xfrm>
            <a:off x="5253692" y="69634871"/>
            <a:ext cx="927683"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cap="none" spc="0">
                <a:ln w="0"/>
                <a:solidFill>
                  <a:srgbClr val="FFFF00"/>
                </a:solidFill>
                <a:effectLst>
                  <a:outerShdw blurRad="38100" dist="19050" dir="2700000" algn="tl" rotWithShape="0">
                    <a:schemeClr val="dk1">
                      <a:alpha val="40000"/>
                    </a:schemeClr>
                  </a:outerShdw>
                </a:effectLst>
              </a:rPr>
              <a:t>F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354145</xdr:colOff>
      <xdr:row>32</xdr:row>
      <xdr:rowOff>171000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581025" y="2667000"/>
          <a:ext cx="6754945" cy="3600000"/>
        </a:xfrm>
        <a:prstGeom prst="rect">
          <a:avLst/>
        </a:prstGeom>
        <a:ln>
          <a:solidFill>
            <a:schemeClr val="tx1"/>
          </a:solidFill>
        </a:ln>
      </xdr:spPr>
    </xdr:pic>
    <xdr:clientData/>
  </xdr:twoCellAnchor>
  <xdr:twoCellAnchor editAs="oneCell">
    <xdr:from>
      <xdr:col>1</xdr:col>
      <xdr:colOff>0</xdr:colOff>
      <xdr:row>33</xdr:row>
      <xdr:rowOff>114300</xdr:rowOff>
    </xdr:from>
    <xdr:to>
      <xdr:col>6</xdr:col>
      <xdr:colOff>354145</xdr:colOff>
      <xdr:row>52</xdr:row>
      <xdr:rowOff>94800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1025" y="6400800"/>
          <a:ext cx="6754945" cy="3600000"/>
        </a:xfrm>
        <a:prstGeom prst="rect">
          <a:avLst/>
        </a:prstGeom>
        <a:ln>
          <a:solidFill>
            <a:schemeClr val="tx1"/>
          </a:solidFill>
        </a:ln>
      </xdr:spPr>
    </xdr:pic>
    <xdr:clientData/>
  </xdr:twoCellAnchor>
  <xdr:twoCellAnchor editAs="oneCell">
    <xdr:from>
      <xdr:col>6</xdr:col>
      <xdr:colOff>609600</xdr:colOff>
      <xdr:row>14</xdr:row>
      <xdr:rowOff>25011</xdr:rowOff>
    </xdr:from>
    <xdr:to>
      <xdr:col>16</xdr:col>
      <xdr:colOff>211270</xdr:colOff>
      <xdr:row>33</xdr:row>
      <xdr:rowOff>5511</xdr:rowOff>
    </xdr:to>
    <xdr:pic>
      <xdr:nvPicPr>
        <xdr:cNvPr id="4" name="Picture 3"/>
        <xdr:cNvPicPr>
          <a:picLocks noChangeAspect="1"/>
        </xdr:cNvPicPr>
      </xdr:nvPicPr>
      <xdr:blipFill>
        <a:blip xmlns:r="http://schemas.openxmlformats.org/officeDocument/2006/relationships" r:embed="rId3"/>
        <a:stretch>
          <a:fillRect/>
        </a:stretch>
      </xdr:blipFill>
      <xdr:spPr>
        <a:xfrm>
          <a:off x="7591425" y="2692011"/>
          <a:ext cx="6754945" cy="3600000"/>
        </a:xfrm>
        <a:prstGeom prst="rect">
          <a:avLst/>
        </a:prstGeom>
        <a:ln>
          <a:solidFill>
            <a:schemeClr val="tx1"/>
          </a:solidFill>
        </a:ln>
      </xdr:spPr>
    </xdr:pic>
    <xdr:clientData/>
  </xdr:twoCellAnchor>
  <xdr:twoCellAnchor editAs="oneCell">
    <xdr:from>
      <xdr:col>6</xdr:col>
      <xdr:colOff>614680</xdr:colOff>
      <xdr:row>33</xdr:row>
      <xdr:rowOff>124157</xdr:rowOff>
    </xdr:from>
    <xdr:to>
      <xdr:col>16</xdr:col>
      <xdr:colOff>216350</xdr:colOff>
      <xdr:row>52</xdr:row>
      <xdr:rowOff>104657</xdr:rowOff>
    </xdr:to>
    <xdr:pic>
      <xdr:nvPicPr>
        <xdr:cNvPr id="5" name="Picture 4"/>
        <xdr:cNvPicPr>
          <a:picLocks noChangeAspect="1"/>
        </xdr:cNvPicPr>
      </xdr:nvPicPr>
      <xdr:blipFill>
        <a:blip xmlns:r="http://schemas.openxmlformats.org/officeDocument/2006/relationships" r:embed="rId4"/>
        <a:stretch>
          <a:fillRect/>
        </a:stretch>
      </xdr:blipFill>
      <xdr:spPr>
        <a:xfrm>
          <a:off x="7596505" y="6410657"/>
          <a:ext cx="6754945" cy="3600000"/>
        </a:xfrm>
        <a:prstGeom prst="rect">
          <a:avLst/>
        </a:prstGeom>
        <a:ln>
          <a:solidFill>
            <a:schemeClr val="tx1"/>
          </a:solidFill>
        </a:ln>
      </xdr:spPr>
    </xdr:pic>
    <xdr:clientData/>
  </xdr:twoCellAnchor>
  <xdr:twoCellAnchor editAs="oneCell">
    <xdr:from>
      <xdr:col>16</xdr:col>
      <xdr:colOff>466725</xdr:colOff>
      <xdr:row>14</xdr:row>
      <xdr:rowOff>25011</xdr:rowOff>
    </xdr:from>
    <xdr:to>
      <xdr:col>28</xdr:col>
      <xdr:colOff>249370</xdr:colOff>
      <xdr:row>33</xdr:row>
      <xdr:rowOff>5511</xdr:rowOff>
    </xdr:to>
    <xdr:pic>
      <xdr:nvPicPr>
        <xdr:cNvPr id="6" name="Picture 5"/>
        <xdr:cNvPicPr>
          <a:picLocks noChangeAspect="1"/>
        </xdr:cNvPicPr>
      </xdr:nvPicPr>
      <xdr:blipFill>
        <a:blip xmlns:r="http://schemas.openxmlformats.org/officeDocument/2006/relationships" r:embed="rId5"/>
        <a:stretch>
          <a:fillRect/>
        </a:stretch>
      </xdr:blipFill>
      <xdr:spPr>
        <a:xfrm>
          <a:off x="14601825" y="2692011"/>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11</xdr:col>
      <xdr:colOff>401381</xdr:colOff>
      <xdr:row>25</xdr:row>
      <xdr:rowOff>64500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125" y="952500"/>
          <a:ext cx="1620581" cy="2160000"/>
        </a:xfrm>
        <a:prstGeom prst="rect">
          <a:avLst/>
        </a:prstGeom>
        <a:ln>
          <a:solidFill>
            <a:schemeClr val="tx1"/>
          </a:solidFill>
        </a:ln>
      </xdr:spPr>
    </xdr:pic>
    <xdr:clientData/>
  </xdr:twoCellAnchor>
  <xdr:twoCellAnchor editAs="oneCell">
    <xdr:from>
      <xdr:col>11</xdr:col>
      <xdr:colOff>524907</xdr:colOff>
      <xdr:row>6</xdr:row>
      <xdr:rowOff>16669</xdr:rowOff>
    </xdr:from>
    <xdr:to>
      <xdr:col>14</xdr:col>
      <xdr:colOff>316688</xdr:colOff>
      <xdr:row>25</xdr:row>
      <xdr:rowOff>81169</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40232" y="969169"/>
          <a:ext cx="1620581" cy="2160000"/>
        </a:xfrm>
        <a:prstGeom prst="rect">
          <a:avLst/>
        </a:prstGeom>
        <a:ln>
          <a:solidFill>
            <a:schemeClr val="tx1"/>
          </a:solidFill>
        </a:ln>
      </xdr:spPr>
    </xdr:pic>
    <xdr:clientData/>
  </xdr:twoCellAnchor>
  <xdr:twoCellAnchor editAs="oneCell">
    <xdr:from>
      <xdr:col>5</xdr:col>
      <xdr:colOff>0</xdr:colOff>
      <xdr:row>25</xdr:row>
      <xdr:rowOff>0</xdr:rowOff>
    </xdr:from>
    <xdr:to>
      <xdr:col>8</xdr:col>
      <xdr:colOff>140700</xdr:colOff>
      <xdr:row>40</xdr:row>
      <xdr:rowOff>18500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rot="16200000">
          <a:off x="3690125" y="3406000"/>
          <a:ext cx="2876000" cy="2160000"/>
        </a:xfrm>
        <a:prstGeom prst="rect">
          <a:avLst/>
        </a:prstGeom>
        <a:ln>
          <a:solidFill>
            <a:schemeClr val="tx1"/>
          </a:solidFill>
        </a:ln>
      </xdr:spPr>
    </xdr:pic>
    <xdr:clientData/>
  </xdr:twoCellAnchor>
  <xdr:twoCellAnchor editAs="oneCell">
    <xdr:from>
      <xdr:col>8</xdr:col>
      <xdr:colOff>282554</xdr:colOff>
      <xdr:row>25</xdr:row>
      <xdr:rowOff>21112</xdr:rowOff>
    </xdr:from>
    <xdr:to>
      <xdr:col>10</xdr:col>
      <xdr:colOff>264835</xdr:colOff>
      <xdr:row>36</xdr:row>
      <xdr:rowOff>85612</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349979" y="3069112"/>
          <a:ext cx="1620581"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3e4fqKxp1Yz4veMv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3"/>
  <sheetViews>
    <sheetView tabSelected="1" view="pageBreakPreview" zoomScaleNormal="100" zoomScaleSheetLayoutView="100" zoomScalePageLayoutView="85" workbookViewId="0">
      <selection activeCell="F9" sqref="F9:J9"/>
    </sheetView>
  </sheetViews>
  <sheetFormatPr defaultRowHeight="15.5" x14ac:dyDescent="0.35"/>
  <cols>
    <col min="1" max="1" width="11" style="12" customWidth="1"/>
    <col min="2" max="2" width="11.26953125" style="12" customWidth="1"/>
    <col min="3" max="3" width="14.7265625" style="12" customWidth="1"/>
    <col min="4" max="4" width="7.26953125" style="12" customWidth="1"/>
    <col min="5" max="5" width="5.54296875" style="12" customWidth="1"/>
    <col min="6" max="6" width="9.81640625" style="12" customWidth="1"/>
    <col min="7" max="7" width="9" style="12" customWidth="1"/>
    <col min="8" max="8" width="10.54296875" style="12" customWidth="1"/>
    <col min="9" max="9" width="10" style="12" customWidth="1"/>
    <col min="10" max="10" width="13.7265625" style="12" customWidth="1"/>
    <col min="11" max="11" width="15.26953125" style="12" customWidth="1"/>
    <col min="12" max="12" width="9.1796875" style="12"/>
    <col min="13" max="13" width="11.26953125" style="12" bestFit="1" customWidth="1"/>
    <col min="14" max="253" width="9.1796875" style="12"/>
    <col min="254" max="254" width="8.7265625" style="12" customWidth="1"/>
    <col min="255" max="255" width="9.81640625" style="12" customWidth="1"/>
    <col min="256" max="256" width="14.453125" style="12" customWidth="1"/>
    <col min="257" max="257" width="7.26953125" style="12" customWidth="1"/>
    <col min="258" max="258" width="5.54296875" style="12" customWidth="1"/>
    <col min="259" max="259" width="9" style="12" customWidth="1"/>
    <col min="260" max="261" width="9.81640625" style="12" customWidth="1"/>
    <col min="262" max="262" width="11.1796875" style="12" customWidth="1"/>
    <col min="263" max="263" width="2.81640625" style="12" customWidth="1"/>
    <col min="264" max="264" width="3.54296875" style="12" customWidth="1"/>
    <col min="265" max="509" width="9.1796875" style="12"/>
    <col min="510" max="510" width="8.7265625" style="12" customWidth="1"/>
    <col min="511" max="511" width="9.81640625" style="12" customWidth="1"/>
    <col min="512" max="512" width="14.453125" style="12" customWidth="1"/>
    <col min="513" max="513" width="7.26953125" style="12" customWidth="1"/>
    <col min="514" max="514" width="5.54296875" style="12" customWidth="1"/>
    <col min="515" max="515" width="9" style="12" customWidth="1"/>
    <col min="516" max="517" width="9.81640625" style="12" customWidth="1"/>
    <col min="518" max="518" width="11.1796875" style="12" customWidth="1"/>
    <col min="519" max="519" width="2.81640625" style="12" customWidth="1"/>
    <col min="520" max="520" width="3.54296875" style="12" customWidth="1"/>
    <col min="521" max="765" width="9.1796875" style="12"/>
    <col min="766" max="766" width="8.7265625" style="12" customWidth="1"/>
    <col min="767" max="767" width="9.81640625" style="12" customWidth="1"/>
    <col min="768" max="768" width="14.453125" style="12" customWidth="1"/>
    <col min="769" max="769" width="7.26953125" style="12" customWidth="1"/>
    <col min="770" max="770" width="5.54296875" style="12" customWidth="1"/>
    <col min="771" max="771" width="9" style="12" customWidth="1"/>
    <col min="772" max="773" width="9.81640625" style="12" customWidth="1"/>
    <col min="774" max="774" width="11.1796875" style="12" customWidth="1"/>
    <col min="775" max="775" width="2.81640625" style="12" customWidth="1"/>
    <col min="776" max="776" width="3.54296875" style="12" customWidth="1"/>
    <col min="777" max="1021" width="9.1796875" style="12"/>
    <col min="1022" max="1022" width="8.7265625" style="12" customWidth="1"/>
    <col min="1023" max="1023" width="9.81640625" style="12" customWidth="1"/>
    <col min="1024" max="1024" width="14.453125" style="12" customWidth="1"/>
    <col min="1025" max="1025" width="7.26953125" style="12" customWidth="1"/>
    <col min="1026" max="1026" width="5.54296875" style="12" customWidth="1"/>
    <col min="1027" max="1027" width="9" style="12" customWidth="1"/>
    <col min="1028" max="1029" width="9.81640625" style="12" customWidth="1"/>
    <col min="1030" max="1030" width="11.1796875" style="12" customWidth="1"/>
    <col min="1031" max="1031" width="2.81640625" style="12" customWidth="1"/>
    <col min="1032" max="1032" width="3.54296875" style="12" customWidth="1"/>
    <col min="1033" max="1277" width="9.1796875" style="12"/>
    <col min="1278" max="1278" width="8.7265625" style="12" customWidth="1"/>
    <col min="1279" max="1279" width="9.81640625" style="12" customWidth="1"/>
    <col min="1280" max="1280" width="14.453125" style="12" customWidth="1"/>
    <col min="1281" max="1281" width="7.26953125" style="12" customWidth="1"/>
    <col min="1282" max="1282" width="5.54296875" style="12" customWidth="1"/>
    <col min="1283" max="1283" width="9" style="12" customWidth="1"/>
    <col min="1284" max="1285" width="9.81640625" style="12" customWidth="1"/>
    <col min="1286" max="1286" width="11.1796875" style="12" customWidth="1"/>
    <col min="1287" max="1287" width="2.81640625" style="12" customWidth="1"/>
    <col min="1288" max="1288" width="3.54296875" style="12" customWidth="1"/>
    <col min="1289" max="1533" width="9.1796875" style="12"/>
    <col min="1534" max="1534" width="8.7265625" style="12" customWidth="1"/>
    <col min="1535" max="1535" width="9.81640625" style="12" customWidth="1"/>
    <col min="1536" max="1536" width="14.453125" style="12" customWidth="1"/>
    <col min="1537" max="1537" width="7.26953125" style="12" customWidth="1"/>
    <col min="1538" max="1538" width="5.54296875" style="12" customWidth="1"/>
    <col min="1539" max="1539" width="9" style="12" customWidth="1"/>
    <col min="1540" max="1541" width="9.81640625" style="12" customWidth="1"/>
    <col min="1542" max="1542" width="11.1796875" style="12" customWidth="1"/>
    <col min="1543" max="1543" width="2.81640625" style="12" customWidth="1"/>
    <col min="1544" max="1544" width="3.54296875" style="12" customWidth="1"/>
    <col min="1545" max="1789" width="9.1796875" style="12"/>
    <col min="1790" max="1790" width="8.7265625" style="12" customWidth="1"/>
    <col min="1791" max="1791" width="9.81640625" style="12" customWidth="1"/>
    <col min="1792" max="1792" width="14.453125" style="12" customWidth="1"/>
    <col min="1793" max="1793" width="7.26953125" style="12" customWidth="1"/>
    <col min="1794" max="1794" width="5.54296875" style="12" customWidth="1"/>
    <col min="1795" max="1795" width="9" style="12" customWidth="1"/>
    <col min="1796" max="1797" width="9.81640625" style="12" customWidth="1"/>
    <col min="1798" max="1798" width="11.1796875" style="12" customWidth="1"/>
    <col min="1799" max="1799" width="2.81640625" style="12" customWidth="1"/>
    <col min="1800" max="1800" width="3.54296875" style="12" customWidth="1"/>
    <col min="1801" max="2045" width="9.1796875" style="12"/>
    <col min="2046" max="2046" width="8.7265625" style="12" customWidth="1"/>
    <col min="2047" max="2047" width="9.81640625" style="12" customWidth="1"/>
    <col min="2048" max="2048" width="14.453125" style="12" customWidth="1"/>
    <col min="2049" max="2049" width="7.26953125" style="12" customWidth="1"/>
    <col min="2050" max="2050" width="5.54296875" style="12" customWidth="1"/>
    <col min="2051" max="2051" width="9" style="12" customWidth="1"/>
    <col min="2052" max="2053" width="9.81640625" style="12" customWidth="1"/>
    <col min="2054" max="2054" width="11.1796875" style="12" customWidth="1"/>
    <col min="2055" max="2055" width="2.81640625" style="12" customWidth="1"/>
    <col min="2056" max="2056" width="3.54296875" style="12" customWidth="1"/>
    <col min="2057" max="2301" width="9.1796875" style="12"/>
    <col min="2302" max="2302" width="8.7265625" style="12" customWidth="1"/>
    <col min="2303" max="2303" width="9.81640625" style="12" customWidth="1"/>
    <col min="2304" max="2304" width="14.453125" style="12" customWidth="1"/>
    <col min="2305" max="2305" width="7.26953125" style="12" customWidth="1"/>
    <col min="2306" max="2306" width="5.54296875" style="12" customWidth="1"/>
    <col min="2307" max="2307" width="9" style="12" customWidth="1"/>
    <col min="2308" max="2309" width="9.81640625" style="12" customWidth="1"/>
    <col min="2310" max="2310" width="11.1796875" style="12" customWidth="1"/>
    <col min="2311" max="2311" width="2.81640625" style="12" customWidth="1"/>
    <col min="2312" max="2312" width="3.54296875" style="12" customWidth="1"/>
    <col min="2313" max="2557" width="9.1796875" style="12"/>
    <col min="2558" max="2558" width="8.7265625" style="12" customWidth="1"/>
    <col min="2559" max="2559" width="9.81640625" style="12" customWidth="1"/>
    <col min="2560" max="2560" width="14.453125" style="12" customWidth="1"/>
    <col min="2561" max="2561" width="7.26953125" style="12" customWidth="1"/>
    <col min="2562" max="2562" width="5.54296875" style="12" customWidth="1"/>
    <col min="2563" max="2563" width="9" style="12" customWidth="1"/>
    <col min="2564" max="2565" width="9.81640625" style="12" customWidth="1"/>
    <col min="2566" max="2566" width="11.1796875" style="12" customWidth="1"/>
    <col min="2567" max="2567" width="2.81640625" style="12" customWidth="1"/>
    <col min="2568" max="2568" width="3.54296875" style="12" customWidth="1"/>
    <col min="2569" max="2813" width="9.1796875" style="12"/>
    <col min="2814" max="2814" width="8.7265625" style="12" customWidth="1"/>
    <col min="2815" max="2815" width="9.81640625" style="12" customWidth="1"/>
    <col min="2816" max="2816" width="14.453125" style="12" customWidth="1"/>
    <col min="2817" max="2817" width="7.26953125" style="12" customWidth="1"/>
    <col min="2818" max="2818" width="5.54296875" style="12" customWidth="1"/>
    <col min="2819" max="2819" width="9" style="12" customWidth="1"/>
    <col min="2820" max="2821" width="9.81640625" style="12" customWidth="1"/>
    <col min="2822" max="2822" width="11.1796875" style="12" customWidth="1"/>
    <col min="2823" max="2823" width="2.81640625" style="12" customWidth="1"/>
    <col min="2824" max="2824" width="3.54296875" style="12" customWidth="1"/>
    <col min="2825" max="3069" width="9.1796875" style="12"/>
    <col min="3070" max="3070" width="8.7265625" style="12" customWidth="1"/>
    <col min="3071" max="3071" width="9.81640625" style="12" customWidth="1"/>
    <col min="3072" max="3072" width="14.453125" style="12" customWidth="1"/>
    <col min="3073" max="3073" width="7.26953125" style="12" customWidth="1"/>
    <col min="3074" max="3074" width="5.54296875" style="12" customWidth="1"/>
    <col min="3075" max="3075" width="9" style="12" customWidth="1"/>
    <col min="3076" max="3077" width="9.81640625" style="12" customWidth="1"/>
    <col min="3078" max="3078" width="11.1796875" style="12" customWidth="1"/>
    <col min="3079" max="3079" width="2.81640625" style="12" customWidth="1"/>
    <col min="3080" max="3080" width="3.54296875" style="12" customWidth="1"/>
    <col min="3081" max="3325" width="9.1796875" style="12"/>
    <col min="3326" max="3326" width="8.7265625" style="12" customWidth="1"/>
    <col min="3327" max="3327" width="9.81640625" style="12" customWidth="1"/>
    <col min="3328" max="3328" width="14.453125" style="12" customWidth="1"/>
    <col min="3329" max="3329" width="7.26953125" style="12" customWidth="1"/>
    <col min="3330" max="3330" width="5.54296875" style="12" customWidth="1"/>
    <col min="3331" max="3331" width="9" style="12" customWidth="1"/>
    <col min="3332" max="3333" width="9.81640625" style="12" customWidth="1"/>
    <col min="3334" max="3334" width="11.1796875" style="12" customWidth="1"/>
    <col min="3335" max="3335" width="2.81640625" style="12" customWidth="1"/>
    <col min="3336" max="3336" width="3.54296875" style="12" customWidth="1"/>
    <col min="3337" max="3581" width="9.1796875" style="12"/>
    <col min="3582" max="3582" width="8.7265625" style="12" customWidth="1"/>
    <col min="3583" max="3583" width="9.81640625" style="12" customWidth="1"/>
    <col min="3584" max="3584" width="14.453125" style="12" customWidth="1"/>
    <col min="3585" max="3585" width="7.26953125" style="12" customWidth="1"/>
    <col min="3586" max="3586" width="5.54296875" style="12" customWidth="1"/>
    <col min="3587" max="3587" width="9" style="12" customWidth="1"/>
    <col min="3588" max="3589" width="9.81640625" style="12" customWidth="1"/>
    <col min="3590" max="3590" width="11.1796875" style="12" customWidth="1"/>
    <col min="3591" max="3591" width="2.81640625" style="12" customWidth="1"/>
    <col min="3592" max="3592" width="3.54296875" style="12" customWidth="1"/>
    <col min="3593" max="3837" width="9.1796875" style="12"/>
    <col min="3838" max="3838" width="8.7265625" style="12" customWidth="1"/>
    <col min="3839" max="3839" width="9.81640625" style="12" customWidth="1"/>
    <col min="3840" max="3840" width="14.453125" style="12" customWidth="1"/>
    <col min="3841" max="3841" width="7.26953125" style="12" customWidth="1"/>
    <col min="3842" max="3842" width="5.54296875" style="12" customWidth="1"/>
    <col min="3843" max="3843" width="9" style="12" customWidth="1"/>
    <col min="3844" max="3845" width="9.81640625" style="12" customWidth="1"/>
    <col min="3846" max="3846" width="11.1796875" style="12" customWidth="1"/>
    <col min="3847" max="3847" width="2.81640625" style="12" customWidth="1"/>
    <col min="3848" max="3848" width="3.54296875" style="12" customWidth="1"/>
    <col min="3849" max="4093" width="9.1796875" style="12"/>
    <col min="4094" max="4094" width="8.7265625" style="12" customWidth="1"/>
    <col min="4095" max="4095" width="9.81640625" style="12" customWidth="1"/>
    <col min="4096" max="4096" width="14.453125" style="12" customWidth="1"/>
    <col min="4097" max="4097" width="7.26953125" style="12" customWidth="1"/>
    <col min="4098" max="4098" width="5.54296875" style="12" customWidth="1"/>
    <col min="4099" max="4099" width="9" style="12" customWidth="1"/>
    <col min="4100" max="4101" width="9.81640625" style="12" customWidth="1"/>
    <col min="4102" max="4102" width="11.1796875" style="12" customWidth="1"/>
    <col min="4103" max="4103" width="2.81640625" style="12" customWidth="1"/>
    <col min="4104" max="4104" width="3.54296875" style="12" customWidth="1"/>
    <col min="4105" max="4349" width="9.1796875" style="12"/>
    <col min="4350" max="4350" width="8.7265625" style="12" customWidth="1"/>
    <col min="4351" max="4351" width="9.81640625" style="12" customWidth="1"/>
    <col min="4352" max="4352" width="14.453125" style="12" customWidth="1"/>
    <col min="4353" max="4353" width="7.26953125" style="12" customWidth="1"/>
    <col min="4354" max="4354" width="5.54296875" style="12" customWidth="1"/>
    <col min="4355" max="4355" width="9" style="12" customWidth="1"/>
    <col min="4356" max="4357" width="9.81640625" style="12" customWidth="1"/>
    <col min="4358" max="4358" width="11.1796875" style="12" customWidth="1"/>
    <col min="4359" max="4359" width="2.81640625" style="12" customWidth="1"/>
    <col min="4360" max="4360" width="3.54296875" style="12" customWidth="1"/>
    <col min="4361" max="4605" width="9.1796875" style="12"/>
    <col min="4606" max="4606" width="8.7265625" style="12" customWidth="1"/>
    <col min="4607" max="4607" width="9.81640625" style="12" customWidth="1"/>
    <col min="4608" max="4608" width="14.453125" style="12" customWidth="1"/>
    <col min="4609" max="4609" width="7.26953125" style="12" customWidth="1"/>
    <col min="4610" max="4610" width="5.54296875" style="12" customWidth="1"/>
    <col min="4611" max="4611" width="9" style="12" customWidth="1"/>
    <col min="4612" max="4613" width="9.81640625" style="12" customWidth="1"/>
    <col min="4614" max="4614" width="11.1796875" style="12" customWidth="1"/>
    <col min="4615" max="4615" width="2.81640625" style="12" customWidth="1"/>
    <col min="4616" max="4616" width="3.54296875" style="12" customWidth="1"/>
    <col min="4617" max="4861" width="9.1796875" style="12"/>
    <col min="4862" max="4862" width="8.7265625" style="12" customWidth="1"/>
    <col min="4863" max="4863" width="9.81640625" style="12" customWidth="1"/>
    <col min="4864" max="4864" width="14.453125" style="12" customWidth="1"/>
    <col min="4865" max="4865" width="7.26953125" style="12" customWidth="1"/>
    <col min="4866" max="4866" width="5.54296875" style="12" customWidth="1"/>
    <col min="4867" max="4867" width="9" style="12" customWidth="1"/>
    <col min="4868" max="4869" width="9.81640625" style="12" customWidth="1"/>
    <col min="4870" max="4870" width="11.1796875" style="12" customWidth="1"/>
    <col min="4871" max="4871" width="2.81640625" style="12" customWidth="1"/>
    <col min="4872" max="4872" width="3.54296875" style="12" customWidth="1"/>
    <col min="4873" max="5117" width="9.1796875" style="12"/>
    <col min="5118" max="5118" width="8.7265625" style="12" customWidth="1"/>
    <col min="5119" max="5119" width="9.81640625" style="12" customWidth="1"/>
    <col min="5120" max="5120" width="14.453125" style="12" customWidth="1"/>
    <col min="5121" max="5121" width="7.26953125" style="12" customWidth="1"/>
    <col min="5122" max="5122" width="5.54296875" style="12" customWidth="1"/>
    <col min="5123" max="5123" width="9" style="12" customWidth="1"/>
    <col min="5124" max="5125" width="9.81640625" style="12" customWidth="1"/>
    <col min="5126" max="5126" width="11.1796875" style="12" customWidth="1"/>
    <col min="5127" max="5127" width="2.81640625" style="12" customWidth="1"/>
    <col min="5128" max="5128" width="3.54296875" style="12" customWidth="1"/>
    <col min="5129" max="5373" width="9.1796875" style="12"/>
    <col min="5374" max="5374" width="8.7265625" style="12" customWidth="1"/>
    <col min="5375" max="5375" width="9.81640625" style="12" customWidth="1"/>
    <col min="5376" max="5376" width="14.453125" style="12" customWidth="1"/>
    <col min="5377" max="5377" width="7.26953125" style="12" customWidth="1"/>
    <col min="5378" max="5378" width="5.54296875" style="12" customWidth="1"/>
    <col min="5379" max="5379" width="9" style="12" customWidth="1"/>
    <col min="5380" max="5381" width="9.81640625" style="12" customWidth="1"/>
    <col min="5382" max="5382" width="11.1796875" style="12" customWidth="1"/>
    <col min="5383" max="5383" width="2.81640625" style="12" customWidth="1"/>
    <col min="5384" max="5384" width="3.54296875" style="12" customWidth="1"/>
    <col min="5385" max="5629" width="9.1796875" style="12"/>
    <col min="5630" max="5630" width="8.7265625" style="12" customWidth="1"/>
    <col min="5631" max="5631" width="9.81640625" style="12" customWidth="1"/>
    <col min="5632" max="5632" width="14.453125" style="12" customWidth="1"/>
    <col min="5633" max="5633" width="7.26953125" style="12" customWidth="1"/>
    <col min="5634" max="5634" width="5.54296875" style="12" customWidth="1"/>
    <col min="5635" max="5635" width="9" style="12" customWidth="1"/>
    <col min="5636" max="5637" width="9.81640625" style="12" customWidth="1"/>
    <col min="5638" max="5638" width="11.1796875" style="12" customWidth="1"/>
    <col min="5639" max="5639" width="2.81640625" style="12" customWidth="1"/>
    <col min="5640" max="5640" width="3.54296875" style="12" customWidth="1"/>
    <col min="5641" max="5885" width="9.1796875" style="12"/>
    <col min="5886" max="5886" width="8.7265625" style="12" customWidth="1"/>
    <col min="5887" max="5887" width="9.81640625" style="12" customWidth="1"/>
    <col min="5888" max="5888" width="14.453125" style="12" customWidth="1"/>
    <col min="5889" max="5889" width="7.26953125" style="12" customWidth="1"/>
    <col min="5890" max="5890" width="5.54296875" style="12" customWidth="1"/>
    <col min="5891" max="5891" width="9" style="12" customWidth="1"/>
    <col min="5892" max="5893" width="9.81640625" style="12" customWidth="1"/>
    <col min="5894" max="5894" width="11.1796875" style="12" customWidth="1"/>
    <col min="5895" max="5895" width="2.81640625" style="12" customWidth="1"/>
    <col min="5896" max="5896" width="3.54296875" style="12" customWidth="1"/>
    <col min="5897" max="6141" width="9.1796875" style="12"/>
    <col min="6142" max="6142" width="8.7265625" style="12" customWidth="1"/>
    <col min="6143" max="6143" width="9.81640625" style="12" customWidth="1"/>
    <col min="6144" max="6144" width="14.453125" style="12" customWidth="1"/>
    <col min="6145" max="6145" width="7.26953125" style="12" customWidth="1"/>
    <col min="6146" max="6146" width="5.54296875" style="12" customWidth="1"/>
    <col min="6147" max="6147" width="9" style="12" customWidth="1"/>
    <col min="6148" max="6149" width="9.81640625" style="12" customWidth="1"/>
    <col min="6150" max="6150" width="11.1796875" style="12" customWidth="1"/>
    <col min="6151" max="6151" width="2.81640625" style="12" customWidth="1"/>
    <col min="6152" max="6152" width="3.54296875" style="12" customWidth="1"/>
    <col min="6153" max="6397" width="9.1796875" style="12"/>
    <col min="6398" max="6398" width="8.7265625" style="12" customWidth="1"/>
    <col min="6399" max="6399" width="9.81640625" style="12" customWidth="1"/>
    <col min="6400" max="6400" width="14.453125" style="12" customWidth="1"/>
    <col min="6401" max="6401" width="7.26953125" style="12" customWidth="1"/>
    <col min="6402" max="6402" width="5.54296875" style="12" customWidth="1"/>
    <col min="6403" max="6403" width="9" style="12" customWidth="1"/>
    <col min="6404" max="6405" width="9.81640625" style="12" customWidth="1"/>
    <col min="6406" max="6406" width="11.1796875" style="12" customWidth="1"/>
    <col min="6407" max="6407" width="2.81640625" style="12" customWidth="1"/>
    <col min="6408" max="6408" width="3.54296875" style="12" customWidth="1"/>
    <col min="6409" max="6653" width="9.1796875" style="12"/>
    <col min="6654" max="6654" width="8.7265625" style="12" customWidth="1"/>
    <col min="6655" max="6655" width="9.81640625" style="12" customWidth="1"/>
    <col min="6656" max="6656" width="14.453125" style="12" customWidth="1"/>
    <col min="6657" max="6657" width="7.26953125" style="12" customWidth="1"/>
    <col min="6658" max="6658" width="5.54296875" style="12" customWidth="1"/>
    <col min="6659" max="6659" width="9" style="12" customWidth="1"/>
    <col min="6660" max="6661" width="9.81640625" style="12" customWidth="1"/>
    <col min="6662" max="6662" width="11.1796875" style="12" customWidth="1"/>
    <col min="6663" max="6663" width="2.81640625" style="12" customWidth="1"/>
    <col min="6664" max="6664" width="3.54296875" style="12" customWidth="1"/>
    <col min="6665" max="6909" width="9.1796875" style="12"/>
    <col min="6910" max="6910" width="8.7265625" style="12" customWidth="1"/>
    <col min="6911" max="6911" width="9.81640625" style="12" customWidth="1"/>
    <col min="6912" max="6912" width="14.453125" style="12" customWidth="1"/>
    <col min="6913" max="6913" width="7.26953125" style="12" customWidth="1"/>
    <col min="6914" max="6914" width="5.54296875" style="12" customWidth="1"/>
    <col min="6915" max="6915" width="9" style="12" customWidth="1"/>
    <col min="6916" max="6917" width="9.81640625" style="12" customWidth="1"/>
    <col min="6918" max="6918" width="11.1796875" style="12" customWidth="1"/>
    <col min="6919" max="6919" width="2.81640625" style="12" customWidth="1"/>
    <col min="6920" max="6920" width="3.54296875" style="12" customWidth="1"/>
    <col min="6921" max="7165" width="9.1796875" style="12"/>
    <col min="7166" max="7166" width="8.7265625" style="12" customWidth="1"/>
    <col min="7167" max="7167" width="9.81640625" style="12" customWidth="1"/>
    <col min="7168" max="7168" width="14.453125" style="12" customWidth="1"/>
    <col min="7169" max="7169" width="7.26953125" style="12" customWidth="1"/>
    <col min="7170" max="7170" width="5.54296875" style="12" customWidth="1"/>
    <col min="7171" max="7171" width="9" style="12" customWidth="1"/>
    <col min="7172" max="7173" width="9.81640625" style="12" customWidth="1"/>
    <col min="7174" max="7174" width="11.1796875" style="12" customWidth="1"/>
    <col min="7175" max="7175" width="2.81640625" style="12" customWidth="1"/>
    <col min="7176" max="7176" width="3.54296875" style="12" customWidth="1"/>
    <col min="7177" max="7421" width="9.1796875" style="12"/>
    <col min="7422" max="7422" width="8.7265625" style="12" customWidth="1"/>
    <col min="7423" max="7423" width="9.81640625" style="12" customWidth="1"/>
    <col min="7424" max="7424" width="14.453125" style="12" customWidth="1"/>
    <col min="7425" max="7425" width="7.26953125" style="12" customWidth="1"/>
    <col min="7426" max="7426" width="5.54296875" style="12" customWidth="1"/>
    <col min="7427" max="7427" width="9" style="12" customWidth="1"/>
    <col min="7428" max="7429" width="9.81640625" style="12" customWidth="1"/>
    <col min="7430" max="7430" width="11.1796875" style="12" customWidth="1"/>
    <col min="7431" max="7431" width="2.81640625" style="12" customWidth="1"/>
    <col min="7432" max="7432" width="3.54296875" style="12" customWidth="1"/>
    <col min="7433" max="7677" width="9.1796875" style="12"/>
    <col min="7678" max="7678" width="8.7265625" style="12" customWidth="1"/>
    <col min="7679" max="7679" width="9.81640625" style="12" customWidth="1"/>
    <col min="7680" max="7680" width="14.453125" style="12" customWidth="1"/>
    <col min="7681" max="7681" width="7.26953125" style="12" customWidth="1"/>
    <col min="7682" max="7682" width="5.54296875" style="12" customWidth="1"/>
    <col min="7683" max="7683" width="9" style="12" customWidth="1"/>
    <col min="7684" max="7685" width="9.81640625" style="12" customWidth="1"/>
    <col min="7686" max="7686" width="11.1796875" style="12" customWidth="1"/>
    <col min="7687" max="7687" width="2.81640625" style="12" customWidth="1"/>
    <col min="7688" max="7688" width="3.54296875" style="12" customWidth="1"/>
    <col min="7689" max="7933" width="9.1796875" style="12"/>
    <col min="7934" max="7934" width="8.7265625" style="12" customWidth="1"/>
    <col min="7935" max="7935" width="9.81640625" style="12" customWidth="1"/>
    <col min="7936" max="7936" width="14.453125" style="12" customWidth="1"/>
    <col min="7937" max="7937" width="7.26953125" style="12" customWidth="1"/>
    <col min="7938" max="7938" width="5.54296875" style="12" customWidth="1"/>
    <col min="7939" max="7939" width="9" style="12" customWidth="1"/>
    <col min="7940" max="7941" width="9.81640625" style="12" customWidth="1"/>
    <col min="7942" max="7942" width="11.1796875" style="12" customWidth="1"/>
    <col min="7943" max="7943" width="2.81640625" style="12" customWidth="1"/>
    <col min="7944" max="7944" width="3.54296875" style="12" customWidth="1"/>
    <col min="7945" max="8189" width="9.1796875" style="12"/>
    <col min="8190" max="8190" width="8.7265625" style="12" customWidth="1"/>
    <col min="8191" max="8191" width="9.81640625" style="12" customWidth="1"/>
    <col min="8192" max="8192" width="14.453125" style="12" customWidth="1"/>
    <col min="8193" max="8193" width="7.26953125" style="12" customWidth="1"/>
    <col min="8194" max="8194" width="5.54296875" style="12" customWidth="1"/>
    <col min="8195" max="8195" width="9" style="12" customWidth="1"/>
    <col min="8196" max="8197" width="9.81640625" style="12" customWidth="1"/>
    <col min="8198" max="8198" width="11.1796875" style="12" customWidth="1"/>
    <col min="8199" max="8199" width="2.81640625" style="12" customWidth="1"/>
    <col min="8200" max="8200" width="3.54296875" style="12" customWidth="1"/>
    <col min="8201" max="8445" width="9.1796875" style="12"/>
    <col min="8446" max="8446" width="8.7265625" style="12" customWidth="1"/>
    <col min="8447" max="8447" width="9.81640625" style="12" customWidth="1"/>
    <col min="8448" max="8448" width="14.453125" style="12" customWidth="1"/>
    <col min="8449" max="8449" width="7.26953125" style="12" customWidth="1"/>
    <col min="8450" max="8450" width="5.54296875" style="12" customWidth="1"/>
    <col min="8451" max="8451" width="9" style="12" customWidth="1"/>
    <col min="8452" max="8453" width="9.81640625" style="12" customWidth="1"/>
    <col min="8454" max="8454" width="11.1796875" style="12" customWidth="1"/>
    <col min="8455" max="8455" width="2.81640625" style="12" customWidth="1"/>
    <col min="8456" max="8456" width="3.54296875" style="12" customWidth="1"/>
    <col min="8457" max="8701" width="9.1796875" style="12"/>
    <col min="8702" max="8702" width="8.7265625" style="12" customWidth="1"/>
    <col min="8703" max="8703" width="9.81640625" style="12" customWidth="1"/>
    <col min="8704" max="8704" width="14.453125" style="12" customWidth="1"/>
    <col min="8705" max="8705" width="7.26953125" style="12" customWidth="1"/>
    <col min="8706" max="8706" width="5.54296875" style="12" customWidth="1"/>
    <col min="8707" max="8707" width="9" style="12" customWidth="1"/>
    <col min="8708" max="8709" width="9.81640625" style="12" customWidth="1"/>
    <col min="8710" max="8710" width="11.1796875" style="12" customWidth="1"/>
    <col min="8711" max="8711" width="2.81640625" style="12" customWidth="1"/>
    <col min="8712" max="8712" width="3.54296875" style="12" customWidth="1"/>
    <col min="8713" max="8957" width="9.1796875" style="12"/>
    <col min="8958" max="8958" width="8.7265625" style="12" customWidth="1"/>
    <col min="8959" max="8959" width="9.81640625" style="12" customWidth="1"/>
    <col min="8960" max="8960" width="14.453125" style="12" customWidth="1"/>
    <col min="8961" max="8961" width="7.26953125" style="12" customWidth="1"/>
    <col min="8962" max="8962" width="5.54296875" style="12" customWidth="1"/>
    <col min="8963" max="8963" width="9" style="12" customWidth="1"/>
    <col min="8964" max="8965" width="9.81640625" style="12" customWidth="1"/>
    <col min="8966" max="8966" width="11.1796875" style="12" customWidth="1"/>
    <col min="8967" max="8967" width="2.81640625" style="12" customWidth="1"/>
    <col min="8968" max="8968" width="3.54296875" style="12" customWidth="1"/>
    <col min="8969" max="9213" width="9.1796875" style="12"/>
    <col min="9214" max="9214" width="8.7265625" style="12" customWidth="1"/>
    <col min="9215" max="9215" width="9.81640625" style="12" customWidth="1"/>
    <col min="9216" max="9216" width="14.453125" style="12" customWidth="1"/>
    <col min="9217" max="9217" width="7.26953125" style="12" customWidth="1"/>
    <col min="9218" max="9218" width="5.54296875" style="12" customWidth="1"/>
    <col min="9219" max="9219" width="9" style="12" customWidth="1"/>
    <col min="9220" max="9221" width="9.81640625" style="12" customWidth="1"/>
    <col min="9222" max="9222" width="11.1796875" style="12" customWidth="1"/>
    <col min="9223" max="9223" width="2.81640625" style="12" customWidth="1"/>
    <col min="9224" max="9224" width="3.54296875" style="12" customWidth="1"/>
    <col min="9225" max="9469" width="9.1796875" style="12"/>
    <col min="9470" max="9470" width="8.7265625" style="12" customWidth="1"/>
    <col min="9471" max="9471" width="9.81640625" style="12" customWidth="1"/>
    <col min="9472" max="9472" width="14.453125" style="12" customWidth="1"/>
    <col min="9473" max="9473" width="7.26953125" style="12" customWidth="1"/>
    <col min="9474" max="9474" width="5.54296875" style="12" customWidth="1"/>
    <col min="9475" max="9475" width="9" style="12" customWidth="1"/>
    <col min="9476" max="9477" width="9.81640625" style="12" customWidth="1"/>
    <col min="9478" max="9478" width="11.1796875" style="12" customWidth="1"/>
    <col min="9479" max="9479" width="2.81640625" style="12" customWidth="1"/>
    <col min="9480" max="9480" width="3.54296875" style="12" customWidth="1"/>
    <col min="9481" max="9725" width="9.1796875" style="12"/>
    <col min="9726" max="9726" width="8.7265625" style="12" customWidth="1"/>
    <col min="9727" max="9727" width="9.81640625" style="12" customWidth="1"/>
    <col min="9728" max="9728" width="14.453125" style="12" customWidth="1"/>
    <col min="9729" max="9729" width="7.26953125" style="12" customWidth="1"/>
    <col min="9730" max="9730" width="5.54296875" style="12" customWidth="1"/>
    <col min="9731" max="9731" width="9" style="12" customWidth="1"/>
    <col min="9732" max="9733" width="9.81640625" style="12" customWidth="1"/>
    <col min="9734" max="9734" width="11.1796875" style="12" customWidth="1"/>
    <col min="9735" max="9735" width="2.81640625" style="12" customWidth="1"/>
    <col min="9736" max="9736" width="3.54296875" style="12" customWidth="1"/>
    <col min="9737" max="9981" width="9.1796875" style="12"/>
    <col min="9982" max="9982" width="8.7265625" style="12" customWidth="1"/>
    <col min="9983" max="9983" width="9.81640625" style="12" customWidth="1"/>
    <col min="9984" max="9984" width="14.453125" style="12" customWidth="1"/>
    <col min="9985" max="9985" width="7.26953125" style="12" customWidth="1"/>
    <col min="9986" max="9986" width="5.54296875" style="12" customWidth="1"/>
    <col min="9987" max="9987" width="9" style="12" customWidth="1"/>
    <col min="9988" max="9989" width="9.81640625" style="12" customWidth="1"/>
    <col min="9990" max="9990" width="11.1796875" style="12" customWidth="1"/>
    <col min="9991" max="9991" width="2.81640625" style="12" customWidth="1"/>
    <col min="9992" max="9992" width="3.54296875" style="12" customWidth="1"/>
    <col min="9993" max="10237" width="9.1796875" style="12"/>
    <col min="10238" max="10238" width="8.7265625" style="12" customWidth="1"/>
    <col min="10239" max="10239" width="9.81640625" style="12" customWidth="1"/>
    <col min="10240" max="10240" width="14.453125" style="12" customWidth="1"/>
    <col min="10241" max="10241" width="7.26953125" style="12" customWidth="1"/>
    <col min="10242" max="10242" width="5.54296875" style="12" customWidth="1"/>
    <col min="10243" max="10243" width="9" style="12" customWidth="1"/>
    <col min="10244" max="10245" width="9.81640625" style="12" customWidth="1"/>
    <col min="10246" max="10246" width="11.1796875" style="12" customWidth="1"/>
    <col min="10247" max="10247" width="2.81640625" style="12" customWidth="1"/>
    <col min="10248" max="10248" width="3.54296875" style="12" customWidth="1"/>
    <col min="10249" max="10493" width="9.1796875" style="12"/>
    <col min="10494" max="10494" width="8.7265625" style="12" customWidth="1"/>
    <col min="10495" max="10495" width="9.81640625" style="12" customWidth="1"/>
    <col min="10496" max="10496" width="14.453125" style="12" customWidth="1"/>
    <col min="10497" max="10497" width="7.26953125" style="12" customWidth="1"/>
    <col min="10498" max="10498" width="5.54296875" style="12" customWidth="1"/>
    <col min="10499" max="10499" width="9" style="12" customWidth="1"/>
    <col min="10500" max="10501" width="9.81640625" style="12" customWidth="1"/>
    <col min="10502" max="10502" width="11.1796875" style="12" customWidth="1"/>
    <col min="10503" max="10503" width="2.81640625" style="12" customWidth="1"/>
    <col min="10504" max="10504" width="3.54296875" style="12" customWidth="1"/>
    <col min="10505" max="10749" width="9.1796875" style="12"/>
    <col min="10750" max="10750" width="8.7265625" style="12" customWidth="1"/>
    <col min="10751" max="10751" width="9.81640625" style="12" customWidth="1"/>
    <col min="10752" max="10752" width="14.453125" style="12" customWidth="1"/>
    <col min="10753" max="10753" width="7.26953125" style="12" customWidth="1"/>
    <col min="10754" max="10754" width="5.54296875" style="12" customWidth="1"/>
    <col min="10755" max="10755" width="9" style="12" customWidth="1"/>
    <col min="10756" max="10757" width="9.81640625" style="12" customWidth="1"/>
    <col min="10758" max="10758" width="11.1796875" style="12" customWidth="1"/>
    <col min="10759" max="10759" width="2.81640625" style="12" customWidth="1"/>
    <col min="10760" max="10760" width="3.54296875" style="12" customWidth="1"/>
    <col min="10761" max="11005" width="9.1796875" style="12"/>
    <col min="11006" max="11006" width="8.7265625" style="12" customWidth="1"/>
    <col min="11007" max="11007" width="9.81640625" style="12" customWidth="1"/>
    <col min="11008" max="11008" width="14.453125" style="12" customWidth="1"/>
    <col min="11009" max="11009" width="7.26953125" style="12" customWidth="1"/>
    <col min="11010" max="11010" width="5.54296875" style="12" customWidth="1"/>
    <col min="11011" max="11011" width="9" style="12" customWidth="1"/>
    <col min="11012" max="11013" width="9.81640625" style="12" customWidth="1"/>
    <col min="11014" max="11014" width="11.1796875" style="12" customWidth="1"/>
    <col min="11015" max="11015" width="2.81640625" style="12" customWidth="1"/>
    <col min="11016" max="11016" width="3.54296875" style="12" customWidth="1"/>
    <col min="11017" max="11261" width="9.1796875" style="12"/>
    <col min="11262" max="11262" width="8.7265625" style="12" customWidth="1"/>
    <col min="11263" max="11263" width="9.81640625" style="12" customWidth="1"/>
    <col min="11264" max="11264" width="14.453125" style="12" customWidth="1"/>
    <col min="11265" max="11265" width="7.26953125" style="12" customWidth="1"/>
    <col min="11266" max="11266" width="5.54296875" style="12" customWidth="1"/>
    <col min="11267" max="11267" width="9" style="12" customWidth="1"/>
    <col min="11268" max="11269" width="9.81640625" style="12" customWidth="1"/>
    <col min="11270" max="11270" width="11.1796875" style="12" customWidth="1"/>
    <col min="11271" max="11271" width="2.81640625" style="12" customWidth="1"/>
    <col min="11272" max="11272" width="3.54296875" style="12" customWidth="1"/>
    <col min="11273" max="11517" width="9.1796875" style="12"/>
    <col min="11518" max="11518" width="8.7265625" style="12" customWidth="1"/>
    <col min="11519" max="11519" width="9.81640625" style="12" customWidth="1"/>
    <col min="11520" max="11520" width="14.453125" style="12" customWidth="1"/>
    <col min="11521" max="11521" width="7.26953125" style="12" customWidth="1"/>
    <col min="11522" max="11522" width="5.54296875" style="12" customWidth="1"/>
    <col min="11523" max="11523" width="9" style="12" customWidth="1"/>
    <col min="11524" max="11525" width="9.81640625" style="12" customWidth="1"/>
    <col min="11526" max="11526" width="11.1796875" style="12" customWidth="1"/>
    <col min="11527" max="11527" width="2.81640625" style="12" customWidth="1"/>
    <col min="11528" max="11528" width="3.54296875" style="12" customWidth="1"/>
    <col min="11529" max="11773" width="9.1796875" style="12"/>
    <col min="11774" max="11774" width="8.7265625" style="12" customWidth="1"/>
    <col min="11775" max="11775" width="9.81640625" style="12" customWidth="1"/>
    <col min="11776" max="11776" width="14.453125" style="12" customWidth="1"/>
    <col min="11777" max="11777" width="7.26953125" style="12" customWidth="1"/>
    <col min="11778" max="11778" width="5.54296875" style="12" customWidth="1"/>
    <col min="11779" max="11779" width="9" style="12" customWidth="1"/>
    <col min="11780" max="11781" width="9.81640625" style="12" customWidth="1"/>
    <col min="11782" max="11782" width="11.1796875" style="12" customWidth="1"/>
    <col min="11783" max="11783" width="2.81640625" style="12" customWidth="1"/>
    <col min="11784" max="11784" width="3.54296875" style="12" customWidth="1"/>
    <col min="11785" max="12029" width="9.1796875" style="12"/>
    <col min="12030" max="12030" width="8.7265625" style="12" customWidth="1"/>
    <col min="12031" max="12031" width="9.81640625" style="12" customWidth="1"/>
    <col min="12032" max="12032" width="14.453125" style="12" customWidth="1"/>
    <col min="12033" max="12033" width="7.26953125" style="12" customWidth="1"/>
    <col min="12034" max="12034" width="5.54296875" style="12" customWidth="1"/>
    <col min="12035" max="12035" width="9" style="12" customWidth="1"/>
    <col min="12036" max="12037" width="9.81640625" style="12" customWidth="1"/>
    <col min="12038" max="12038" width="11.1796875" style="12" customWidth="1"/>
    <col min="12039" max="12039" width="2.81640625" style="12" customWidth="1"/>
    <col min="12040" max="12040" width="3.54296875" style="12" customWidth="1"/>
    <col min="12041" max="12285" width="9.1796875" style="12"/>
    <col min="12286" max="12286" width="8.7265625" style="12" customWidth="1"/>
    <col min="12287" max="12287" width="9.81640625" style="12" customWidth="1"/>
    <col min="12288" max="12288" width="14.453125" style="12" customWidth="1"/>
    <col min="12289" max="12289" width="7.26953125" style="12" customWidth="1"/>
    <col min="12290" max="12290" width="5.54296875" style="12" customWidth="1"/>
    <col min="12291" max="12291" width="9" style="12" customWidth="1"/>
    <col min="12292" max="12293" width="9.81640625" style="12" customWidth="1"/>
    <col min="12294" max="12294" width="11.1796875" style="12" customWidth="1"/>
    <col min="12295" max="12295" width="2.81640625" style="12" customWidth="1"/>
    <col min="12296" max="12296" width="3.54296875" style="12" customWidth="1"/>
    <col min="12297" max="12541" width="9.1796875" style="12"/>
    <col min="12542" max="12542" width="8.7265625" style="12" customWidth="1"/>
    <col min="12543" max="12543" width="9.81640625" style="12" customWidth="1"/>
    <col min="12544" max="12544" width="14.453125" style="12" customWidth="1"/>
    <col min="12545" max="12545" width="7.26953125" style="12" customWidth="1"/>
    <col min="12546" max="12546" width="5.54296875" style="12" customWidth="1"/>
    <col min="12547" max="12547" width="9" style="12" customWidth="1"/>
    <col min="12548" max="12549" width="9.81640625" style="12" customWidth="1"/>
    <col min="12550" max="12550" width="11.1796875" style="12" customWidth="1"/>
    <col min="12551" max="12551" width="2.81640625" style="12" customWidth="1"/>
    <col min="12552" max="12552" width="3.54296875" style="12" customWidth="1"/>
    <col min="12553" max="12797" width="9.1796875" style="12"/>
    <col min="12798" max="12798" width="8.7265625" style="12" customWidth="1"/>
    <col min="12799" max="12799" width="9.81640625" style="12" customWidth="1"/>
    <col min="12800" max="12800" width="14.453125" style="12" customWidth="1"/>
    <col min="12801" max="12801" width="7.26953125" style="12" customWidth="1"/>
    <col min="12802" max="12802" width="5.54296875" style="12" customWidth="1"/>
    <col min="12803" max="12803" width="9" style="12" customWidth="1"/>
    <col min="12804" max="12805" width="9.81640625" style="12" customWidth="1"/>
    <col min="12806" max="12806" width="11.1796875" style="12" customWidth="1"/>
    <col min="12807" max="12807" width="2.81640625" style="12" customWidth="1"/>
    <col min="12808" max="12808" width="3.54296875" style="12" customWidth="1"/>
    <col min="12809" max="13053" width="9.1796875" style="12"/>
    <col min="13054" max="13054" width="8.7265625" style="12" customWidth="1"/>
    <col min="13055" max="13055" width="9.81640625" style="12" customWidth="1"/>
    <col min="13056" max="13056" width="14.453125" style="12" customWidth="1"/>
    <col min="13057" max="13057" width="7.26953125" style="12" customWidth="1"/>
    <col min="13058" max="13058" width="5.54296875" style="12" customWidth="1"/>
    <col min="13059" max="13059" width="9" style="12" customWidth="1"/>
    <col min="13060" max="13061" width="9.81640625" style="12" customWidth="1"/>
    <col min="13062" max="13062" width="11.1796875" style="12" customWidth="1"/>
    <col min="13063" max="13063" width="2.81640625" style="12" customWidth="1"/>
    <col min="13064" max="13064" width="3.54296875" style="12" customWidth="1"/>
    <col min="13065" max="13309" width="9.1796875" style="12"/>
    <col min="13310" max="13310" width="8.7265625" style="12" customWidth="1"/>
    <col min="13311" max="13311" width="9.81640625" style="12" customWidth="1"/>
    <col min="13312" max="13312" width="14.453125" style="12" customWidth="1"/>
    <col min="13313" max="13313" width="7.26953125" style="12" customWidth="1"/>
    <col min="13314" max="13314" width="5.54296875" style="12" customWidth="1"/>
    <col min="13315" max="13315" width="9" style="12" customWidth="1"/>
    <col min="13316" max="13317" width="9.81640625" style="12" customWidth="1"/>
    <col min="13318" max="13318" width="11.1796875" style="12" customWidth="1"/>
    <col min="13319" max="13319" width="2.81640625" style="12" customWidth="1"/>
    <col min="13320" max="13320" width="3.54296875" style="12" customWidth="1"/>
    <col min="13321" max="13565" width="9.1796875" style="12"/>
    <col min="13566" max="13566" width="8.7265625" style="12" customWidth="1"/>
    <col min="13567" max="13567" width="9.81640625" style="12" customWidth="1"/>
    <col min="13568" max="13568" width="14.453125" style="12" customWidth="1"/>
    <col min="13569" max="13569" width="7.26953125" style="12" customWidth="1"/>
    <col min="13570" max="13570" width="5.54296875" style="12" customWidth="1"/>
    <col min="13571" max="13571" width="9" style="12" customWidth="1"/>
    <col min="13572" max="13573" width="9.81640625" style="12" customWidth="1"/>
    <col min="13574" max="13574" width="11.1796875" style="12" customWidth="1"/>
    <col min="13575" max="13575" width="2.81640625" style="12" customWidth="1"/>
    <col min="13576" max="13576" width="3.54296875" style="12" customWidth="1"/>
    <col min="13577" max="13821" width="9.1796875" style="12"/>
    <col min="13822" max="13822" width="8.7265625" style="12" customWidth="1"/>
    <col min="13823" max="13823" width="9.81640625" style="12" customWidth="1"/>
    <col min="13824" max="13824" width="14.453125" style="12" customWidth="1"/>
    <col min="13825" max="13825" width="7.26953125" style="12" customWidth="1"/>
    <col min="13826" max="13826" width="5.54296875" style="12" customWidth="1"/>
    <col min="13827" max="13827" width="9" style="12" customWidth="1"/>
    <col min="13828" max="13829" width="9.81640625" style="12" customWidth="1"/>
    <col min="13830" max="13830" width="11.1796875" style="12" customWidth="1"/>
    <col min="13831" max="13831" width="2.81640625" style="12" customWidth="1"/>
    <col min="13832" max="13832" width="3.54296875" style="12" customWidth="1"/>
    <col min="13833" max="14077" width="9.1796875" style="12"/>
    <col min="14078" max="14078" width="8.7265625" style="12" customWidth="1"/>
    <col min="14079" max="14079" width="9.81640625" style="12" customWidth="1"/>
    <col min="14080" max="14080" width="14.453125" style="12" customWidth="1"/>
    <col min="14081" max="14081" width="7.26953125" style="12" customWidth="1"/>
    <col min="14082" max="14082" width="5.54296875" style="12" customWidth="1"/>
    <col min="14083" max="14083" width="9" style="12" customWidth="1"/>
    <col min="14084" max="14085" width="9.81640625" style="12" customWidth="1"/>
    <col min="14086" max="14086" width="11.1796875" style="12" customWidth="1"/>
    <col min="14087" max="14087" width="2.81640625" style="12" customWidth="1"/>
    <col min="14088" max="14088" width="3.54296875" style="12" customWidth="1"/>
    <col min="14089" max="14333" width="9.1796875" style="12"/>
    <col min="14334" max="14334" width="8.7265625" style="12" customWidth="1"/>
    <col min="14335" max="14335" width="9.81640625" style="12" customWidth="1"/>
    <col min="14336" max="14336" width="14.453125" style="12" customWidth="1"/>
    <col min="14337" max="14337" width="7.26953125" style="12" customWidth="1"/>
    <col min="14338" max="14338" width="5.54296875" style="12" customWidth="1"/>
    <col min="14339" max="14339" width="9" style="12" customWidth="1"/>
    <col min="14340" max="14341" width="9.81640625" style="12" customWidth="1"/>
    <col min="14342" max="14342" width="11.1796875" style="12" customWidth="1"/>
    <col min="14343" max="14343" width="2.81640625" style="12" customWidth="1"/>
    <col min="14344" max="14344" width="3.54296875" style="12" customWidth="1"/>
    <col min="14345" max="14589" width="9.1796875" style="12"/>
    <col min="14590" max="14590" width="8.7265625" style="12" customWidth="1"/>
    <col min="14591" max="14591" width="9.81640625" style="12" customWidth="1"/>
    <col min="14592" max="14592" width="14.453125" style="12" customWidth="1"/>
    <col min="14593" max="14593" width="7.26953125" style="12" customWidth="1"/>
    <col min="14594" max="14594" width="5.54296875" style="12" customWidth="1"/>
    <col min="14595" max="14595" width="9" style="12" customWidth="1"/>
    <col min="14596" max="14597" width="9.81640625" style="12" customWidth="1"/>
    <col min="14598" max="14598" width="11.1796875" style="12" customWidth="1"/>
    <col min="14599" max="14599" width="2.81640625" style="12" customWidth="1"/>
    <col min="14600" max="14600" width="3.54296875" style="12" customWidth="1"/>
    <col min="14601" max="14845" width="9.1796875" style="12"/>
    <col min="14846" max="14846" width="8.7265625" style="12" customWidth="1"/>
    <col min="14847" max="14847" width="9.81640625" style="12" customWidth="1"/>
    <col min="14848" max="14848" width="14.453125" style="12" customWidth="1"/>
    <col min="14849" max="14849" width="7.26953125" style="12" customWidth="1"/>
    <col min="14850" max="14850" width="5.54296875" style="12" customWidth="1"/>
    <col min="14851" max="14851" width="9" style="12" customWidth="1"/>
    <col min="14852" max="14853" width="9.81640625" style="12" customWidth="1"/>
    <col min="14854" max="14854" width="11.1796875" style="12" customWidth="1"/>
    <col min="14855" max="14855" width="2.81640625" style="12" customWidth="1"/>
    <col min="14856" max="14856" width="3.54296875" style="12" customWidth="1"/>
    <col min="14857" max="15101" width="9.1796875" style="12"/>
    <col min="15102" max="15102" width="8.7265625" style="12" customWidth="1"/>
    <col min="15103" max="15103" width="9.81640625" style="12" customWidth="1"/>
    <col min="15104" max="15104" width="14.453125" style="12" customWidth="1"/>
    <col min="15105" max="15105" width="7.26953125" style="12" customWidth="1"/>
    <col min="15106" max="15106" width="5.54296875" style="12" customWidth="1"/>
    <col min="15107" max="15107" width="9" style="12" customWidth="1"/>
    <col min="15108" max="15109" width="9.81640625" style="12" customWidth="1"/>
    <col min="15110" max="15110" width="11.1796875" style="12" customWidth="1"/>
    <col min="15111" max="15111" width="2.81640625" style="12" customWidth="1"/>
    <col min="15112" max="15112" width="3.54296875" style="12" customWidth="1"/>
    <col min="15113" max="15357" width="9.1796875" style="12"/>
    <col min="15358" max="15358" width="8.7265625" style="12" customWidth="1"/>
    <col min="15359" max="15359" width="9.81640625" style="12" customWidth="1"/>
    <col min="15360" max="15360" width="14.453125" style="12" customWidth="1"/>
    <col min="15361" max="15361" width="7.26953125" style="12" customWidth="1"/>
    <col min="15362" max="15362" width="5.54296875" style="12" customWidth="1"/>
    <col min="15363" max="15363" width="9" style="12" customWidth="1"/>
    <col min="15364" max="15365" width="9.81640625" style="12" customWidth="1"/>
    <col min="15366" max="15366" width="11.1796875" style="12" customWidth="1"/>
    <col min="15367" max="15367" width="2.81640625" style="12" customWidth="1"/>
    <col min="15368" max="15368" width="3.54296875" style="12" customWidth="1"/>
    <col min="15369" max="15613" width="9.1796875" style="12"/>
    <col min="15614" max="15614" width="8.7265625" style="12" customWidth="1"/>
    <col min="15615" max="15615" width="9.81640625" style="12" customWidth="1"/>
    <col min="15616" max="15616" width="14.453125" style="12" customWidth="1"/>
    <col min="15617" max="15617" width="7.26953125" style="12" customWidth="1"/>
    <col min="15618" max="15618" width="5.54296875" style="12" customWidth="1"/>
    <col min="15619" max="15619" width="9" style="12" customWidth="1"/>
    <col min="15620" max="15621" width="9.81640625" style="12" customWidth="1"/>
    <col min="15622" max="15622" width="11.1796875" style="12" customWidth="1"/>
    <col min="15623" max="15623" width="2.81640625" style="12" customWidth="1"/>
    <col min="15624" max="15624" width="3.54296875" style="12" customWidth="1"/>
    <col min="15625" max="15869" width="9.1796875" style="12"/>
    <col min="15870" max="15870" width="8.7265625" style="12" customWidth="1"/>
    <col min="15871" max="15871" width="9.81640625" style="12" customWidth="1"/>
    <col min="15872" max="15872" width="14.453125" style="12" customWidth="1"/>
    <col min="15873" max="15873" width="7.26953125" style="12" customWidth="1"/>
    <col min="15874" max="15874" width="5.54296875" style="12" customWidth="1"/>
    <col min="15875" max="15875" width="9" style="12" customWidth="1"/>
    <col min="15876" max="15877" width="9.81640625" style="12" customWidth="1"/>
    <col min="15878" max="15878" width="11.1796875" style="12" customWidth="1"/>
    <col min="15879" max="15879" width="2.81640625" style="12" customWidth="1"/>
    <col min="15880" max="15880" width="3.54296875" style="12" customWidth="1"/>
    <col min="15881" max="16125" width="9.1796875" style="12"/>
    <col min="16126" max="16126" width="8.7265625" style="12" customWidth="1"/>
    <col min="16127" max="16127" width="9.81640625" style="12" customWidth="1"/>
    <col min="16128" max="16128" width="14.453125" style="12" customWidth="1"/>
    <col min="16129" max="16129" width="7.26953125" style="12" customWidth="1"/>
    <col min="16130" max="16130" width="5.54296875" style="12" customWidth="1"/>
    <col min="16131" max="16131" width="9" style="12" customWidth="1"/>
    <col min="16132" max="16133" width="9.81640625" style="12" customWidth="1"/>
    <col min="16134" max="16134" width="11.1796875" style="12" customWidth="1"/>
    <col min="16135" max="16135" width="2.81640625" style="12" customWidth="1"/>
    <col min="16136" max="16136" width="3.54296875" style="12" customWidth="1"/>
    <col min="16137" max="16384" width="9.1796875" style="12"/>
  </cols>
  <sheetData>
    <row r="1" spans="1:10" ht="46.5" customHeight="1" x14ac:dyDescent="0.35">
      <c r="A1" s="211" t="s">
        <v>270</v>
      </c>
      <c r="B1" s="212"/>
      <c r="C1" s="212"/>
      <c r="D1" s="212"/>
      <c r="E1" s="212"/>
      <c r="F1" s="212"/>
      <c r="G1" s="212"/>
      <c r="H1" s="212"/>
      <c r="I1" s="212"/>
      <c r="J1" s="213"/>
    </row>
    <row r="2" spans="1:10" ht="16.5" customHeight="1" x14ac:dyDescent="0.35">
      <c r="A2" s="214" t="s">
        <v>0</v>
      </c>
      <c r="B2" s="215"/>
      <c r="C2" s="215"/>
      <c r="D2" s="215"/>
      <c r="E2" s="215"/>
      <c r="F2" s="215"/>
      <c r="G2" s="215"/>
      <c r="H2" s="215"/>
      <c r="I2" s="215"/>
      <c r="J2" s="216"/>
    </row>
    <row r="3" spans="1:10" x14ac:dyDescent="0.35">
      <c r="A3" s="167" t="s">
        <v>1</v>
      </c>
      <c r="B3" s="168"/>
      <c r="C3" s="168"/>
      <c r="D3" s="168"/>
      <c r="E3" s="169"/>
      <c r="F3" s="217" t="str">
        <f ca="1">TEXT(TODAY(),"DD/MM/YYYY")</f>
        <v>30/07/2025</v>
      </c>
      <c r="G3" s="218"/>
      <c r="H3" s="218"/>
      <c r="I3" s="218"/>
      <c r="J3" s="219"/>
    </row>
    <row r="4" spans="1:10" ht="15" customHeight="1" x14ac:dyDescent="0.35">
      <c r="A4" s="167" t="s">
        <v>2</v>
      </c>
      <c r="B4" s="168"/>
      <c r="C4" s="168"/>
      <c r="D4" s="168"/>
      <c r="E4" s="169"/>
      <c r="F4" s="223" t="s">
        <v>176</v>
      </c>
      <c r="G4" s="224"/>
      <c r="H4" s="224"/>
      <c r="I4" s="224"/>
      <c r="J4" s="225"/>
    </row>
    <row r="5" spans="1:10" x14ac:dyDescent="0.35">
      <c r="A5" s="167" t="s">
        <v>3</v>
      </c>
      <c r="B5" s="168"/>
      <c r="C5" s="168"/>
      <c r="D5" s="168"/>
      <c r="E5" s="169"/>
      <c r="F5" s="217">
        <v>45868</v>
      </c>
      <c r="G5" s="218"/>
      <c r="H5" s="218"/>
      <c r="I5" s="218"/>
      <c r="J5" s="219"/>
    </row>
    <row r="6" spans="1:10" ht="16.5" customHeight="1" x14ac:dyDescent="0.35">
      <c r="A6" s="167" t="s">
        <v>4</v>
      </c>
      <c r="B6" s="168"/>
      <c r="C6" s="168"/>
      <c r="D6" s="168"/>
      <c r="E6" s="169"/>
      <c r="F6" s="170" t="s">
        <v>177</v>
      </c>
      <c r="G6" s="171"/>
      <c r="H6" s="171"/>
      <c r="I6" s="171"/>
      <c r="J6" s="172"/>
    </row>
    <row r="7" spans="1:10" ht="15" customHeight="1" x14ac:dyDescent="0.35">
      <c r="A7" s="167" t="s">
        <v>5</v>
      </c>
      <c r="B7" s="168"/>
      <c r="C7" s="168"/>
      <c r="D7" s="168"/>
      <c r="E7" s="169"/>
      <c r="F7" s="170" t="str">
        <f>F6</f>
        <v>M/s.Juhi Infrabuild LLP</v>
      </c>
      <c r="G7" s="171"/>
      <c r="H7" s="171"/>
      <c r="I7" s="171"/>
      <c r="J7" s="172"/>
    </row>
    <row r="8" spans="1:10" x14ac:dyDescent="0.35">
      <c r="A8" s="167" t="s">
        <v>6</v>
      </c>
      <c r="B8" s="168"/>
      <c r="C8" s="168"/>
      <c r="D8" s="168"/>
      <c r="E8" s="169"/>
      <c r="F8" s="220" t="s">
        <v>178</v>
      </c>
      <c r="G8" s="221"/>
      <c r="H8" s="221"/>
      <c r="I8" s="221"/>
      <c r="J8" s="222"/>
    </row>
    <row r="9" spans="1:10" x14ac:dyDescent="0.35">
      <c r="A9" s="167" t="s">
        <v>7</v>
      </c>
      <c r="B9" s="168"/>
      <c r="C9" s="168"/>
      <c r="D9" s="168"/>
      <c r="E9" s="169"/>
      <c r="F9" s="167">
        <v>2227836412</v>
      </c>
      <c r="G9" s="168"/>
      <c r="H9" s="168"/>
      <c r="I9" s="168"/>
      <c r="J9" s="169"/>
    </row>
    <row r="10" spans="1:10" x14ac:dyDescent="0.35">
      <c r="A10" s="170" t="s">
        <v>271</v>
      </c>
      <c r="B10" s="168"/>
      <c r="C10" s="168"/>
      <c r="D10" s="168"/>
      <c r="E10" s="169"/>
      <c r="F10" s="167" t="s">
        <v>284</v>
      </c>
      <c r="G10" s="168"/>
      <c r="H10" s="168"/>
      <c r="I10" s="168"/>
      <c r="J10" s="169"/>
    </row>
    <row r="11" spans="1:10" x14ac:dyDescent="0.35">
      <c r="A11" s="167" t="s">
        <v>8</v>
      </c>
      <c r="B11" s="168"/>
      <c r="C11" s="168"/>
      <c r="D11" s="168"/>
      <c r="E11" s="169"/>
      <c r="F11" s="226" t="s">
        <v>265</v>
      </c>
      <c r="G11" s="227"/>
      <c r="H11" s="227"/>
      <c r="I11" s="227"/>
      <c r="J11" s="228"/>
    </row>
    <row r="12" spans="1:10" ht="16.5" customHeight="1" x14ac:dyDescent="0.35">
      <c r="A12" s="167" t="s">
        <v>9</v>
      </c>
      <c r="B12" s="168"/>
      <c r="C12" s="168"/>
      <c r="D12" s="168"/>
      <c r="E12" s="169"/>
      <c r="F12" s="229" t="s">
        <v>10</v>
      </c>
      <c r="G12" s="230"/>
      <c r="H12" s="230"/>
      <c r="I12" s="230"/>
      <c r="J12" s="231"/>
    </row>
    <row r="13" spans="1:10" ht="15.75" customHeight="1" x14ac:dyDescent="0.35">
      <c r="A13" s="167" t="s">
        <v>11</v>
      </c>
      <c r="B13" s="168"/>
      <c r="C13" s="168"/>
      <c r="D13" s="168"/>
      <c r="E13" s="169"/>
      <c r="F13" s="170" t="s">
        <v>179</v>
      </c>
      <c r="G13" s="171"/>
      <c r="H13" s="171"/>
      <c r="I13" s="171"/>
      <c r="J13" s="172"/>
    </row>
    <row r="14" spans="1:10" ht="31.5" customHeight="1" x14ac:dyDescent="0.35">
      <c r="A14" s="170" t="s">
        <v>12</v>
      </c>
      <c r="B14" s="172"/>
      <c r="C14" s="170" t="str">
        <f>CONCATENATE((IF(OR(F8="",F8="NA"),"",F8)),", ",(IF(OR(A15="",A15="NA"),"",A15)),".",(IF(OR(C15="",C15="NA"),"",C15)),", ",(IF(OR(F15="",F15="NA"),"",F15)),".",(IF(OR(H15="",H15="NA"),"",H15)),", ",(IF(OR(C16="",C16="NA"),"",C16)),", ",(IF(OR(H16="",H16="NA"),"",H16)),", ",(IF(OR(C17="",C17="NA"),"",C17)),", ",(IF(OR(C18="",C18="NA"),"",C18)),", ",(IF(OR(H17="",H17="NA"),"",H17)),".")</f>
        <v>Niharika Absolute, Plot No.A-10, Sector.39-A, Plot no A-10, Kharghar, Navi Mumbai, Panvel, Raigad.</v>
      </c>
      <c r="D14" s="171"/>
      <c r="E14" s="171"/>
      <c r="F14" s="171"/>
      <c r="G14" s="171"/>
      <c r="H14" s="171"/>
      <c r="I14" s="171"/>
      <c r="J14" s="172"/>
    </row>
    <row r="15" spans="1:10" ht="15.75" customHeight="1" x14ac:dyDescent="0.35">
      <c r="A15" s="109" t="s">
        <v>180</v>
      </c>
      <c r="B15" s="111"/>
      <c r="C15" s="109" t="s">
        <v>182</v>
      </c>
      <c r="D15" s="110"/>
      <c r="E15" s="111"/>
      <c r="F15" s="109" t="s">
        <v>181</v>
      </c>
      <c r="G15" s="111"/>
      <c r="H15" s="109" t="s">
        <v>183</v>
      </c>
      <c r="I15" s="110"/>
      <c r="J15" s="111"/>
    </row>
    <row r="16" spans="1:10" ht="15.75" customHeight="1" x14ac:dyDescent="0.35">
      <c r="A16" s="109" t="s">
        <v>13</v>
      </c>
      <c r="B16" s="111"/>
      <c r="C16" s="97" t="s">
        <v>184</v>
      </c>
      <c r="D16" s="98"/>
      <c r="E16" s="99"/>
      <c r="F16" s="109" t="s">
        <v>139</v>
      </c>
      <c r="G16" s="111"/>
      <c r="H16" s="109" t="s">
        <v>185</v>
      </c>
      <c r="I16" s="110"/>
      <c r="J16" s="111"/>
    </row>
    <row r="17" spans="1:10" x14ac:dyDescent="0.35">
      <c r="A17" s="97" t="s">
        <v>15</v>
      </c>
      <c r="B17" s="99"/>
      <c r="C17" s="97" t="s">
        <v>186</v>
      </c>
      <c r="D17" s="98"/>
      <c r="E17" s="99"/>
      <c r="F17" s="109" t="s">
        <v>14</v>
      </c>
      <c r="G17" s="111"/>
      <c r="H17" s="199" t="s">
        <v>205</v>
      </c>
      <c r="I17" s="200"/>
      <c r="J17" s="201"/>
    </row>
    <row r="18" spans="1:10" x14ac:dyDescent="0.35">
      <c r="A18" s="97" t="s">
        <v>140</v>
      </c>
      <c r="B18" s="99"/>
      <c r="C18" s="109" t="s">
        <v>159</v>
      </c>
      <c r="D18" s="110"/>
      <c r="E18" s="111"/>
      <c r="F18" s="109" t="s">
        <v>16</v>
      </c>
      <c r="G18" s="111"/>
      <c r="H18" s="109">
        <v>410210</v>
      </c>
      <c r="I18" s="110"/>
      <c r="J18" s="111"/>
    </row>
    <row r="19" spans="1:10" ht="32.25" customHeight="1" x14ac:dyDescent="0.35">
      <c r="A19" s="97" t="s">
        <v>17</v>
      </c>
      <c r="B19" s="99"/>
      <c r="C19" s="237" t="s">
        <v>210</v>
      </c>
      <c r="D19" s="104"/>
      <c r="E19" s="105"/>
      <c r="F19" s="109" t="s">
        <v>18</v>
      </c>
      <c r="G19" s="111"/>
      <c r="H19" s="184" t="s">
        <v>187</v>
      </c>
      <c r="I19" s="185"/>
      <c r="J19" s="186"/>
    </row>
    <row r="20" spans="1:10" ht="15" customHeight="1" x14ac:dyDescent="0.35">
      <c r="A20" s="187" t="s">
        <v>151</v>
      </c>
      <c r="B20" s="188"/>
      <c r="C20" s="188"/>
      <c r="D20" s="188"/>
      <c r="E20" s="189"/>
      <c r="F20" s="193" t="s">
        <v>19</v>
      </c>
      <c r="G20" s="194"/>
      <c r="H20" s="194"/>
      <c r="I20" s="194"/>
      <c r="J20" s="195"/>
    </row>
    <row r="21" spans="1:10" ht="18.75" customHeight="1" x14ac:dyDescent="0.35">
      <c r="A21" s="190"/>
      <c r="B21" s="191"/>
      <c r="C21" s="191"/>
      <c r="D21" s="191"/>
      <c r="E21" s="192"/>
      <c r="F21" s="196"/>
      <c r="G21" s="197"/>
      <c r="H21" s="197"/>
      <c r="I21" s="197"/>
      <c r="J21" s="198"/>
    </row>
    <row r="22" spans="1:10" ht="15" customHeight="1" x14ac:dyDescent="0.35">
      <c r="A22" s="187" t="s">
        <v>20</v>
      </c>
      <c r="B22" s="188"/>
      <c r="C22" s="188"/>
      <c r="D22" s="188"/>
      <c r="E22" s="189"/>
      <c r="F22" s="187" t="s">
        <v>21</v>
      </c>
      <c r="G22" s="188"/>
      <c r="H22" s="188"/>
      <c r="I22" s="188"/>
      <c r="J22" s="189"/>
    </row>
    <row r="23" spans="1:10" x14ac:dyDescent="0.35">
      <c r="A23" s="190"/>
      <c r="B23" s="191"/>
      <c r="C23" s="191"/>
      <c r="D23" s="191"/>
      <c r="E23" s="192"/>
      <c r="F23" s="190"/>
      <c r="G23" s="191"/>
      <c r="H23" s="191"/>
      <c r="I23" s="191"/>
      <c r="J23" s="192"/>
    </row>
    <row r="24" spans="1:10" ht="15" customHeight="1" x14ac:dyDescent="0.35">
      <c r="A24" s="97" t="s">
        <v>22</v>
      </c>
      <c r="B24" s="98"/>
      <c r="C24" s="98"/>
      <c r="D24" s="98"/>
      <c r="E24" s="99"/>
      <c r="F24" s="223" t="s">
        <v>23</v>
      </c>
      <c r="G24" s="224"/>
      <c r="H24" s="224"/>
      <c r="I24" s="224"/>
      <c r="J24" s="225"/>
    </row>
    <row r="25" spans="1:10" x14ac:dyDescent="0.35">
      <c r="A25" s="97" t="s">
        <v>24</v>
      </c>
      <c r="B25" s="98"/>
      <c r="C25" s="98"/>
      <c r="D25" s="98"/>
      <c r="E25" s="99"/>
      <c r="F25" s="223" t="s">
        <v>25</v>
      </c>
      <c r="G25" s="224"/>
      <c r="H25" s="224"/>
      <c r="I25" s="224"/>
      <c r="J25" s="225"/>
    </row>
    <row r="26" spans="1:10" ht="15" customHeight="1" x14ac:dyDescent="0.35">
      <c r="A26" s="97" t="s">
        <v>26</v>
      </c>
      <c r="B26" s="98"/>
      <c r="C26" s="98"/>
      <c r="D26" s="98"/>
      <c r="E26" s="99"/>
      <c r="F26" s="223" t="s">
        <v>27</v>
      </c>
      <c r="G26" s="224"/>
      <c r="H26" s="224"/>
      <c r="I26" s="224"/>
      <c r="J26" s="225"/>
    </row>
    <row r="27" spans="1:10" x14ac:dyDescent="0.35">
      <c r="A27" s="97" t="s">
        <v>28</v>
      </c>
      <c r="B27" s="98"/>
      <c r="C27" s="98"/>
      <c r="D27" s="98"/>
      <c r="E27" s="99"/>
      <c r="F27" s="223" t="s">
        <v>29</v>
      </c>
      <c r="G27" s="224"/>
      <c r="H27" s="224"/>
      <c r="I27" s="224"/>
      <c r="J27" s="225"/>
    </row>
    <row r="28" spans="1:10" x14ac:dyDescent="0.35">
      <c r="A28" s="202" t="s">
        <v>30</v>
      </c>
      <c r="B28" s="203"/>
      <c r="C28" s="202" t="s">
        <v>31</v>
      </c>
      <c r="D28" s="203"/>
      <c r="E28" s="202" t="s">
        <v>32</v>
      </c>
      <c r="F28" s="203"/>
      <c r="G28" s="202" t="s">
        <v>34</v>
      </c>
      <c r="H28" s="203"/>
      <c r="I28" s="202" t="s">
        <v>33</v>
      </c>
      <c r="J28" s="203"/>
    </row>
    <row r="29" spans="1:10" x14ac:dyDescent="0.35">
      <c r="A29" s="204" t="s">
        <v>35</v>
      </c>
      <c r="B29" s="127"/>
      <c r="C29" s="204" t="s">
        <v>36</v>
      </c>
      <c r="D29" s="127"/>
      <c r="E29" s="204" t="s">
        <v>36</v>
      </c>
      <c r="F29" s="127"/>
      <c r="G29" s="204" t="s">
        <v>36</v>
      </c>
      <c r="H29" s="127"/>
      <c r="I29" s="204" t="s">
        <v>36</v>
      </c>
      <c r="J29" s="127"/>
    </row>
    <row r="30" spans="1:10" x14ac:dyDescent="0.35">
      <c r="A30" s="204" t="s">
        <v>37</v>
      </c>
      <c r="B30" s="127"/>
      <c r="C30" s="204" t="s">
        <v>206</v>
      </c>
      <c r="D30" s="127"/>
      <c r="E30" s="204" t="s">
        <v>207</v>
      </c>
      <c r="F30" s="127"/>
      <c r="G30" s="204" t="s">
        <v>207</v>
      </c>
      <c r="H30" s="127"/>
      <c r="I30" s="204" t="s">
        <v>13</v>
      </c>
      <c r="J30" s="127"/>
    </row>
    <row r="31" spans="1:10" x14ac:dyDescent="0.35">
      <c r="A31" s="97" t="s">
        <v>38</v>
      </c>
      <c r="B31" s="98"/>
      <c r="C31" s="98"/>
      <c r="D31" s="98"/>
      <c r="E31" s="98"/>
      <c r="F31" s="98"/>
      <c r="G31" s="98"/>
      <c r="H31" s="98"/>
      <c r="I31" s="98"/>
      <c r="J31" s="99"/>
    </row>
    <row r="32" spans="1:10" x14ac:dyDescent="0.35">
      <c r="A32" s="97" t="s">
        <v>39</v>
      </c>
      <c r="B32" s="98"/>
      <c r="C32" s="98"/>
      <c r="D32" s="98"/>
      <c r="E32" s="98"/>
      <c r="F32" s="98"/>
      <c r="G32" s="98"/>
      <c r="H32" s="98"/>
      <c r="I32" s="98"/>
      <c r="J32" s="99"/>
    </row>
    <row r="33" spans="1:10" x14ac:dyDescent="0.35">
      <c r="A33" s="97" t="s">
        <v>40</v>
      </c>
      <c r="B33" s="99"/>
      <c r="C33" s="204" t="s">
        <v>41</v>
      </c>
      <c r="D33" s="127"/>
      <c r="E33" s="204">
        <v>19.069191199999999</v>
      </c>
      <c r="F33" s="127"/>
      <c r="G33" s="204" t="s">
        <v>42</v>
      </c>
      <c r="H33" s="127"/>
      <c r="I33" s="204">
        <v>73.085290900000004</v>
      </c>
      <c r="J33" s="127"/>
    </row>
    <row r="34" spans="1:10" x14ac:dyDescent="0.35">
      <c r="A34" s="182" t="s">
        <v>267</v>
      </c>
      <c r="B34" s="182"/>
      <c r="C34" s="183" t="s">
        <v>268</v>
      </c>
      <c r="D34" s="182"/>
      <c r="E34" s="182"/>
      <c r="F34" s="182"/>
      <c r="G34" s="182"/>
      <c r="H34" s="182"/>
      <c r="I34" s="182"/>
      <c r="J34" s="182"/>
    </row>
    <row r="35" spans="1:10" ht="15" customHeight="1" x14ac:dyDescent="0.35">
      <c r="A35" s="109" t="s">
        <v>43</v>
      </c>
      <c r="B35" s="110"/>
      <c r="C35" s="110"/>
      <c r="D35" s="110"/>
      <c r="E35" s="111"/>
      <c r="F35" s="205" t="s">
        <v>203</v>
      </c>
      <c r="G35" s="206"/>
      <c r="H35" s="206"/>
      <c r="I35" s="206"/>
      <c r="J35" s="207"/>
    </row>
    <row r="36" spans="1:10" ht="15" customHeight="1" x14ac:dyDescent="0.35">
      <c r="A36" s="109" t="s">
        <v>44</v>
      </c>
      <c r="B36" s="110"/>
      <c r="C36" s="110"/>
      <c r="D36" s="110"/>
      <c r="E36" s="111"/>
      <c r="F36" s="109" t="s">
        <v>45</v>
      </c>
      <c r="G36" s="110"/>
      <c r="H36" s="110"/>
      <c r="I36" s="110"/>
      <c r="J36" s="111"/>
    </row>
    <row r="37" spans="1:10" x14ac:dyDescent="0.35">
      <c r="A37" s="208" t="s">
        <v>46</v>
      </c>
      <c r="B37" s="209"/>
      <c r="C37" s="209"/>
      <c r="D37" s="209"/>
      <c r="E37" s="209"/>
      <c r="F37" s="209"/>
      <c r="G37" s="209"/>
      <c r="H37" s="209"/>
      <c r="I37" s="209"/>
      <c r="J37" s="210"/>
    </row>
    <row r="38" spans="1:10" x14ac:dyDescent="0.35">
      <c r="A38" s="97" t="s">
        <v>47</v>
      </c>
      <c r="B38" s="98"/>
      <c r="C38" s="98"/>
      <c r="D38" s="98"/>
      <c r="E38" s="99"/>
      <c r="F38" s="100">
        <v>9300</v>
      </c>
      <c r="G38" s="101"/>
      <c r="H38" s="101"/>
      <c r="I38" s="101"/>
      <c r="J38" s="102"/>
    </row>
    <row r="39" spans="1:10" x14ac:dyDescent="0.35">
      <c r="A39" s="97" t="s">
        <v>48</v>
      </c>
      <c r="B39" s="98"/>
      <c r="C39" s="98"/>
      <c r="D39" s="98"/>
      <c r="E39" s="99"/>
      <c r="F39" s="112">
        <v>1.5</v>
      </c>
      <c r="G39" s="113"/>
      <c r="H39" s="113"/>
      <c r="I39" s="113"/>
      <c r="J39" s="114"/>
    </row>
    <row r="40" spans="1:10" x14ac:dyDescent="0.35">
      <c r="A40" s="97" t="s">
        <v>49</v>
      </c>
      <c r="B40" s="98"/>
      <c r="C40" s="98"/>
      <c r="D40" s="98"/>
      <c r="E40" s="99"/>
      <c r="F40" s="112">
        <v>0</v>
      </c>
      <c r="G40" s="113"/>
      <c r="H40" s="113"/>
      <c r="I40" s="113"/>
      <c r="J40" s="114"/>
    </row>
    <row r="41" spans="1:10" x14ac:dyDescent="0.35">
      <c r="A41" s="97" t="s">
        <v>50</v>
      </c>
      <c r="B41" s="98"/>
      <c r="C41" s="98"/>
      <c r="D41" s="98"/>
      <c r="E41" s="99"/>
      <c r="F41" s="112">
        <f>F39+F40</f>
        <v>1.5</v>
      </c>
      <c r="G41" s="113"/>
      <c r="H41" s="113"/>
      <c r="I41" s="113"/>
      <c r="J41" s="114"/>
    </row>
    <row r="42" spans="1:10" x14ac:dyDescent="0.35">
      <c r="A42" s="97" t="s">
        <v>51</v>
      </c>
      <c r="B42" s="98"/>
      <c r="C42" s="98"/>
      <c r="D42" s="98"/>
      <c r="E42" s="99"/>
      <c r="F42" s="112">
        <f>F38*F41</f>
        <v>13950</v>
      </c>
      <c r="G42" s="113"/>
      <c r="H42" s="113"/>
      <c r="I42" s="113"/>
      <c r="J42" s="114"/>
    </row>
    <row r="43" spans="1:10" x14ac:dyDescent="0.35">
      <c r="A43" s="97" t="s">
        <v>52</v>
      </c>
      <c r="B43" s="98"/>
      <c r="C43" s="98"/>
      <c r="D43" s="98"/>
      <c r="E43" s="99"/>
      <c r="F43" s="115" t="s">
        <v>208</v>
      </c>
      <c r="G43" s="116"/>
      <c r="H43" s="116"/>
      <c r="I43" s="116"/>
      <c r="J43" s="117"/>
    </row>
    <row r="44" spans="1:10" x14ac:dyDescent="0.35">
      <c r="A44" s="208" t="s">
        <v>53</v>
      </c>
      <c r="B44" s="209"/>
      <c r="C44" s="209"/>
      <c r="D44" s="209"/>
      <c r="E44" s="209"/>
      <c r="F44" s="209"/>
      <c r="G44" s="209"/>
      <c r="H44" s="209"/>
      <c r="I44" s="209"/>
      <c r="J44" s="210"/>
    </row>
    <row r="45" spans="1:10" ht="36" customHeight="1" x14ac:dyDescent="0.35">
      <c r="A45" s="109" t="s">
        <v>54</v>
      </c>
      <c r="B45" s="111"/>
      <c r="C45" s="106" t="s">
        <v>272</v>
      </c>
      <c r="D45" s="107"/>
      <c r="E45" s="107"/>
      <c r="F45" s="108"/>
      <c r="G45" s="36" t="s">
        <v>55</v>
      </c>
      <c r="H45" s="103">
        <v>43809</v>
      </c>
      <c r="I45" s="104"/>
      <c r="J45" s="105"/>
    </row>
    <row r="46" spans="1:10" ht="36" customHeight="1" x14ac:dyDescent="0.35">
      <c r="A46" s="109" t="s">
        <v>56</v>
      </c>
      <c r="B46" s="111"/>
      <c r="C46" s="106" t="str">
        <f>C45</f>
        <v>CIDCO/BP-15232/TPO(NM &amp; K)/2016/6166</v>
      </c>
      <c r="D46" s="107"/>
      <c r="E46" s="107"/>
      <c r="F46" s="108"/>
      <c r="G46" s="36" t="s">
        <v>55</v>
      </c>
      <c r="H46" s="103">
        <v>43809</v>
      </c>
      <c r="I46" s="104"/>
      <c r="J46" s="105"/>
    </row>
    <row r="47" spans="1:10" ht="64" customHeight="1" x14ac:dyDescent="0.35">
      <c r="A47" s="109" t="s">
        <v>57</v>
      </c>
      <c r="B47" s="111"/>
      <c r="C47" s="106" t="s">
        <v>273</v>
      </c>
      <c r="D47" s="107"/>
      <c r="E47" s="107"/>
      <c r="F47" s="108"/>
      <c r="G47" s="13" t="s">
        <v>55</v>
      </c>
      <c r="H47" s="103">
        <v>43809</v>
      </c>
      <c r="I47" s="104"/>
      <c r="J47" s="105"/>
    </row>
    <row r="48" spans="1:10" ht="92" customHeight="1" x14ac:dyDescent="0.35">
      <c r="A48" s="274" t="s">
        <v>58</v>
      </c>
      <c r="B48" s="275"/>
      <c r="C48" s="276" t="s">
        <v>285</v>
      </c>
      <c r="D48" s="277"/>
      <c r="E48" s="277"/>
      <c r="F48" s="278"/>
      <c r="G48" s="279" t="s">
        <v>55</v>
      </c>
      <c r="H48" s="280">
        <v>45310</v>
      </c>
      <c r="I48" s="281"/>
      <c r="J48" s="282"/>
    </row>
    <row r="49" spans="1:12" x14ac:dyDescent="0.35">
      <c r="A49" s="97" t="s">
        <v>59</v>
      </c>
      <c r="B49" s="98"/>
      <c r="C49" s="99"/>
      <c r="D49" s="126">
        <v>43488</v>
      </c>
      <c r="E49" s="127"/>
      <c r="F49" s="97" t="s">
        <v>60</v>
      </c>
      <c r="G49" s="99"/>
      <c r="H49" s="128" t="s">
        <v>276</v>
      </c>
      <c r="I49" s="116"/>
      <c r="J49" s="117"/>
    </row>
    <row r="50" spans="1:12" x14ac:dyDescent="0.35">
      <c r="A50" s="232" t="s">
        <v>61</v>
      </c>
      <c r="B50" s="233"/>
      <c r="C50" s="233"/>
      <c r="D50" s="233"/>
      <c r="E50" s="233"/>
      <c r="F50" s="233"/>
      <c r="G50" s="233"/>
      <c r="H50" s="233"/>
      <c r="I50" s="233"/>
      <c r="J50" s="234"/>
    </row>
    <row r="51" spans="1:12" ht="15.75" customHeight="1" x14ac:dyDescent="0.35">
      <c r="A51" s="97" t="s">
        <v>62</v>
      </c>
      <c r="B51" s="98"/>
      <c r="C51" s="99"/>
      <c r="D51" s="204">
        <f>F42</f>
        <v>13950</v>
      </c>
      <c r="E51" s="127"/>
      <c r="F51" s="235" t="s">
        <v>63</v>
      </c>
      <c r="G51" s="236"/>
      <c r="H51" s="184">
        <v>342</v>
      </c>
      <c r="I51" s="185"/>
      <c r="J51" s="186"/>
    </row>
    <row r="52" spans="1:12" x14ac:dyDescent="0.35">
      <c r="A52" s="115" t="s">
        <v>64</v>
      </c>
      <c r="B52" s="117"/>
      <c r="C52" s="115" t="s">
        <v>255</v>
      </c>
      <c r="D52" s="116"/>
      <c r="E52" s="116"/>
      <c r="F52" s="116"/>
      <c r="G52" s="116"/>
      <c r="H52" s="116"/>
      <c r="I52" s="116"/>
      <c r="J52" s="117"/>
    </row>
    <row r="53" spans="1:12" x14ac:dyDescent="0.35">
      <c r="A53" s="115" t="s">
        <v>230</v>
      </c>
      <c r="B53" s="117"/>
      <c r="C53" s="115" t="s">
        <v>255</v>
      </c>
      <c r="D53" s="116"/>
      <c r="E53" s="116"/>
      <c r="F53" s="116"/>
      <c r="G53" s="116"/>
      <c r="H53" s="116"/>
      <c r="I53" s="116"/>
      <c r="J53" s="117"/>
    </row>
    <row r="54" spans="1:12" ht="15.75" customHeight="1" x14ac:dyDescent="0.35">
      <c r="A54" s="97" t="s">
        <v>65</v>
      </c>
      <c r="B54" s="98"/>
      <c r="C54" s="99"/>
      <c r="D54" s="109" t="s">
        <v>286</v>
      </c>
      <c r="E54" s="110"/>
      <c r="F54" s="110"/>
      <c r="G54" s="110"/>
      <c r="H54" s="110"/>
      <c r="I54" s="110"/>
      <c r="J54" s="111"/>
    </row>
    <row r="55" spans="1:12" s="38" customFormat="1" ht="16" thickBot="1" x14ac:dyDescent="0.4">
      <c r="A55" s="115" t="s">
        <v>277</v>
      </c>
      <c r="B55" s="116"/>
      <c r="C55" s="116"/>
      <c r="D55" s="116"/>
      <c r="E55" s="116"/>
      <c r="F55" s="116"/>
      <c r="G55" s="116"/>
      <c r="H55" s="116"/>
      <c r="I55" s="116"/>
      <c r="J55" s="117"/>
    </row>
    <row r="56" spans="1:12" s="38" customFormat="1" x14ac:dyDescent="0.35">
      <c r="A56" s="145" t="s">
        <v>231</v>
      </c>
      <c r="B56" s="146"/>
      <c r="C56" s="147" t="s">
        <v>275</v>
      </c>
      <c r="D56" s="147"/>
      <c r="E56" s="147"/>
      <c r="F56" s="147"/>
      <c r="G56" s="147"/>
      <c r="H56" s="147"/>
      <c r="I56" s="147"/>
      <c r="J56" s="148"/>
      <c r="K56" s="65"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All work completed. Please provide OC.</v>
      </c>
      <c r="L56" s="66"/>
    </row>
    <row r="57" spans="1:12" s="38" customFormat="1" x14ac:dyDescent="0.35">
      <c r="A57" s="67" t="s">
        <v>135</v>
      </c>
      <c r="B57" s="74">
        <v>0</v>
      </c>
      <c r="C57" s="68" t="s">
        <v>137</v>
      </c>
      <c r="D57" s="68">
        <v>1</v>
      </c>
      <c r="E57" s="149" t="s">
        <v>136</v>
      </c>
      <c r="F57" s="149"/>
      <c r="G57" s="68">
        <v>0</v>
      </c>
      <c r="H57" s="68" t="s">
        <v>232</v>
      </c>
      <c r="I57" s="149">
        <f ca="1">--TRIM(RIGHT(SUBSTITUTE(LEFT(C56,_xlfn.AGGREGATE(16,6,FIND({0,1,2,3,4,5,6,7,8,9},C56,ROW(INDIRECT("1:"&amp;LEN(C56)))),1))," ",REPT(" ",LEN(C56))),LEN(C56)))</f>
        <v>14</v>
      </c>
      <c r="J57" s="150"/>
      <c r="K57" s="65"/>
      <c r="L57" s="66"/>
    </row>
    <row r="58" spans="1:12" s="38" customFormat="1" x14ac:dyDescent="0.35">
      <c r="A58" s="118" t="s">
        <v>233</v>
      </c>
      <c r="B58" s="119"/>
      <c r="C58" s="120" t="str">
        <f>K58</f>
        <v>All work Completed. OC Received.</v>
      </c>
      <c r="D58" s="120"/>
      <c r="E58" s="120"/>
      <c r="F58" s="120"/>
      <c r="G58" s="120"/>
      <c r="H58" s="120"/>
      <c r="I58" s="120"/>
      <c r="J58" s="121"/>
      <c r="K58" s="65" t="s">
        <v>234</v>
      </c>
      <c r="L58" s="66"/>
    </row>
    <row r="59" spans="1:12" s="38" customFormat="1" x14ac:dyDescent="0.35">
      <c r="A59" s="122" t="s">
        <v>66</v>
      </c>
      <c r="B59" s="123"/>
      <c r="C59" s="75" t="s">
        <v>235</v>
      </c>
      <c r="D59" s="124" t="s">
        <v>236</v>
      </c>
      <c r="E59" s="124"/>
      <c r="F59" s="124" t="s">
        <v>237</v>
      </c>
      <c r="G59" s="124"/>
      <c r="H59" s="124" t="s">
        <v>238</v>
      </c>
      <c r="I59" s="124"/>
      <c r="J59" s="125"/>
      <c r="K59" s="69" t="s">
        <v>239</v>
      </c>
      <c r="L59" s="70">
        <f ca="1">I57*25%</f>
        <v>3.5</v>
      </c>
    </row>
    <row r="60" spans="1:12" s="38" customFormat="1" x14ac:dyDescent="0.35">
      <c r="A60" s="87" t="s">
        <v>240</v>
      </c>
      <c r="B60" s="88"/>
      <c r="C60" s="76">
        <f ca="1">L61</f>
        <v>14</v>
      </c>
      <c r="D60" s="89">
        <f ca="1">((100/I57)*C60)/100</f>
        <v>1</v>
      </c>
      <c r="E60" s="89"/>
      <c r="F60" s="89">
        <f ca="1">(((C61/I57*10)+(40/(D57+G57+I57)*C62)+(7.5/(I57)*C63)+(7.5/(I57)*C64)+(10/I57*C65)+(10/I57*C66)+(5/I57*C67)+(5/I57*C68)+(5/I57*C69))/100)</f>
        <v>1</v>
      </c>
      <c r="G60" s="89"/>
      <c r="H60" s="89">
        <f ca="1">((((C60/I57)*20)+((C61/I57)*25)+(30/(I57+G57+D57)*C62)+(5/I57*C63)+(5/I57*C64)+(5/I57*C65)+(5/I57*C66)+(0/I57*C67)+(0/I57*C68)+(5/I57*C69))/100)</f>
        <v>1</v>
      </c>
      <c r="I60" s="89"/>
      <c r="J60" s="91"/>
      <c r="K60" s="69" t="s">
        <v>143</v>
      </c>
      <c r="L60" s="71">
        <f ca="1">I57*50%</f>
        <v>7</v>
      </c>
    </row>
    <row r="61" spans="1:12" s="38" customFormat="1" x14ac:dyDescent="0.35">
      <c r="A61" s="87" t="s">
        <v>67</v>
      </c>
      <c r="B61" s="88"/>
      <c r="C61" s="77">
        <f ca="1">L69</f>
        <v>14</v>
      </c>
      <c r="D61" s="89">
        <f ca="1">((100/I57)*C61)/100</f>
        <v>1</v>
      </c>
      <c r="E61" s="89"/>
      <c r="F61" s="89"/>
      <c r="G61" s="89"/>
      <c r="H61" s="89"/>
      <c r="I61" s="89"/>
      <c r="J61" s="91"/>
      <c r="K61" s="69" t="s">
        <v>144</v>
      </c>
      <c r="L61" s="71">
        <f ca="1">I57</f>
        <v>14</v>
      </c>
    </row>
    <row r="62" spans="1:12" s="38" customFormat="1" x14ac:dyDescent="0.35">
      <c r="A62" s="87" t="s">
        <v>261</v>
      </c>
      <c r="B62" s="88"/>
      <c r="C62" s="77">
        <v>15</v>
      </c>
      <c r="D62" s="89">
        <f ca="1">((100/(D57+G57+I57))*C62)/100</f>
        <v>1</v>
      </c>
      <c r="E62" s="89"/>
      <c r="F62" s="89"/>
      <c r="G62" s="89"/>
      <c r="H62" s="89"/>
      <c r="I62" s="89"/>
      <c r="J62" s="91"/>
      <c r="K62" s="69" t="s">
        <v>145</v>
      </c>
      <c r="L62" s="72">
        <f ca="1">(IF(B57&gt;1,(I57/(B57+2)),I57/4))</f>
        <v>3.5</v>
      </c>
    </row>
    <row r="63" spans="1:12" s="38" customFormat="1" x14ac:dyDescent="0.35">
      <c r="A63" s="87" t="s">
        <v>242</v>
      </c>
      <c r="B63" s="88" t="s">
        <v>243</v>
      </c>
      <c r="C63" s="76">
        <v>14</v>
      </c>
      <c r="D63" s="89">
        <f ca="1">((100/I57)*C63)/100</f>
        <v>1</v>
      </c>
      <c r="E63" s="89"/>
      <c r="F63" s="89"/>
      <c r="G63" s="89"/>
      <c r="H63" s="89"/>
      <c r="I63" s="89"/>
      <c r="J63" s="91"/>
      <c r="K63" s="69" t="s">
        <v>146</v>
      </c>
      <c r="L63" s="72">
        <f ca="1">(IF(B57&gt;1,(I57/(B57+2)+L62),I57/4+L62))</f>
        <v>7</v>
      </c>
    </row>
    <row r="64" spans="1:12" s="38" customFormat="1" x14ac:dyDescent="0.35">
      <c r="A64" s="87" t="s">
        <v>244</v>
      </c>
      <c r="B64" s="88" t="s">
        <v>243</v>
      </c>
      <c r="C64" s="76">
        <v>14</v>
      </c>
      <c r="D64" s="89">
        <f ca="1">((100/I57)*C64)/100</f>
        <v>1</v>
      </c>
      <c r="E64" s="89"/>
      <c r="F64" s="89"/>
      <c r="G64" s="89"/>
      <c r="H64" s="89"/>
      <c r="I64" s="89"/>
      <c r="J64" s="91"/>
      <c r="K64" s="69" t="s">
        <v>245</v>
      </c>
      <c r="L64" s="72">
        <f>(IF(B57&gt;1,(I57/(B57+2)+L63),0))</f>
        <v>0</v>
      </c>
    </row>
    <row r="65" spans="1:12" s="38" customFormat="1" x14ac:dyDescent="0.35">
      <c r="A65" s="87" t="s">
        <v>246</v>
      </c>
      <c r="B65" s="88" t="s">
        <v>247</v>
      </c>
      <c r="C65" s="76">
        <v>14</v>
      </c>
      <c r="D65" s="89">
        <f ca="1">((100/(I57))*C65)/100</f>
        <v>1</v>
      </c>
      <c r="E65" s="89"/>
      <c r="F65" s="89"/>
      <c r="G65" s="89"/>
      <c r="H65" s="89"/>
      <c r="I65" s="89"/>
      <c r="J65" s="91"/>
      <c r="K65" s="69" t="s">
        <v>248</v>
      </c>
      <c r="L65" s="72">
        <f>(IF(B57&gt;2,(I57/(B57+2)+L64),0))</f>
        <v>0</v>
      </c>
    </row>
    <row r="66" spans="1:12" s="38" customFormat="1" x14ac:dyDescent="0.35">
      <c r="A66" s="87" t="s">
        <v>249</v>
      </c>
      <c r="B66" s="88" t="s">
        <v>249</v>
      </c>
      <c r="C66" s="76">
        <v>14</v>
      </c>
      <c r="D66" s="89">
        <f ca="1">((100/I57)*C66)/100</f>
        <v>1</v>
      </c>
      <c r="E66" s="89"/>
      <c r="F66" s="89"/>
      <c r="G66" s="89"/>
      <c r="H66" s="89"/>
      <c r="I66" s="89"/>
      <c r="J66" s="91"/>
      <c r="K66" s="69" t="s">
        <v>250</v>
      </c>
      <c r="L66" s="73">
        <f>(IF(B57&gt;3,(I57/(B57+2)+L65),0))</f>
        <v>0</v>
      </c>
    </row>
    <row r="67" spans="1:12" s="38" customFormat="1" x14ac:dyDescent="0.35">
      <c r="A67" s="87" t="s">
        <v>251</v>
      </c>
      <c r="B67" s="88"/>
      <c r="C67" s="76">
        <v>14</v>
      </c>
      <c r="D67" s="89">
        <f ca="1">((100/I57)*C67)/100</f>
        <v>1</v>
      </c>
      <c r="E67" s="89"/>
      <c r="F67" s="89"/>
      <c r="G67" s="89"/>
      <c r="H67" s="89"/>
      <c r="I67" s="89"/>
      <c r="J67" s="91"/>
      <c r="K67" s="69" t="s">
        <v>252</v>
      </c>
      <c r="L67" s="72">
        <f>(IF(B57&gt;4,(I57/(B57+2)+L66),0))</f>
        <v>0</v>
      </c>
    </row>
    <row r="68" spans="1:12" s="38" customFormat="1" x14ac:dyDescent="0.35">
      <c r="A68" s="93" t="s">
        <v>253</v>
      </c>
      <c r="B68" s="94" t="s">
        <v>253</v>
      </c>
      <c r="C68" s="76">
        <v>14</v>
      </c>
      <c r="D68" s="89">
        <f ca="1">((100/(I57))*C68)/100</f>
        <v>1</v>
      </c>
      <c r="E68" s="89"/>
      <c r="F68" s="89"/>
      <c r="G68" s="89"/>
      <c r="H68" s="89"/>
      <c r="I68" s="89"/>
      <c r="J68" s="91"/>
      <c r="K68" s="69" t="s">
        <v>147</v>
      </c>
      <c r="L68" s="72">
        <f ca="1">(IF(B57=1,(I57/(B57+3)+L63),IF(B57=0,(I57/4+L63),IF(B57&gt;1,0))))</f>
        <v>10.5</v>
      </c>
    </row>
    <row r="69" spans="1:12" s="38" customFormat="1" ht="16" thickBot="1" x14ac:dyDescent="0.4">
      <c r="A69" s="95" t="s">
        <v>254</v>
      </c>
      <c r="B69" s="96"/>
      <c r="C69" s="78">
        <v>14</v>
      </c>
      <c r="D69" s="90">
        <f ca="1">((100/(I57))*C69)/100</f>
        <v>1</v>
      </c>
      <c r="E69" s="90"/>
      <c r="F69" s="90"/>
      <c r="G69" s="90"/>
      <c r="H69" s="90"/>
      <c r="I69" s="90"/>
      <c r="J69" s="92"/>
      <c r="K69" s="69" t="s">
        <v>148</v>
      </c>
      <c r="L69" s="72">
        <f ca="1">(IF(B57&gt;1.5,(I57/(B57+2)+L63+MAX(0,L64-L63)+MAX(0,L65-L64)+MAX(0,L66-L65)+MAX(0,L67-L66)+MAX(0,L68-L67)),IF(B57=1,(I57/(B57+3)+L68),IF(B57=0,I57/4+L68))))</f>
        <v>14</v>
      </c>
    </row>
    <row r="70" spans="1:12" s="38" customFormat="1" hidden="1" x14ac:dyDescent="0.35">
      <c r="A70" s="145" t="s">
        <v>231</v>
      </c>
      <c r="B70" s="146"/>
      <c r="C70" s="147" t="s">
        <v>266</v>
      </c>
      <c r="D70" s="147"/>
      <c r="E70" s="147"/>
      <c r="F70" s="147"/>
      <c r="G70" s="147"/>
      <c r="H70" s="147"/>
      <c r="I70" s="147"/>
      <c r="J70" s="148"/>
      <c r="K70" s="65"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All work completed. Please provide OC.</v>
      </c>
      <c r="L70" s="66"/>
    </row>
    <row r="71" spans="1:12" s="38" customFormat="1" hidden="1" x14ac:dyDescent="0.35">
      <c r="A71" s="67" t="s">
        <v>135</v>
      </c>
      <c r="B71" s="74">
        <v>0</v>
      </c>
      <c r="C71" s="68" t="s">
        <v>137</v>
      </c>
      <c r="D71" s="68">
        <v>1</v>
      </c>
      <c r="E71" s="149" t="s">
        <v>136</v>
      </c>
      <c r="F71" s="149"/>
      <c r="G71" s="68">
        <v>0</v>
      </c>
      <c r="H71" s="68" t="s">
        <v>232</v>
      </c>
      <c r="I71" s="149">
        <f ca="1">--TRIM(RIGHT(SUBSTITUTE(LEFT(C70,_xlfn.AGGREGATE(16,6,FIND({0,1,2,3,4,5,6,7,8,9},C70,ROW(INDIRECT("1:"&amp;LEN(C70)))),1))," ",REPT(" ",LEN(C70))),LEN(C70)))</f>
        <v>14</v>
      </c>
      <c r="J71" s="150"/>
      <c r="K71" s="65"/>
      <c r="L71" s="66"/>
    </row>
    <row r="72" spans="1:12" s="38" customFormat="1" hidden="1" x14ac:dyDescent="0.35">
      <c r="A72" s="118" t="s">
        <v>233</v>
      </c>
      <c r="B72" s="119"/>
      <c r="C72" s="120" t="str">
        <f ca="1">K70</f>
        <v>All work completed. Please provide OC.</v>
      </c>
      <c r="D72" s="120"/>
      <c r="E72" s="120"/>
      <c r="F72" s="120"/>
      <c r="G72" s="120"/>
      <c r="H72" s="120"/>
      <c r="I72" s="120"/>
      <c r="J72" s="121"/>
      <c r="K72" s="65" t="s">
        <v>234</v>
      </c>
      <c r="L72" s="66"/>
    </row>
    <row r="73" spans="1:12" s="38" customFormat="1" ht="15.75" hidden="1" customHeight="1" x14ac:dyDescent="0.35">
      <c r="A73" s="122" t="s">
        <v>66</v>
      </c>
      <c r="B73" s="123"/>
      <c r="C73" s="75" t="s">
        <v>235</v>
      </c>
      <c r="D73" s="124" t="s">
        <v>236</v>
      </c>
      <c r="E73" s="124"/>
      <c r="F73" s="124" t="s">
        <v>237</v>
      </c>
      <c r="G73" s="124"/>
      <c r="H73" s="124" t="s">
        <v>238</v>
      </c>
      <c r="I73" s="124"/>
      <c r="J73" s="125"/>
      <c r="K73" s="69" t="s">
        <v>239</v>
      </c>
      <c r="L73" s="70">
        <f ca="1">I71*25%</f>
        <v>3.5</v>
      </c>
    </row>
    <row r="74" spans="1:12" s="38" customFormat="1" hidden="1" x14ac:dyDescent="0.35">
      <c r="A74" s="87" t="s">
        <v>240</v>
      </c>
      <c r="B74" s="88"/>
      <c r="C74" s="76">
        <f ca="1">L75</f>
        <v>14</v>
      </c>
      <c r="D74" s="89">
        <f ca="1">((100/I71)*C74)/100</f>
        <v>1</v>
      </c>
      <c r="E74" s="89"/>
      <c r="F74" s="89">
        <f ca="1">(((C75/I71*10)+(40/(D71+G71+I71)*C76)+(7.5/(I71)*C77)+(7.5/(I71)*C78)+(10/I71*C79)+(10/I71*C80)+(5/I71*C81)+(5/I71*C82)+(5/I71*C83))/100)</f>
        <v>1</v>
      </c>
      <c r="G74" s="89"/>
      <c r="H74" s="89">
        <f ca="1">((((C74/I71)*20)+((C75/I71)*25)+(30/(I71+G71+D71)*C76)+(5/I71*C77)+(5/I71*C78)+(5/I71*C79)+(5/I71*C80)+(0/I71*C81)+(0/I71*C82)+(5/I71*C83))/100)</f>
        <v>1</v>
      </c>
      <c r="I74" s="89"/>
      <c r="J74" s="91"/>
      <c r="K74" s="69" t="s">
        <v>143</v>
      </c>
      <c r="L74" s="71">
        <f ca="1">I71*50%</f>
        <v>7</v>
      </c>
    </row>
    <row r="75" spans="1:12" s="38" customFormat="1" hidden="1" x14ac:dyDescent="0.35">
      <c r="A75" s="87" t="s">
        <v>67</v>
      </c>
      <c r="B75" s="88"/>
      <c r="C75" s="77">
        <f ca="1">L83</f>
        <v>14</v>
      </c>
      <c r="D75" s="89">
        <f ca="1">((100/I71)*C75)/100</f>
        <v>1</v>
      </c>
      <c r="E75" s="89"/>
      <c r="F75" s="89"/>
      <c r="G75" s="89"/>
      <c r="H75" s="89"/>
      <c r="I75" s="89"/>
      <c r="J75" s="91"/>
      <c r="K75" s="69" t="s">
        <v>144</v>
      </c>
      <c r="L75" s="71">
        <f ca="1">I71</f>
        <v>14</v>
      </c>
    </row>
    <row r="76" spans="1:12" s="38" customFormat="1" ht="15.75" hidden="1" customHeight="1" x14ac:dyDescent="0.35">
      <c r="A76" s="87" t="s">
        <v>241</v>
      </c>
      <c r="B76" s="88"/>
      <c r="C76" s="77">
        <v>15</v>
      </c>
      <c r="D76" s="89">
        <f ca="1">((100/(D71+G71+I71))*C76)/100</f>
        <v>1</v>
      </c>
      <c r="E76" s="89"/>
      <c r="F76" s="89"/>
      <c r="G76" s="89"/>
      <c r="H76" s="89"/>
      <c r="I76" s="89"/>
      <c r="J76" s="91"/>
      <c r="K76" s="69" t="s">
        <v>145</v>
      </c>
      <c r="L76" s="72">
        <f ca="1">(IF(B71&gt;1,(I71/(B71+2)),I71/4))</f>
        <v>3.5</v>
      </c>
    </row>
    <row r="77" spans="1:12" s="38" customFormat="1" ht="15.75" hidden="1" customHeight="1" x14ac:dyDescent="0.35">
      <c r="A77" s="87" t="s">
        <v>242</v>
      </c>
      <c r="B77" s="88" t="s">
        <v>243</v>
      </c>
      <c r="C77" s="76">
        <v>14</v>
      </c>
      <c r="D77" s="89">
        <f ca="1">((100/I71)*C77)/100</f>
        <v>1</v>
      </c>
      <c r="E77" s="89"/>
      <c r="F77" s="89"/>
      <c r="G77" s="89"/>
      <c r="H77" s="89"/>
      <c r="I77" s="89"/>
      <c r="J77" s="91"/>
      <c r="K77" s="69" t="s">
        <v>146</v>
      </c>
      <c r="L77" s="72">
        <f ca="1">(IF(B71&gt;1,(I71/(B71+2)+L76),I71/4+L76))</f>
        <v>7</v>
      </c>
    </row>
    <row r="78" spans="1:12" s="38" customFormat="1" ht="15.75" hidden="1" customHeight="1" x14ac:dyDescent="0.35">
      <c r="A78" s="87" t="s">
        <v>244</v>
      </c>
      <c r="B78" s="88" t="s">
        <v>243</v>
      </c>
      <c r="C78" s="76">
        <v>14</v>
      </c>
      <c r="D78" s="89">
        <f ca="1">((100/I71)*C78)/100</f>
        <v>1</v>
      </c>
      <c r="E78" s="89"/>
      <c r="F78" s="89"/>
      <c r="G78" s="89"/>
      <c r="H78" s="89"/>
      <c r="I78" s="89"/>
      <c r="J78" s="91"/>
      <c r="K78" s="69" t="s">
        <v>245</v>
      </c>
      <c r="L78" s="72">
        <f>(IF(B71&gt;1,(I71/(B71+2)+L77),0))</f>
        <v>0</v>
      </c>
    </row>
    <row r="79" spans="1:12" s="38" customFormat="1" ht="15.75" hidden="1" customHeight="1" x14ac:dyDescent="0.35">
      <c r="A79" s="87" t="s">
        <v>246</v>
      </c>
      <c r="B79" s="88" t="s">
        <v>247</v>
      </c>
      <c r="C79" s="76">
        <v>14</v>
      </c>
      <c r="D79" s="89">
        <f ca="1">((100/(I71))*C79)/100</f>
        <v>1</v>
      </c>
      <c r="E79" s="89"/>
      <c r="F79" s="89"/>
      <c r="G79" s="89"/>
      <c r="H79" s="89"/>
      <c r="I79" s="89"/>
      <c r="J79" s="91"/>
      <c r="K79" s="69" t="s">
        <v>248</v>
      </c>
      <c r="L79" s="72">
        <f>(IF(B71&gt;2,(I71/(B71+2)+L78),0))</f>
        <v>0</v>
      </c>
    </row>
    <row r="80" spans="1:12" s="38" customFormat="1" ht="15.75" hidden="1" customHeight="1" x14ac:dyDescent="0.35">
      <c r="A80" s="87" t="s">
        <v>249</v>
      </c>
      <c r="B80" s="88" t="s">
        <v>249</v>
      </c>
      <c r="C80" s="76">
        <v>14</v>
      </c>
      <c r="D80" s="89">
        <f ca="1">((100/I71)*C80)/100</f>
        <v>1</v>
      </c>
      <c r="E80" s="89"/>
      <c r="F80" s="89"/>
      <c r="G80" s="89"/>
      <c r="H80" s="89"/>
      <c r="I80" s="89"/>
      <c r="J80" s="91"/>
      <c r="K80" s="69" t="s">
        <v>250</v>
      </c>
      <c r="L80" s="73">
        <f>(IF(B71&gt;3,(I71/(B71+2)+L79),0))</f>
        <v>0</v>
      </c>
    </row>
    <row r="81" spans="1:12" s="38" customFormat="1" ht="15.75" hidden="1" customHeight="1" x14ac:dyDescent="0.35">
      <c r="A81" s="87" t="s">
        <v>251</v>
      </c>
      <c r="B81" s="88"/>
      <c r="C81" s="76">
        <v>14</v>
      </c>
      <c r="D81" s="89">
        <f ca="1">((100/I71)*C81)/100</f>
        <v>1</v>
      </c>
      <c r="E81" s="89"/>
      <c r="F81" s="89"/>
      <c r="G81" s="89"/>
      <c r="H81" s="89"/>
      <c r="I81" s="89"/>
      <c r="J81" s="91"/>
      <c r="K81" s="69" t="s">
        <v>252</v>
      </c>
      <c r="L81" s="72">
        <f>(IF(B71&gt;4,(I71/(B71+2)+L80),0))</f>
        <v>0</v>
      </c>
    </row>
    <row r="82" spans="1:12" s="38" customFormat="1" ht="15.75" hidden="1" customHeight="1" x14ac:dyDescent="0.35">
      <c r="A82" s="93" t="s">
        <v>253</v>
      </c>
      <c r="B82" s="94" t="s">
        <v>253</v>
      </c>
      <c r="C82" s="76">
        <v>14</v>
      </c>
      <c r="D82" s="89">
        <f ca="1">((100/(I71))*C82)/100</f>
        <v>1</v>
      </c>
      <c r="E82" s="89"/>
      <c r="F82" s="89"/>
      <c r="G82" s="89"/>
      <c r="H82" s="89"/>
      <c r="I82" s="89"/>
      <c r="J82" s="91"/>
      <c r="K82" s="69" t="s">
        <v>147</v>
      </c>
      <c r="L82" s="72">
        <f ca="1">(IF(B71=1,(I71/(B71+3)+L77),IF(B71=0,(I71/4+L77),IF(B71&gt;1,0))))</f>
        <v>10.5</v>
      </c>
    </row>
    <row r="83" spans="1:12" s="38" customFormat="1" ht="16" hidden="1" thickBot="1" x14ac:dyDescent="0.4">
      <c r="A83" s="95" t="s">
        <v>254</v>
      </c>
      <c r="B83" s="96"/>
      <c r="C83" s="78">
        <v>14</v>
      </c>
      <c r="D83" s="90">
        <f ca="1">((100/(I71))*C83)/100</f>
        <v>1</v>
      </c>
      <c r="E83" s="90"/>
      <c r="F83" s="90"/>
      <c r="G83" s="90"/>
      <c r="H83" s="90"/>
      <c r="I83" s="90"/>
      <c r="J83" s="92"/>
      <c r="K83" s="69" t="s">
        <v>148</v>
      </c>
      <c r="L83" s="72">
        <f ca="1">(IF(B71&gt;1.5,(I71/(B71+2)+L77+MAX(0,L78-L77)+MAX(0,L79-L78)+MAX(0,L80-L79)+MAX(0,L81-L80)+MAX(0,L82-L81)),IF(B71=1,(I71/(B71+3)+L82),IF(B71=0,I71/4+L82))))</f>
        <v>14</v>
      </c>
    </row>
    <row r="84" spans="1:12" s="38" customFormat="1" hidden="1" x14ac:dyDescent="0.35">
      <c r="A84" s="145" t="s">
        <v>231</v>
      </c>
      <c r="B84" s="146"/>
      <c r="C84" s="147" t="s">
        <v>274</v>
      </c>
      <c r="D84" s="147"/>
      <c r="E84" s="147"/>
      <c r="F84" s="147"/>
      <c r="G84" s="147"/>
      <c r="H84" s="147"/>
      <c r="I84" s="147"/>
      <c r="J84" s="148"/>
      <c r="K84" s="65" t="str">
        <f ca="1">(IF(F88&gt;99%,"All work completed. Please provide OC.",IF(F88&gt;89.8%,"Plinth, RCC, Brick, Plaster, Flooring, Painting work Completed. Finishing work is in process.",IF(F88&lt;94%,(IF(C88=0,"Work not yet Started.",IF(D88=25%,"Piling work in process",IF(D88=50%,"Excavation work in process",IF(D88=100%,"Excavation work Completed. ","0")))&amp;(IF(C89=0%,"",IF(C89=L90,"Footing work is process",IF(C89=L91,"Footing work Completed",IF(C89=L92,"1st Basement Completed",IF(C89=L93,"1st &amp; 2nd Basement Completed",IF(C89=L94,"1st to 3rd Basement Completed",IF(C89=L95,"1st to 4th Basement Completed",IF(C89=L96,"Plinth work is process",IF(C89=L97,"Plinth work completed","0")))))))))))&amp;(IF(C90=(D85+G85+I85),", RCC Slab",IF(C90&gt;0,", RCC upto "&amp;C90&amp;" Slab",""))&amp;(IF(C91=I85,", Brickwork",IF(C91&gt;0,", Brickwork upto "&amp;C91&amp;" Floor",""))&amp;(IF(C92=I85,", Internal Plaster",IF(C92&gt;0,", Internal Plaster upto "&amp;C92&amp;" Floor",""))&amp;(IF(C93=I85,", External Plaster",IF(C93&gt;0,", External Plaster upto "&amp;C93&amp;" Floor",""))&amp;(IF(C94=I85,", Flooring",IF(C94&gt;0,", Flooring upto "&amp;C94&amp;" Floor",""))&amp;(IF(C95=I85,", Painting",IF(C95&gt;0,", Painting upto "&amp;C95&amp;" Floor",""))&amp;(IF(C96&gt;0,", Finishing upto "&amp;C96&amp;" Floor","")&amp;(IF(C90&gt;0.5," Completed",""))))))))))))))</f>
        <v>All work completed. Please provide OC.</v>
      </c>
      <c r="L84" s="66"/>
    </row>
    <row r="85" spans="1:12" s="38" customFormat="1" hidden="1" x14ac:dyDescent="0.35">
      <c r="A85" s="67" t="s">
        <v>135</v>
      </c>
      <c r="B85" s="74">
        <v>0</v>
      </c>
      <c r="C85" s="68" t="s">
        <v>137</v>
      </c>
      <c r="D85" s="68">
        <v>1</v>
      </c>
      <c r="E85" s="149" t="s">
        <v>136</v>
      </c>
      <c r="F85" s="149"/>
      <c r="G85" s="68">
        <v>0</v>
      </c>
      <c r="H85" s="68" t="s">
        <v>232</v>
      </c>
      <c r="I85" s="149">
        <f ca="1">--TRIM(RIGHT(SUBSTITUTE(LEFT(C84,_xlfn.AGGREGATE(16,6,FIND({0,1,2,3,4,5,6,7,8,9},C84,ROW(INDIRECT("1:"&amp;LEN(C84)))),1))," ",REPT(" ",LEN(C84))),LEN(C84)))</f>
        <v>14</v>
      </c>
      <c r="J85" s="150"/>
      <c r="K85" s="65"/>
      <c r="L85" s="66"/>
    </row>
    <row r="86" spans="1:12" s="38" customFormat="1" hidden="1" x14ac:dyDescent="0.35">
      <c r="A86" s="118" t="s">
        <v>233</v>
      </c>
      <c r="B86" s="119"/>
      <c r="C86" s="120" t="str">
        <f ca="1">K84</f>
        <v>All work completed. Please provide OC.</v>
      </c>
      <c r="D86" s="120"/>
      <c r="E86" s="120"/>
      <c r="F86" s="120"/>
      <c r="G86" s="120"/>
      <c r="H86" s="120"/>
      <c r="I86" s="120"/>
      <c r="J86" s="121"/>
      <c r="K86" s="65" t="s">
        <v>234</v>
      </c>
      <c r="L86" s="66"/>
    </row>
    <row r="87" spans="1:12" s="38" customFormat="1" ht="15.75" hidden="1" customHeight="1" x14ac:dyDescent="0.35">
      <c r="A87" s="122" t="s">
        <v>66</v>
      </c>
      <c r="B87" s="123"/>
      <c r="C87" s="75" t="s">
        <v>235</v>
      </c>
      <c r="D87" s="124" t="s">
        <v>236</v>
      </c>
      <c r="E87" s="124"/>
      <c r="F87" s="124" t="s">
        <v>237</v>
      </c>
      <c r="G87" s="124"/>
      <c r="H87" s="124" t="s">
        <v>238</v>
      </c>
      <c r="I87" s="124"/>
      <c r="J87" s="125"/>
      <c r="K87" s="69" t="s">
        <v>239</v>
      </c>
      <c r="L87" s="70">
        <f ca="1">I85*25%</f>
        <v>3.5</v>
      </c>
    </row>
    <row r="88" spans="1:12" s="38" customFormat="1" hidden="1" x14ac:dyDescent="0.35">
      <c r="A88" s="87" t="s">
        <v>240</v>
      </c>
      <c r="B88" s="88"/>
      <c r="C88" s="76">
        <f ca="1">L89</f>
        <v>14</v>
      </c>
      <c r="D88" s="89">
        <f ca="1">((100/I85)*C88)/100</f>
        <v>1</v>
      </c>
      <c r="E88" s="89"/>
      <c r="F88" s="89">
        <f ca="1">(((C89/I85*10)+(40/(D85+G85+I85)*C90)+(7.5/(I85)*C91)+(7.5/(I85)*C92)+(10/I85*C93)+(10/I85*C94)+(5/I85*C95)+(5/I85*C96)+(5/I85*C97))/100)</f>
        <v>1</v>
      </c>
      <c r="G88" s="89"/>
      <c r="H88" s="89">
        <f ca="1">((((C88/I85)*20)+((C89/I85)*25)+(30/(I85+G85+D85)*C90)+(5/I85*C91)+(5/I85*C92)+(5/I85*C93)+(5/I85*C94)+(0/I85*C95)+(0/I85*C96)+(5/I85*C97))/100)</f>
        <v>1</v>
      </c>
      <c r="I88" s="89"/>
      <c r="J88" s="91"/>
      <c r="K88" s="69" t="s">
        <v>143</v>
      </c>
      <c r="L88" s="71">
        <f ca="1">I85*50%</f>
        <v>7</v>
      </c>
    </row>
    <row r="89" spans="1:12" s="38" customFormat="1" hidden="1" x14ac:dyDescent="0.35">
      <c r="A89" s="87" t="s">
        <v>67</v>
      </c>
      <c r="B89" s="88"/>
      <c r="C89" s="77">
        <f ca="1">L97</f>
        <v>14</v>
      </c>
      <c r="D89" s="89">
        <f ca="1">((100/I85)*C89)/100</f>
        <v>1</v>
      </c>
      <c r="E89" s="89"/>
      <c r="F89" s="89"/>
      <c r="G89" s="89"/>
      <c r="H89" s="89"/>
      <c r="I89" s="89"/>
      <c r="J89" s="91"/>
      <c r="K89" s="69" t="s">
        <v>144</v>
      </c>
      <c r="L89" s="71">
        <f ca="1">I85</f>
        <v>14</v>
      </c>
    </row>
    <row r="90" spans="1:12" s="38" customFormat="1" ht="15.75" hidden="1" customHeight="1" x14ac:dyDescent="0.35">
      <c r="A90" s="87" t="s">
        <v>241</v>
      </c>
      <c r="B90" s="88"/>
      <c r="C90" s="77">
        <v>15</v>
      </c>
      <c r="D90" s="89">
        <f ca="1">((100/(D85+G85+I85))*C90)/100</f>
        <v>1</v>
      </c>
      <c r="E90" s="89"/>
      <c r="F90" s="89"/>
      <c r="G90" s="89"/>
      <c r="H90" s="89"/>
      <c r="I90" s="89"/>
      <c r="J90" s="91"/>
      <c r="K90" s="69" t="s">
        <v>145</v>
      </c>
      <c r="L90" s="72">
        <f ca="1">(IF(B85&gt;1,(I85/(B85+2)),I85/4))</f>
        <v>3.5</v>
      </c>
    </row>
    <row r="91" spans="1:12" s="38" customFormat="1" ht="15.75" hidden="1" customHeight="1" x14ac:dyDescent="0.35">
      <c r="A91" s="87" t="s">
        <v>242</v>
      </c>
      <c r="B91" s="88" t="s">
        <v>243</v>
      </c>
      <c r="C91" s="76">
        <v>14</v>
      </c>
      <c r="D91" s="89">
        <f ca="1">((100/I85)*C91)/100</f>
        <v>1</v>
      </c>
      <c r="E91" s="89"/>
      <c r="F91" s="89"/>
      <c r="G91" s="89"/>
      <c r="H91" s="89"/>
      <c r="I91" s="89"/>
      <c r="J91" s="91"/>
      <c r="K91" s="69" t="s">
        <v>146</v>
      </c>
      <c r="L91" s="72">
        <f ca="1">(IF(B85&gt;1,(I85/(B85+2)+L90),I85/4+L90))</f>
        <v>7</v>
      </c>
    </row>
    <row r="92" spans="1:12" s="38" customFormat="1" ht="15.75" hidden="1" customHeight="1" x14ac:dyDescent="0.35">
      <c r="A92" s="87" t="s">
        <v>244</v>
      </c>
      <c r="B92" s="88" t="s">
        <v>243</v>
      </c>
      <c r="C92" s="76">
        <v>14</v>
      </c>
      <c r="D92" s="89">
        <f ca="1">((100/I85)*C92)/100</f>
        <v>1</v>
      </c>
      <c r="E92" s="89"/>
      <c r="F92" s="89"/>
      <c r="G92" s="89"/>
      <c r="H92" s="89"/>
      <c r="I92" s="89"/>
      <c r="J92" s="91"/>
      <c r="K92" s="69" t="s">
        <v>245</v>
      </c>
      <c r="L92" s="72">
        <f>(IF(B85&gt;1,(I85/(B85+2)+L91),0))</f>
        <v>0</v>
      </c>
    </row>
    <row r="93" spans="1:12" s="38" customFormat="1" ht="15.75" hidden="1" customHeight="1" x14ac:dyDescent="0.35">
      <c r="A93" s="87" t="s">
        <v>246</v>
      </c>
      <c r="B93" s="88" t="s">
        <v>247</v>
      </c>
      <c r="C93" s="76">
        <v>14</v>
      </c>
      <c r="D93" s="89">
        <f ca="1">((100/(I85))*C93)/100</f>
        <v>1</v>
      </c>
      <c r="E93" s="89"/>
      <c r="F93" s="89"/>
      <c r="G93" s="89"/>
      <c r="H93" s="89"/>
      <c r="I93" s="89"/>
      <c r="J93" s="91"/>
      <c r="K93" s="69" t="s">
        <v>248</v>
      </c>
      <c r="L93" s="72">
        <f>(IF(B85&gt;2,(I85/(B85+2)+L92),0))</f>
        <v>0</v>
      </c>
    </row>
    <row r="94" spans="1:12" s="38" customFormat="1" ht="15.75" hidden="1" customHeight="1" x14ac:dyDescent="0.35">
      <c r="A94" s="87" t="s">
        <v>249</v>
      </c>
      <c r="B94" s="88" t="s">
        <v>249</v>
      </c>
      <c r="C94" s="76">
        <v>14</v>
      </c>
      <c r="D94" s="89">
        <f ca="1">((100/I85)*C94)/100</f>
        <v>1</v>
      </c>
      <c r="E94" s="89"/>
      <c r="F94" s="89"/>
      <c r="G94" s="89"/>
      <c r="H94" s="89"/>
      <c r="I94" s="89"/>
      <c r="J94" s="91"/>
      <c r="K94" s="69" t="s">
        <v>250</v>
      </c>
      <c r="L94" s="73">
        <f>(IF(B85&gt;3,(I85/(B85+2)+L93),0))</f>
        <v>0</v>
      </c>
    </row>
    <row r="95" spans="1:12" s="38" customFormat="1" ht="15.75" hidden="1" customHeight="1" x14ac:dyDescent="0.35">
      <c r="A95" s="87" t="s">
        <v>251</v>
      </c>
      <c r="B95" s="88"/>
      <c r="C95" s="76">
        <v>14</v>
      </c>
      <c r="D95" s="89">
        <f ca="1">((100/I85)*C95)/100</f>
        <v>1</v>
      </c>
      <c r="E95" s="89"/>
      <c r="F95" s="89"/>
      <c r="G95" s="89"/>
      <c r="H95" s="89"/>
      <c r="I95" s="89"/>
      <c r="J95" s="91"/>
      <c r="K95" s="69" t="s">
        <v>252</v>
      </c>
      <c r="L95" s="72">
        <f>(IF(B85&gt;4,(I85/(B85+2)+L94),0))</f>
        <v>0</v>
      </c>
    </row>
    <row r="96" spans="1:12" s="38" customFormat="1" ht="15.75" hidden="1" customHeight="1" x14ac:dyDescent="0.35">
      <c r="A96" s="93" t="s">
        <v>253</v>
      </c>
      <c r="B96" s="94" t="s">
        <v>253</v>
      </c>
      <c r="C96" s="76">
        <v>14</v>
      </c>
      <c r="D96" s="89">
        <f ca="1">((100/(I85))*C96)/100</f>
        <v>1</v>
      </c>
      <c r="E96" s="89"/>
      <c r="F96" s="89"/>
      <c r="G96" s="89"/>
      <c r="H96" s="89"/>
      <c r="I96" s="89"/>
      <c r="J96" s="91"/>
      <c r="K96" s="69" t="s">
        <v>147</v>
      </c>
      <c r="L96" s="72">
        <f ca="1">(IF(B85=1,(I85/(B85+3)+L91),IF(B85=0,(I85/4+L91),IF(B85&gt;1,0))))</f>
        <v>10.5</v>
      </c>
    </row>
    <row r="97" spans="1:12" s="38" customFormat="1" ht="16" hidden="1" thickBot="1" x14ac:dyDescent="0.4">
      <c r="A97" s="95" t="s">
        <v>254</v>
      </c>
      <c r="B97" s="96"/>
      <c r="C97" s="78">
        <v>14</v>
      </c>
      <c r="D97" s="90">
        <f ca="1">((100/(I85))*C97)/100</f>
        <v>1</v>
      </c>
      <c r="E97" s="90"/>
      <c r="F97" s="90"/>
      <c r="G97" s="90"/>
      <c r="H97" s="90"/>
      <c r="I97" s="90"/>
      <c r="J97" s="92"/>
      <c r="K97" s="69" t="s">
        <v>148</v>
      </c>
      <c r="L97" s="72">
        <f ca="1">(IF(B85&gt;1.5,(I85/(B85+2)+L91+MAX(0,L92-L91)+MAX(0,L93-L92)+MAX(0,L94-L93)+MAX(0,L95-L94)+MAX(0,L96-L95)),IF(B85=1,(I85/(B85+3)+L96),IF(B85=0,I85/4+L96))))</f>
        <v>14</v>
      </c>
    </row>
    <row r="98" spans="1:12" s="38" customFormat="1" hidden="1" x14ac:dyDescent="0.35">
      <c r="A98" s="145" t="s">
        <v>231</v>
      </c>
      <c r="B98" s="146"/>
      <c r="C98" s="147" t="s">
        <v>269</v>
      </c>
      <c r="D98" s="147"/>
      <c r="E98" s="147"/>
      <c r="F98" s="147"/>
      <c r="G98" s="147"/>
      <c r="H98" s="147"/>
      <c r="I98" s="147"/>
      <c r="J98" s="148"/>
      <c r="K98" s="65" t="str">
        <f ca="1">(IF(F102&gt;99%,"All work completed. Please provide OC.",IF(F102&gt;89.8%,"Plinth, RCC, Brick, Plaster, Flooring, Painting work Completed. Finishing work is in process.",IF(F102&lt;94%,(IF(C102=0,"Work not yet Started.",IF(D102=25%,"Piling work in process",IF(D102=50%,"Excavation work in process",IF(D102=100%,"Excavation work Completed. ","0")))&amp;(IF(C103=0%,"",IF(C103=L104,"Footing work is process",IF(C103=L105,"Footing work Completed",IF(C103=L106,"1st Basement Completed",IF(C103=L107,"1st &amp; 2nd Basement Completed",IF(C103=L108,"1st to 3rd Basement Completed",IF(C103=L109,"1st to 4th Basement Completed",IF(C103=L110,"Plinth work is process",IF(C103=L111,"Plinth work completed","0")))))))))))&amp;(IF(C104=(D99+G99+I99),", RCC Slab",IF(C104&gt;0,", RCC upto "&amp;C104&amp;" Slab",""))&amp;(IF(C105=I99,", Brickwork",IF(C105&gt;0,", Brickwork upto "&amp;C105&amp;" Floor",""))&amp;(IF(C106=I99,", Internal Plaster",IF(C106&gt;0,", Internal Plaster upto "&amp;C106&amp;" Floor",""))&amp;(IF(C107=I99,", External Plaster",IF(C107&gt;0,", External Plaster upto "&amp;C107&amp;" Floor",""))&amp;(IF(C108=I99,", Flooring",IF(C108&gt;0,", Flooring upto "&amp;C108&amp;" Floor",""))&amp;(IF(C109=I99,", Painting",IF(C109&gt;0,", Painting upto "&amp;C109&amp;" Floor",""))&amp;(IF(C110&gt;0,", Finishing upto "&amp;C110&amp;" Floor","")&amp;(IF(C104&gt;0.5," Completed",""))))))))))))))</f>
        <v>Excavation work Completed. Plinth work completed, RCC Slab, Brickwork, Internal Plaster, External Plaster, Flooring upto 12 Floor, Painting upto 10 Floor Completed</v>
      </c>
      <c r="L98" s="66"/>
    </row>
    <row r="99" spans="1:12" s="38" customFormat="1" hidden="1" x14ac:dyDescent="0.35">
      <c r="A99" s="82" t="s">
        <v>135</v>
      </c>
      <c r="B99" s="83">
        <v>0</v>
      </c>
      <c r="C99" s="84" t="s">
        <v>137</v>
      </c>
      <c r="D99" s="84">
        <v>1</v>
      </c>
      <c r="E99" s="149" t="s">
        <v>136</v>
      </c>
      <c r="F99" s="149"/>
      <c r="G99" s="84">
        <v>0</v>
      </c>
      <c r="H99" s="84" t="s">
        <v>232</v>
      </c>
      <c r="I99" s="149">
        <f ca="1">--TRIM(RIGHT(SUBSTITUTE(LEFT(C98,_xlfn.AGGREGATE(16,6,FIND({0,1,2,3,4,5,6,7,8,9},C98,ROW(INDIRECT("1:"&amp;LEN(C98)))),1))," ",REPT(" ",LEN(C98))),LEN(C98)))</f>
        <v>14</v>
      </c>
      <c r="J99" s="150"/>
      <c r="K99" s="65"/>
      <c r="L99" s="66"/>
    </row>
    <row r="100" spans="1:12" s="38" customFormat="1" ht="48" hidden="1" customHeight="1" x14ac:dyDescent="0.35">
      <c r="A100" s="118" t="s">
        <v>233</v>
      </c>
      <c r="B100" s="119"/>
      <c r="C100" s="120" t="str">
        <f ca="1">K98</f>
        <v>Excavation work Completed. Plinth work completed, RCC Slab, Brickwork, Internal Plaster, External Plaster, Flooring upto 12 Floor, Painting upto 10 Floor Completed</v>
      </c>
      <c r="D100" s="120"/>
      <c r="E100" s="120"/>
      <c r="F100" s="120"/>
      <c r="G100" s="120"/>
      <c r="H100" s="120"/>
      <c r="I100" s="120"/>
      <c r="J100" s="121"/>
      <c r="K100" s="65" t="s">
        <v>234</v>
      </c>
      <c r="L100" s="66"/>
    </row>
    <row r="101" spans="1:12" s="38" customFormat="1" ht="15.75" hidden="1" customHeight="1" x14ac:dyDescent="0.35">
      <c r="A101" s="122" t="s">
        <v>66</v>
      </c>
      <c r="B101" s="123"/>
      <c r="C101" s="85" t="s">
        <v>235</v>
      </c>
      <c r="D101" s="124" t="s">
        <v>236</v>
      </c>
      <c r="E101" s="124"/>
      <c r="F101" s="124" t="s">
        <v>237</v>
      </c>
      <c r="G101" s="124"/>
      <c r="H101" s="124" t="s">
        <v>238</v>
      </c>
      <c r="I101" s="124"/>
      <c r="J101" s="125"/>
      <c r="K101" s="69" t="s">
        <v>239</v>
      </c>
      <c r="L101" s="70">
        <f ca="1">I99*25%</f>
        <v>3.5</v>
      </c>
    </row>
    <row r="102" spans="1:12" s="38" customFormat="1" hidden="1" x14ac:dyDescent="0.35">
      <c r="A102" s="87" t="s">
        <v>240</v>
      </c>
      <c r="B102" s="88"/>
      <c r="C102" s="76">
        <f ca="1">L103</f>
        <v>14</v>
      </c>
      <c r="D102" s="89">
        <f ca="1">((100/I99)*C102)/100</f>
        <v>1</v>
      </c>
      <c r="E102" s="89"/>
      <c r="F102" s="89">
        <f ca="1">(((C103/I99*10)+(40/(D99+G99+I99)*C104)+(7.5/(I99)*C105)+(7.5/(I99)*C106)+(10/I99*C107)+(10/I99*C108)+(5/I99*C109)+(5/I99*C110)+(5/I99*C111))/100)</f>
        <v>0.87142857142857144</v>
      </c>
      <c r="G102" s="89"/>
      <c r="H102" s="89">
        <f ca="1">((((C102/I99)*20)+((C103/I99)*25)+(30/(I99+G99+D99)*C104)+(5/I99*C105)+(5/I99*C106)+(5/I99*C107)+(5/I99*C108)+(0/I99*C109)+(0/I99*C110)+(5/I99*C111))/100)</f>
        <v>0.94285714285714295</v>
      </c>
      <c r="I102" s="89"/>
      <c r="J102" s="91"/>
      <c r="K102" s="69" t="s">
        <v>143</v>
      </c>
      <c r="L102" s="71">
        <f ca="1">I99*50%</f>
        <v>7</v>
      </c>
    </row>
    <row r="103" spans="1:12" s="38" customFormat="1" hidden="1" x14ac:dyDescent="0.35">
      <c r="A103" s="87" t="s">
        <v>67</v>
      </c>
      <c r="B103" s="88"/>
      <c r="C103" s="77">
        <f ca="1">L111</f>
        <v>14</v>
      </c>
      <c r="D103" s="89">
        <f ca="1">((100/I99)*C103)/100</f>
        <v>1</v>
      </c>
      <c r="E103" s="89"/>
      <c r="F103" s="89"/>
      <c r="G103" s="89"/>
      <c r="H103" s="89"/>
      <c r="I103" s="89"/>
      <c r="J103" s="91"/>
      <c r="K103" s="69" t="s">
        <v>144</v>
      </c>
      <c r="L103" s="71">
        <f ca="1">I99</f>
        <v>14</v>
      </c>
    </row>
    <row r="104" spans="1:12" s="38" customFormat="1" ht="15.75" hidden="1" customHeight="1" x14ac:dyDescent="0.35">
      <c r="A104" s="87" t="s">
        <v>241</v>
      </c>
      <c r="B104" s="88"/>
      <c r="C104" s="77">
        <v>15</v>
      </c>
      <c r="D104" s="89">
        <f ca="1">((100/(D99+G99+I99))*C104)/100</f>
        <v>1</v>
      </c>
      <c r="E104" s="89"/>
      <c r="F104" s="89"/>
      <c r="G104" s="89"/>
      <c r="H104" s="89"/>
      <c r="I104" s="89"/>
      <c r="J104" s="91"/>
      <c r="K104" s="69" t="s">
        <v>145</v>
      </c>
      <c r="L104" s="72">
        <f ca="1">(IF(B99&gt;1,(I99/(B99+2)),I99/4))</f>
        <v>3.5</v>
      </c>
    </row>
    <row r="105" spans="1:12" s="38" customFormat="1" ht="15.75" hidden="1" customHeight="1" x14ac:dyDescent="0.35">
      <c r="A105" s="87" t="s">
        <v>242</v>
      </c>
      <c r="B105" s="88" t="s">
        <v>243</v>
      </c>
      <c r="C105" s="76">
        <v>14</v>
      </c>
      <c r="D105" s="89">
        <f ca="1">((100/I99)*C105)/100</f>
        <v>1</v>
      </c>
      <c r="E105" s="89"/>
      <c r="F105" s="89"/>
      <c r="G105" s="89"/>
      <c r="H105" s="89"/>
      <c r="I105" s="89"/>
      <c r="J105" s="91"/>
      <c r="K105" s="69" t="s">
        <v>146</v>
      </c>
      <c r="L105" s="72">
        <f ca="1">(IF(B99&gt;1,(I99/(B99+2)+L104),I99/4+L104))</f>
        <v>7</v>
      </c>
    </row>
    <row r="106" spans="1:12" s="38" customFormat="1" ht="15.75" hidden="1" customHeight="1" x14ac:dyDescent="0.35">
      <c r="A106" s="87" t="s">
        <v>244</v>
      </c>
      <c r="B106" s="88" t="s">
        <v>243</v>
      </c>
      <c r="C106" s="76">
        <v>14</v>
      </c>
      <c r="D106" s="89">
        <f ca="1">((100/I99)*C106)/100</f>
        <v>1</v>
      </c>
      <c r="E106" s="89"/>
      <c r="F106" s="89"/>
      <c r="G106" s="89"/>
      <c r="H106" s="89"/>
      <c r="I106" s="89"/>
      <c r="J106" s="91"/>
      <c r="K106" s="69" t="s">
        <v>245</v>
      </c>
      <c r="L106" s="72">
        <f>(IF(B99&gt;1,(I99/(B99+2)+L105),0))</f>
        <v>0</v>
      </c>
    </row>
    <row r="107" spans="1:12" s="38" customFormat="1" ht="15.75" hidden="1" customHeight="1" x14ac:dyDescent="0.35">
      <c r="A107" s="87" t="s">
        <v>246</v>
      </c>
      <c r="B107" s="88" t="s">
        <v>247</v>
      </c>
      <c r="C107" s="76">
        <v>14</v>
      </c>
      <c r="D107" s="89">
        <f ca="1">((100/(I99))*C107)/100</f>
        <v>1</v>
      </c>
      <c r="E107" s="89"/>
      <c r="F107" s="89"/>
      <c r="G107" s="89"/>
      <c r="H107" s="89"/>
      <c r="I107" s="89"/>
      <c r="J107" s="91"/>
      <c r="K107" s="69" t="s">
        <v>248</v>
      </c>
      <c r="L107" s="72">
        <f>(IF(B99&gt;2,(I99/(B99+2)+L106),0))</f>
        <v>0</v>
      </c>
    </row>
    <row r="108" spans="1:12" s="38" customFormat="1" ht="15.75" hidden="1" customHeight="1" x14ac:dyDescent="0.35">
      <c r="A108" s="87" t="s">
        <v>249</v>
      </c>
      <c r="B108" s="88" t="s">
        <v>249</v>
      </c>
      <c r="C108" s="76">
        <v>12</v>
      </c>
      <c r="D108" s="89">
        <f ca="1">((100/I99)*C108)/100</f>
        <v>0.85714285714285721</v>
      </c>
      <c r="E108" s="89"/>
      <c r="F108" s="89"/>
      <c r="G108" s="89"/>
      <c r="H108" s="89"/>
      <c r="I108" s="89"/>
      <c r="J108" s="91"/>
      <c r="K108" s="69" t="s">
        <v>250</v>
      </c>
      <c r="L108" s="73">
        <f>(IF(B99&gt;3,(I99/(B99+2)+L107),0))</f>
        <v>0</v>
      </c>
    </row>
    <row r="109" spans="1:12" s="38" customFormat="1" ht="15.75" hidden="1" customHeight="1" x14ac:dyDescent="0.35">
      <c r="A109" s="87" t="s">
        <v>251</v>
      </c>
      <c r="B109" s="88"/>
      <c r="C109" s="76">
        <v>10</v>
      </c>
      <c r="D109" s="89">
        <f ca="1">((100/I99)*C109)/100</f>
        <v>0.7142857142857143</v>
      </c>
      <c r="E109" s="89"/>
      <c r="F109" s="89"/>
      <c r="G109" s="89"/>
      <c r="H109" s="89"/>
      <c r="I109" s="89"/>
      <c r="J109" s="91"/>
      <c r="K109" s="69" t="s">
        <v>252</v>
      </c>
      <c r="L109" s="72">
        <f>(IF(B99&gt;4,(I99/(B99+2)+L108),0))</f>
        <v>0</v>
      </c>
    </row>
    <row r="110" spans="1:12" s="38" customFormat="1" ht="15.75" hidden="1" customHeight="1" x14ac:dyDescent="0.35">
      <c r="A110" s="93" t="s">
        <v>253</v>
      </c>
      <c r="B110" s="94" t="s">
        <v>253</v>
      </c>
      <c r="C110" s="76">
        <v>0</v>
      </c>
      <c r="D110" s="89">
        <f ca="1">((100/(I99))*C110)/100</f>
        <v>0</v>
      </c>
      <c r="E110" s="89"/>
      <c r="F110" s="89"/>
      <c r="G110" s="89"/>
      <c r="H110" s="89"/>
      <c r="I110" s="89"/>
      <c r="J110" s="91"/>
      <c r="K110" s="69" t="s">
        <v>147</v>
      </c>
      <c r="L110" s="72">
        <f ca="1">(IF(B99=1,(I99/(B99+3)+L105),IF(B99=0,(I99/4+L105),IF(B99&gt;1,0))))</f>
        <v>10.5</v>
      </c>
    </row>
    <row r="111" spans="1:12" s="38" customFormat="1" ht="16" hidden="1" thickBot="1" x14ac:dyDescent="0.4">
      <c r="A111" s="95" t="s">
        <v>254</v>
      </c>
      <c r="B111" s="96"/>
      <c r="C111" s="78">
        <v>0</v>
      </c>
      <c r="D111" s="90">
        <f ca="1">((100/(I99))*C111)/100</f>
        <v>0</v>
      </c>
      <c r="E111" s="90"/>
      <c r="F111" s="90"/>
      <c r="G111" s="90"/>
      <c r="H111" s="90"/>
      <c r="I111" s="90"/>
      <c r="J111" s="92"/>
      <c r="K111" s="69" t="s">
        <v>148</v>
      </c>
      <c r="L111" s="72">
        <f ca="1">(IF(B99&gt;1.5,(I99/(B99+2)+L105+MAX(0,L106-L105)+MAX(0,L107-L106)+MAX(0,L108-L107)+MAX(0,L109-L108)+MAX(0,L110-L109)),IF(B99=1,(I99/(B99+3)+L110),IF(B99=0,I99/4+L110))))</f>
        <v>14</v>
      </c>
    </row>
    <row r="112" spans="1:12" s="38" customFormat="1" x14ac:dyDescent="0.35">
      <c r="A112" s="115" t="s">
        <v>278</v>
      </c>
      <c r="B112" s="116"/>
      <c r="C112" s="116"/>
      <c r="D112" s="116"/>
      <c r="E112" s="116"/>
      <c r="F112" s="116"/>
      <c r="G112" s="116"/>
      <c r="H112" s="116"/>
      <c r="I112" s="116"/>
      <c r="J112" s="117"/>
    </row>
    <row r="113" spans="1:15" x14ac:dyDescent="0.35">
      <c r="A113" s="97" t="s">
        <v>72</v>
      </c>
      <c r="B113" s="98"/>
      <c r="C113" s="98"/>
      <c r="D113" s="98"/>
      <c r="E113" s="98"/>
      <c r="F113" s="98"/>
      <c r="G113" s="98"/>
      <c r="H113" s="98"/>
      <c r="I113" s="98"/>
      <c r="J113" s="99"/>
    </row>
    <row r="114" spans="1:15" ht="15" customHeight="1" x14ac:dyDescent="0.35">
      <c r="A114" s="238" t="s">
        <v>141</v>
      </c>
      <c r="B114" s="239"/>
      <c r="C114" s="240" t="s">
        <v>142</v>
      </c>
      <c r="D114" s="241"/>
      <c r="E114" s="241"/>
      <c r="F114" s="241"/>
      <c r="G114" s="241"/>
      <c r="H114" s="241"/>
      <c r="I114" s="241"/>
      <c r="J114" s="242"/>
    </row>
    <row r="115" spans="1:15" x14ac:dyDescent="0.35">
      <c r="A115" s="283" t="s">
        <v>73</v>
      </c>
      <c r="B115" s="283"/>
      <c r="C115" s="283"/>
      <c r="D115" s="283"/>
      <c r="E115" s="283"/>
      <c r="F115" s="283"/>
      <c r="G115" s="283"/>
      <c r="H115" s="283"/>
      <c r="I115" s="283"/>
      <c r="J115" s="283"/>
      <c r="L115" s="12" t="s">
        <v>280</v>
      </c>
      <c r="M115" s="86">
        <v>45357</v>
      </c>
      <c r="N115" s="12" t="s">
        <v>281</v>
      </c>
      <c r="O115" s="12" t="s">
        <v>282</v>
      </c>
    </row>
    <row r="116" spans="1:15" x14ac:dyDescent="0.35">
      <c r="A116" s="182" t="s">
        <v>149</v>
      </c>
      <c r="B116" s="182"/>
      <c r="C116" s="182"/>
      <c r="D116" s="182"/>
      <c r="E116" s="182"/>
      <c r="F116" s="182"/>
      <c r="G116" s="284">
        <v>9600</v>
      </c>
      <c r="H116" s="284"/>
      <c r="I116" s="284"/>
      <c r="J116" s="284"/>
    </row>
    <row r="117" spans="1:15" x14ac:dyDescent="0.35">
      <c r="A117" s="182" t="s">
        <v>279</v>
      </c>
      <c r="B117" s="182"/>
      <c r="C117" s="182"/>
      <c r="D117" s="182"/>
      <c r="E117" s="182"/>
      <c r="F117" s="182"/>
      <c r="G117" s="285">
        <v>50</v>
      </c>
      <c r="H117" s="285"/>
      <c r="I117" s="285"/>
      <c r="J117" s="285"/>
    </row>
    <row r="118" spans="1:15" x14ac:dyDescent="0.35">
      <c r="A118" s="182" t="s">
        <v>74</v>
      </c>
      <c r="B118" s="182"/>
      <c r="C118" s="182"/>
      <c r="D118" s="182"/>
      <c r="E118" s="182"/>
      <c r="F118" s="182"/>
      <c r="G118" s="285" t="s">
        <v>158</v>
      </c>
      <c r="H118" s="285"/>
      <c r="I118" s="285"/>
      <c r="J118" s="285"/>
    </row>
    <row r="119" spans="1:15" x14ac:dyDescent="0.35">
      <c r="A119" s="286" t="s">
        <v>202</v>
      </c>
      <c r="B119" s="286"/>
      <c r="C119" s="286"/>
      <c r="D119" s="286"/>
      <c r="E119" s="286"/>
      <c r="F119" s="286"/>
      <c r="G119" s="285" t="s">
        <v>262</v>
      </c>
      <c r="H119" s="285"/>
      <c r="I119" s="285"/>
      <c r="J119" s="285"/>
    </row>
    <row r="120" spans="1:15" x14ac:dyDescent="0.35">
      <c r="A120" s="182" t="s">
        <v>75</v>
      </c>
      <c r="B120" s="182"/>
      <c r="C120" s="182"/>
      <c r="D120" s="182"/>
      <c r="E120" s="182"/>
      <c r="F120" s="182"/>
      <c r="G120" s="285" t="s">
        <v>162</v>
      </c>
      <c r="H120" s="285"/>
      <c r="I120" s="285"/>
      <c r="J120" s="285"/>
    </row>
    <row r="121" spans="1:15" x14ac:dyDescent="0.35">
      <c r="A121" s="182" t="s">
        <v>264</v>
      </c>
      <c r="B121" s="182"/>
      <c r="C121" s="182"/>
      <c r="D121" s="182"/>
      <c r="E121" s="182"/>
      <c r="F121" s="182"/>
      <c r="G121" s="285" t="s">
        <v>263</v>
      </c>
      <c r="H121" s="285"/>
      <c r="I121" s="285"/>
      <c r="J121" s="285"/>
    </row>
    <row r="122" spans="1:15" s="14" customFormat="1" x14ac:dyDescent="0.35">
      <c r="A122" s="283" t="s">
        <v>76</v>
      </c>
      <c r="B122" s="283"/>
      <c r="C122" s="283"/>
      <c r="D122" s="283"/>
      <c r="E122" s="283"/>
      <c r="F122" s="283"/>
      <c r="G122" s="284">
        <f>G116*0.8</f>
        <v>7680</v>
      </c>
      <c r="H122" s="284"/>
      <c r="I122" s="284"/>
      <c r="J122" s="284"/>
    </row>
    <row r="123" spans="1:15" s="1" customFormat="1" ht="15.75" customHeight="1" x14ac:dyDescent="0.35">
      <c r="A123" s="287" t="s">
        <v>134</v>
      </c>
      <c r="B123" s="287"/>
      <c r="C123" s="287"/>
      <c r="D123" s="287"/>
      <c r="E123" s="287"/>
      <c r="F123" s="287"/>
      <c r="G123" s="287"/>
      <c r="H123" s="287"/>
      <c r="I123" s="287"/>
      <c r="J123" s="287"/>
    </row>
    <row r="124" spans="1:15" s="1" customFormat="1" ht="15.75" customHeight="1" x14ac:dyDescent="0.35">
      <c r="A124" s="288" t="s">
        <v>77</v>
      </c>
      <c r="B124" s="288"/>
      <c r="C124" s="10" t="s">
        <v>174</v>
      </c>
      <c r="D124" s="289" t="s">
        <v>78</v>
      </c>
      <c r="E124" s="289"/>
      <c r="F124" s="289"/>
      <c r="G124" s="288" t="s">
        <v>79</v>
      </c>
      <c r="H124" s="288"/>
      <c r="I124" s="288"/>
      <c r="J124" s="288"/>
    </row>
    <row r="125" spans="1:15" s="1" customFormat="1" x14ac:dyDescent="0.35">
      <c r="A125" s="290" t="s">
        <v>80</v>
      </c>
      <c r="B125" s="290"/>
      <c r="C125" s="11">
        <f>COUNT(D137:E138)+COUNT(D140:E144)+COUNT(D146:E150)*2+COUNT(D152:E156)*5+COUNT(D158:E162)*3+COUNT(D164:E167)</f>
        <v>61</v>
      </c>
      <c r="D125" s="291">
        <f>SUM(D137:E138)+SUM(D140:E144)+SUM(D146:E150)*2+SUM(D152:E156)*5+SUM(D158:E162)*3+SUM(D164:E167)</f>
        <v>29266.347240000003</v>
      </c>
      <c r="E125" s="291"/>
      <c r="F125" s="291"/>
      <c r="G125" s="291">
        <f>SUM(G137:H138)+SUM(G140:H144)+SUM(G146:H150)*2+SUM(G152:H156)*5+SUM(G158:H162)*3+SUM(G164:H167)</f>
        <v>52645</v>
      </c>
      <c r="H125" s="291"/>
      <c r="I125" s="291"/>
      <c r="J125" s="291"/>
    </row>
    <row r="126" spans="1:15" s="1" customFormat="1" x14ac:dyDescent="0.35">
      <c r="A126" s="243" t="s">
        <v>81</v>
      </c>
      <c r="B126" s="244"/>
      <c r="C126" s="11">
        <f>COUNT(D171:E173)+COUNT(D175:E178)+COUNT(D180:E183)*2+COUNT(D185:E188)*5+COUNT(D190:E193)*3+COUNT(D195:E196)</f>
        <v>49</v>
      </c>
      <c r="D126" s="245">
        <f>SUM(D171:E173)+SUM(D175:E178)+SUM(D180:E183)*2+SUM(D185:E188)*5+SUM(D190:E193)*3+SUM(D195:E196)</f>
        <v>25827.895079999995</v>
      </c>
      <c r="E126" s="246"/>
      <c r="F126" s="247"/>
      <c r="G126" s="245">
        <f>SUM(G171:H173)+SUM(G175:H178)+SUM(G180:H183)*2+SUM(G185:H188)*5+SUM(G190:H193)*3+SUM(G195:H196)</f>
        <v>46125</v>
      </c>
      <c r="H126" s="246"/>
      <c r="I126" s="246"/>
      <c r="J126" s="247"/>
    </row>
    <row r="127" spans="1:15" s="1" customFormat="1" x14ac:dyDescent="0.35">
      <c r="A127" s="243" t="s">
        <v>82</v>
      </c>
      <c r="B127" s="244"/>
      <c r="C127" s="11">
        <f>COUNT(D200:E201)+COUNT(D203:E207)+COUNT(D209:E213)*2+COUNT(D215:E219)*5+COUNT(D221:E225)*3+COUNT(D227:E230)</f>
        <v>61</v>
      </c>
      <c r="D127" s="245">
        <f>SUM(D200:E201)+SUM(D203:E207)+SUM(D209:E213)*2+SUM(D215:E219)*5+SUM(D221:E225)*3+SUM(D227:E230)</f>
        <v>35273.843279999994</v>
      </c>
      <c r="E127" s="246"/>
      <c r="F127" s="247"/>
      <c r="G127" s="245">
        <f>SUM(G200:H201)+SUM(G203:H207)+SUM(G209:H213)*2+SUM(G215:H219)*5+SUM(G221:H225)*3+SUM(G227:H230)</f>
        <v>63430</v>
      </c>
      <c r="H127" s="246"/>
      <c r="I127" s="246"/>
      <c r="J127" s="247"/>
    </row>
    <row r="128" spans="1:15" s="1" customFormat="1" x14ac:dyDescent="0.35">
      <c r="A128" s="243" t="s">
        <v>200</v>
      </c>
      <c r="B128" s="244"/>
      <c r="C128" s="37">
        <f>COUNT(D234:E235)+COUNT(D237:E241)+COUNT(D243:E247)*2+COUNT(D249:E253)*5+COUNT(D255:E259)*3+COUNT(D261:E264)</f>
        <v>61</v>
      </c>
      <c r="D128" s="245">
        <f>SUM(D234:E235)+SUM(D237:E241)+SUM(D243:E247)*2+SUM(D249:E253)*5+SUM(D255:E259)*3+SUM(D261:E264)</f>
        <v>32679.504000000001</v>
      </c>
      <c r="E128" s="246"/>
      <c r="F128" s="247"/>
      <c r="G128" s="245">
        <f>SUM(G234:H235)+SUM(G237:H241)+SUM(G243:H247)*2+SUM(G249:H253)*5+SUM(G255:H259)*3+SUM(G261:H264)</f>
        <v>58945</v>
      </c>
      <c r="H128" s="246"/>
      <c r="I128" s="246"/>
      <c r="J128" s="247"/>
    </row>
    <row r="129" spans="1:11" s="1" customFormat="1" x14ac:dyDescent="0.35">
      <c r="A129" s="243" t="s">
        <v>201</v>
      </c>
      <c r="B129" s="244"/>
      <c r="C129" s="11">
        <f>COUNT(D268:E270)+COUNT(D272:E275)+COUNT(D277:E280)*2+COUNT(D282:E285)*5+COUNT(D287:E290)*3+COUNT(D292:E293)</f>
        <v>49</v>
      </c>
      <c r="D129" s="245">
        <f>SUM(D268:E270)+SUM(D272:E275)+SUM(D277:E280)*2+SUM(D282:E285)*5+SUM(D287:E290)*3+SUM(D292:E293)</f>
        <v>25849.100160000002</v>
      </c>
      <c r="E129" s="246"/>
      <c r="F129" s="247"/>
      <c r="G129" s="245">
        <f>SUM(G268:H270)+SUM(G272:H275)+SUM(G277:H280)*2+SUM(G282:H285)*5+SUM(G287:H290)*3+SUM(G292:H293)</f>
        <v>46120</v>
      </c>
      <c r="H129" s="246"/>
      <c r="I129" s="246"/>
      <c r="J129" s="247"/>
    </row>
    <row r="130" spans="1:11" s="1" customFormat="1" x14ac:dyDescent="0.35">
      <c r="A130" s="243" t="s">
        <v>199</v>
      </c>
      <c r="B130" s="244"/>
      <c r="C130" s="11">
        <f>COUNT(D297:E298)+COUNT(D300:E304)+COUNT(D306:E310)*2+COUNT(D312:E316)*5+COUNT(D318:E322)*3+COUNT(D324:E327)</f>
        <v>61</v>
      </c>
      <c r="D130" s="245">
        <f>SUM(D297:E298)+SUM(D300:E304)+SUM(D306:E310)*2+SUM(D312:E316)*5+SUM(D318:E322)*3+SUM(D324:E327)</f>
        <v>29257.843680000002</v>
      </c>
      <c r="E130" s="246"/>
      <c r="F130" s="247"/>
      <c r="G130" s="245">
        <f>SUM(G297:H298)+SUM(G300:H304)+SUM(G306:H310)*2+SUM(G312:H316)*5+SUM(G318:H322)*3+SUM(G324:H327)</f>
        <v>53010</v>
      </c>
      <c r="H130" s="246"/>
      <c r="I130" s="246"/>
      <c r="J130" s="247"/>
    </row>
    <row r="131" spans="1:11" s="1" customFormat="1" x14ac:dyDescent="0.35">
      <c r="A131" s="248" t="s">
        <v>83</v>
      </c>
      <c r="B131" s="249"/>
      <c r="C131" s="10">
        <f>SUM(C125:C130)</f>
        <v>342</v>
      </c>
      <c r="D131" s="261">
        <f>SUM(D125:F130)</f>
        <v>178154.53343999997</v>
      </c>
      <c r="E131" s="262"/>
      <c r="F131" s="263"/>
      <c r="G131" s="250">
        <f>SUM(G125:J130)</f>
        <v>320275</v>
      </c>
      <c r="H131" s="252"/>
      <c r="I131" s="252"/>
      <c r="J131" s="251"/>
    </row>
    <row r="132" spans="1:11" x14ac:dyDescent="0.35">
      <c r="A132" s="264" t="s">
        <v>84</v>
      </c>
      <c r="B132" s="265"/>
      <c r="C132" s="265"/>
      <c r="D132" s="265"/>
      <c r="E132" s="265"/>
      <c r="F132" s="265"/>
      <c r="G132" s="265"/>
      <c r="H132" s="265"/>
      <c r="I132" s="265"/>
      <c r="J132" s="266"/>
    </row>
    <row r="133" spans="1:11" ht="54.75" customHeight="1" x14ac:dyDescent="0.35">
      <c r="A133" s="259" t="s">
        <v>150</v>
      </c>
      <c r="B133" s="260"/>
      <c r="C133" s="2" t="s">
        <v>85</v>
      </c>
      <c r="D133" s="259" t="s">
        <v>86</v>
      </c>
      <c r="E133" s="260"/>
      <c r="F133" s="15" t="s">
        <v>87</v>
      </c>
      <c r="G133" s="2" t="s">
        <v>211</v>
      </c>
      <c r="H133" s="2" t="s">
        <v>88</v>
      </c>
      <c r="I133" s="259" t="s">
        <v>89</v>
      </c>
      <c r="J133" s="260"/>
    </row>
    <row r="134" spans="1:11" s="3" customFormat="1" ht="17.25" customHeight="1" x14ac:dyDescent="0.35">
      <c r="A134" s="129" t="s">
        <v>189</v>
      </c>
      <c r="B134" s="130"/>
      <c r="C134" s="130"/>
      <c r="D134" s="130"/>
      <c r="E134" s="130"/>
      <c r="F134" s="130"/>
      <c r="G134" s="130"/>
      <c r="H134" s="130"/>
      <c r="I134" s="130"/>
      <c r="J134" s="131"/>
    </row>
    <row r="135" spans="1:11" s="3" customFormat="1" x14ac:dyDescent="0.35">
      <c r="A135" s="129" t="s">
        <v>256</v>
      </c>
      <c r="B135" s="130"/>
      <c r="C135" s="130"/>
      <c r="D135" s="130"/>
      <c r="E135" s="130"/>
      <c r="F135" s="130"/>
      <c r="G135" s="130"/>
      <c r="H135" s="130"/>
      <c r="I135" s="130"/>
      <c r="J135" s="131"/>
    </row>
    <row r="136" spans="1:11" s="3" customFormat="1" ht="17.25" customHeight="1" x14ac:dyDescent="0.35">
      <c r="A136" s="129" t="s">
        <v>257</v>
      </c>
      <c r="B136" s="130"/>
      <c r="C136" s="130"/>
      <c r="D136" s="130"/>
      <c r="E136" s="130"/>
      <c r="F136" s="130"/>
      <c r="G136" s="130"/>
      <c r="H136" s="130"/>
      <c r="I136" s="130"/>
      <c r="J136" s="131"/>
    </row>
    <row r="137" spans="1:11" s="3" customFormat="1" x14ac:dyDescent="0.35">
      <c r="A137" s="132">
        <v>1</v>
      </c>
      <c r="B137" s="133"/>
      <c r="C137" s="4" t="s">
        <v>191</v>
      </c>
      <c r="D137" s="132">
        <f>(47.11+2.3*0.75+2.75*0.75+2.55*0.75+2.5*0.75)*10.764</f>
        <v>588.62933999999996</v>
      </c>
      <c r="E137" s="133"/>
      <c r="F137" s="4">
        <v>0</v>
      </c>
      <c r="G137" s="4">
        <v>1060</v>
      </c>
      <c r="H137" s="4" t="s">
        <v>90</v>
      </c>
      <c r="I137" s="134" t="s">
        <v>190</v>
      </c>
      <c r="J137" s="135"/>
      <c r="K137" s="43">
        <f>G137/D137</f>
        <v>1.8007936879259197</v>
      </c>
    </row>
    <row r="138" spans="1:11" s="3" customFormat="1" x14ac:dyDescent="0.35">
      <c r="A138" s="132">
        <v>2</v>
      </c>
      <c r="B138" s="133"/>
      <c r="C138" s="4" t="s">
        <v>191</v>
      </c>
      <c r="D138" s="132">
        <f>(47.11+2.3*0.75+2.75*0.75+2.55*0.75+2.5*0.75)*10.764</f>
        <v>588.62933999999996</v>
      </c>
      <c r="E138" s="133"/>
      <c r="F138" s="4">
        <v>0</v>
      </c>
      <c r="G138" s="4">
        <v>1060</v>
      </c>
      <c r="H138" s="4" t="s">
        <v>90</v>
      </c>
      <c r="I138" s="138"/>
      <c r="J138" s="139"/>
      <c r="K138" s="43"/>
    </row>
    <row r="139" spans="1:11" s="3" customFormat="1" ht="15.75" customHeight="1" x14ac:dyDescent="0.35">
      <c r="A139" s="129" t="s">
        <v>198</v>
      </c>
      <c r="B139" s="130"/>
      <c r="C139" s="130"/>
      <c r="D139" s="130"/>
      <c r="E139" s="130"/>
      <c r="F139" s="130"/>
      <c r="G139" s="130"/>
      <c r="H139" s="130"/>
      <c r="I139" s="130"/>
      <c r="J139" s="131"/>
      <c r="K139" s="43"/>
    </row>
    <row r="140" spans="1:11" s="3" customFormat="1" x14ac:dyDescent="0.35">
      <c r="A140" s="132">
        <v>1</v>
      </c>
      <c r="B140" s="133"/>
      <c r="C140" s="4" t="s">
        <v>191</v>
      </c>
      <c r="D140" s="132">
        <f>(47.12+2.55*0.75+2.3*0.75+2.75*0.75+2.5*0.75)*10.764</f>
        <v>588.73698000000002</v>
      </c>
      <c r="E140" s="133"/>
      <c r="F140" s="4">
        <v>0</v>
      </c>
      <c r="G140" s="4">
        <v>1070</v>
      </c>
      <c r="H140" s="4" t="s">
        <v>90</v>
      </c>
      <c r="I140" s="134" t="str">
        <f>A299</f>
        <v>3rd Floor</v>
      </c>
      <c r="J140" s="135"/>
      <c r="K140" s="43"/>
    </row>
    <row r="141" spans="1:11" s="3" customFormat="1" x14ac:dyDescent="0.35">
      <c r="A141" s="132">
        <v>2</v>
      </c>
      <c r="B141" s="133"/>
      <c r="C141" s="4" t="s">
        <v>193</v>
      </c>
      <c r="D141" s="132">
        <f>(31.69+4*0.75+2.1*0.75+3*0.75)*10.764</f>
        <v>414.57545999999996</v>
      </c>
      <c r="E141" s="133"/>
      <c r="F141" s="4">
        <v>0</v>
      </c>
      <c r="G141" s="4">
        <v>745</v>
      </c>
      <c r="H141" s="4" t="s">
        <v>90</v>
      </c>
      <c r="I141" s="136"/>
      <c r="J141" s="137"/>
      <c r="K141" s="43"/>
    </row>
    <row r="142" spans="1:11" s="3" customFormat="1" x14ac:dyDescent="0.35">
      <c r="A142" s="132">
        <v>3</v>
      </c>
      <c r="B142" s="133"/>
      <c r="C142" s="4" t="s">
        <v>193</v>
      </c>
      <c r="D142" s="132">
        <f>(31.09+2.75*0.75+2.1*0.75+3*0.75)*10.764</f>
        <v>398.02581000000004</v>
      </c>
      <c r="E142" s="133"/>
      <c r="F142" s="4">
        <v>0</v>
      </c>
      <c r="G142" s="4">
        <v>715</v>
      </c>
      <c r="H142" s="4" t="s">
        <v>90</v>
      </c>
      <c r="I142" s="136"/>
      <c r="J142" s="137"/>
      <c r="K142" s="43"/>
    </row>
    <row r="143" spans="1:11" s="3" customFormat="1" x14ac:dyDescent="0.35">
      <c r="A143" s="132">
        <v>4</v>
      </c>
      <c r="B143" s="133"/>
      <c r="C143" s="4" t="s">
        <v>193</v>
      </c>
      <c r="D143" s="132">
        <f>(30.38+2.75*0.75+2.35*0.75+2.75*0.75)*10.764</f>
        <v>390.38336999999996</v>
      </c>
      <c r="E143" s="133"/>
      <c r="F143" s="4">
        <v>0</v>
      </c>
      <c r="G143" s="4">
        <v>700</v>
      </c>
      <c r="H143" s="4" t="s">
        <v>90</v>
      </c>
      <c r="I143" s="136"/>
      <c r="J143" s="137"/>
      <c r="K143" s="43"/>
    </row>
    <row r="144" spans="1:11" s="3" customFormat="1" x14ac:dyDescent="0.35">
      <c r="A144" s="132">
        <v>5</v>
      </c>
      <c r="B144" s="133"/>
      <c r="C144" s="4" t="s">
        <v>191</v>
      </c>
      <c r="D144" s="132">
        <f>(47.12+2.55*0.75+2.55*0.75+2.9*0.75+2.2*0.75)*10.764</f>
        <v>589.54427999999996</v>
      </c>
      <c r="E144" s="133"/>
      <c r="F144" s="4">
        <v>0</v>
      </c>
      <c r="G144" s="4">
        <v>1070</v>
      </c>
      <c r="H144" s="4" t="s">
        <v>90</v>
      </c>
      <c r="I144" s="138"/>
      <c r="J144" s="139"/>
      <c r="K144" s="43"/>
    </row>
    <row r="145" spans="1:11" s="3" customFormat="1" x14ac:dyDescent="0.35">
      <c r="A145" s="129" t="s">
        <v>204</v>
      </c>
      <c r="B145" s="130"/>
      <c r="C145" s="130"/>
      <c r="D145" s="130"/>
      <c r="E145" s="130"/>
      <c r="F145" s="130"/>
      <c r="G145" s="130"/>
      <c r="H145" s="130"/>
      <c r="I145" s="130"/>
      <c r="J145" s="131"/>
      <c r="K145" s="43"/>
    </row>
    <row r="146" spans="1:11" s="3" customFormat="1" ht="15.75" customHeight="1" x14ac:dyDescent="0.35">
      <c r="A146" s="132">
        <v>1</v>
      </c>
      <c r="B146" s="133"/>
      <c r="C146" s="4" t="s">
        <v>191</v>
      </c>
      <c r="D146" s="132">
        <f>(47.12+2.55*0.75+2.55*0.75+2.9*0.75+2.5*0.75)*10.764</f>
        <v>591.96617999999989</v>
      </c>
      <c r="E146" s="133"/>
      <c r="F146" s="4">
        <v>0</v>
      </c>
      <c r="G146" s="4">
        <v>1060</v>
      </c>
      <c r="H146" s="4" t="s">
        <v>90</v>
      </c>
      <c r="I146" s="253" t="str">
        <f>A145</f>
        <v>4th &amp; 6th Floor</v>
      </c>
      <c r="J146" s="254"/>
      <c r="K146" s="43"/>
    </row>
    <row r="147" spans="1:11" s="3" customFormat="1" x14ac:dyDescent="0.35">
      <c r="A147" s="132">
        <v>2</v>
      </c>
      <c r="B147" s="133"/>
      <c r="C147" s="4" t="s">
        <v>193</v>
      </c>
      <c r="D147" s="132">
        <f>(31.69+4*0.75+2.1*0.75+3*0.75)*10.764</f>
        <v>414.57545999999996</v>
      </c>
      <c r="E147" s="133"/>
      <c r="F147" s="4">
        <v>0</v>
      </c>
      <c r="G147" s="4">
        <v>740</v>
      </c>
      <c r="H147" s="4" t="s">
        <v>90</v>
      </c>
      <c r="I147" s="255"/>
      <c r="J147" s="256"/>
      <c r="K147" s="43"/>
    </row>
    <row r="148" spans="1:11" s="3" customFormat="1" x14ac:dyDescent="0.35">
      <c r="A148" s="132">
        <v>3</v>
      </c>
      <c r="B148" s="133"/>
      <c r="C148" s="4" t="s">
        <v>193</v>
      </c>
      <c r="D148" s="132">
        <f>(31.09+2.75*0.75+2.1*0.75+3*0.75)*10.764</f>
        <v>398.02581000000004</v>
      </c>
      <c r="E148" s="133"/>
      <c r="F148" s="4">
        <v>0</v>
      </c>
      <c r="G148" s="4">
        <v>715</v>
      </c>
      <c r="H148" s="4" t="s">
        <v>90</v>
      </c>
      <c r="I148" s="255"/>
      <c r="J148" s="256"/>
      <c r="K148" s="43"/>
    </row>
    <row r="149" spans="1:11" s="3" customFormat="1" x14ac:dyDescent="0.35">
      <c r="A149" s="132">
        <v>4</v>
      </c>
      <c r="B149" s="133"/>
      <c r="C149" s="4" t="s">
        <v>193</v>
      </c>
      <c r="D149" s="132">
        <f>(30.38+2.75*0.75+2.35*0.75+2.75*0.75)*10.764</f>
        <v>390.38336999999996</v>
      </c>
      <c r="E149" s="133"/>
      <c r="F149" s="4">
        <v>0</v>
      </c>
      <c r="G149" s="4">
        <v>695</v>
      </c>
      <c r="H149" s="4" t="s">
        <v>90</v>
      </c>
      <c r="I149" s="255"/>
      <c r="J149" s="256"/>
      <c r="K149" s="43"/>
    </row>
    <row r="150" spans="1:11" s="3" customFormat="1" x14ac:dyDescent="0.35">
      <c r="A150" s="132">
        <v>5</v>
      </c>
      <c r="B150" s="133"/>
      <c r="C150" s="4" t="s">
        <v>191</v>
      </c>
      <c r="D150" s="132">
        <f>(47.12+2.55*0.75+2.55*0.75+2.9*0.75+2.5*0.75)*10.764</f>
        <v>591.96617999999989</v>
      </c>
      <c r="E150" s="133"/>
      <c r="F150" s="4">
        <v>0</v>
      </c>
      <c r="G150" s="4">
        <v>1060</v>
      </c>
      <c r="H150" s="4" t="s">
        <v>90</v>
      </c>
      <c r="I150" s="257"/>
      <c r="J150" s="258"/>
      <c r="K150" s="43"/>
    </row>
    <row r="151" spans="1:11" s="3" customFormat="1" x14ac:dyDescent="0.35">
      <c r="A151" s="129" t="s">
        <v>258</v>
      </c>
      <c r="B151" s="130"/>
      <c r="C151" s="130"/>
      <c r="D151" s="130"/>
      <c r="E151" s="130"/>
      <c r="F151" s="130"/>
      <c r="G151" s="130"/>
      <c r="H151" s="130"/>
      <c r="I151" s="130"/>
      <c r="J151" s="131"/>
      <c r="K151" s="43"/>
    </row>
    <row r="152" spans="1:11" s="3" customFormat="1" ht="15.75" customHeight="1" x14ac:dyDescent="0.35">
      <c r="A152" s="132">
        <v>1</v>
      </c>
      <c r="B152" s="133"/>
      <c r="C152" s="4" t="s">
        <v>191</v>
      </c>
      <c r="D152" s="132">
        <f>(47.12+2.55*0.75+2.55*0.75+2.9*0.75+2.5*0.75)*10.764</f>
        <v>591.96617999999989</v>
      </c>
      <c r="E152" s="133"/>
      <c r="F152" s="4">
        <v>0</v>
      </c>
      <c r="G152" s="4">
        <v>1070</v>
      </c>
      <c r="H152" s="4" t="s">
        <v>90</v>
      </c>
      <c r="I152" s="134" t="str">
        <f>A151</f>
        <v>5th, 7th, 9th, 11th &amp; 13th Floor</v>
      </c>
      <c r="J152" s="135"/>
      <c r="K152" s="43"/>
    </row>
    <row r="153" spans="1:11" s="3" customFormat="1" x14ac:dyDescent="0.35">
      <c r="A153" s="132">
        <v>2</v>
      </c>
      <c r="B153" s="133"/>
      <c r="C153" s="4" t="s">
        <v>193</v>
      </c>
      <c r="D153" s="132">
        <f>(31.69+4*0.75+2.1*0.75+3*0.75)*10.764</f>
        <v>414.57545999999996</v>
      </c>
      <c r="E153" s="133"/>
      <c r="F153" s="4">
        <v>0</v>
      </c>
      <c r="G153" s="4">
        <v>745</v>
      </c>
      <c r="H153" s="4" t="s">
        <v>90</v>
      </c>
      <c r="I153" s="136"/>
      <c r="J153" s="137"/>
      <c r="K153" s="43"/>
    </row>
    <row r="154" spans="1:11" s="3" customFormat="1" x14ac:dyDescent="0.35">
      <c r="A154" s="132">
        <v>3</v>
      </c>
      <c r="B154" s="133"/>
      <c r="C154" s="4" t="s">
        <v>193</v>
      </c>
      <c r="D154" s="132">
        <f>(31.09+2.75*0.75+2.1*0.75+3*0.75)*10.764</f>
        <v>398.02581000000004</v>
      </c>
      <c r="E154" s="133"/>
      <c r="F154" s="4">
        <v>0</v>
      </c>
      <c r="G154" s="4">
        <v>715</v>
      </c>
      <c r="H154" s="4" t="s">
        <v>90</v>
      </c>
      <c r="I154" s="136"/>
      <c r="J154" s="137"/>
      <c r="K154" s="43"/>
    </row>
    <row r="155" spans="1:11" s="3" customFormat="1" x14ac:dyDescent="0.35">
      <c r="A155" s="132">
        <v>4</v>
      </c>
      <c r="B155" s="133"/>
      <c r="C155" s="4" t="s">
        <v>193</v>
      </c>
      <c r="D155" s="132">
        <f>(30.38+2.75*0.75+2.35*0.75+2.75*0.75)*10.764</f>
        <v>390.38336999999996</v>
      </c>
      <c r="E155" s="133"/>
      <c r="F155" s="4">
        <v>0</v>
      </c>
      <c r="G155" s="4">
        <v>700</v>
      </c>
      <c r="H155" s="4" t="s">
        <v>90</v>
      </c>
      <c r="I155" s="136"/>
      <c r="J155" s="137"/>
      <c r="K155" s="43"/>
    </row>
    <row r="156" spans="1:11" s="3" customFormat="1" x14ac:dyDescent="0.35">
      <c r="A156" s="132">
        <v>5</v>
      </c>
      <c r="B156" s="133"/>
      <c r="C156" s="4" t="s">
        <v>191</v>
      </c>
      <c r="D156" s="132">
        <f>(47.12+2.55*0.75+2.55*0.75+2.9*0.75+2.2*0.75)*10.764</f>
        <v>589.54427999999996</v>
      </c>
      <c r="E156" s="133"/>
      <c r="F156" s="4">
        <v>0</v>
      </c>
      <c r="G156" s="4">
        <v>1070</v>
      </c>
      <c r="H156" s="4" t="s">
        <v>90</v>
      </c>
      <c r="I156" s="138"/>
      <c r="J156" s="139"/>
      <c r="K156" s="43"/>
    </row>
    <row r="157" spans="1:11" s="3" customFormat="1" x14ac:dyDescent="0.35">
      <c r="A157" s="129" t="s">
        <v>259</v>
      </c>
      <c r="B157" s="130"/>
      <c r="C157" s="130"/>
      <c r="D157" s="130"/>
      <c r="E157" s="130"/>
      <c r="F157" s="130"/>
      <c r="G157" s="130"/>
      <c r="H157" s="130"/>
      <c r="I157" s="130"/>
      <c r="J157" s="131"/>
      <c r="K157" s="43"/>
    </row>
    <row r="158" spans="1:11" s="3" customFormat="1" x14ac:dyDescent="0.35">
      <c r="A158" s="132">
        <v>1</v>
      </c>
      <c r="B158" s="133"/>
      <c r="C158" s="4" t="s">
        <v>191</v>
      </c>
      <c r="D158" s="132">
        <f>(47.12+2.55*0.75+2.55*0.75+2.9*0.75+2.5*0.75)*10.764</f>
        <v>591.96617999999989</v>
      </c>
      <c r="E158" s="133"/>
      <c r="F158" s="4">
        <v>0</v>
      </c>
      <c r="G158" s="4">
        <v>1060</v>
      </c>
      <c r="H158" s="4" t="s">
        <v>90</v>
      </c>
      <c r="I158" s="134" t="str">
        <f>A317</f>
        <v>8th, 10th &amp; 12th Floor (Part Refuge Area)</v>
      </c>
      <c r="J158" s="135"/>
      <c r="K158" s="43"/>
    </row>
    <row r="159" spans="1:11" s="3" customFormat="1" x14ac:dyDescent="0.35">
      <c r="A159" s="132">
        <v>2</v>
      </c>
      <c r="B159" s="133"/>
      <c r="C159" s="4" t="s">
        <v>193</v>
      </c>
      <c r="D159" s="132">
        <f>(31.69+4*0.75+2.1*0.75+3*0.75)*10.764</f>
        <v>414.57545999999996</v>
      </c>
      <c r="E159" s="133"/>
      <c r="F159" s="4">
        <v>0</v>
      </c>
      <c r="G159" s="4">
        <v>740</v>
      </c>
      <c r="H159" s="4" t="s">
        <v>90</v>
      </c>
      <c r="I159" s="136"/>
      <c r="J159" s="137"/>
      <c r="K159" s="43"/>
    </row>
    <row r="160" spans="1:11" s="3" customFormat="1" x14ac:dyDescent="0.35">
      <c r="A160" s="132">
        <v>3</v>
      </c>
      <c r="B160" s="133"/>
      <c r="C160" s="4" t="s">
        <v>193</v>
      </c>
      <c r="D160" s="132">
        <f>(31.09+2.75*0.75+2.1*0.75+3*0.75)*10.764</f>
        <v>398.02581000000004</v>
      </c>
      <c r="E160" s="133"/>
      <c r="F160" s="4">
        <v>0</v>
      </c>
      <c r="G160" s="4">
        <v>715</v>
      </c>
      <c r="H160" s="4" t="s">
        <v>90</v>
      </c>
      <c r="I160" s="136"/>
      <c r="J160" s="137"/>
      <c r="K160" s="43"/>
    </row>
    <row r="161" spans="1:11" s="3" customFormat="1" x14ac:dyDescent="0.35">
      <c r="A161" s="132">
        <v>4</v>
      </c>
      <c r="B161" s="133"/>
      <c r="C161" s="4" t="s">
        <v>193</v>
      </c>
      <c r="D161" s="132">
        <f>(30.38+2.75*0.75+2.35*0.75+2.75*0.75)*10.764</f>
        <v>390.38336999999996</v>
      </c>
      <c r="E161" s="133"/>
      <c r="F161" s="4">
        <v>0</v>
      </c>
      <c r="G161" s="4">
        <v>695</v>
      </c>
      <c r="H161" s="4" t="s">
        <v>90</v>
      </c>
      <c r="I161" s="136"/>
      <c r="J161" s="137"/>
      <c r="K161" s="43"/>
    </row>
    <row r="162" spans="1:11" s="3" customFormat="1" x14ac:dyDescent="0.35">
      <c r="A162" s="132">
        <v>5</v>
      </c>
      <c r="B162" s="133"/>
      <c r="C162" s="4" t="s">
        <v>191</v>
      </c>
      <c r="D162" s="132">
        <f>(47.12+2.55*0.75+2.55*0.75+2.9*0.75+2.2*0.75)*10.764</f>
        <v>589.54427999999996</v>
      </c>
      <c r="E162" s="133"/>
      <c r="F162" s="4">
        <v>0</v>
      </c>
      <c r="G162" s="4">
        <v>1060</v>
      </c>
      <c r="H162" s="4" t="s">
        <v>90</v>
      </c>
      <c r="I162" s="138"/>
      <c r="J162" s="139"/>
      <c r="K162" s="43"/>
    </row>
    <row r="163" spans="1:11" s="80" customFormat="1" x14ac:dyDescent="0.35">
      <c r="A163" s="140" t="s">
        <v>260</v>
      </c>
      <c r="B163" s="141"/>
      <c r="C163" s="141"/>
      <c r="D163" s="141"/>
      <c r="E163" s="141"/>
      <c r="F163" s="141"/>
      <c r="G163" s="141"/>
      <c r="H163" s="141"/>
      <c r="I163" s="141"/>
      <c r="J163" s="142"/>
      <c r="K163" s="79"/>
    </row>
    <row r="164" spans="1:11" s="80" customFormat="1" x14ac:dyDescent="0.35">
      <c r="A164" s="143">
        <v>1</v>
      </c>
      <c r="B164" s="144"/>
      <c r="C164" s="81" t="s">
        <v>193</v>
      </c>
      <c r="D164" s="143">
        <f>(38.9+2.55*0.75+2.55*0.75+2.5*0.75)*10.764</f>
        <v>480.07439999999997</v>
      </c>
      <c r="E164" s="144"/>
      <c r="F164" s="81">
        <f>3*2.85*10.764</f>
        <v>92.032200000000003</v>
      </c>
      <c r="G164" s="81">
        <v>905</v>
      </c>
      <c r="H164" s="81" t="s">
        <v>90</v>
      </c>
      <c r="I164" s="151" t="str">
        <f>A163</f>
        <v>14th Floor (Part Terrace Area)</v>
      </c>
      <c r="J164" s="152"/>
      <c r="K164" s="79"/>
    </row>
    <row r="165" spans="1:11" s="80" customFormat="1" x14ac:dyDescent="0.35">
      <c r="A165" s="143">
        <v>2</v>
      </c>
      <c r="B165" s="144"/>
      <c r="C165" s="81" t="s">
        <v>193</v>
      </c>
      <c r="D165" s="143">
        <f>(31.09+2.75*0.75+2.1*0.75+3*0.75)*10.764</f>
        <v>398.02581000000004</v>
      </c>
      <c r="E165" s="144"/>
      <c r="F165" s="81">
        <v>0</v>
      </c>
      <c r="G165" s="4">
        <v>715</v>
      </c>
      <c r="H165" s="81" t="s">
        <v>90</v>
      </c>
      <c r="I165" s="153"/>
      <c r="J165" s="154"/>
      <c r="K165" s="79"/>
    </row>
    <row r="166" spans="1:11" s="80" customFormat="1" x14ac:dyDescent="0.35">
      <c r="A166" s="143">
        <v>3</v>
      </c>
      <c r="B166" s="144"/>
      <c r="C166" s="81" t="s">
        <v>193</v>
      </c>
      <c r="D166" s="143">
        <f>(30.38+2.75*0.75+2.35*0.75+2.75*0.75)*10.764</f>
        <v>390.38336999999996</v>
      </c>
      <c r="E166" s="144"/>
      <c r="F166" s="81">
        <v>0</v>
      </c>
      <c r="G166" s="81">
        <v>695</v>
      </c>
      <c r="H166" s="81" t="s">
        <v>90</v>
      </c>
      <c r="I166" s="153"/>
      <c r="J166" s="154"/>
      <c r="K166" s="79"/>
    </row>
    <row r="167" spans="1:11" s="80" customFormat="1" x14ac:dyDescent="0.35">
      <c r="A167" s="143">
        <v>4</v>
      </c>
      <c r="B167" s="144"/>
      <c r="C167" s="81" t="s">
        <v>191</v>
      </c>
      <c r="D167" s="143">
        <f>(47.12+2.55*0.75+2.55*0.75+2.9*0.75+2.2*0.75)*10.764</f>
        <v>589.54427999999996</v>
      </c>
      <c r="E167" s="144"/>
      <c r="F167" s="81">
        <v>0</v>
      </c>
      <c r="G167" s="4">
        <v>1060</v>
      </c>
      <c r="H167" s="81" t="s">
        <v>90</v>
      </c>
      <c r="I167" s="153"/>
      <c r="J167" s="154"/>
      <c r="K167" s="79"/>
    </row>
    <row r="168" spans="1:11" s="3" customFormat="1" x14ac:dyDescent="0.35">
      <c r="A168" s="129" t="s">
        <v>192</v>
      </c>
      <c r="B168" s="130"/>
      <c r="C168" s="130"/>
      <c r="D168" s="130"/>
      <c r="E168" s="130"/>
      <c r="F168" s="130"/>
      <c r="G168" s="130"/>
      <c r="H168" s="130"/>
      <c r="I168" s="130"/>
      <c r="J168" s="131"/>
      <c r="K168" s="43"/>
    </row>
    <row r="169" spans="1:11" s="3" customFormat="1" ht="15.75" customHeight="1" x14ac:dyDescent="0.35">
      <c r="A169" s="129" t="s">
        <v>256</v>
      </c>
      <c r="B169" s="130"/>
      <c r="C169" s="130"/>
      <c r="D169" s="130"/>
      <c r="E169" s="130"/>
      <c r="F169" s="130"/>
      <c r="G169" s="130"/>
      <c r="H169" s="130"/>
      <c r="I169" s="130"/>
      <c r="J169" s="131"/>
      <c r="K169" s="43"/>
    </row>
    <row r="170" spans="1:11" s="3" customFormat="1" ht="15.75" customHeight="1" x14ac:dyDescent="0.35">
      <c r="A170" s="129" t="s">
        <v>257</v>
      </c>
      <c r="B170" s="130"/>
      <c r="C170" s="130"/>
      <c r="D170" s="130"/>
      <c r="E170" s="130"/>
      <c r="F170" s="130"/>
      <c r="G170" s="130"/>
      <c r="H170" s="130"/>
      <c r="I170" s="130"/>
      <c r="J170" s="131"/>
      <c r="K170" s="43"/>
    </row>
    <row r="171" spans="1:11" s="3" customFormat="1" x14ac:dyDescent="0.35">
      <c r="A171" s="132">
        <v>1</v>
      </c>
      <c r="B171" s="133"/>
      <c r="C171" s="4" t="s">
        <v>193</v>
      </c>
      <c r="D171" s="132">
        <f>(31.14+2.8*0.75+2.65*0.75+3.05*0.75+1.65*0.75)*10.764</f>
        <v>417.13190999999995</v>
      </c>
      <c r="E171" s="133"/>
      <c r="F171" s="4">
        <v>0</v>
      </c>
      <c r="G171" s="4">
        <v>710</v>
      </c>
      <c r="H171" s="4" t="s">
        <v>90</v>
      </c>
      <c r="I171" s="134" t="str">
        <f>I137</f>
        <v>2nd Floor</v>
      </c>
      <c r="J171" s="135"/>
      <c r="K171" s="43"/>
    </row>
    <row r="172" spans="1:11" s="3" customFormat="1" x14ac:dyDescent="0.35">
      <c r="A172" s="132">
        <v>2</v>
      </c>
      <c r="B172" s="133"/>
      <c r="C172" s="4" t="s">
        <v>191</v>
      </c>
      <c r="D172" s="132">
        <f>(49.53+2.8*0.75+2.56*0.75+3.05*0.75+1.5*0.75)*10.764</f>
        <v>613.14435000000003</v>
      </c>
      <c r="E172" s="133"/>
      <c r="F172" s="4">
        <v>0</v>
      </c>
      <c r="G172" s="4">
        <v>1115</v>
      </c>
      <c r="H172" s="4" t="s">
        <v>90</v>
      </c>
      <c r="I172" s="136"/>
      <c r="J172" s="137"/>
      <c r="K172" s="43"/>
    </row>
    <row r="173" spans="1:11" s="3" customFormat="1" x14ac:dyDescent="0.35">
      <c r="A173" s="132">
        <v>3</v>
      </c>
      <c r="B173" s="133"/>
      <c r="C173" s="4" t="s">
        <v>191</v>
      </c>
      <c r="D173" s="132">
        <f>(54.75+2.8*0.75+2.55*0.75+3.15*0.75+2.5*0.75)*10.764</f>
        <v>678.13199999999995</v>
      </c>
      <c r="E173" s="133"/>
      <c r="F173" s="4">
        <v>0</v>
      </c>
      <c r="G173" s="4">
        <v>1210</v>
      </c>
      <c r="H173" s="4" t="s">
        <v>90</v>
      </c>
      <c r="I173" s="138"/>
      <c r="J173" s="139"/>
      <c r="K173" s="43"/>
    </row>
    <row r="174" spans="1:11" s="3" customFormat="1" ht="15.75" customHeight="1" x14ac:dyDescent="0.35">
      <c r="A174" s="129" t="s">
        <v>198</v>
      </c>
      <c r="B174" s="130"/>
      <c r="C174" s="130"/>
      <c r="D174" s="130"/>
      <c r="E174" s="130"/>
      <c r="F174" s="130"/>
      <c r="G174" s="130"/>
      <c r="H174" s="130"/>
      <c r="I174" s="130"/>
      <c r="J174" s="131"/>
      <c r="K174" s="43"/>
    </row>
    <row r="175" spans="1:11" s="3" customFormat="1" x14ac:dyDescent="0.35">
      <c r="A175" s="132">
        <v>1</v>
      </c>
      <c r="B175" s="133"/>
      <c r="C175" s="4" t="s">
        <v>193</v>
      </c>
      <c r="D175" s="132">
        <f>(31.13+2.85*0.75+2.5*0.75+3.1*0.75)*10.764</f>
        <v>403.30016999999998</v>
      </c>
      <c r="E175" s="133"/>
      <c r="F175" s="4">
        <v>0</v>
      </c>
      <c r="G175" s="4">
        <v>725</v>
      </c>
      <c r="H175" s="4" t="s">
        <v>90</v>
      </c>
      <c r="I175" s="134" t="str">
        <f>I140</f>
        <v>3rd Floor</v>
      </c>
      <c r="J175" s="135"/>
      <c r="K175" s="43"/>
    </row>
    <row r="176" spans="1:11" s="3" customFormat="1" x14ac:dyDescent="0.35">
      <c r="A176" s="132">
        <v>2</v>
      </c>
      <c r="B176" s="133"/>
      <c r="C176" s="4" t="s">
        <v>193</v>
      </c>
      <c r="D176" s="132">
        <f>(30.36+2.95*0.75+2.35*0.75+3*0.75)*10.764</f>
        <v>393.80093999999997</v>
      </c>
      <c r="E176" s="133"/>
      <c r="F176" s="4">
        <v>0</v>
      </c>
      <c r="G176" s="4">
        <v>700</v>
      </c>
      <c r="H176" s="4" t="s">
        <v>90</v>
      </c>
      <c r="I176" s="136"/>
      <c r="J176" s="137"/>
      <c r="K176" s="43"/>
    </row>
    <row r="177" spans="1:11" s="3" customFormat="1" x14ac:dyDescent="0.35">
      <c r="A177" s="132">
        <v>4</v>
      </c>
      <c r="B177" s="133"/>
      <c r="C177" s="4" t="s">
        <v>191</v>
      </c>
      <c r="D177" s="132">
        <f>(54.75+2.8*0.75+2.55*0.75+3.15*0.75+2.5*0.75)*10.764</f>
        <v>678.13199999999995</v>
      </c>
      <c r="E177" s="133"/>
      <c r="F177" s="4">
        <v>0</v>
      </c>
      <c r="G177" s="4">
        <v>1115</v>
      </c>
      <c r="H177" s="4" t="s">
        <v>90</v>
      </c>
      <c r="I177" s="136"/>
      <c r="J177" s="137"/>
      <c r="K177" s="43"/>
    </row>
    <row r="178" spans="1:11" s="3" customFormat="1" x14ac:dyDescent="0.35">
      <c r="A178" s="132">
        <v>5</v>
      </c>
      <c r="B178" s="133"/>
      <c r="C178" s="4" t="s">
        <v>191</v>
      </c>
      <c r="D178" s="132">
        <f>(49.53+2.7*0.75+2.7*0.75+3.05*0.75+2.5*0.75)*10.764</f>
        <v>621.54026999999996</v>
      </c>
      <c r="E178" s="133"/>
      <c r="F178" s="4">
        <v>0</v>
      </c>
      <c r="G178" s="4">
        <v>1220</v>
      </c>
      <c r="H178" s="4" t="s">
        <v>90</v>
      </c>
      <c r="I178" s="138"/>
      <c r="J178" s="139"/>
      <c r="K178" s="43"/>
    </row>
    <row r="179" spans="1:11" s="3" customFormat="1" x14ac:dyDescent="0.35">
      <c r="A179" s="129" t="s">
        <v>204</v>
      </c>
      <c r="B179" s="130"/>
      <c r="C179" s="130"/>
      <c r="D179" s="130"/>
      <c r="E179" s="130"/>
      <c r="F179" s="130"/>
      <c r="G179" s="130"/>
      <c r="H179" s="130"/>
      <c r="I179" s="130"/>
      <c r="J179" s="131"/>
      <c r="K179" s="43"/>
    </row>
    <row r="180" spans="1:11" s="3" customFormat="1" x14ac:dyDescent="0.35">
      <c r="A180" s="132">
        <v>1</v>
      </c>
      <c r="B180" s="133"/>
      <c r="C180" s="4" t="s">
        <v>193</v>
      </c>
      <c r="D180" s="132">
        <f>(31.13+2.85*0.75+2.5*0.75+3.15*0.75)*10.764</f>
        <v>403.70381999999995</v>
      </c>
      <c r="E180" s="133"/>
      <c r="F180" s="4">
        <v>0</v>
      </c>
      <c r="G180" s="4">
        <v>710</v>
      </c>
      <c r="H180" s="4" t="s">
        <v>90</v>
      </c>
      <c r="I180" s="134" t="str">
        <f>A179</f>
        <v>4th &amp; 6th Floor</v>
      </c>
      <c r="J180" s="135"/>
      <c r="K180" s="43"/>
    </row>
    <row r="181" spans="1:11" s="3" customFormat="1" x14ac:dyDescent="0.35">
      <c r="A181" s="132">
        <v>2</v>
      </c>
      <c r="B181" s="133"/>
      <c r="C181" s="4" t="s">
        <v>193</v>
      </c>
      <c r="D181" s="132">
        <f>(30.36+2.85*0.75+2.35*0.75+2.9*0.75)*10.764</f>
        <v>392.18633999999997</v>
      </c>
      <c r="E181" s="133"/>
      <c r="F181" s="4">
        <v>0</v>
      </c>
      <c r="G181" s="4">
        <v>695</v>
      </c>
      <c r="H181" s="4" t="s">
        <v>90</v>
      </c>
      <c r="I181" s="136"/>
      <c r="J181" s="137"/>
      <c r="K181" s="43"/>
    </row>
    <row r="182" spans="1:11" s="3" customFormat="1" x14ac:dyDescent="0.35">
      <c r="A182" s="132">
        <v>3</v>
      </c>
      <c r="B182" s="133"/>
      <c r="C182" s="4" t="s">
        <v>191</v>
      </c>
      <c r="D182" s="132">
        <f>(49.53+2.8*0.75+2.55*0.75+3.05*0.75+2.5*0.75)*10.764</f>
        <v>621.13661999999999</v>
      </c>
      <c r="E182" s="133"/>
      <c r="F182" s="4">
        <v>0</v>
      </c>
      <c r="G182" s="4">
        <v>1110</v>
      </c>
      <c r="H182" s="4" t="s">
        <v>90</v>
      </c>
      <c r="I182" s="136"/>
      <c r="J182" s="137"/>
      <c r="K182" s="43"/>
    </row>
    <row r="183" spans="1:11" s="3" customFormat="1" x14ac:dyDescent="0.35">
      <c r="A183" s="132">
        <v>4</v>
      </c>
      <c r="B183" s="133"/>
      <c r="C183" s="4" t="s">
        <v>191</v>
      </c>
      <c r="D183" s="132">
        <f>(54.75+2.9*0.75+2.55*0.75+3*0.75+2.5*0.75)*10.764</f>
        <v>677.72834999999998</v>
      </c>
      <c r="E183" s="133"/>
      <c r="F183" s="4">
        <v>0</v>
      </c>
      <c r="G183" s="4">
        <v>1210</v>
      </c>
      <c r="H183" s="4" t="s">
        <v>90</v>
      </c>
      <c r="I183" s="138"/>
      <c r="J183" s="139"/>
      <c r="K183" s="43"/>
    </row>
    <row r="184" spans="1:11" s="3" customFormat="1" ht="15.75" customHeight="1" x14ac:dyDescent="0.35">
      <c r="A184" s="129" t="s">
        <v>258</v>
      </c>
      <c r="B184" s="130"/>
      <c r="C184" s="130"/>
      <c r="D184" s="130"/>
      <c r="E184" s="130"/>
      <c r="F184" s="130"/>
      <c r="G184" s="130"/>
      <c r="H184" s="130"/>
      <c r="I184" s="130"/>
      <c r="J184" s="131"/>
      <c r="K184" s="43"/>
    </row>
    <row r="185" spans="1:11" s="3" customFormat="1" x14ac:dyDescent="0.35">
      <c r="A185" s="132">
        <v>1</v>
      </c>
      <c r="B185" s="133"/>
      <c r="C185" s="4" t="s">
        <v>193</v>
      </c>
      <c r="D185" s="132">
        <f>(31.13+2.85*0.75+2.5*0.75+3.1*0.75)*10.764</f>
        <v>403.30016999999998</v>
      </c>
      <c r="E185" s="133"/>
      <c r="F185" s="4">
        <v>0</v>
      </c>
      <c r="G185" s="4">
        <v>725</v>
      </c>
      <c r="H185" s="4" t="s">
        <v>90</v>
      </c>
      <c r="I185" s="134" t="str">
        <f>A184</f>
        <v>5th, 7th, 9th, 11th &amp; 13th Floor</v>
      </c>
      <c r="J185" s="135"/>
      <c r="K185" s="43"/>
    </row>
    <row r="186" spans="1:11" s="3" customFormat="1" x14ac:dyDescent="0.35">
      <c r="A186" s="132">
        <v>2</v>
      </c>
      <c r="B186" s="133"/>
      <c r="C186" s="4" t="s">
        <v>193</v>
      </c>
      <c r="D186" s="132">
        <f>(30.36+2.95*0.75+2.35*0.75+2.9*0.75)*10.764</f>
        <v>392.99363999999997</v>
      </c>
      <c r="E186" s="133"/>
      <c r="F186" s="4">
        <v>0</v>
      </c>
      <c r="G186" s="4">
        <v>700</v>
      </c>
      <c r="H186" s="4" t="s">
        <v>90</v>
      </c>
      <c r="I186" s="136"/>
      <c r="J186" s="137"/>
      <c r="K186" s="43"/>
    </row>
    <row r="187" spans="1:11" s="3" customFormat="1" x14ac:dyDescent="0.35">
      <c r="A187" s="132">
        <v>3</v>
      </c>
      <c r="B187" s="133"/>
      <c r="C187" s="4" t="s">
        <v>191</v>
      </c>
      <c r="D187" s="132">
        <f>(49.53+2.7*0.75+2.5*0.75+3.05*0.75+2.5*0.75)*10.764</f>
        <v>619.92566999999997</v>
      </c>
      <c r="E187" s="133"/>
      <c r="F187" s="4">
        <v>0</v>
      </c>
      <c r="G187" s="4">
        <v>1115</v>
      </c>
      <c r="H187" s="4" t="s">
        <v>90</v>
      </c>
      <c r="I187" s="136"/>
      <c r="J187" s="137"/>
      <c r="K187" s="43"/>
    </row>
    <row r="188" spans="1:11" s="3" customFormat="1" x14ac:dyDescent="0.35">
      <c r="A188" s="132">
        <v>4</v>
      </c>
      <c r="B188" s="133"/>
      <c r="C188" s="4" t="s">
        <v>191</v>
      </c>
      <c r="D188" s="132">
        <f>(54.75+2.9*0.75+2.55*0.75+3.15*0.75+2.5*0.75)*10.764</f>
        <v>678.93929999999989</v>
      </c>
      <c r="E188" s="133"/>
      <c r="F188" s="4">
        <v>0</v>
      </c>
      <c r="G188" s="4">
        <v>1220</v>
      </c>
      <c r="H188" s="4" t="s">
        <v>90</v>
      </c>
      <c r="I188" s="138"/>
      <c r="J188" s="139"/>
      <c r="K188" s="43"/>
    </row>
    <row r="189" spans="1:11" s="3" customFormat="1" ht="15.75" customHeight="1" x14ac:dyDescent="0.35">
      <c r="A189" s="129" t="s">
        <v>259</v>
      </c>
      <c r="B189" s="130"/>
      <c r="C189" s="130"/>
      <c r="D189" s="130"/>
      <c r="E189" s="130"/>
      <c r="F189" s="130"/>
      <c r="G189" s="130"/>
      <c r="H189" s="130"/>
      <c r="I189" s="130"/>
      <c r="J189" s="131"/>
      <c r="K189" s="43"/>
    </row>
    <row r="190" spans="1:11" s="3" customFormat="1" x14ac:dyDescent="0.35">
      <c r="A190" s="132">
        <v>1</v>
      </c>
      <c r="B190" s="133"/>
      <c r="C190" s="4" t="s">
        <v>193</v>
      </c>
      <c r="D190" s="132">
        <f>(31.13+2.85*0.75+2.5*0.75+3.1*0.75)*10.764</f>
        <v>403.30016999999998</v>
      </c>
      <c r="E190" s="133"/>
      <c r="F190" s="4">
        <v>0</v>
      </c>
      <c r="G190" s="4">
        <v>710</v>
      </c>
      <c r="H190" s="4" t="s">
        <v>90</v>
      </c>
      <c r="I190" s="134" t="str">
        <f>A189</f>
        <v>8th, 10th &amp; 12th Floor (Part Refuge Area)</v>
      </c>
      <c r="J190" s="135"/>
      <c r="K190" s="43"/>
    </row>
    <row r="191" spans="1:11" s="3" customFormat="1" x14ac:dyDescent="0.35">
      <c r="A191" s="132">
        <v>2</v>
      </c>
      <c r="B191" s="133"/>
      <c r="C191" s="4" t="s">
        <v>193</v>
      </c>
      <c r="D191" s="132">
        <f>(30.36+2.95*0.75+2.35*0.75+2.9*0.75)*10.764</f>
        <v>392.99363999999997</v>
      </c>
      <c r="E191" s="133"/>
      <c r="F191" s="4">
        <v>0</v>
      </c>
      <c r="G191" s="4">
        <v>695</v>
      </c>
      <c r="H191" s="4" t="s">
        <v>90</v>
      </c>
      <c r="I191" s="136"/>
      <c r="J191" s="137"/>
      <c r="K191" s="43"/>
    </row>
    <row r="192" spans="1:11" s="3" customFormat="1" x14ac:dyDescent="0.35">
      <c r="A192" s="132">
        <v>3</v>
      </c>
      <c r="B192" s="133"/>
      <c r="C192" s="4" t="s">
        <v>191</v>
      </c>
      <c r="D192" s="132">
        <f>(49.53+2.7*0.75+2.5*0.75+3.05*0.75+2.5*0.75)*10.764</f>
        <v>619.92566999999997</v>
      </c>
      <c r="E192" s="133"/>
      <c r="F192" s="4">
        <v>0</v>
      </c>
      <c r="G192" s="4">
        <v>1110</v>
      </c>
      <c r="H192" s="4" t="s">
        <v>90</v>
      </c>
      <c r="I192" s="136"/>
      <c r="J192" s="137"/>
      <c r="K192" s="43"/>
    </row>
    <row r="193" spans="1:11" s="3" customFormat="1" x14ac:dyDescent="0.35">
      <c r="A193" s="132">
        <v>4</v>
      </c>
      <c r="B193" s="133"/>
      <c r="C193" s="4" t="s">
        <v>191</v>
      </c>
      <c r="D193" s="132">
        <f>(54.75+2.9*0.75+2.55*0.75+3.15*0.75+2.5*0.75)*10.764</f>
        <v>678.93929999999989</v>
      </c>
      <c r="E193" s="133"/>
      <c r="F193" s="4">
        <v>0</v>
      </c>
      <c r="G193" s="4">
        <v>1210</v>
      </c>
      <c r="H193" s="4" t="s">
        <v>90</v>
      </c>
      <c r="I193" s="138"/>
      <c r="J193" s="139"/>
      <c r="K193" s="43"/>
    </row>
    <row r="194" spans="1:11" s="3" customFormat="1" ht="15.75" customHeight="1" x14ac:dyDescent="0.35">
      <c r="A194" s="140" t="s">
        <v>260</v>
      </c>
      <c r="B194" s="141"/>
      <c r="C194" s="141"/>
      <c r="D194" s="141"/>
      <c r="E194" s="141"/>
      <c r="F194" s="141"/>
      <c r="G194" s="141"/>
      <c r="H194" s="141"/>
      <c r="I194" s="141"/>
      <c r="J194" s="142"/>
      <c r="K194" s="43"/>
    </row>
    <row r="195" spans="1:11" s="3" customFormat="1" x14ac:dyDescent="0.35">
      <c r="A195" s="143">
        <v>1</v>
      </c>
      <c r="B195" s="144"/>
      <c r="C195" s="81" t="s">
        <v>193</v>
      </c>
      <c r="D195" s="143">
        <f>(30.36+2.95*0.75+2.35*0.75+2.9*0.75)*10.764</f>
        <v>392.99363999999997</v>
      </c>
      <c r="E195" s="144"/>
      <c r="F195" s="81">
        <v>0</v>
      </c>
      <c r="G195" s="81">
        <v>695</v>
      </c>
      <c r="H195" s="81" t="s">
        <v>90</v>
      </c>
      <c r="I195" s="151" t="str">
        <f>A194</f>
        <v>14th Floor (Part Terrace Area)</v>
      </c>
      <c r="J195" s="152"/>
      <c r="K195" s="43"/>
    </row>
    <row r="196" spans="1:11" s="3" customFormat="1" x14ac:dyDescent="0.35">
      <c r="A196" s="143">
        <v>2</v>
      </c>
      <c r="B196" s="144"/>
      <c r="C196" s="81" t="s">
        <v>193</v>
      </c>
      <c r="D196" s="143">
        <f>(54.75+2.9*0.75+2.55*0.75+3.15*0.75+2.5*0.75)*10.764</f>
        <v>678.93929999999989</v>
      </c>
      <c r="E196" s="144"/>
      <c r="F196" s="81">
        <v>0</v>
      </c>
      <c r="G196" s="81">
        <v>1210</v>
      </c>
      <c r="H196" s="81" t="s">
        <v>90</v>
      </c>
      <c r="I196" s="153"/>
      <c r="J196" s="154"/>
      <c r="K196" s="43"/>
    </row>
    <row r="197" spans="1:11" s="3" customFormat="1" x14ac:dyDescent="0.35">
      <c r="A197" s="129" t="s">
        <v>194</v>
      </c>
      <c r="B197" s="130"/>
      <c r="C197" s="130"/>
      <c r="D197" s="130"/>
      <c r="E197" s="130"/>
      <c r="F197" s="130"/>
      <c r="G197" s="130"/>
      <c r="H197" s="130"/>
      <c r="I197" s="130"/>
      <c r="J197" s="131"/>
      <c r="K197" s="43"/>
    </row>
    <row r="198" spans="1:11" s="3" customFormat="1" ht="15.75" customHeight="1" x14ac:dyDescent="0.35">
      <c r="A198" s="129" t="s">
        <v>256</v>
      </c>
      <c r="B198" s="130"/>
      <c r="C198" s="130"/>
      <c r="D198" s="130"/>
      <c r="E198" s="130"/>
      <c r="F198" s="130"/>
      <c r="G198" s="130"/>
      <c r="H198" s="130"/>
      <c r="I198" s="130"/>
      <c r="J198" s="131"/>
      <c r="K198" s="43"/>
    </row>
    <row r="199" spans="1:11" s="3" customFormat="1" ht="15.75" customHeight="1" x14ac:dyDescent="0.35">
      <c r="A199" s="129" t="s">
        <v>257</v>
      </c>
      <c r="B199" s="130"/>
      <c r="C199" s="130"/>
      <c r="D199" s="130"/>
      <c r="E199" s="130"/>
      <c r="F199" s="130"/>
      <c r="G199" s="130"/>
      <c r="H199" s="130"/>
      <c r="I199" s="130"/>
      <c r="J199" s="131"/>
      <c r="K199" s="43"/>
    </row>
    <row r="200" spans="1:11" s="3" customFormat="1" x14ac:dyDescent="0.35">
      <c r="A200" s="132">
        <v>1</v>
      </c>
      <c r="B200" s="133"/>
      <c r="C200" s="4" t="s">
        <v>191</v>
      </c>
      <c r="D200" s="132">
        <f>(49.59+2.8*0.75+2.55*0.75+3.05*0.75+2.5*0.75)*10.764</f>
        <v>621.78246000000001</v>
      </c>
      <c r="E200" s="133"/>
      <c r="F200" s="4">
        <v>0</v>
      </c>
      <c r="G200" s="4">
        <v>1115</v>
      </c>
      <c r="H200" s="4" t="s">
        <v>90</v>
      </c>
      <c r="I200" s="134" t="str">
        <f>I171</f>
        <v>2nd Floor</v>
      </c>
      <c r="J200" s="135"/>
      <c r="K200" s="43"/>
    </row>
    <row r="201" spans="1:11" s="3" customFormat="1" x14ac:dyDescent="0.35">
      <c r="A201" s="132">
        <v>2</v>
      </c>
      <c r="B201" s="133"/>
      <c r="C201" s="4" t="s">
        <v>191</v>
      </c>
      <c r="D201" s="132">
        <f>(49.59+2.8*0.75+2.55*0.75+3.05*0.75+2.5*0.75)*10.764</f>
        <v>621.78246000000001</v>
      </c>
      <c r="E201" s="133"/>
      <c r="F201" s="4">
        <v>0</v>
      </c>
      <c r="G201" s="4">
        <v>1115</v>
      </c>
      <c r="H201" s="4" t="s">
        <v>90</v>
      </c>
      <c r="I201" s="138"/>
      <c r="J201" s="139"/>
      <c r="K201" s="43"/>
    </row>
    <row r="202" spans="1:11" s="3" customFormat="1" ht="15.75" customHeight="1" x14ac:dyDescent="0.35">
      <c r="A202" s="129" t="s">
        <v>198</v>
      </c>
      <c r="B202" s="130"/>
      <c r="C202" s="130"/>
      <c r="D202" s="130"/>
      <c r="E202" s="130"/>
      <c r="F202" s="130"/>
      <c r="G202" s="130"/>
      <c r="H202" s="130"/>
      <c r="I202" s="130"/>
      <c r="J202" s="131"/>
      <c r="K202" s="43"/>
    </row>
    <row r="203" spans="1:11" s="3" customFormat="1" x14ac:dyDescent="0.35">
      <c r="A203" s="132">
        <v>1</v>
      </c>
      <c r="B203" s="133"/>
      <c r="C203" s="4" t="s">
        <v>191</v>
      </c>
      <c r="D203" s="132">
        <f>(49.59+2.7*0.75+2.55*0.75+3.05*0.75+2.5*0.75)*10.764</f>
        <v>620.97515999999996</v>
      </c>
      <c r="E203" s="133"/>
      <c r="F203" s="4">
        <v>0</v>
      </c>
      <c r="G203" s="4">
        <v>1115</v>
      </c>
      <c r="H203" s="4" t="s">
        <v>90</v>
      </c>
      <c r="I203" s="134" t="str">
        <f>I175</f>
        <v>3rd Floor</v>
      </c>
      <c r="J203" s="135"/>
      <c r="K203" s="43"/>
    </row>
    <row r="204" spans="1:11" s="3" customFormat="1" x14ac:dyDescent="0.35">
      <c r="A204" s="132">
        <v>2</v>
      </c>
      <c r="B204" s="133"/>
      <c r="C204" s="4" t="s">
        <v>191</v>
      </c>
      <c r="D204" s="132">
        <f>(49.37+2.5*0.75+3*0.75+2.2*0.75+3*0.75)*10.764</f>
        <v>617.79977999999994</v>
      </c>
      <c r="E204" s="133"/>
      <c r="F204" s="4">
        <v>0</v>
      </c>
      <c r="G204" s="4">
        <v>1115</v>
      </c>
      <c r="H204" s="4" t="s">
        <v>90</v>
      </c>
      <c r="I204" s="136"/>
      <c r="J204" s="137"/>
      <c r="K204" s="43"/>
    </row>
    <row r="205" spans="1:11" s="3" customFormat="1" x14ac:dyDescent="0.35">
      <c r="A205" s="132">
        <v>3</v>
      </c>
      <c r="B205" s="133"/>
      <c r="C205" s="4" t="s">
        <v>193</v>
      </c>
      <c r="D205" s="132">
        <f>(31.36+2.75*0.75+2.1*0.75+3*0.75)*10.764</f>
        <v>400.93209000000002</v>
      </c>
      <c r="E205" s="133"/>
      <c r="F205" s="4">
        <v>0</v>
      </c>
      <c r="G205" s="4">
        <v>705</v>
      </c>
      <c r="H205" s="4" t="s">
        <v>90</v>
      </c>
      <c r="I205" s="136"/>
      <c r="J205" s="137"/>
      <c r="K205" s="43"/>
    </row>
    <row r="206" spans="1:11" s="3" customFormat="1" x14ac:dyDescent="0.35">
      <c r="A206" s="132">
        <v>4</v>
      </c>
      <c r="B206" s="133"/>
      <c r="C206" s="4" t="s">
        <v>191</v>
      </c>
      <c r="D206" s="132">
        <f>(49.37+2.7*0.75+2.55*0.75+3.05*0.75+2.5*0.75)*10.764</f>
        <v>618.60708</v>
      </c>
      <c r="E206" s="133"/>
      <c r="F206" s="4">
        <v>0</v>
      </c>
      <c r="G206" s="4">
        <v>1115</v>
      </c>
      <c r="H206" s="4" t="s">
        <v>90</v>
      </c>
      <c r="I206" s="136"/>
      <c r="J206" s="137"/>
      <c r="K206" s="43"/>
    </row>
    <row r="207" spans="1:11" s="3" customFormat="1" x14ac:dyDescent="0.35">
      <c r="A207" s="132">
        <v>5</v>
      </c>
      <c r="B207" s="133"/>
      <c r="C207" s="4" t="s">
        <v>191</v>
      </c>
      <c r="D207" s="132">
        <f>(49.59+2.7*0.75+2.55*0.75+3.05*0.75+2.5*0.75)*10.764</f>
        <v>620.97515999999996</v>
      </c>
      <c r="E207" s="133"/>
      <c r="F207" s="4">
        <v>0</v>
      </c>
      <c r="G207" s="4">
        <v>1115</v>
      </c>
      <c r="H207" s="4" t="s">
        <v>90</v>
      </c>
      <c r="I207" s="138"/>
      <c r="J207" s="139"/>
      <c r="K207" s="43"/>
    </row>
    <row r="208" spans="1:11" s="3" customFormat="1" x14ac:dyDescent="0.35">
      <c r="A208" s="129" t="s">
        <v>204</v>
      </c>
      <c r="B208" s="130"/>
      <c r="C208" s="130"/>
      <c r="D208" s="130"/>
      <c r="E208" s="130"/>
      <c r="F208" s="130"/>
      <c r="G208" s="130"/>
      <c r="H208" s="130"/>
      <c r="I208" s="130"/>
      <c r="J208" s="131"/>
      <c r="K208" s="43"/>
    </row>
    <row r="209" spans="1:11" s="3" customFormat="1" x14ac:dyDescent="0.35">
      <c r="A209" s="132">
        <v>1</v>
      </c>
      <c r="B209" s="133"/>
      <c r="C209" s="4" t="s">
        <v>191</v>
      </c>
      <c r="D209" s="132">
        <f>(49.59+2.7*0.75+2.55*0.75+2.9*0.75+2.5*0.75)*10.764</f>
        <v>619.76420999999993</v>
      </c>
      <c r="E209" s="133"/>
      <c r="F209" s="4">
        <v>0</v>
      </c>
      <c r="G209" s="4">
        <v>1115</v>
      </c>
      <c r="H209" s="4" t="s">
        <v>90</v>
      </c>
      <c r="I209" s="134" t="str">
        <f>A208</f>
        <v>4th &amp; 6th Floor</v>
      </c>
      <c r="J209" s="135"/>
      <c r="K209" s="43"/>
    </row>
    <row r="210" spans="1:11" s="3" customFormat="1" x14ac:dyDescent="0.35">
      <c r="A210" s="132">
        <v>2</v>
      </c>
      <c r="B210" s="133"/>
      <c r="C210" s="4" t="s">
        <v>191</v>
      </c>
      <c r="D210" s="132">
        <f>(49.37+3*0.75+2.2*0.75+3*0.75+2.5*0.75)*10.764</f>
        <v>617.79977999999994</v>
      </c>
      <c r="E210" s="133"/>
      <c r="F210" s="4">
        <v>0</v>
      </c>
      <c r="G210" s="4">
        <v>1110</v>
      </c>
      <c r="H210" s="4" t="s">
        <v>90</v>
      </c>
      <c r="I210" s="136"/>
      <c r="J210" s="137"/>
      <c r="K210" s="43"/>
    </row>
    <row r="211" spans="1:11" s="3" customFormat="1" x14ac:dyDescent="0.35">
      <c r="A211" s="132">
        <v>3</v>
      </c>
      <c r="B211" s="133"/>
      <c r="C211" s="4" t="s">
        <v>193</v>
      </c>
      <c r="D211" s="132">
        <f>(31.36+2.75*0.75+2.1*0.75+3*0.75)*10.764</f>
        <v>400.93209000000002</v>
      </c>
      <c r="E211" s="133"/>
      <c r="F211" s="4">
        <v>0</v>
      </c>
      <c r="G211" s="4">
        <v>720</v>
      </c>
      <c r="H211" s="4" t="s">
        <v>90</v>
      </c>
      <c r="I211" s="136"/>
      <c r="J211" s="137"/>
      <c r="K211" s="43"/>
    </row>
    <row r="212" spans="1:11" s="3" customFormat="1" x14ac:dyDescent="0.35">
      <c r="A212" s="132">
        <v>4</v>
      </c>
      <c r="B212" s="133"/>
      <c r="C212" s="4" t="s">
        <v>191</v>
      </c>
      <c r="D212" s="132">
        <f>(49.37+2.8*0.75+2.55*0.75+3.05*0.75+2.5*0.75)*10.764</f>
        <v>619.41437999999994</v>
      </c>
      <c r="E212" s="133"/>
      <c r="F212" s="4">
        <v>0</v>
      </c>
      <c r="G212" s="4">
        <v>1110</v>
      </c>
      <c r="H212" s="4" t="s">
        <v>90</v>
      </c>
      <c r="I212" s="136"/>
      <c r="J212" s="137"/>
      <c r="K212" s="43"/>
    </row>
    <row r="213" spans="1:11" s="3" customFormat="1" x14ac:dyDescent="0.35">
      <c r="A213" s="132">
        <v>5</v>
      </c>
      <c r="B213" s="133"/>
      <c r="C213" s="4" t="s">
        <v>191</v>
      </c>
      <c r="D213" s="132">
        <f>(49.59+2.8*0.75+2.55*0.75+3.05*0.75+2.5*0.75)*10.764</f>
        <v>621.78246000000001</v>
      </c>
      <c r="E213" s="133"/>
      <c r="F213" s="4">
        <v>0</v>
      </c>
      <c r="G213" s="4">
        <v>1115</v>
      </c>
      <c r="H213" s="4" t="s">
        <v>90</v>
      </c>
      <c r="I213" s="138"/>
      <c r="J213" s="139"/>
      <c r="K213" s="43"/>
    </row>
    <row r="214" spans="1:11" s="3" customFormat="1" ht="15.75" customHeight="1" x14ac:dyDescent="0.35">
      <c r="A214" s="129" t="s">
        <v>258</v>
      </c>
      <c r="B214" s="130"/>
      <c r="C214" s="130"/>
      <c r="D214" s="130"/>
      <c r="E214" s="130"/>
      <c r="F214" s="130"/>
      <c r="G214" s="130"/>
      <c r="H214" s="130"/>
      <c r="I214" s="130"/>
      <c r="J214" s="131"/>
      <c r="K214" s="43"/>
    </row>
    <row r="215" spans="1:11" s="3" customFormat="1" x14ac:dyDescent="0.35">
      <c r="A215" s="132">
        <v>1</v>
      </c>
      <c r="B215" s="133"/>
      <c r="C215" s="4" t="s">
        <v>191</v>
      </c>
      <c r="D215" s="132">
        <f>(49.59+2.7*0.75+2.55*0.75+3.05*0.75+2.5*0.75)*10.764</f>
        <v>620.97515999999996</v>
      </c>
      <c r="E215" s="133"/>
      <c r="F215" s="4">
        <v>0</v>
      </c>
      <c r="G215" s="4">
        <v>1115</v>
      </c>
      <c r="H215" s="4" t="s">
        <v>90</v>
      </c>
      <c r="I215" s="134" t="str">
        <f>I185</f>
        <v>5th, 7th, 9th, 11th &amp; 13th Floor</v>
      </c>
      <c r="J215" s="135"/>
      <c r="K215" s="43"/>
    </row>
    <row r="216" spans="1:11" s="3" customFormat="1" x14ac:dyDescent="0.35">
      <c r="A216" s="132">
        <v>2</v>
      </c>
      <c r="B216" s="133"/>
      <c r="C216" s="4" t="s">
        <v>191</v>
      </c>
      <c r="D216" s="132">
        <f>(49.37+3*0.75+2.2*0.75+3*0.75+2.5*0.75)*10.764</f>
        <v>617.79977999999994</v>
      </c>
      <c r="E216" s="133"/>
      <c r="F216" s="4">
        <v>0</v>
      </c>
      <c r="G216" s="4">
        <v>1115</v>
      </c>
      <c r="H216" s="4" t="s">
        <v>90</v>
      </c>
      <c r="I216" s="136"/>
      <c r="J216" s="137"/>
      <c r="K216" s="43"/>
    </row>
    <row r="217" spans="1:11" s="3" customFormat="1" x14ac:dyDescent="0.35">
      <c r="A217" s="132">
        <v>3</v>
      </c>
      <c r="B217" s="133"/>
      <c r="C217" s="4" t="s">
        <v>193</v>
      </c>
      <c r="D217" s="132">
        <f>(31.36+2.75*0.75+2.1*0.75+3*0.75)*10.764</f>
        <v>400.93209000000002</v>
      </c>
      <c r="E217" s="133"/>
      <c r="F217" s="4">
        <v>0</v>
      </c>
      <c r="G217" s="4">
        <v>720</v>
      </c>
      <c r="H217" s="4" t="s">
        <v>90</v>
      </c>
      <c r="I217" s="136"/>
      <c r="J217" s="137"/>
      <c r="K217" s="43"/>
    </row>
    <row r="218" spans="1:11" s="3" customFormat="1" x14ac:dyDescent="0.35">
      <c r="A218" s="132">
        <v>4</v>
      </c>
      <c r="B218" s="133"/>
      <c r="C218" s="4" t="s">
        <v>191</v>
      </c>
      <c r="D218" s="132">
        <f>(49.37+2.7*0.75+2.55*0.75+3.05*0.75+2.5*0.75)*10.764</f>
        <v>618.60708</v>
      </c>
      <c r="E218" s="133"/>
      <c r="F218" s="4">
        <v>0</v>
      </c>
      <c r="G218" s="4">
        <v>1115</v>
      </c>
      <c r="H218" s="4" t="s">
        <v>90</v>
      </c>
      <c r="I218" s="136"/>
      <c r="J218" s="137"/>
      <c r="K218" s="43"/>
    </row>
    <row r="219" spans="1:11" s="3" customFormat="1" x14ac:dyDescent="0.35">
      <c r="A219" s="132">
        <v>5</v>
      </c>
      <c r="B219" s="133"/>
      <c r="C219" s="4" t="s">
        <v>191</v>
      </c>
      <c r="D219" s="132">
        <f>(49.59+2.7*0.75+2.55*0.75+3.05*0.75+2.5*0.75)*10.764</f>
        <v>620.97515999999996</v>
      </c>
      <c r="E219" s="133"/>
      <c r="F219" s="4">
        <v>0</v>
      </c>
      <c r="G219" s="4">
        <v>1115</v>
      </c>
      <c r="H219" s="4" t="s">
        <v>90</v>
      </c>
      <c r="I219" s="138"/>
      <c r="J219" s="139"/>
      <c r="K219" s="43"/>
    </row>
    <row r="220" spans="1:11" s="3" customFormat="1" ht="15.75" customHeight="1" x14ac:dyDescent="0.35">
      <c r="A220" s="129" t="s">
        <v>259</v>
      </c>
      <c r="B220" s="130"/>
      <c r="C220" s="130"/>
      <c r="D220" s="130"/>
      <c r="E220" s="130"/>
      <c r="F220" s="130"/>
      <c r="G220" s="130"/>
      <c r="H220" s="130"/>
      <c r="I220" s="130"/>
      <c r="J220" s="131"/>
      <c r="K220" s="43"/>
    </row>
    <row r="221" spans="1:11" s="3" customFormat="1" x14ac:dyDescent="0.35">
      <c r="A221" s="132">
        <v>1</v>
      </c>
      <c r="B221" s="133"/>
      <c r="C221" s="4" t="s">
        <v>191</v>
      </c>
      <c r="D221" s="132">
        <f>(49.59+2.7*0.75+2.55*0.75+3.05*0.75+2.5*0.75)*10.764</f>
        <v>620.97515999999996</v>
      </c>
      <c r="E221" s="133"/>
      <c r="F221" s="4">
        <v>0</v>
      </c>
      <c r="G221" s="4">
        <v>1115</v>
      </c>
      <c r="H221" s="4" t="s">
        <v>90</v>
      </c>
      <c r="I221" s="134" t="str">
        <f>I190</f>
        <v>8th, 10th &amp; 12th Floor (Part Refuge Area)</v>
      </c>
      <c r="J221" s="135"/>
      <c r="K221" s="43"/>
    </row>
    <row r="222" spans="1:11" s="3" customFormat="1" x14ac:dyDescent="0.35">
      <c r="A222" s="132">
        <v>2</v>
      </c>
      <c r="B222" s="133"/>
      <c r="C222" s="4" t="s">
        <v>191</v>
      </c>
      <c r="D222" s="132">
        <f>(49.37+3*0.75+2.2*0.75+3*0.75+2.5*0.75)*10.764</f>
        <v>617.79977999999994</v>
      </c>
      <c r="E222" s="133"/>
      <c r="F222" s="4">
        <v>0</v>
      </c>
      <c r="G222" s="4">
        <v>1110</v>
      </c>
      <c r="H222" s="4" t="s">
        <v>90</v>
      </c>
      <c r="I222" s="136"/>
      <c r="J222" s="137"/>
      <c r="K222" s="43"/>
    </row>
    <row r="223" spans="1:11" s="3" customFormat="1" x14ac:dyDescent="0.35">
      <c r="A223" s="132">
        <v>3</v>
      </c>
      <c r="B223" s="133"/>
      <c r="C223" s="4" t="s">
        <v>193</v>
      </c>
      <c r="D223" s="132">
        <f>(31.36+2.75*0.75+2.1*0.75+3*0.75)*10.764</f>
        <v>400.93209000000002</v>
      </c>
      <c r="E223" s="133"/>
      <c r="F223" s="4">
        <v>0</v>
      </c>
      <c r="G223" s="4">
        <v>720</v>
      </c>
      <c r="H223" s="4" t="s">
        <v>90</v>
      </c>
      <c r="I223" s="136"/>
      <c r="J223" s="137"/>
      <c r="K223" s="43"/>
    </row>
    <row r="224" spans="1:11" s="3" customFormat="1" x14ac:dyDescent="0.35">
      <c r="A224" s="132">
        <v>4</v>
      </c>
      <c r="B224" s="133"/>
      <c r="C224" s="4" t="s">
        <v>191</v>
      </c>
      <c r="D224" s="132">
        <f>(49.37+2.7*0.75+2.55*0.75+3.05*0.75+2.5*0.75)*10.764</f>
        <v>618.60708</v>
      </c>
      <c r="E224" s="133"/>
      <c r="F224" s="4">
        <v>0</v>
      </c>
      <c r="G224" s="4">
        <v>1110</v>
      </c>
      <c r="H224" s="4" t="s">
        <v>90</v>
      </c>
      <c r="I224" s="136"/>
      <c r="J224" s="137"/>
      <c r="K224" s="43"/>
    </row>
    <row r="225" spans="1:11" s="3" customFormat="1" x14ac:dyDescent="0.35">
      <c r="A225" s="132">
        <v>5</v>
      </c>
      <c r="B225" s="133"/>
      <c r="C225" s="4" t="s">
        <v>191</v>
      </c>
      <c r="D225" s="132">
        <f>(49.59+2.7*0.75+2.55*0.75+3.05*0.75+2.5*0.75)*10.764</f>
        <v>620.97515999999996</v>
      </c>
      <c r="E225" s="133"/>
      <c r="F225" s="4">
        <v>0</v>
      </c>
      <c r="G225" s="4">
        <v>1115</v>
      </c>
      <c r="H225" s="4" t="s">
        <v>90</v>
      </c>
      <c r="I225" s="138"/>
      <c r="J225" s="139"/>
      <c r="K225" s="43"/>
    </row>
    <row r="226" spans="1:11" s="3" customFormat="1" ht="15.75" customHeight="1" x14ac:dyDescent="0.35">
      <c r="A226" s="140" t="s">
        <v>260</v>
      </c>
      <c r="B226" s="141"/>
      <c r="C226" s="141"/>
      <c r="D226" s="141"/>
      <c r="E226" s="141"/>
      <c r="F226" s="141"/>
      <c r="G226" s="141"/>
      <c r="H226" s="141"/>
      <c r="I226" s="141"/>
      <c r="J226" s="142"/>
      <c r="K226" s="43"/>
    </row>
    <row r="227" spans="1:11" s="3" customFormat="1" x14ac:dyDescent="0.35">
      <c r="A227" s="132">
        <v>1</v>
      </c>
      <c r="B227" s="133"/>
      <c r="C227" s="4" t="s">
        <v>191</v>
      </c>
      <c r="D227" s="132">
        <f>(49.59+2.7*0.75+2.55*0.75+3.05*0.75+2.5*0.75)*10.764</f>
        <v>620.97515999999996</v>
      </c>
      <c r="E227" s="133"/>
      <c r="F227" s="4">
        <v>0</v>
      </c>
      <c r="G227" s="4">
        <v>1115</v>
      </c>
      <c r="H227" s="4" t="s">
        <v>90</v>
      </c>
      <c r="I227" s="134" t="str">
        <f>A226</f>
        <v>14th Floor (Part Terrace Area)</v>
      </c>
      <c r="J227" s="135"/>
      <c r="K227" s="43"/>
    </row>
    <row r="228" spans="1:11" s="3" customFormat="1" x14ac:dyDescent="0.35">
      <c r="A228" s="132">
        <v>2</v>
      </c>
      <c r="B228" s="133"/>
      <c r="C228" s="4" t="s">
        <v>191</v>
      </c>
      <c r="D228" s="132">
        <f>(49.37+3*0.75+2.2*0.75+3*0.75+2.5*0.75)*10.764</f>
        <v>617.79977999999994</v>
      </c>
      <c r="E228" s="133"/>
      <c r="F228" s="4">
        <v>0</v>
      </c>
      <c r="G228" s="4">
        <v>1110</v>
      </c>
      <c r="H228" s="4" t="s">
        <v>90</v>
      </c>
      <c r="I228" s="136"/>
      <c r="J228" s="137"/>
      <c r="K228" s="43"/>
    </row>
    <row r="229" spans="1:11" s="3" customFormat="1" x14ac:dyDescent="0.35">
      <c r="A229" s="132">
        <v>3</v>
      </c>
      <c r="B229" s="133"/>
      <c r="C229" s="4" t="s">
        <v>191</v>
      </c>
      <c r="D229" s="132">
        <f>(49.37+2.7*0.75+2.55*0.75+3.05*0.75+2.5*0.75)*10.764</f>
        <v>618.60708</v>
      </c>
      <c r="E229" s="133"/>
      <c r="F229" s="4">
        <v>0</v>
      </c>
      <c r="G229" s="4">
        <v>1115</v>
      </c>
      <c r="H229" s="4" t="s">
        <v>90</v>
      </c>
      <c r="I229" s="136"/>
      <c r="J229" s="137"/>
      <c r="K229" s="43"/>
    </row>
    <row r="230" spans="1:11" s="3" customFormat="1" x14ac:dyDescent="0.35">
      <c r="A230" s="132">
        <v>4</v>
      </c>
      <c r="B230" s="133"/>
      <c r="C230" s="4" t="s">
        <v>193</v>
      </c>
      <c r="D230" s="132">
        <f>(40.63+2.7*0.75+2.55*0.75+2.5*0.75)*10.764</f>
        <v>499.90706999999998</v>
      </c>
      <c r="E230" s="133"/>
      <c r="F230" s="4">
        <f>3*3.2*10.764</f>
        <v>103.3344</v>
      </c>
      <c r="G230" s="4">
        <v>945</v>
      </c>
      <c r="H230" s="4" t="s">
        <v>90</v>
      </c>
      <c r="I230" s="136"/>
      <c r="J230" s="137"/>
      <c r="K230" s="43"/>
    </row>
    <row r="231" spans="1:11" s="3" customFormat="1" x14ac:dyDescent="0.35">
      <c r="A231" s="129" t="s">
        <v>195</v>
      </c>
      <c r="B231" s="130"/>
      <c r="C231" s="130"/>
      <c r="D231" s="130"/>
      <c r="E231" s="130"/>
      <c r="F231" s="130"/>
      <c r="G231" s="130"/>
      <c r="H231" s="130"/>
      <c r="I231" s="130"/>
      <c r="J231" s="131"/>
      <c r="K231" s="43"/>
    </row>
    <row r="232" spans="1:11" s="3" customFormat="1" ht="15.75" customHeight="1" x14ac:dyDescent="0.35">
      <c r="A232" s="129" t="s">
        <v>188</v>
      </c>
      <c r="B232" s="130"/>
      <c r="C232" s="130"/>
      <c r="D232" s="130"/>
      <c r="E232" s="130"/>
      <c r="F232" s="130"/>
      <c r="G232" s="130"/>
      <c r="H232" s="130"/>
      <c r="I232" s="130"/>
      <c r="J232" s="131"/>
      <c r="K232" s="43"/>
    </row>
    <row r="233" spans="1:11" s="3" customFormat="1" ht="15.75" customHeight="1" x14ac:dyDescent="0.35">
      <c r="A233" s="129" t="s">
        <v>190</v>
      </c>
      <c r="B233" s="130"/>
      <c r="C233" s="130"/>
      <c r="D233" s="130"/>
      <c r="E233" s="130"/>
      <c r="F233" s="130"/>
      <c r="G233" s="130"/>
      <c r="H233" s="130"/>
      <c r="I233" s="130"/>
      <c r="J233" s="131"/>
      <c r="K233" s="43"/>
    </row>
    <row r="234" spans="1:11" s="3" customFormat="1" x14ac:dyDescent="0.35">
      <c r="A234" s="132">
        <v>1</v>
      </c>
      <c r="B234" s="133"/>
      <c r="C234" s="4" t="s">
        <v>191</v>
      </c>
      <c r="D234" s="132">
        <f>(49.59+2.8*0.75+2.55*0.75+3.05*0.75+2.5*0.75)*10.764</f>
        <v>621.78246000000001</v>
      </c>
      <c r="E234" s="133"/>
      <c r="F234" s="4">
        <v>0</v>
      </c>
      <c r="G234" s="4">
        <v>1115</v>
      </c>
      <c r="H234" s="4" t="s">
        <v>90</v>
      </c>
      <c r="I234" s="134" t="str">
        <f>I200</f>
        <v>2nd Floor</v>
      </c>
      <c r="J234" s="135"/>
      <c r="K234" s="43"/>
    </row>
    <row r="235" spans="1:11" s="3" customFormat="1" x14ac:dyDescent="0.35">
      <c r="A235" s="132">
        <v>2</v>
      </c>
      <c r="B235" s="133"/>
      <c r="C235" s="4" t="s">
        <v>191</v>
      </c>
      <c r="D235" s="132">
        <f>(49.59+2.8*0.75+2.55*0.75+3.05*0.75+2.5*0.75)*10.764</f>
        <v>621.78246000000001</v>
      </c>
      <c r="E235" s="133"/>
      <c r="F235" s="4">
        <v>0</v>
      </c>
      <c r="G235" s="4">
        <v>1115</v>
      </c>
      <c r="H235" s="4" t="s">
        <v>90</v>
      </c>
      <c r="I235" s="138"/>
      <c r="J235" s="139"/>
      <c r="K235" s="43"/>
    </row>
    <row r="236" spans="1:11" s="3" customFormat="1" ht="15.75" customHeight="1" x14ac:dyDescent="0.35">
      <c r="A236" s="129" t="s">
        <v>198</v>
      </c>
      <c r="B236" s="130"/>
      <c r="C236" s="130"/>
      <c r="D236" s="130"/>
      <c r="E236" s="130"/>
      <c r="F236" s="130"/>
      <c r="G236" s="130"/>
      <c r="H236" s="130"/>
      <c r="I236" s="130"/>
      <c r="J236" s="131"/>
      <c r="K236" s="43"/>
    </row>
    <row r="237" spans="1:11" s="3" customFormat="1" x14ac:dyDescent="0.35">
      <c r="A237" s="132">
        <v>1</v>
      </c>
      <c r="B237" s="133"/>
      <c r="C237" s="4" t="s">
        <v>191</v>
      </c>
      <c r="D237" s="132">
        <f>(49.59+2.7*0.75+2.55*0.75+3.05*0.75+2.5*0.75)*10.764</f>
        <v>620.97515999999996</v>
      </c>
      <c r="E237" s="133"/>
      <c r="F237" s="4">
        <v>0</v>
      </c>
      <c r="G237" s="4">
        <v>1115</v>
      </c>
      <c r="H237" s="4" t="s">
        <v>90</v>
      </c>
      <c r="I237" s="134" t="str">
        <f>I203</f>
        <v>3rd Floor</v>
      </c>
      <c r="J237" s="135"/>
      <c r="K237" s="43"/>
    </row>
    <row r="238" spans="1:11" s="3" customFormat="1" x14ac:dyDescent="0.35">
      <c r="A238" s="132">
        <v>2</v>
      </c>
      <c r="B238" s="133"/>
      <c r="C238" s="4" t="s">
        <v>191</v>
      </c>
      <c r="D238" s="132">
        <f>(47.72+2.7*0.75+2.55*0.75+3.05*0.75+2.5*0.75)*10.764</f>
        <v>600.84647999999993</v>
      </c>
      <c r="E238" s="133"/>
      <c r="F238" s="4">
        <v>0</v>
      </c>
      <c r="G238" s="4">
        <v>1080</v>
      </c>
      <c r="H238" s="4" t="s">
        <v>90</v>
      </c>
      <c r="I238" s="136"/>
      <c r="J238" s="137"/>
      <c r="K238" s="43"/>
    </row>
    <row r="239" spans="1:11" s="3" customFormat="1" x14ac:dyDescent="0.35">
      <c r="A239" s="132">
        <v>3</v>
      </c>
      <c r="B239" s="133"/>
      <c r="C239" s="4" t="s">
        <v>193</v>
      </c>
      <c r="D239" s="132">
        <f>(31.36+2.75*0.75+2.1*0.75+3*0.75)*10.764</f>
        <v>400.93209000000002</v>
      </c>
      <c r="E239" s="133"/>
      <c r="F239" s="4">
        <v>0</v>
      </c>
      <c r="G239" s="4">
        <v>705</v>
      </c>
      <c r="H239" s="4" t="s">
        <v>90</v>
      </c>
      <c r="I239" s="136"/>
      <c r="J239" s="137"/>
      <c r="K239" s="43"/>
    </row>
    <row r="240" spans="1:11" s="3" customFormat="1" x14ac:dyDescent="0.35">
      <c r="A240" s="132">
        <v>4</v>
      </c>
      <c r="B240" s="133"/>
      <c r="C240" s="4" t="s">
        <v>193</v>
      </c>
      <c r="D240" s="132">
        <f>(33.71+4*0.75+2.2*0.75+3.1*0.75)*10.764</f>
        <v>437.93333999999999</v>
      </c>
      <c r="E240" s="133"/>
      <c r="F240" s="4">
        <v>0</v>
      </c>
      <c r="G240" s="4">
        <v>780</v>
      </c>
      <c r="H240" s="4" t="s">
        <v>90</v>
      </c>
      <c r="I240" s="136"/>
      <c r="J240" s="137"/>
      <c r="K240" s="43"/>
    </row>
    <row r="241" spans="1:11" s="3" customFormat="1" x14ac:dyDescent="0.35">
      <c r="A241" s="132">
        <v>5</v>
      </c>
      <c r="B241" s="133"/>
      <c r="C241" s="4" t="s">
        <v>191</v>
      </c>
      <c r="D241" s="132">
        <f>(49.59+2.7*0.75+2.55*0.75+3.05*0.75+2.5*0.75)*10.764</f>
        <v>620.97515999999996</v>
      </c>
      <c r="E241" s="133"/>
      <c r="F241" s="4">
        <v>0</v>
      </c>
      <c r="G241" s="4">
        <v>1115</v>
      </c>
      <c r="H241" s="4" t="s">
        <v>90</v>
      </c>
      <c r="I241" s="138"/>
      <c r="J241" s="139"/>
      <c r="K241" s="43"/>
    </row>
    <row r="242" spans="1:11" s="3" customFormat="1" x14ac:dyDescent="0.35">
      <c r="A242" s="129" t="s">
        <v>204</v>
      </c>
      <c r="B242" s="130"/>
      <c r="C242" s="130"/>
      <c r="D242" s="130"/>
      <c r="E242" s="130"/>
      <c r="F242" s="130"/>
      <c r="G242" s="130"/>
      <c r="H242" s="130"/>
      <c r="I242" s="130"/>
      <c r="J242" s="131"/>
      <c r="K242" s="43"/>
    </row>
    <row r="243" spans="1:11" s="3" customFormat="1" x14ac:dyDescent="0.35">
      <c r="A243" s="132">
        <v>1</v>
      </c>
      <c r="B243" s="133"/>
      <c r="C243" s="4" t="s">
        <v>191</v>
      </c>
      <c r="D243" s="132">
        <f>(49.59+2.7*0.75+2.55*0.75+3.05*0.75+2.5*0.75)*10.764</f>
        <v>620.97515999999996</v>
      </c>
      <c r="E243" s="133"/>
      <c r="F243" s="4">
        <v>0</v>
      </c>
      <c r="G243" s="4">
        <v>1115</v>
      </c>
      <c r="H243" s="4" t="s">
        <v>90</v>
      </c>
      <c r="I243" s="134" t="str">
        <f>A242</f>
        <v>4th &amp; 6th Floor</v>
      </c>
      <c r="J243" s="135"/>
      <c r="K243" s="43"/>
    </row>
    <row r="244" spans="1:11" s="3" customFormat="1" x14ac:dyDescent="0.35">
      <c r="A244" s="132">
        <v>2</v>
      </c>
      <c r="B244" s="133"/>
      <c r="C244" s="4" t="s">
        <v>191</v>
      </c>
      <c r="D244" s="132">
        <f>(47.72+2.7*0.75+2.55*0.75+3.05*0.75+2.5*0.75)*10.764</f>
        <v>600.84647999999993</v>
      </c>
      <c r="E244" s="133"/>
      <c r="F244" s="4">
        <v>0</v>
      </c>
      <c r="G244" s="4">
        <v>1075</v>
      </c>
      <c r="H244" s="4" t="s">
        <v>90</v>
      </c>
      <c r="I244" s="136"/>
      <c r="J244" s="137"/>
      <c r="K244" s="43"/>
    </row>
    <row r="245" spans="1:11" s="3" customFormat="1" x14ac:dyDescent="0.35">
      <c r="A245" s="132">
        <v>3</v>
      </c>
      <c r="B245" s="133"/>
      <c r="C245" s="4" t="s">
        <v>193</v>
      </c>
      <c r="D245" s="132">
        <f>(31.36+2.75*0.75+2.1*0.75+3*0.75)*10.764</f>
        <v>400.93209000000002</v>
      </c>
      <c r="E245" s="133"/>
      <c r="F245" s="4">
        <v>0</v>
      </c>
      <c r="G245" s="4">
        <v>720</v>
      </c>
      <c r="H245" s="4" t="s">
        <v>90</v>
      </c>
      <c r="I245" s="136"/>
      <c r="J245" s="137"/>
      <c r="K245" s="43"/>
    </row>
    <row r="246" spans="1:11" s="3" customFormat="1" x14ac:dyDescent="0.35">
      <c r="A246" s="132">
        <v>4</v>
      </c>
      <c r="B246" s="133"/>
      <c r="C246" s="4" t="s">
        <v>193</v>
      </c>
      <c r="D246" s="132">
        <f>(33.71+4*0.75+2.2*0.75+3.1*0.75)*10.764</f>
        <v>437.93333999999999</v>
      </c>
      <c r="E246" s="133"/>
      <c r="F246" s="4">
        <v>0</v>
      </c>
      <c r="G246" s="4">
        <v>775</v>
      </c>
      <c r="H246" s="4" t="s">
        <v>90</v>
      </c>
      <c r="I246" s="136"/>
      <c r="J246" s="137"/>
      <c r="K246" s="43"/>
    </row>
    <row r="247" spans="1:11" s="3" customFormat="1" x14ac:dyDescent="0.35">
      <c r="A247" s="132">
        <v>5</v>
      </c>
      <c r="B247" s="133"/>
      <c r="C247" s="4" t="s">
        <v>191</v>
      </c>
      <c r="D247" s="132">
        <f>(49.59+2.7*0.75+2.55*0.75+3.05*0.75)*10.764</f>
        <v>600.79266000000007</v>
      </c>
      <c r="E247" s="133"/>
      <c r="F247" s="4">
        <v>0</v>
      </c>
      <c r="G247" s="4">
        <v>1115</v>
      </c>
      <c r="H247" s="4" t="s">
        <v>90</v>
      </c>
      <c r="I247" s="138"/>
      <c r="J247" s="139"/>
      <c r="K247" s="43"/>
    </row>
    <row r="248" spans="1:11" s="3" customFormat="1" ht="15.75" customHeight="1" x14ac:dyDescent="0.35">
      <c r="A248" s="129" t="s">
        <v>258</v>
      </c>
      <c r="B248" s="130"/>
      <c r="C248" s="130"/>
      <c r="D248" s="130"/>
      <c r="E248" s="130"/>
      <c r="F248" s="130"/>
      <c r="G248" s="130"/>
      <c r="H248" s="130"/>
      <c r="I248" s="130"/>
      <c r="J248" s="131"/>
      <c r="K248" s="43"/>
    </row>
    <row r="249" spans="1:11" s="3" customFormat="1" x14ac:dyDescent="0.35">
      <c r="A249" s="132">
        <v>1</v>
      </c>
      <c r="B249" s="133"/>
      <c r="C249" s="4" t="s">
        <v>191</v>
      </c>
      <c r="D249" s="132">
        <f>(49.59+2.7*0.75+2.55*0.75+3.05*0.75+2.5*0.75)*10.764</f>
        <v>620.97515999999996</v>
      </c>
      <c r="E249" s="133"/>
      <c r="F249" s="4">
        <v>0</v>
      </c>
      <c r="G249" s="4">
        <v>1115</v>
      </c>
      <c r="H249" s="4" t="s">
        <v>90</v>
      </c>
      <c r="I249" s="134" t="str">
        <f>A248</f>
        <v>5th, 7th, 9th, 11th &amp; 13th Floor</v>
      </c>
      <c r="J249" s="135"/>
      <c r="K249" s="43"/>
    </row>
    <row r="250" spans="1:11" s="3" customFormat="1" x14ac:dyDescent="0.35">
      <c r="A250" s="132">
        <v>2</v>
      </c>
      <c r="B250" s="133"/>
      <c r="C250" s="4" t="s">
        <v>191</v>
      </c>
      <c r="D250" s="132">
        <f>(47.72+2.7*0.75+2.55*0.75+3.05*0.75+2.5*0.75)*10.764</f>
        <v>600.84647999999993</v>
      </c>
      <c r="E250" s="133"/>
      <c r="F250" s="4">
        <v>0</v>
      </c>
      <c r="G250" s="4">
        <v>1080</v>
      </c>
      <c r="H250" s="4" t="s">
        <v>90</v>
      </c>
      <c r="I250" s="136"/>
      <c r="J250" s="137"/>
      <c r="K250" s="43"/>
    </row>
    <row r="251" spans="1:11" s="3" customFormat="1" x14ac:dyDescent="0.35">
      <c r="A251" s="132">
        <v>3</v>
      </c>
      <c r="B251" s="133"/>
      <c r="C251" s="4" t="s">
        <v>193</v>
      </c>
      <c r="D251" s="132">
        <f>(31.36+2.75*0.75+2.1*0.75+3*0.75)*10.764</f>
        <v>400.93209000000002</v>
      </c>
      <c r="E251" s="133"/>
      <c r="F251" s="4">
        <v>0</v>
      </c>
      <c r="G251" s="4">
        <v>720</v>
      </c>
      <c r="H251" s="4" t="s">
        <v>90</v>
      </c>
      <c r="I251" s="136"/>
      <c r="J251" s="137"/>
      <c r="K251" s="43"/>
    </row>
    <row r="252" spans="1:11" s="3" customFormat="1" x14ac:dyDescent="0.35">
      <c r="A252" s="132">
        <v>4</v>
      </c>
      <c r="B252" s="133"/>
      <c r="C252" s="4" t="s">
        <v>193</v>
      </c>
      <c r="D252" s="132">
        <f>(33.71+4*0.75+2.2*0.75+3.1*0.75)*10.764</f>
        <v>437.93333999999999</v>
      </c>
      <c r="E252" s="133"/>
      <c r="F252" s="4">
        <v>0</v>
      </c>
      <c r="G252" s="4">
        <v>780</v>
      </c>
      <c r="H252" s="4" t="s">
        <v>90</v>
      </c>
      <c r="I252" s="136"/>
      <c r="J252" s="137"/>
      <c r="K252" s="43"/>
    </row>
    <row r="253" spans="1:11" s="3" customFormat="1" x14ac:dyDescent="0.35">
      <c r="A253" s="132">
        <v>5</v>
      </c>
      <c r="B253" s="133"/>
      <c r="C253" s="4" t="s">
        <v>191</v>
      </c>
      <c r="D253" s="132">
        <f>(49.59+2.7*0.75+2.55*0.75+3.05*0.75)*10.764</f>
        <v>600.79266000000007</v>
      </c>
      <c r="E253" s="133"/>
      <c r="F253" s="4">
        <v>0</v>
      </c>
      <c r="G253" s="4">
        <v>1115</v>
      </c>
      <c r="H253" s="4" t="s">
        <v>90</v>
      </c>
      <c r="I253" s="138"/>
      <c r="J253" s="139"/>
      <c r="K253" s="43"/>
    </row>
    <row r="254" spans="1:11" s="3" customFormat="1" ht="15.75" customHeight="1" x14ac:dyDescent="0.35">
      <c r="A254" s="129" t="s">
        <v>259</v>
      </c>
      <c r="B254" s="130"/>
      <c r="C254" s="130"/>
      <c r="D254" s="130"/>
      <c r="E254" s="130"/>
      <c r="F254" s="130"/>
      <c r="G254" s="130"/>
      <c r="H254" s="130"/>
      <c r="I254" s="130"/>
      <c r="J254" s="131"/>
      <c r="K254" s="43"/>
    </row>
    <row r="255" spans="1:11" s="3" customFormat="1" x14ac:dyDescent="0.35">
      <c r="A255" s="132">
        <v>1</v>
      </c>
      <c r="B255" s="133"/>
      <c r="C255" s="4" t="s">
        <v>191</v>
      </c>
      <c r="D255" s="132">
        <f>(49.59+2.7*0.75+2.55*0.75+3.05*0.75+2.5*0.75)*10.764</f>
        <v>620.97515999999996</v>
      </c>
      <c r="E255" s="133"/>
      <c r="F255" s="4">
        <v>0</v>
      </c>
      <c r="G255" s="4">
        <v>1115</v>
      </c>
      <c r="H255" s="4" t="s">
        <v>90</v>
      </c>
      <c r="I255" s="134" t="str">
        <f>I221</f>
        <v>8th, 10th &amp; 12th Floor (Part Refuge Area)</v>
      </c>
      <c r="J255" s="135"/>
      <c r="K255" s="43"/>
    </row>
    <row r="256" spans="1:11" s="3" customFormat="1" x14ac:dyDescent="0.35">
      <c r="A256" s="132">
        <v>2</v>
      </c>
      <c r="B256" s="133"/>
      <c r="C256" s="4" t="s">
        <v>191</v>
      </c>
      <c r="D256" s="132">
        <f>(47.72+2.7*0.75+2.55*0.75+3.05*0.75+2.5*0.75)*10.764</f>
        <v>600.84647999999993</v>
      </c>
      <c r="E256" s="133"/>
      <c r="F256" s="4">
        <v>0</v>
      </c>
      <c r="G256" s="4">
        <v>1075</v>
      </c>
      <c r="H256" s="4" t="s">
        <v>90</v>
      </c>
      <c r="I256" s="136"/>
      <c r="J256" s="137"/>
      <c r="K256" s="43"/>
    </row>
    <row r="257" spans="1:11" s="3" customFormat="1" x14ac:dyDescent="0.35">
      <c r="A257" s="132">
        <v>3</v>
      </c>
      <c r="B257" s="133"/>
      <c r="C257" s="4" t="s">
        <v>193</v>
      </c>
      <c r="D257" s="132">
        <f>(31.36+2.75*0.75+2.1*0.75+3*0.75)*10.764</f>
        <v>400.93209000000002</v>
      </c>
      <c r="E257" s="133"/>
      <c r="F257" s="4">
        <v>0</v>
      </c>
      <c r="G257" s="4">
        <v>720</v>
      </c>
      <c r="H257" s="4" t="s">
        <v>90</v>
      </c>
      <c r="I257" s="136"/>
      <c r="J257" s="137"/>
      <c r="K257" s="43"/>
    </row>
    <row r="258" spans="1:11" s="3" customFormat="1" x14ac:dyDescent="0.35">
      <c r="A258" s="132">
        <v>4</v>
      </c>
      <c r="B258" s="133"/>
      <c r="C258" s="4" t="s">
        <v>193</v>
      </c>
      <c r="D258" s="132">
        <f>(33.71+4*0.75+2.2*0.75+3.1*0.75)*10.764</f>
        <v>437.93333999999999</v>
      </c>
      <c r="E258" s="133"/>
      <c r="F258" s="4">
        <v>0</v>
      </c>
      <c r="G258" s="4">
        <v>775</v>
      </c>
      <c r="H258" s="4" t="s">
        <v>90</v>
      </c>
      <c r="I258" s="136"/>
      <c r="J258" s="137"/>
      <c r="K258" s="43"/>
    </row>
    <row r="259" spans="1:11" s="3" customFormat="1" x14ac:dyDescent="0.35">
      <c r="A259" s="132">
        <v>5</v>
      </c>
      <c r="B259" s="133"/>
      <c r="C259" s="4" t="s">
        <v>191</v>
      </c>
      <c r="D259" s="132">
        <f>(49.59+2.7*0.75+2.55*0.75+3.05*0.75)*10.764</f>
        <v>600.79266000000007</v>
      </c>
      <c r="E259" s="133"/>
      <c r="F259" s="4">
        <v>0</v>
      </c>
      <c r="G259" s="4">
        <v>1115</v>
      </c>
      <c r="H259" s="4" t="s">
        <v>90</v>
      </c>
      <c r="I259" s="138"/>
      <c r="J259" s="139"/>
      <c r="K259" s="43"/>
    </row>
    <row r="260" spans="1:11" s="3" customFormat="1" ht="15.75" customHeight="1" x14ac:dyDescent="0.35">
      <c r="A260" s="140" t="s">
        <v>260</v>
      </c>
      <c r="B260" s="141"/>
      <c r="C260" s="141"/>
      <c r="D260" s="141"/>
      <c r="E260" s="141"/>
      <c r="F260" s="141"/>
      <c r="G260" s="141"/>
      <c r="H260" s="141"/>
      <c r="I260" s="141"/>
      <c r="J260" s="142"/>
      <c r="K260" s="43"/>
    </row>
    <row r="261" spans="1:11" s="3" customFormat="1" x14ac:dyDescent="0.35">
      <c r="A261" s="143">
        <v>1</v>
      </c>
      <c r="B261" s="144"/>
      <c r="C261" s="81" t="s">
        <v>191</v>
      </c>
      <c r="D261" s="143">
        <f>(40.63+2.7*0.75+2.55*0.75+2.5*0.75)*10.764</f>
        <v>499.90706999999998</v>
      </c>
      <c r="E261" s="144"/>
      <c r="F261" s="81">
        <f>3*3.2*10.764</f>
        <v>103.3344</v>
      </c>
      <c r="G261" s="81">
        <v>945</v>
      </c>
      <c r="H261" s="81" t="s">
        <v>90</v>
      </c>
      <c r="I261" s="151" t="str">
        <f>I227</f>
        <v>14th Floor (Part Terrace Area)</v>
      </c>
      <c r="J261" s="152"/>
      <c r="K261" s="43"/>
    </row>
    <row r="262" spans="1:11" s="3" customFormat="1" x14ac:dyDescent="0.35">
      <c r="A262" s="143">
        <v>2</v>
      </c>
      <c r="B262" s="144"/>
      <c r="C262" s="81" t="s">
        <v>191</v>
      </c>
      <c r="D262" s="143">
        <f>(47.72+2.7*0.75+2.55*0.75+3.05*0.75+2.5*0.75)*10.764</f>
        <v>600.84647999999993</v>
      </c>
      <c r="E262" s="144"/>
      <c r="F262" s="81">
        <v>0</v>
      </c>
      <c r="G262" s="4">
        <v>1075</v>
      </c>
      <c r="H262" s="81" t="s">
        <v>90</v>
      </c>
      <c r="I262" s="153"/>
      <c r="J262" s="154"/>
      <c r="K262" s="43"/>
    </row>
    <row r="263" spans="1:11" s="3" customFormat="1" x14ac:dyDescent="0.35">
      <c r="A263" s="143">
        <v>3</v>
      </c>
      <c r="B263" s="144"/>
      <c r="C263" s="81" t="s">
        <v>193</v>
      </c>
      <c r="D263" s="143">
        <f>(33.71+4*0.75+2.2*0.75+3.1*0.75)*10.764</f>
        <v>437.93333999999999</v>
      </c>
      <c r="E263" s="144"/>
      <c r="F263" s="81">
        <v>0</v>
      </c>
      <c r="G263" s="81">
        <v>775</v>
      </c>
      <c r="H263" s="81" t="s">
        <v>90</v>
      </c>
      <c r="I263" s="153"/>
      <c r="J263" s="154"/>
      <c r="K263" s="43"/>
    </row>
    <row r="264" spans="1:11" s="3" customFormat="1" x14ac:dyDescent="0.35">
      <c r="A264" s="143">
        <v>4</v>
      </c>
      <c r="B264" s="144"/>
      <c r="C264" s="81" t="s">
        <v>191</v>
      </c>
      <c r="D264" s="143">
        <f>(49.59+2.7*0.75+2.55*0.75+3.05*0.75)*10.764</f>
        <v>600.79266000000007</v>
      </c>
      <c r="E264" s="144"/>
      <c r="F264" s="81">
        <v>0</v>
      </c>
      <c r="G264" s="4">
        <v>1075</v>
      </c>
      <c r="H264" s="81" t="s">
        <v>90</v>
      </c>
      <c r="I264" s="153"/>
      <c r="J264" s="154"/>
      <c r="K264" s="43"/>
    </row>
    <row r="265" spans="1:11" s="3" customFormat="1" x14ac:dyDescent="0.35">
      <c r="A265" s="129" t="s">
        <v>196</v>
      </c>
      <c r="B265" s="130"/>
      <c r="C265" s="130"/>
      <c r="D265" s="130"/>
      <c r="E265" s="130"/>
      <c r="F265" s="130"/>
      <c r="G265" s="130"/>
      <c r="H265" s="130"/>
      <c r="I265" s="130"/>
      <c r="J265" s="131"/>
      <c r="K265" s="43"/>
    </row>
    <row r="266" spans="1:11" s="3" customFormat="1" ht="15.75" customHeight="1" x14ac:dyDescent="0.35">
      <c r="A266" s="129" t="s">
        <v>188</v>
      </c>
      <c r="B266" s="130"/>
      <c r="C266" s="130"/>
      <c r="D266" s="130"/>
      <c r="E266" s="130"/>
      <c r="F266" s="130"/>
      <c r="G266" s="130"/>
      <c r="H266" s="130"/>
      <c r="I266" s="130"/>
      <c r="J266" s="131"/>
      <c r="K266" s="43"/>
    </row>
    <row r="267" spans="1:11" s="3" customFormat="1" ht="15.75" customHeight="1" x14ac:dyDescent="0.35">
      <c r="A267" s="129" t="s">
        <v>209</v>
      </c>
      <c r="B267" s="130"/>
      <c r="C267" s="130"/>
      <c r="D267" s="130"/>
      <c r="E267" s="130"/>
      <c r="F267" s="130"/>
      <c r="G267" s="130"/>
      <c r="H267" s="130"/>
      <c r="I267" s="130"/>
      <c r="J267" s="131"/>
      <c r="K267" s="43"/>
    </row>
    <row r="268" spans="1:11" s="3" customFormat="1" x14ac:dyDescent="0.35">
      <c r="A268" s="132">
        <v>1</v>
      </c>
      <c r="B268" s="133"/>
      <c r="C268" s="4" t="s">
        <v>191</v>
      </c>
      <c r="D268" s="132">
        <f>(49.59+2.8*0.75+2.55*0.75+3.05*0.75+2.5*0.75)*10.764</f>
        <v>621.78246000000001</v>
      </c>
      <c r="E268" s="133"/>
      <c r="F268" s="4">
        <v>0</v>
      </c>
      <c r="G268" s="4">
        <v>1110</v>
      </c>
      <c r="H268" s="4" t="s">
        <v>90</v>
      </c>
      <c r="I268" s="134" t="str">
        <f>I234</f>
        <v>2nd Floor</v>
      </c>
      <c r="J268" s="135"/>
      <c r="K268" s="43"/>
    </row>
    <row r="269" spans="1:11" s="3" customFormat="1" x14ac:dyDescent="0.35">
      <c r="A269" s="132">
        <v>2</v>
      </c>
      <c r="B269" s="133"/>
      <c r="C269" s="4" t="s">
        <v>193</v>
      </c>
      <c r="D269" s="132">
        <f>(31.13+2.75*0.75+2.5*0.75+3.15*0.75)*10.764</f>
        <v>402.8965199999999</v>
      </c>
      <c r="E269" s="133"/>
      <c r="F269" s="4">
        <v>0</v>
      </c>
      <c r="G269" s="4">
        <v>710</v>
      </c>
      <c r="H269" s="4" t="s">
        <v>90</v>
      </c>
      <c r="I269" s="136"/>
      <c r="J269" s="137"/>
      <c r="K269" s="43"/>
    </row>
    <row r="270" spans="1:11" s="3" customFormat="1" x14ac:dyDescent="0.35">
      <c r="A270" s="132">
        <v>3</v>
      </c>
      <c r="B270" s="133"/>
      <c r="C270" s="4" t="s">
        <v>191</v>
      </c>
      <c r="D270" s="132">
        <f>(54.75+2.8*0.75+2.55*0.75+3.15*0.75+2.5*0.75)*10.764</f>
        <v>678.13199999999995</v>
      </c>
      <c r="E270" s="133"/>
      <c r="F270" s="4">
        <v>0</v>
      </c>
      <c r="G270" s="4">
        <v>1210</v>
      </c>
      <c r="H270" s="4" t="s">
        <v>90</v>
      </c>
      <c r="I270" s="138"/>
      <c r="J270" s="139"/>
      <c r="K270" s="43"/>
    </row>
    <row r="271" spans="1:11" s="3" customFormat="1" ht="15.75" customHeight="1" x14ac:dyDescent="0.35">
      <c r="A271" s="129" t="s">
        <v>198</v>
      </c>
      <c r="B271" s="130"/>
      <c r="C271" s="130"/>
      <c r="D271" s="130"/>
      <c r="E271" s="130"/>
      <c r="F271" s="130"/>
      <c r="G271" s="130"/>
      <c r="H271" s="130"/>
      <c r="I271" s="130"/>
      <c r="J271" s="131"/>
      <c r="K271" s="43"/>
    </row>
    <row r="272" spans="1:11" s="3" customFormat="1" x14ac:dyDescent="0.35">
      <c r="A272" s="132">
        <v>1</v>
      </c>
      <c r="B272" s="133"/>
      <c r="C272" s="4" t="s">
        <v>191</v>
      </c>
      <c r="D272" s="132">
        <f>(49.53+2.7*0.75+2.55*0.75+3.05*0.75+2.5*0.75)*10.764</f>
        <v>620.32931999999994</v>
      </c>
      <c r="E272" s="133"/>
      <c r="F272" s="4">
        <v>0</v>
      </c>
      <c r="G272" s="4">
        <v>1115</v>
      </c>
      <c r="H272" s="4" t="s">
        <v>90</v>
      </c>
      <c r="I272" s="134" t="str">
        <f>I237</f>
        <v>3rd Floor</v>
      </c>
      <c r="J272" s="135"/>
      <c r="K272" s="43"/>
    </row>
    <row r="273" spans="1:11" s="3" customFormat="1" x14ac:dyDescent="0.35">
      <c r="A273" s="132">
        <v>2</v>
      </c>
      <c r="B273" s="133"/>
      <c r="C273" s="4" t="s">
        <v>193</v>
      </c>
      <c r="D273" s="132">
        <f>(30.36+2.85*0.75+2.35*0.75+2.75*0.75)*10.764</f>
        <v>390.97539</v>
      </c>
      <c r="E273" s="133"/>
      <c r="F273" s="4">
        <v>0</v>
      </c>
      <c r="G273" s="4">
        <v>700</v>
      </c>
      <c r="H273" s="4" t="s">
        <v>90</v>
      </c>
      <c r="I273" s="136"/>
      <c r="J273" s="137"/>
      <c r="K273" s="43"/>
    </row>
    <row r="274" spans="1:11" s="3" customFormat="1" x14ac:dyDescent="0.35">
      <c r="A274" s="132">
        <v>3</v>
      </c>
      <c r="B274" s="133"/>
      <c r="C274" s="4" t="s">
        <v>193</v>
      </c>
      <c r="D274" s="132">
        <f>(31.13+2.85*0.75+2.5*0.75+3.16*0.75)*10.764</f>
        <v>403.78454999999991</v>
      </c>
      <c r="E274" s="133"/>
      <c r="F274" s="4">
        <v>0</v>
      </c>
      <c r="G274" s="4">
        <v>725</v>
      </c>
      <c r="H274" s="4" t="s">
        <v>90</v>
      </c>
      <c r="I274" s="136"/>
      <c r="J274" s="137"/>
      <c r="K274" s="43"/>
    </row>
    <row r="275" spans="1:11" s="3" customFormat="1" x14ac:dyDescent="0.35">
      <c r="A275" s="132">
        <v>4</v>
      </c>
      <c r="B275" s="133"/>
      <c r="C275" s="4" t="s">
        <v>191</v>
      </c>
      <c r="D275" s="132">
        <f>(54.75+2.9*0.75+2.58*0.75+3.15*0.75+2.5*0.75)*10.764</f>
        <v>679.18148999999994</v>
      </c>
      <c r="E275" s="133"/>
      <c r="F275" s="4">
        <v>0</v>
      </c>
      <c r="G275" s="4">
        <v>1220</v>
      </c>
      <c r="H275" s="4" t="s">
        <v>90</v>
      </c>
      <c r="I275" s="136"/>
      <c r="J275" s="137"/>
      <c r="K275" s="43"/>
    </row>
    <row r="276" spans="1:11" s="3" customFormat="1" x14ac:dyDescent="0.35">
      <c r="A276" s="129" t="s">
        <v>204</v>
      </c>
      <c r="B276" s="130"/>
      <c r="C276" s="130"/>
      <c r="D276" s="130"/>
      <c r="E276" s="130"/>
      <c r="F276" s="130"/>
      <c r="G276" s="130"/>
      <c r="H276" s="130"/>
      <c r="I276" s="130"/>
      <c r="J276" s="131"/>
      <c r="K276" s="43"/>
    </row>
    <row r="277" spans="1:11" s="3" customFormat="1" x14ac:dyDescent="0.35">
      <c r="A277" s="132">
        <v>1</v>
      </c>
      <c r="B277" s="133"/>
      <c r="C277" s="4" t="s">
        <v>191</v>
      </c>
      <c r="D277" s="132">
        <f>(49.53+2.7*0.75+2.55*0.75+3.05*0.75+2.5*0.75)*10.764</f>
        <v>620.32931999999994</v>
      </c>
      <c r="E277" s="133"/>
      <c r="F277" s="4">
        <v>0</v>
      </c>
      <c r="G277" s="4">
        <v>1110</v>
      </c>
      <c r="H277" s="4" t="s">
        <v>90</v>
      </c>
      <c r="I277" s="134" t="str">
        <f>A276</f>
        <v>4th &amp; 6th Floor</v>
      </c>
      <c r="J277" s="135"/>
      <c r="K277" s="43"/>
    </row>
    <row r="278" spans="1:11" s="3" customFormat="1" x14ac:dyDescent="0.35">
      <c r="A278" s="132">
        <v>2</v>
      </c>
      <c r="B278" s="133"/>
      <c r="C278" s="4" t="s">
        <v>193</v>
      </c>
      <c r="D278" s="132">
        <f>(30.36+2.95*0.75+2.35*0.75+2.83*0.75)*10.764</f>
        <v>392.42853000000002</v>
      </c>
      <c r="E278" s="133"/>
      <c r="F278" s="4">
        <v>0</v>
      </c>
      <c r="G278" s="4">
        <v>695</v>
      </c>
      <c r="H278" s="4" t="s">
        <v>90</v>
      </c>
      <c r="I278" s="136"/>
      <c r="J278" s="137"/>
      <c r="K278" s="43"/>
    </row>
    <row r="279" spans="1:11" s="3" customFormat="1" x14ac:dyDescent="0.35">
      <c r="A279" s="132">
        <v>3</v>
      </c>
      <c r="B279" s="133"/>
      <c r="C279" s="4" t="s">
        <v>193</v>
      </c>
      <c r="D279" s="132">
        <f>(31.13+2.85*0.75+2.5*0.75+3.15*0.75)*10.764</f>
        <v>403.70381999999995</v>
      </c>
      <c r="E279" s="133"/>
      <c r="F279" s="4">
        <v>0</v>
      </c>
      <c r="G279" s="4">
        <v>710</v>
      </c>
      <c r="H279" s="4" t="s">
        <v>90</v>
      </c>
      <c r="I279" s="136"/>
      <c r="J279" s="137"/>
      <c r="K279" s="43"/>
    </row>
    <row r="280" spans="1:11" s="3" customFormat="1" x14ac:dyDescent="0.35">
      <c r="A280" s="132">
        <v>4</v>
      </c>
      <c r="B280" s="133"/>
      <c r="C280" s="4" t="s">
        <v>191</v>
      </c>
      <c r="D280" s="132">
        <f>(54.75+2.9*0.75+2.85*0.75+3.15*0.75+2.5*0.75)*10.764</f>
        <v>681.36119999999994</v>
      </c>
      <c r="E280" s="133"/>
      <c r="F280" s="4">
        <v>0</v>
      </c>
      <c r="G280" s="4">
        <v>1210</v>
      </c>
      <c r="H280" s="4" t="s">
        <v>90</v>
      </c>
      <c r="I280" s="138"/>
      <c r="J280" s="139"/>
      <c r="K280" s="43"/>
    </row>
    <row r="281" spans="1:11" s="3" customFormat="1" ht="15.75" customHeight="1" x14ac:dyDescent="0.35">
      <c r="A281" s="129" t="s">
        <v>258</v>
      </c>
      <c r="B281" s="130"/>
      <c r="C281" s="130"/>
      <c r="D281" s="130"/>
      <c r="E281" s="130"/>
      <c r="F281" s="130"/>
      <c r="G281" s="130"/>
      <c r="H281" s="130"/>
      <c r="I281" s="130"/>
      <c r="J281" s="131"/>
      <c r="K281" s="43"/>
    </row>
    <row r="282" spans="1:11" s="3" customFormat="1" x14ac:dyDescent="0.35">
      <c r="A282" s="132">
        <v>1</v>
      </c>
      <c r="B282" s="133"/>
      <c r="C282" s="4" t="s">
        <v>191</v>
      </c>
      <c r="D282" s="132">
        <f>(49.53+2.7*0.75+2.55*0.75+3.05*0.75+2.5*0.75)*10.764</f>
        <v>620.32931999999994</v>
      </c>
      <c r="E282" s="133"/>
      <c r="F282" s="4">
        <v>0</v>
      </c>
      <c r="G282" s="4">
        <v>1115</v>
      </c>
      <c r="H282" s="4" t="s">
        <v>90</v>
      </c>
      <c r="I282" s="134" t="str">
        <f>A281</f>
        <v>5th, 7th, 9th, 11th &amp; 13th Floor</v>
      </c>
      <c r="J282" s="135"/>
      <c r="K282" s="43"/>
    </row>
    <row r="283" spans="1:11" s="3" customFormat="1" x14ac:dyDescent="0.35">
      <c r="A283" s="132">
        <v>2</v>
      </c>
      <c r="B283" s="133"/>
      <c r="C283" s="4" t="s">
        <v>193</v>
      </c>
      <c r="D283" s="132">
        <f>(30.36+2.95*0.75+2.35*0.75+2.83*0.75)*10.764</f>
        <v>392.42853000000002</v>
      </c>
      <c r="E283" s="133"/>
      <c r="F283" s="4">
        <v>0</v>
      </c>
      <c r="G283" s="4">
        <v>700</v>
      </c>
      <c r="H283" s="4" t="s">
        <v>90</v>
      </c>
      <c r="I283" s="136"/>
      <c r="J283" s="137"/>
      <c r="K283" s="43"/>
    </row>
    <row r="284" spans="1:11" s="3" customFormat="1" x14ac:dyDescent="0.35">
      <c r="A284" s="132">
        <v>3</v>
      </c>
      <c r="B284" s="133"/>
      <c r="C284" s="4" t="s">
        <v>193</v>
      </c>
      <c r="D284" s="132">
        <f>(31.13+2.85*0.75+2.5*0.75+3.15*0.75)*10.764</f>
        <v>403.70381999999995</v>
      </c>
      <c r="E284" s="133"/>
      <c r="F284" s="4">
        <v>0</v>
      </c>
      <c r="G284" s="4">
        <v>725</v>
      </c>
      <c r="H284" s="4" t="s">
        <v>90</v>
      </c>
      <c r="I284" s="136"/>
      <c r="J284" s="137"/>
      <c r="K284" s="43"/>
    </row>
    <row r="285" spans="1:11" s="3" customFormat="1" x14ac:dyDescent="0.35">
      <c r="A285" s="132">
        <v>4</v>
      </c>
      <c r="B285" s="133"/>
      <c r="C285" s="4" t="s">
        <v>191</v>
      </c>
      <c r="D285" s="132">
        <f>(54.75+2.9*0.75+2.85*0.75+3.15*0.75+2.5*0.75)*10.764</f>
        <v>681.36119999999994</v>
      </c>
      <c r="E285" s="133"/>
      <c r="F285" s="4">
        <v>0</v>
      </c>
      <c r="G285" s="4">
        <v>1220</v>
      </c>
      <c r="H285" s="4" t="s">
        <v>90</v>
      </c>
      <c r="I285" s="138"/>
      <c r="J285" s="139"/>
      <c r="K285" s="43"/>
    </row>
    <row r="286" spans="1:11" s="3" customFormat="1" ht="15.75" customHeight="1" x14ac:dyDescent="0.35">
      <c r="A286" s="129" t="s">
        <v>259</v>
      </c>
      <c r="B286" s="130"/>
      <c r="C286" s="130"/>
      <c r="D286" s="130"/>
      <c r="E286" s="130"/>
      <c r="F286" s="130"/>
      <c r="G286" s="130"/>
      <c r="H286" s="130"/>
      <c r="I286" s="130"/>
      <c r="J286" s="131"/>
      <c r="K286" s="43"/>
    </row>
    <row r="287" spans="1:11" s="3" customFormat="1" x14ac:dyDescent="0.35">
      <c r="A287" s="132">
        <v>1</v>
      </c>
      <c r="B287" s="133"/>
      <c r="C287" s="4" t="s">
        <v>191</v>
      </c>
      <c r="D287" s="132">
        <f>(49.53+2.7*0.75+2.55*0.75+3.05*0.75+2.5*0.75)*10.764</f>
        <v>620.32931999999994</v>
      </c>
      <c r="E287" s="133"/>
      <c r="F287" s="4">
        <v>0</v>
      </c>
      <c r="G287" s="4">
        <v>1110</v>
      </c>
      <c r="H287" s="4" t="s">
        <v>90</v>
      </c>
      <c r="I287" s="134" t="str">
        <f>I255</f>
        <v>8th, 10th &amp; 12th Floor (Part Refuge Area)</v>
      </c>
      <c r="J287" s="135"/>
      <c r="K287" s="43"/>
    </row>
    <row r="288" spans="1:11" s="3" customFormat="1" x14ac:dyDescent="0.35">
      <c r="A288" s="132">
        <v>2</v>
      </c>
      <c r="B288" s="133"/>
      <c r="C288" s="4" t="s">
        <v>193</v>
      </c>
      <c r="D288" s="132">
        <f>(30.36+2.95*0.75+2.35*0.75+2.83*0.75)*10.764</f>
        <v>392.42853000000002</v>
      </c>
      <c r="E288" s="133"/>
      <c r="F288" s="4">
        <v>0</v>
      </c>
      <c r="G288" s="4">
        <v>695</v>
      </c>
      <c r="H288" s="4" t="s">
        <v>90</v>
      </c>
      <c r="I288" s="136"/>
      <c r="J288" s="137"/>
      <c r="K288" s="43"/>
    </row>
    <row r="289" spans="1:11" s="3" customFormat="1" x14ac:dyDescent="0.35">
      <c r="A289" s="132">
        <v>3</v>
      </c>
      <c r="B289" s="133"/>
      <c r="C289" s="4" t="s">
        <v>193</v>
      </c>
      <c r="D289" s="132">
        <f>(31.13+2.85*0.75+2.5*0.75+3.15*0.75)*10.764</f>
        <v>403.70381999999995</v>
      </c>
      <c r="E289" s="133"/>
      <c r="F289" s="4">
        <v>0</v>
      </c>
      <c r="G289" s="4">
        <v>710</v>
      </c>
      <c r="H289" s="4" t="s">
        <v>90</v>
      </c>
      <c r="I289" s="136"/>
      <c r="J289" s="137"/>
      <c r="K289" s="43"/>
    </row>
    <row r="290" spans="1:11" s="3" customFormat="1" x14ac:dyDescent="0.35">
      <c r="A290" s="132">
        <v>4</v>
      </c>
      <c r="B290" s="133"/>
      <c r="C290" s="4" t="s">
        <v>191</v>
      </c>
      <c r="D290" s="132">
        <f>(54.75+2.9*0.75+2.85*0.75+3.15*0.75+2.5*0.75)*10.764</f>
        <v>681.36119999999994</v>
      </c>
      <c r="E290" s="133"/>
      <c r="F290" s="4">
        <v>0</v>
      </c>
      <c r="G290" s="4">
        <v>1210</v>
      </c>
      <c r="H290" s="4" t="s">
        <v>90</v>
      </c>
      <c r="I290" s="138"/>
      <c r="J290" s="139"/>
      <c r="K290" s="43"/>
    </row>
    <row r="291" spans="1:11" s="3" customFormat="1" ht="15.75" customHeight="1" x14ac:dyDescent="0.35">
      <c r="A291" s="140" t="s">
        <v>260</v>
      </c>
      <c r="B291" s="141"/>
      <c r="C291" s="141"/>
      <c r="D291" s="141"/>
      <c r="E291" s="141"/>
      <c r="F291" s="141"/>
      <c r="G291" s="141"/>
      <c r="H291" s="141"/>
      <c r="I291" s="141"/>
      <c r="J291" s="142"/>
      <c r="K291" s="43"/>
    </row>
    <row r="292" spans="1:11" s="3" customFormat="1" x14ac:dyDescent="0.35">
      <c r="A292" s="132">
        <v>1</v>
      </c>
      <c r="B292" s="133"/>
      <c r="C292" s="4" t="s">
        <v>193</v>
      </c>
      <c r="D292" s="132">
        <f>(30.36+2.95*0.75+2.35*0.75+2.83*0.75)*10.764</f>
        <v>392.42853000000002</v>
      </c>
      <c r="E292" s="133"/>
      <c r="F292" s="4">
        <v>0</v>
      </c>
      <c r="G292" s="4">
        <v>695</v>
      </c>
      <c r="H292" s="4" t="s">
        <v>90</v>
      </c>
      <c r="I292" s="134" t="str">
        <f>A291</f>
        <v>14th Floor (Part Terrace Area)</v>
      </c>
      <c r="J292" s="135"/>
      <c r="K292" s="43"/>
    </row>
    <row r="293" spans="1:11" s="3" customFormat="1" x14ac:dyDescent="0.35">
      <c r="A293" s="132">
        <v>2</v>
      </c>
      <c r="B293" s="133"/>
      <c r="C293" s="4" t="s">
        <v>191</v>
      </c>
      <c r="D293" s="132">
        <f>(54.75+2.9*0.75+2.85*0.75+3.15*0.75+2.5*0.75)*10.764</f>
        <v>681.36119999999994</v>
      </c>
      <c r="E293" s="133"/>
      <c r="F293" s="4">
        <v>0</v>
      </c>
      <c r="G293" s="4">
        <v>1210</v>
      </c>
      <c r="H293" s="4" t="s">
        <v>90</v>
      </c>
      <c r="I293" s="136"/>
      <c r="J293" s="137"/>
      <c r="K293" s="43"/>
    </row>
    <row r="294" spans="1:11" s="3" customFormat="1" x14ac:dyDescent="0.35">
      <c r="A294" s="129" t="s">
        <v>197</v>
      </c>
      <c r="B294" s="130"/>
      <c r="C294" s="130"/>
      <c r="D294" s="130"/>
      <c r="E294" s="130"/>
      <c r="F294" s="130"/>
      <c r="G294" s="130"/>
      <c r="H294" s="130"/>
      <c r="I294" s="130"/>
      <c r="J294" s="131"/>
      <c r="K294" s="43"/>
    </row>
    <row r="295" spans="1:11" s="3" customFormat="1" ht="15.75" customHeight="1" x14ac:dyDescent="0.35">
      <c r="A295" s="129" t="s">
        <v>188</v>
      </c>
      <c r="B295" s="130"/>
      <c r="C295" s="130"/>
      <c r="D295" s="130"/>
      <c r="E295" s="130"/>
      <c r="F295" s="130"/>
      <c r="G295" s="130"/>
      <c r="H295" s="130"/>
      <c r="I295" s="130"/>
      <c r="J295" s="131"/>
      <c r="K295" s="43"/>
    </row>
    <row r="296" spans="1:11" s="3" customFormat="1" ht="15.75" customHeight="1" x14ac:dyDescent="0.35">
      <c r="A296" s="129" t="s">
        <v>209</v>
      </c>
      <c r="B296" s="130"/>
      <c r="C296" s="130"/>
      <c r="D296" s="130"/>
      <c r="E296" s="130"/>
      <c r="F296" s="130"/>
      <c r="G296" s="130"/>
      <c r="H296" s="130"/>
      <c r="I296" s="130"/>
      <c r="J296" s="131"/>
      <c r="K296" s="43"/>
    </row>
    <row r="297" spans="1:11" s="3" customFormat="1" x14ac:dyDescent="0.35">
      <c r="A297" s="132">
        <v>1</v>
      </c>
      <c r="B297" s="133"/>
      <c r="C297" s="4" t="s">
        <v>191</v>
      </c>
      <c r="D297" s="132">
        <f>(47.12+2.55*0.75+2.55*0.75+2.8*0.75+2.5*0.75)*10.764</f>
        <v>591.15887999999995</v>
      </c>
      <c r="E297" s="133"/>
      <c r="F297" s="3">
        <v>0</v>
      </c>
      <c r="G297" s="4">
        <v>1060</v>
      </c>
      <c r="H297" s="4" t="s">
        <v>90</v>
      </c>
      <c r="I297" s="134" t="str">
        <f>I268</f>
        <v>2nd Floor</v>
      </c>
      <c r="J297" s="135"/>
      <c r="K297" s="43"/>
    </row>
    <row r="298" spans="1:11" s="3" customFormat="1" x14ac:dyDescent="0.35">
      <c r="A298" s="132">
        <v>2</v>
      </c>
      <c r="B298" s="133"/>
      <c r="C298" s="4" t="s">
        <v>191</v>
      </c>
      <c r="D298" s="132">
        <f>(47.12+2.55*0.75+2.55*0.75+2.8*0.75+2.5*0.75)*10.764</f>
        <v>591.15887999999995</v>
      </c>
      <c r="E298" s="133"/>
      <c r="F298" s="4">
        <v>0</v>
      </c>
      <c r="G298" s="4">
        <v>1060</v>
      </c>
      <c r="H298" s="4" t="s">
        <v>90</v>
      </c>
      <c r="I298" s="138"/>
      <c r="J298" s="139"/>
      <c r="K298" s="43"/>
    </row>
    <row r="299" spans="1:11" s="3" customFormat="1" ht="15.75" customHeight="1" x14ac:dyDescent="0.35">
      <c r="A299" s="129" t="s">
        <v>198</v>
      </c>
      <c r="B299" s="130"/>
      <c r="C299" s="130"/>
      <c r="D299" s="130"/>
      <c r="E299" s="130"/>
      <c r="F299" s="130"/>
      <c r="G299" s="130"/>
      <c r="H299" s="130"/>
      <c r="I299" s="130"/>
      <c r="J299" s="131"/>
      <c r="K299" s="43"/>
    </row>
    <row r="300" spans="1:11" s="3" customFormat="1" x14ac:dyDescent="0.35">
      <c r="A300" s="132">
        <v>1</v>
      </c>
      <c r="B300" s="133"/>
      <c r="C300" s="4" t="s">
        <v>191</v>
      </c>
      <c r="D300" s="132">
        <f>(47.12+2.5*0.75+2.55*0.75+2.8*0.75+2.5*0.75)*10.764</f>
        <v>590.75522999999998</v>
      </c>
      <c r="E300" s="133"/>
      <c r="F300" s="4">
        <v>0</v>
      </c>
      <c r="G300" s="4">
        <v>1070</v>
      </c>
      <c r="H300" s="4" t="s">
        <v>90</v>
      </c>
      <c r="I300" s="134" t="str">
        <f>I272</f>
        <v>3rd Floor</v>
      </c>
      <c r="J300" s="135"/>
      <c r="K300" s="43"/>
    </row>
    <row r="301" spans="1:11" s="3" customFormat="1" x14ac:dyDescent="0.35">
      <c r="A301" s="132">
        <v>2</v>
      </c>
      <c r="B301" s="133"/>
      <c r="C301" s="4" t="s">
        <v>193</v>
      </c>
      <c r="D301" s="132">
        <f>(30.37+2.85*0.75+2.35*0.75+2.83*0.75)*10.764</f>
        <v>391.72887000000003</v>
      </c>
      <c r="E301" s="133"/>
      <c r="F301" s="4">
        <v>0</v>
      </c>
      <c r="G301" s="4">
        <v>700</v>
      </c>
      <c r="H301" s="4" t="s">
        <v>90</v>
      </c>
      <c r="I301" s="136"/>
      <c r="J301" s="137"/>
      <c r="K301" s="43"/>
    </row>
    <row r="302" spans="1:11" s="3" customFormat="1" x14ac:dyDescent="0.35">
      <c r="A302" s="132">
        <v>3</v>
      </c>
      <c r="B302" s="133"/>
      <c r="C302" s="4" t="s">
        <v>193</v>
      </c>
      <c r="D302" s="132">
        <f>(31.09+2.75*0.75+2.1*0.75+3*0.75)*10.764</f>
        <v>398.02581000000004</v>
      </c>
      <c r="E302" s="133"/>
      <c r="F302" s="4">
        <v>0</v>
      </c>
      <c r="G302" s="4">
        <v>715</v>
      </c>
      <c r="H302" s="4" t="s">
        <v>90</v>
      </c>
      <c r="I302" s="136"/>
      <c r="J302" s="137"/>
      <c r="K302" s="43"/>
    </row>
    <row r="303" spans="1:11" s="3" customFormat="1" x14ac:dyDescent="0.35">
      <c r="A303" s="132">
        <v>4</v>
      </c>
      <c r="B303" s="133"/>
      <c r="C303" s="4" t="s">
        <v>193</v>
      </c>
      <c r="D303" s="132">
        <f>(31.69+4*0.75+2.1*0.75+3*0.75)*10.764</f>
        <v>414.57545999999996</v>
      </c>
      <c r="E303" s="133"/>
      <c r="F303" s="4">
        <v>0</v>
      </c>
      <c r="G303" s="4">
        <v>745</v>
      </c>
      <c r="H303" s="4" t="s">
        <v>90</v>
      </c>
      <c r="I303" s="136"/>
      <c r="J303" s="137"/>
      <c r="K303" s="43"/>
    </row>
    <row r="304" spans="1:11" s="3" customFormat="1" x14ac:dyDescent="0.35">
      <c r="A304" s="132">
        <v>5</v>
      </c>
      <c r="B304" s="133"/>
      <c r="C304" s="4" t="s">
        <v>191</v>
      </c>
      <c r="D304" s="132">
        <f>(47.12+2.55*0.75+2.55*0.75+2.9*0.75+2.5*0.75)*10.764</f>
        <v>591.96617999999989</v>
      </c>
      <c r="E304" s="133"/>
      <c r="F304" s="4">
        <v>0</v>
      </c>
      <c r="G304" s="4">
        <v>1070</v>
      </c>
      <c r="H304" s="4" t="s">
        <v>90</v>
      </c>
      <c r="I304" s="138"/>
      <c r="J304" s="139"/>
      <c r="K304" s="43"/>
    </row>
    <row r="305" spans="1:11" s="3" customFormat="1" x14ac:dyDescent="0.35">
      <c r="A305" s="129" t="s">
        <v>204</v>
      </c>
      <c r="B305" s="130"/>
      <c r="C305" s="130"/>
      <c r="D305" s="130"/>
      <c r="E305" s="130"/>
      <c r="F305" s="130"/>
      <c r="G305" s="130"/>
      <c r="H305" s="130"/>
      <c r="I305" s="130"/>
      <c r="J305" s="131"/>
      <c r="K305" s="43"/>
    </row>
    <row r="306" spans="1:11" s="3" customFormat="1" x14ac:dyDescent="0.35">
      <c r="A306" s="132">
        <v>1</v>
      </c>
      <c r="B306" s="133"/>
      <c r="C306" s="4" t="s">
        <v>191</v>
      </c>
      <c r="D306" s="132">
        <f>(47.12+2.35*0.75+2.55*0.75+2.9*0.75+2.5*0.75)*10.764</f>
        <v>590.3515799999999</v>
      </c>
      <c r="E306" s="133"/>
      <c r="F306" s="4">
        <v>0</v>
      </c>
      <c r="G306" s="4">
        <v>1060</v>
      </c>
      <c r="H306" s="4" t="s">
        <v>90</v>
      </c>
      <c r="I306" s="134" t="str">
        <f>I277</f>
        <v>4th &amp; 6th Floor</v>
      </c>
      <c r="J306" s="135"/>
      <c r="K306" s="43"/>
    </row>
    <row r="307" spans="1:11" s="3" customFormat="1" x14ac:dyDescent="0.35">
      <c r="A307" s="132">
        <v>2</v>
      </c>
      <c r="B307" s="133"/>
      <c r="C307" s="4" t="s">
        <v>193</v>
      </c>
      <c r="D307" s="132">
        <f>(30.37+2.75*0.75+2.1*0.75+2.75*0.75)*10.764</f>
        <v>388.25748000000004</v>
      </c>
      <c r="E307" s="133"/>
      <c r="F307" s="4">
        <v>0</v>
      </c>
      <c r="G307" s="4">
        <v>695</v>
      </c>
      <c r="H307" s="4" t="s">
        <v>90</v>
      </c>
      <c r="I307" s="136"/>
      <c r="J307" s="137"/>
      <c r="K307" s="43"/>
    </row>
    <row r="308" spans="1:11" s="3" customFormat="1" x14ac:dyDescent="0.35">
      <c r="A308" s="132">
        <v>3</v>
      </c>
      <c r="B308" s="133"/>
      <c r="C308" s="4" t="s">
        <v>193</v>
      </c>
      <c r="D308" s="132">
        <f>(31.09+2.75*0.75+2.1*0.75+3*0.75)*10.764</f>
        <v>398.02581000000004</v>
      </c>
      <c r="E308" s="133"/>
      <c r="F308" s="4">
        <v>0</v>
      </c>
      <c r="G308" s="4">
        <v>715</v>
      </c>
      <c r="H308" s="4" t="s">
        <v>90</v>
      </c>
      <c r="I308" s="136"/>
      <c r="J308" s="137"/>
      <c r="K308" s="43"/>
    </row>
    <row r="309" spans="1:11" s="3" customFormat="1" x14ac:dyDescent="0.35">
      <c r="A309" s="132">
        <v>4</v>
      </c>
      <c r="B309" s="133"/>
      <c r="C309" s="4" t="s">
        <v>193</v>
      </c>
      <c r="D309" s="132">
        <f>(31.69+4*0.75+2.1*0.75+3*0.75)*10.764</f>
        <v>414.57545999999996</v>
      </c>
      <c r="E309" s="133"/>
      <c r="F309" s="4">
        <v>0</v>
      </c>
      <c r="G309" s="4">
        <v>740</v>
      </c>
      <c r="H309" s="4" t="s">
        <v>90</v>
      </c>
      <c r="I309" s="136"/>
      <c r="J309" s="137"/>
      <c r="K309" s="43"/>
    </row>
    <row r="310" spans="1:11" s="3" customFormat="1" x14ac:dyDescent="0.35">
      <c r="A310" s="132">
        <v>5</v>
      </c>
      <c r="B310" s="133"/>
      <c r="C310" s="4" t="s">
        <v>191</v>
      </c>
      <c r="D310" s="132">
        <f>(47.12+2.55*0.75+2.55*0.75+2.9*0.75+2.5*0.75)*10.764</f>
        <v>591.96617999999989</v>
      </c>
      <c r="E310" s="133"/>
      <c r="F310" s="4">
        <v>0</v>
      </c>
      <c r="G310" s="4">
        <v>1060</v>
      </c>
      <c r="H310" s="4" t="s">
        <v>90</v>
      </c>
      <c r="I310" s="138"/>
      <c r="J310" s="139"/>
      <c r="K310" s="43"/>
    </row>
    <row r="311" spans="1:11" s="3" customFormat="1" ht="15.75" customHeight="1" x14ac:dyDescent="0.35">
      <c r="A311" s="129" t="s">
        <v>258</v>
      </c>
      <c r="B311" s="130"/>
      <c r="C311" s="130"/>
      <c r="D311" s="130"/>
      <c r="E311" s="130"/>
      <c r="F311" s="130"/>
      <c r="G311" s="130"/>
      <c r="H311" s="130"/>
      <c r="I311" s="130"/>
      <c r="J311" s="131"/>
      <c r="K311" s="43"/>
    </row>
    <row r="312" spans="1:11" s="3" customFormat="1" x14ac:dyDescent="0.35">
      <c r="A312" s="132">
        <v>1</v>
      </c>
      <c r="B312" s="133"/>
      <c r="C312" s="4" t="s">
        <v>191</v>
      </c>
      <c r="D312" s="132">
        <f>(47.12+2.35*0.75+2.55*0.75+2.9*0.75+2.5*0.75)*10.764</f>
        <v>590.3515799999999</v>
      </c>
      <c r="E312" s="133"/>
      <c r="F312" s="4">
        <v>0</v>
      </c>
      <c r="G312" s="4">
        <v>1070</v>
      </c>
      <c r="H312" s="4" t="s">
        <v>90</v>
      </c>
      <c r="I312" s="134" t="str">
        <f>I282</f>
        <v>5th, 7th, 9th, 11th &amp; 13th Floor</v>
      </c>
      <c r="J312" s="135"/>
      <c r="K312" s="43"/>
    </row>
    <row r="313" spans="1:11" s="3" customFormat="1" x14ac:dyDescent="0.35">
      <c r="A313" s="132">
        <v>2</v>
      </c>
      <c r="B313" s="133"/>
      <c r="C313" s="4" t="s">
        <v>193</v>
      </c>
      <c r="D313" s="132">
        <f>(30.37+2.75*0.75+2.1*0.75+2.75*0.75)*10.764</f>
        <v>388.25748000000004</v>
      </c>
      <c r="E313" s="133"/>
      <c r="F313" s="4">
        <v>0</v>
      </c>
      <c r="G313" s="4">
        <v>700</v>
      </c>
      <c r="H313" s="4" t="s">
        <v>90</v>
      </c>
      <c r="I313" s="136"/>
      <c r="J313" s="137"/>
      <c r="K313" s="43"/>
    </row>
    <row r="314" spans="1:11" s="3" customFormat="1" x14ac:dyDescent="0.35">
      <c r="A314" s="132">
        <v>3</v>
      </c>
      <c r="B314" s="133"/>
      <c r="C314" s="4" t="s">
        <v>193</v>
      </c>
      <c r="D314" s="132">
        <f>(31.09+2.75*0.75+2.1*0.75+3*0.75)*10.764</f>
        <v>398.02581000000004</v>
      </c>
      <c r="E314" s="133"/>
      <c r="F314" s="4">
        <v>0</v>
      </c>
      <c r="G314" s="4">
        <v>715</v>
      </c>
      <c r="H314" s="4" t="s">
        <v>90</v>
      </c>
      <c r="I314" s="136"/>
      <c r="J314" s="137"/>
      <c r="K314" s="43"/>
    </row>
    <row r="315" spans="1:11" s="3" customFormat="1" x14ac:dyDescent="0.35">
      <c r="A315" s="132">
        <v>4</v>
      </c>
      <c r="B315" s="133"/>
      <c r="C315" s="4" t="s">
        <v>193</v>
      </c>
      <c r="D315" s="132">
        <f>(31.69+4*0.75+2.1*0.75+3*0.75)*10.764</f>
        <v>414.57545999999996</v>
      </c>
      <c r="E315" s="133"/>
      <c r="F315" s="4">
        <v>0</v>
      </c>
      <c r="G315" s="4">
        <v>745</v>
      </c>
      <c r="H315" s="4" t="s">
        <v>90</v>
      </c>
      <c r="I315" s="136"/>
      <c r="J315" s="137"/>
      <c r="K315" s="43"/>
    </row>
    <row r="316" spans="1:11" s="3" customFormat="1" x14ac:dyDescent="0.35">
      <c r="A316" s="132">
        <v>5</v>
      </c>
      <c r="B316" s="133"/>
      <c r="C316" s="4" t="s">
        <v>191</v>
      </c>
      <c r="D316" s="132">
        <f>(47.12+2.55*0.75+2.55*0.75+2.9*0.75+2.5*0.75)*10.764</f>
        <v>591.96617999999989</v>
      </c>
      <c r="E316" s="133"/>
      <c r="F316" s="4">
        <v>0</v>
      </c>
      <c r="G316" s="4">
        <v>1070</v>
      </c>
      <c r="H316" s="4" t="s">
        <v>90</v>
      </c>
      <c r="I316" s="138"/>
      <c r="J316" s="139"/>
      <c r="K316" s="43"/>
    </row>
    <row r="317" spans="1:11" s="3" customFormat="1" ht="15.75" customHeight="1" x14ac:dyDescent="0.35">
      <c r="A317" s="129" t="s">
        <v>259</v>
      </c>
      <c r="B317" s="130"/>
      <c r="C317" s="130"/>
      <c r="D317" s="130"/>
      <c r="E317" s="130"/>
      <c r="F317" s="130"/>
      <c r="G317" s="130"/>
      <c r="H317" s="130"/>
      <c r="I317" s="130"/>
      <c r="J317" s="131"/>
      <c r="K317" s="43"/>
    </row>
    <row r="318" spans="1:11" s="3" customFormat="1" x14ac:dyDescent="0.35">
      <c r="A318" s="132">
        <v>1</v>
      </c>
      <c r="B318" s="133"/>
      <c r="C318" s="4" t="s">
        <v>191</v>
      </c>
      <c r="D318" s="132">
        <f>(47.12+2.35*0.75+2.55*0.75+2.9*0.75+2.5*0.75)*10.764</f>
        <v>590.3515799999999</v>
      </c>
      <c r="E318" s="133"/>
      <c r="F318" s="4">
        <v>0</v>
      </c>
      <c r="G318" s="4">
        <v>1060</v>
      </c>
      <c r="H318" s="4" t="s">
        <v>90</v>
      </c>
      <c r="I318" s="134" t="str">
        <f>A317</f>
        <v>8th, 10th &amp; 12th Floor (Part Refuge Area)</v>
      </c>
      <c r="J318" s="135"/>
      <c r="K318" s="43"/>
    </row>
    <row r="319" spans="1:11" s="3" customFormat="1" x14ac:dyDescent="0.35">
      <c r="A319" s="132">
        <v>2</v>
      </c>
      <c r="B319" s="133"/>
      <c r="C319" s="4" t="s">
        <v>193</v>
      </c>
      <c r="D319" s="132">
        <f>(30.37+2.75*0.75+2.1*0.75+2.75*0.75)*10.764</f>
        <v>388.25748000000004</v>
      </c>
      <c r="E319" s="133"/>
      <c r="F319" s="4">
        <v>0</v>
      </c>
      <c r="G319" s="4">
        <v>695</v>
      </c>
      <c r="H319" s="4" t="s">
        <v>90</v>
      </c>
      <c r="I319" s="136"/>
      <c r="J319" s="137"/>
      <c r="K319" s="43"/>
    </row>
    <row r="320" spans="1:11" s="3" customFormat="1" x14ac:dyDescent="0.35">
      <c r="A320" s="132">
        <v>3</v>
      </c>
      <c r="B320" s="133"/>
      <c r="C320" s="4" t="s">
        <v>193</v>
      </c>
      <c r="D320" s="132">
        <f>(31.09+2.75*0.75+2.1*0.75+3*0.75)*10.764</f>
        <v>398.02581000000004</v>
      </c>
      <c r="E320" s="133"/>
      <c r="F320" s="4">
        <v>0</v>
      </c>
      <c r="G320" s="4">
        <v>715</v>
      </c>
      <c r="H320" s="4" t="s">
        <v>90</v>
      </c>
      <c r="I320" s="136"/>
      <c r="J320" s="137"/>
      <c r="K320" s="43"/>
    </row>
    <row r="321" spans="1:11" s="3" customFormat="1" x14ac:dyDescent="0.35">
      <c r="A321" s="132">
        <v>4</v>
      </c>
      <c r="B321" s="133"/>
      <c r="C321" s="4" t="s">
        <v>193</v>
      </c>
      <c r="D321" s="132">
        <f>(31.69+4*0.75+2.1*0.75+3*0.75)*10.764</f>
        <v>414.57545999999996</v>
      </c>
      <c r="E321" s="133"/>
      <c r="F321" s="4">
        <v>0</v>
      </c>
      <c r="G321" s="4">
        <v>740</v>
      </c>
      <c r="H321" s="4" t="s">
        <v>90</v>
      </c>
      <c r="I321" s="136"/>
      <c r="J321" s="137"/>
      <c r="K321" s="43"/>
    </row>
    <row r="322" spans="1:11" s="3" customFormat="1" x14ac:dyDescent="0.35">
      <c r="A322" s="132">
        <v>5</v>
      </c>
      <c r="B322" s="133"/>
      <c r="C322" s="4" t="s">
        <v>191</v>
      </c>
      <c r="D322" s="132">
        <f>(47.12+2.55*0.75+2.55*0.75+2.9*0.75+2.5*0.75)*10.764</f>
        <v>591.96617999999989</v>
      </c>
      <c r="E322" s="133"/>
      <c r="F322" s="4">
        <v>0</v>
      </c>
      <c r="G322" s="4">
        <v>1060</v>
      </c>
      <c r="H322" s="4" t="s">
        <v>90</v>
      </c>
      <c r="I322" s="138"/>
      <c r="J322" s="139"/>
      <c r="K322" s="43"/>
    </row>
    <row r="323" spans="1:11" s="3" customFormat="1" ht="15.75" customHeight="1" x14ac:dyDescent="0.35">
      <c r="A323" s="140" t="s">
        <v>260</v>
      </c>
      <c r="B323" s="141"/>
      <c r="C323" s="141"/>
      <c r="D323" s="141"/>
      <c r="E323" s="141"/>
      <c r="F323" s="141"/>
      <c r="G323" s="141"/>
      <c r="H323" s="141"/>
      <c r="I323" s="141"/>
      <c r="J323" s="142"/>
      <c r="K323" s="43"/>
    </row>
    <row r="324" spans="1:11" s="3" customFormat="1" x14ac:dyDescent="0.35">
      <c r="A324" s="132">
        <v>1</v>
      </c>
      <c r="B324" s="133"/>
      <c r="C324" s="4" t="s">
        <v>191</v>
      </c>
      <c r="D324" s="132">
        <f>(47.12+2.35*0.75+2.55*0.75+2.9*0.75+2.5*0.75)*10.764</f>
        <v>590.3515799999999</v>
      </c>
      <c r="E324" s="133"/>
      <c r="F324" s="4">
        <v>0</v>
      </c>
      <c r="G324" s="4">
        <v>1060</v>
      </c>
      <c r="H324" s="4" t="s">
        <v>90</v>
      </c>
      <c r="I324" s="134" t="str">
        <f>A323</f>
        <v>14th Floor (Part Terrace Area)</v>
      </c>
      <c r="J324" s="135"/>
      <c r="K324" s="43"/>
    </row>
    <row r="325" spans="1:11" s="3" customFormat="1" x14ac:dyDescent="0.35">
      <c r="A325" s="132">
        <v>2</v>
      </c>
      <c r="B325" s="133"/>
      <c r="C325" s="4" t="s">
        <v>193</v>
      </c>
      <c r="D325" s="132">
        <f>(30.37+2.75*0.75+2.1*0.75+2.75*0.75)*10.764</f>
        <v>388.25748000000004</v>
      </c>
      <c r="E325" s="133"/>
      <c r="F325" s="4">
        <v>0</v>
      </c>
      <c r="G325" s="4">
        <v>1060</v>
      </c>
      <c r="H325" s="4" t="s">
        <v>90</v>
      </c>
      <c r="I325" s="136"/>
      <c r="J325" s="137"/>
      <c r="K325" s="43"/>
    </row>
    <row r="326" spans="1:11" s="3" customFormat="1" x14ac:dyDescent="0.35">
      <c r="A326" s="132">
        <v>3</v>
      </c>
      <c r="B326" s="133"/>
      <c r="C326" s="4" t="s">
        <v>193</v>
      </c>
      <c r="D326" s="132">
        <f>(31.09+2.75*0.75+2.1*0.75+3*0.75)*10.764</f>
        <v>398.02581000000004</v>
      </c>
      <c r="E326" s="133"/>
      <c r="F326" s="4">
        <v>0</v>
      </c>
      <c r="G326" s="4">
        <v>715</v>
      </c>
      <c r="H326" s="4" t="s">
        <v>90</v>
      </c>
      <c r="I326" s="136"/>
      <c r="J326" s="137"/>
      <c r="K326" s="43"/>
    </row>
    <row r="327" spans="1:11" s="3" customFormat="1" x14ac:dyDescent="0.35">
      <c r="A327" s="132">
        <v>4</v>
      </c>
      <c r="B327" s="133"/>
      <c r="C327" s="4" t="s">
        <v>193</v>
      </c>
      <c r="D327" s="143">
        <f>(38.9+2.55*0.75+2.55*0.75+2.5*0.75)*10.764</f>
        <v>480.07439999999997</v>
      </c>
      <c r="E327" s="144"/>
      <c r="F327" s="81">
        <f>3*2.85*10.764</f>
        <v>92.032200000000003</v>
      </c>
      <c r="G327" s="4">
        <v>905</v>
      </c>
      <c r="H327" s="4" t="s">
        <v>90</v>
      </c>
      <c r="I327" s="136"/>
      <c r="J327" s="137"/>
      <c r="K327" s="43"/>
    </row>
    <row r="328" spans="1:11" s="1" customFormat="1" ht="15.75" customHeight="1" x14ac:dyDescent="0.35">
      <c r="A328" s="176" t="s">
        <v>99</v>
      </c>
      <c r="B328" s="177"/>
      <c r="C328" s="177"/>
      <c r="D328" s="177"/>
      <c r="E328" s="177"/>
      <c r="F328" s="177"/>
      <c r="G328" s="177"/>
      <c r="H328" s="177"/>
      <c r="I328" s="177"/>
      <c r="J328" s="178"/>
    </row>
    <row r="329" spans="1:11" s="39" customFormat="1" ht="185" customHeight="1" x14ac:dyDescent="0.35">
      <c r="A329" s="179" t="s">
        <v>287</v>
      </c>
      <c r="B329" s="180"/>
      <c r="C329" s="180"/>
      <c r="D329" s="180"/>
      <c r="E329" s="180"/>
      <c r="F329" s="180"/>
      <c r="G329" s="180"/>
      <c r="H329" s="180"/>
      <c r="I329" s="180"/>
      <c r="J329" s="181"/>
    </row>
    <row r="330" spans="1:11" x14ac:dyDescent="0.35">
      <c r="A330" s="173" t="s">
        <v>91</v>
      </c>
      <c r="B330" s="174"/>
      <c r="C330" s="174"/>
      <c r="D330" s="174"/>
      <c r="E330" s="174"/>
      <c r="F330" s="174"/>
      <c r="G330" s="174"/>
      <c r="H330" s="174"/>
      <c r="I330" s="174"/>
      <c r="J330" s="175"/>
    </row>
    <row r="331" spans="1:11" x14ac:dyDescent="0.35">
      <c r="A331" s="167" t="s">
        <v>92</v>
      </c>
      <c r="B331" s="168"/>
      <c r="C331" s="168"/>
      <c r="D331" s="168"/>
      <c r="E331" s="168"/>
      <c r="F331" s="168"/>
      <c r="G331" s="168"/>
      <c r="H331" s="168"/>
      <c r="I331" s="168"/>
      <c r="J331" s="169"/>
    </row>
    <row r="332" spans="1:11" ht="15.75" customHeight="1" x14ac:dyDescent="0.35">
      <c r="A332" s="173" t="s">
        <v>93</v>
      </c>
      <c r="B332" s="174"/>
      <c r="C332" s="174"/>
      <c r="D332" s="174"/>
      <c r="E332" s="174"/>
      <c r="F332" s="174"/>
      <c r="G332" s="174"/>
      <c r="H332" s="174"/>
      <c r="I332" s="174"/>
      <c r="J332" s="175"/>
    </row>
    <row r="333" spans="1:11" x14ac:dyDescent="0.35">
      <c r="A333" s="167" t="s">
        <v>94</v>
      </c>
      <c r="B333" s="168"/>
      <c r="C333" s="168"/>
      <c r="D333" s="168"/>
      <c r="E333" s="168"/>
      <c r="F333" s="168"/>
      <c r="G333" s="168"/>
      <c r="H333" s="168"/>
      <c r="I333" s="168"/>
      <c r="J333" s="169"/>
    </row>
    <row r="334" spans="1:11" x14ac:dyDescent="0.35">
      <c r="A334" s="167" t="s">
        <v>95</v>
      </c>
      <c r="B334" s="168"/>
      <c r="C334" s="168"/>
      <c r="D334" s="168"/>
      <c r="E334" s="168"/>
      <c r="F334" s="168"/>
      <c r="G334" s="168"/>
      <c r="H334" s="168"/>
      <c r="I334" s="168"/>
      <c r="J334" s="169"/>
    </row>
    <row r="335" spans="1:11" ht="35.25" customHeight="1" x14ac:dyDescent="0.35">
      <c r="A335" s="170" t="s">
        <v>96</v>
      </c>
      <c r="B335" s="171"/>
      <c r="C335" s="171"/>
      <c r="D335" s="171"/>
      <c r="E335" s="171"/>
      <c r="F335" s="171"/>
      <c r="G335" s="171"/>
      <c r="H335" s="171"/>
      <c r="I335" s="171"/>
      <c r="J335" s="172"/>
    </row>
    <row r="336" spans="1:11" s="38" customFormat="1" x14ac:dyDescent="0.35">
      <c r="A336" s="164" t="s">
        <v>172</v>
      </c>
      <c r="B336" s="165"/>
      <c r="C336" s="164" t="s">
        <v>283</v>
      </c>
      <c r="D336" s="165"/>
      <c r="E336" s="164" t="s">
        <v>173</v>
      </c>
      <c r="F336" s="166"/>
      <c r="G336" s="165"/>
      <c r="H336" s="164" t="s">
        <v>288</v>
      </c>
      <c r="I336" s="166"/>
      <c r="J336" s="165"/>
    </row>
    <row r="337" spans="1:10" ht="15.75" customHeight="1" x14ac:dyDescent="0.35">
      <c r="A337" s="155" t="s">
        <v>175</v>
      </c>
      <c r="B337" s="156"/>
      <c r="C337" s="156"/>
      <c r="D337" s="156"/>
      <c r="E337" s="156"/>
      <c r="F337" s="156"/>
      <c r="G337" s="156"/>
      <c r="H337" s="156"/>
      <c r="I337" s="156"/>
      <c r="J337" s="157"/>
    </row>
    <row r="338" spans="1:10" x14ac:dyDescent="0.35">
      <c r="A338" s="158"/>
      <c r="B338" s="159"/>
      <c r="C338" s="159"/>
      <c r="D338" s="159"/>
      <c r="E338" s="159"/>
      <c r="F338" s="159"/>
      <c r="G338" s="159"/>
      <c r="H338" s="159"/>
      <c r="I338" s="159"/>
      <c r="J338" s="160"/>
    </row>
    <row r="339" spans="1:10" ht="39" customHeight="1" x14ac:dyDescent="0.35">
      <c r="A339" s="161"/>
      <c r="B339" s="162"/>
      <c r="C339" s="162"/>
      <c r="D339" s="162"/>
      <c r="E339" s="162"/>
      <c r="F339" s="162"/>
      <c r="G339" s="162"/>
      <c r="H339" s="162"/>
      <c r="I339" s="162"/>
      <c r="J339" s="163"/>
    </row>
    <row r="340" spans="1:10" x14ac:dyDescent="0.35">
      <c r="A340" s="16" t="s">
        <v>97</v>
      </c>
      <c r="B340" s="17"/>
      <c r="C340" s="17"/>
      <c r="D340" s="16" t="str">
        <f>F8</f>
        <v>Niharika Absolute</v>
      </c>
      <c r="G340" s="17"/>
      <c r="H340" s="17"/>
      <c r="I340" s="17"/>
      <c r="J340" s="17"/>
    </row>
    <row r="341" spans="1:10" x14ac:dyDescent="0.35">
      <c r="A341" s="17"/>
      <c r="B341" s="17"/>
      <c r="C341" s="17"/>
      <c r="D341" s="17"/>
      <c r="E341" s="17"/>
      <c r="F341" s="17"/>
      <c r="G341" s="17"/>
      <c r="H341" s="17"/>
      <c r="I341" s="17"/>
      <c r="J341" s="17"/>
    </row>
    <row r="342" spans="1:10" x14ac:dyDescent="0.35">
      <c r="A342" s="17"/>
      <c r="B342" s="17"/>
      <c r="C342" s="17"/>
      <c r="D342" s="17"/>
      <c r="E342" s="17"/>
      <c r="F342" s="17"/>
      <c r="G342" s="17"/>
      <c r="H342" s="17"/>
      <c r="I342" s="17"/>
      <c r="J342" s="17"/>
    </row>
    <row r="343" spans="1:10" ht="15" customHeight="1" x14ac:dyDescent="0.35"/>
    <row r="383" spans="1:1" x14ac:dyDescent="0.35">
      <c r="A383" s="18" t="s">
        <v>98</v>
      </c>
    </row>
  </sheetData>
  <mergeCells count="693">
    <mergeCell ref="E85:F85"/>
    <mergeCell ref="I85:J85"/>
    <mergeCell ref="A86:B86"/>
    <mergeCell ref="C86:J86"/>
    <mergeCell ref="A66:B66"/>
    <mergeCell ref="D66:E66"/>
    <mergeCell ref="A52:B52"/>
    <mergeCell ref="A54:C54"/>
    <mergeCell ref="D54:J54"/>
    <mergeCell ref="A62:B62"/>
    <mergeCell ref="D62:E62"/>
    <mergeCell ref="A63:B63"/>
    <mergeCell ref="D63:E63"/>
    <mergeCell ref="A64:B64"/>
    <mergeCell ref="D64:E64"/>
    <mergeCell ref="A65:B65"/>
    <mergeCell ref="D65:E65"/>
    <mergeCell ref="A53:B53"/>
    <mergeCell ref="C53:J53"/>
    <mergeCell ref="D81:E81"/>
    <mergeCell ref="D76:E76"/>
    <mergeCell ref="A77:B77"/>
    <mergeCell ref="D77:E77"/>
    <mergeCell ref="I272:J275"/>
    <mergeCell ref="A222:B222"/>
    <mergeCell ref="D222:E222"/>
    <mergeCell ref="A56:B56"/>
    <mergeCell ref="C56:J56"/>
    <mergeCell ref="E57:F57"/>
    <mergeCell ref="I57:J57"/>
    <mergeCell ref="A58:B58"/>
    <mergeCell ref="C58:J58"/>
    <mergeCell ref="A59:B59"/>
    <mergeCell ref="D59:E59"/>
    <mergeCell ref="F59:G59"/>
    <mergeCell ref="H59:J59"/>
    <mergeCell ref="A60:B60"/>
    <mergeCell ref="D60:E60"/>
    <mergeCell ref="F60:G69"/>
    <mergeCell ref="H60:J69"/>
    <mergeCell ref="A61:B61"/>
    <mergeCell ref="D61:E61"/>
    <mergeCell ref="A82:B82"/>
    <mergeCell ref="D82:E82"/>
    <mergeCell ref="A83:B83"/>
    <mergeCell ref="D83:E83"/>
    <mergeCell ref="A84:B84"/>
    <mergeCell ref="A278:B278"/>
    <mergeCell ref="A279:B279"/>
    <mergeCell ref="A280:B280"/>
    <mergeCell ref="A277:B277"/>
    <mergeCell ref="D277:E277"/>
    <mergeCell ref="A275:B275"/>
    <mergeCell ref="D275:E275"/>
    <mergeCell ref="D298:E298"/>
    <mergeCell ref="A297:B297"/>
    <mergeCell ref="D297:E297"/>
    <mergeCell ref="A289:B289"/>
    <mergeCell ref="D289:E289"/>
    <mergeCell ref="A290:B290"/>
    <mergeCell ref="D290:E290"/>
    <mergeCell ref="A287:B287"/>
    <mergeCell ref="D287:E287"/>
    <mergeCell ref="A288:B288"/>
    <mergeCell ref="D288:E288"/>
    <mergeCell ref="A276:J276"/>
    <mergeCell ref="I277:J280"/>
    <mergeCell ref="A291:J291"/>
    <mergeCell ref="A292:B292"/>
    <mergeCell ref="D292:E292"/>
    <mergeCell ref="I292:J293"/>
    <mergeCell ref="D147:E147"/>
    <mergeCell ref="A148:B148"/>
    <mergeCell ref="D148:E148"/>
    <mergeCell ref="A175:B175"/>
    <mergeCell ref="D175:E175"/>
    <mergeCell ref="A173:B173"/>
    <mergeCell ref="D173:E173"/>
    <mergeCell ref="A174:J174"/>
    <mergeCell ref="A156:B156"/>
    <mergeCell ref="D156:E156"/>
    <mergeCell ref="A171:B171"/>
    <mergeCell ref="D171:E171"/>
    <mergeCell ref="A172:B172"/>
    <mergeCell ref="D172:E172"/>
    <mergeCell ref="I171:J173"/>
    <mergeCell ref="I249:J253"/>
    <mergeCell ref="A250:B250"/>
    <mergeCell ref="D250:E250"/>
    <mergeCell ref="A251:B251"/>
    <mergeCell ref="A176:B176"/>
    <mergeCell ref="D176:E176"/>
    <mergeCell ref="A177:B177"/>
    <mergeCell ref="D177:E177"/>
    <mergeCell ref="A154:B154"/>
    <mergeCell ref="D154:E154"/>
    <mergeCell ref="A155:B155"/>
    <mergeCell ref="D155:E155"/>
    <mergeCell ref="D318:E318"/>
    <mergeCell ref="I318:J322"/>
    <mergeCell ref="A321:B321"/>
    <mergeCell ref="D321:E321"/>
    <mergeCell ref="A322:B322"/>
    <mergeCell ref="D322:E322"/>
    <mergeCell ref="I215:J219"/>
    <mergeCell ref="A216:B216"/>
    <mergeCell ref="D216:E216"/>
    <mergeCell ref="A217:B217"/>
    <mergeCell ref="D217:E217"/>
    <mergeCell ref="A218:B218"/>
    <mergeCell ref="D221:E221"/>
    <mergeCell ref="A272:B272"/>
    <mergeCell ref="D272:E272"/>
    <mergeCell ref="A273:B273"/>
    <mergeCell ref="D273:E273"/>
    <mergeCell ref="A274:B274"/>
    <mergeCell ref="D274:E274"/>
    <mergeCell ref="A239:B239"/>
    <mergeCell ref="D239:E239"/>
    <mergeCell ref="D255:E255"/>
    <mergeCell ref="A311:J311"/>
    <mergeCell ref="A298:B298"/>
    <mergeCell ref="A178:B178"/>
    <mergeCell ref="D178:E178"/>
    <mergeCell ref="A247:B247"/>
    <mergeCell ref="D278:E278"/>
    <mergeCell ref="A234:B234"/>
    <mergeCell ref="I200:J201"/>
    <mergeCell ref="A193:B193"/>
    <mergeCell ref="D234:E234"/>
    <mergeCell ref="A214:J214"/>
    <mergeCell ref="I175:J178"/>
    <mergeCell ref="A181:B181"/>
    <mergeCell ref="A182:B182"/>
    <mergeCell ref="A183:B183"/>
    <mergeCell ref="D193:E193"/>
    <mergeCell ref="A212:B212"/>
    <mergeCell ref="D185:E185"/>
    <mergeCell ref="A205:B205"/>
    <mergeCell ref="A256:B256"/>
    <mergeCell ref="D256:E256"/>
    <mergeCell ref="A206:B206"/>
    <mergeCell ref="D206:E206"/>
    <mergeCell ref="A179:J179"/>
    <mergeCell ref="A208:J208"/>
    <mergeCell ref="D190:E190"/>
    <mergeCell ref="A170:J170"/>
    <mergeCell ref="A169:J169"/>
    <mergeCell ref="A151:J151"/>
    <mergeCell ref="A152:B152"/>
    <mergeCell ref="D152:E152"/>
    <mergeCell ref="I152:J156"/>
    <mergeCell ref="A153:B153"/>
    <mergeCell ref="D153:E153"/>
    <mergeCell ref="A142:B142"/>
    <mergeCell ref="D142:E142"/>
    <mergeCell ref="A143:B143"/>
    <mergeCell ref="A144:B144"/>
    <mergeCell ref="A168:J168"/>
    <mergeCell ref="I158:J162"/>
    <mergeCell ref="A150:B150"/>
    <mergeCell ref="D150:E150"/>
    <mergeCell ref="A157:J157"/>
    <mergeCell ref="D143:E143"/>
    <mergeCell ref="A159:B159"/>
    <mergeCell ref="D159:E159"/>
    <mergeCell ref="A149:B149"/>
    <mergeCell ref="D149:E149"/>
    <mergeCell ref="A146:B146"/>
    <mergeCell ref="A147:B147"/>
    <mergeCell ref="A135:J135"/>
    <mergeCell ref="A134:J134"/>
    <mergeCell ref="A136:J136"/>
    <mergeCell ref="A141:B141"/>
    <mergeCell ref="D141:E141"/>
    <mergeCell ref="A139:J139"/>
    <mergeCell ref="A140:B140"/>
    <mergeCell ref="D140:E140"/>
    <mergeCell ref="A133:B133"/>
    <mergeCell ref="I140:J144"/>
    <mergeCell ref="D146:E146"/>
    <mergeCell ref="I146:J150"/>
    <mergeCell ref="D133:E133"/>
    <mergeCell ref="I133:J133"/>
    <mergeCell ref="D144:E144"/>
    <mergeCell ref="I137:J138"/>
    <mergeCell ref="A128:B128"/>
    <mergeCell ref="D128:F128"/>
    <mergeCell ref="G128:J128"/>
    <mergeCell ref="A129:B129"/>
    <mergeCell ref="D129:F129"/>
    <mergeCell ref="G129:J129"/>
    <mergeCell ref="A130:B130"/>
    <mergeCell ref="D130:F130"/>
    <mergeCell ref="G130:J130"/>
    <mergeCell ref="A131:B131"/>
    <mergeCell ref="D131:F131"/>
    <mergeCell ref="G131:J131"/>
    <mergeCell ref="A132:J132"/>
    <mergeCell ref="A145:J145"/>
    <mergeCell ref="A138:B138"/>
    <mergeCell ref="D138:E138"/>
    <mergeCell ref="A137:B137"/>
    <mergeCell ref="D137:E137"/>
    <mergeCell ref="A122:F122"/>
    <mergeCell ref="G122:J122"/>
    <mergeCell ref="A126:B126"/>
    <mergeCell ref="D126:F126"/>
    <mergeCell ref="G126:J126"/>
    <mergeCell ref="D127:F127"/>
    <mergeCell ref="G127:J127"/>
    <mergeCell ref="A123:J123"/>
    <mergeCell ref="A125:B125"/>
    <mergeCell ref="A124:B124"/>
    <mergeCell ref="D124:F124"/>
    <mergeCell ref="G124:J124"/>
    <mergeCell ref="D125:F125"/>
    <mergeCell ref="G125:J125"/>
    <mergeCell ref="A127:B127"/>
    <mergeCell ref="A121:F121"/>
    <mergeCell ref="G121:J121"/>
    <mergeCell ref="A119:F119"/>
    <mergeCell ref="G119:J119"/>
    <mergeCell ref="A120:F120"/>
    <mergeCell ref="G120:J120"/>
    <mergeCell ref="D97:E97"/>
    <mergeCell ref="A87:B87"/>
    <mergeCell ref="D87:E87"/>
    <mergeCell ref="F87:G87"/>
    <mergeCell ref="H87:J87"/>
    <mergeCell ref="A88:B88"/>
    <mergeCell ref="D88:E88"/>
    <mergeCell ref="F88:G97"/>
    <mergeCell ref="H88:J97"/>
    <mergeCell ref="A89:B89"/>
    <mergeCell ref="D89:E89"/>
    <mergeCell ref="A90:B90"/>
    <mergeCell ref="D90:E90"/>
    <mergeCell ref="A96:B96"/>
    <mergeCell ref="D96:E96"/>
    <mergeCell ref="A113:J113"/>
    <mergeCell ref="A114:B114"/>
    <mergeCell ref="C114:J114"/>
    <mergeCell ref="A117:F117"/>
    <mergeCell ref="G117:J117"/>
    <mergeCell ref="A118:F118"/>
    <mergeCell ref="G118:J118"/>
    <mergeCell ref="A115:J115"/>
    <mergeCell ref="A116:F116"/>
    <mergeCell ref="G116:J116"/>
    <mergeCell ref="I71:J71"/>
    <mergeCell ref="A72:B72"/>
    <mergeCell ref="C72:J72"/>
    <mergeCell ref="A73:B73"/>
    <mergeCell ref="D73:E73"/>
    <mergeCell ref="F73:G73"/>
    <mergeCell ref="H73:J73"/>
    <mergeCell ref="A74:B74"/>
    <mergeCell ref="D74:E74"/>
    <mergeCell ref="F74:G83"/>
    <mergeCell ref="H74:J83"/>
    <mergeCell ref="A75:B75"/>
    <mergeCell ref="D75:E75"/>
    <mergeCell ref="A76:B76"/>
    <mergeCell ref="A91:B91"/>
    <mergeCell ref="D91:E91"/>
    <mergeCell ref="A92:B92"/>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A11:E11"/>
    <mergeCell ref="F11:J11"/>
    <mergeCell ref="A5:E5"/>
    <mergeCell ref="F5:J5"/>
    <mergeCell ref="A6:E6"/>
    <mergeCell ref="F6:J6"/>
    <mergeCell ref="A7:E7"/>
    <mergeCell ref="F7:J7"/>
    <mergeCell ref="A15:B15"/>
    <mergeCell ref="C15:E15"/>
    <mergeCell ref="A12:E12"/>
    <mergeCell ref="F12:J12"/>
    <mergeCell ref="A13:E13"/>
    <mergeCell ref="F13:J13"/>
    <mergeCell ref="A14:B14"/>
    <mergeCell ref="C14:J14"/>
    <mergeCell ref="F15:G15"/>
    <mergeCell ref="H15:J15"/>
    <mergeCell ref="A9:E9"/>
    <mergeCell ref="F9:J9"/>
    <mergeCell ref="A1:J1"/>
    <mergeCell ref="A2:J2"/>
    <mergeCell ref="A3:E3"/>
    <mergeCell ref="F3:J3"/>
    <mergeCell ref="A4:E4"/>
    <mergeCell ref="A8:E8"/>
    <mergeCell ref="F8:J8"/>
    <mergeCell ref="A10:E10"/>
    <mergeCell ref="F10:J10"/>
    <mergeCell ref="F4:J4"/>
    <mergeCell ref="A29:B29"/>
    <mergeCell ref="C29:D29"/>
    <mergeCell ref="E29:F29"/>
    <mergeCell ref="G29:H29"/>
    <mergeCell ref="I29:J29"/>
    <mergeCell ref="A39:E39"/>
    <mergeCell ref="F39:J39"/>
    <mergeCell ref="A35:E35"/>
    <mergeCell ref="F35:J35"/>
    <mergeCell ref="A31:J31"/>
    <mergeCell ref="A30:B30"/>
    <mergeCell ref="C30:D30"/>
    <mergeCell ref="E30:F30"/>
    <mergeCell ref="G30:H30"/>
    <mergeCell ref="I30:J30"/>
    <mergeCell ref="A32:J32"/>
    <mergeCell ref="A33:B33"/>
    <mergeCell ref="C33:D33"/>
    <mergeCell ref="E33:F33"/>
    <mergeCell ref="G33:H33"/>
    <mergeCell ref="I33:J33"/>
    <mergeCell ref="A36:E36"/>
    <mergeCell ref="F36:J36"/>
    <mergeCell ref="A37:J37"/>
    <mergeCell ref="A17:B17"/>
    <mergeCell ref="C17:E17"/>
    <mergeCell ref="F17:G17"/>
    <mergeCell ref="H17:J17"/>
    <mergeCell ref="A28:B28"/>
    <mergeCell ref="C28:D28"/>
    <mergeCell ref="E28:F28"/>
    <mergeCell ref="G28:H28"/>
    <mergeCell ref="I28:J28"/>
    <mergeCell ref="A34:B34"/>
    <mergeCell ref="C34:J34"/>
    <mergeCell ref="F19:G19"/>
    <mergeCell ref="H19:J19"/>
    <mergeCell ref="A20:E21"/>
    <mergeCell ref="F20:J21"/>
    <mergeCell ref="A22:E23"/>
    <mergeCell ref="F22:J23"/>
    <mergeCell ref="A186:B186"/>
    <mergeCell ref="A160:B160"/>
    <mergeCell ref="D160:E160"/>
    <mergeCell ref="A158:B158"/>
    <mergeCell ref="D158:E158"/>
    <mergeCell ref="A161:B161"/>
    <mergeCell ref="D161:E161"/>
    <mergeCell ref="A162:B162"/>
    <mergeCell ref="D162:E162"/>
    <mergeCell ref="A163:J163"/>
    <mergeCell ref="A164:B164"/>
    <mergeCell ref="D164:E164"/>
    <mergeCell ref="I164:J167"/>
    <mergeCell ref="A165:B165"/>
    <mergeCell ref="D165:E165"/>
    <mergeCell ref="A166:B166"/>
    <mergeCell ref="D188:E188"/>
    <mergeCell ref="A200:B200"/>
    <mergeCell ref="D200:E200"/>
    <mergeCell ref="A195:B195"/>
    <mergeCell ref="I180:J183"/>
    <mergeCell ref="A197:J197"/>
    <mergeCell ref="D205:E205"/>
    <mergeCell ref="A202:J202"/>
    <mergeCell ref="D180:E180"/>
    <mergeCell ref="A184:J184"/>
    <mergeCell ref="A189:J189"/>
    <mergeCell ref="A198:J198"/>
    <mergeCell ref="A199:J199"/>
    <mergeCell ref="A185:B185"/>
    <mergeCell ref="I195:J196"/>
    <mergeCell ref="A196:B196"/>
    <mergeCell ref="D196:E196"/>
    <mergeCell ref="D186:E186"/>
    <mergeCell ref="A187:B187"/>
    <mergeCell ref="D187:E187"/>
    <mergeCell ref="A188:B188"/>
    <mergeCell ref="I203:J207"/>
    <mergeCell ref="A203:B203"/>
    <mergeCell ref="A190:B190"/>
    <mergeCell ref="D213:E213"/>
    <mergeCell ref="D211:E211"/>
    <mergeCell ref="D212:E212"/>
    <mergeCell ref="D203:E203"/>
    <mergeCell ref="A204:B204"/>
    <mergeCell ref="A191:B191"/>
    <mergeCell ref="A192:B192"/>
    <mergeCell ref="A201:B201"/>
    <mergeCell ref="D201:E201"/>
    <mergeCell ref="A194:J194"/>
    <mergeCell ref="A213:B213"/>
    <mergeCell ref="A207:B207"/>
    <mergeCell ref="D207:E207"/>
    <mergeCell ref="A209:B209"/>
    <mergeCell ref="D209:E209"/>
    <mergeCell ref="D210:E210"/>
    <mergeCell ref="I209:J213"/>
    <mergeCell ref="A210:B210"/>
    <mergeCell ref="A211:B211"/>
    <mergeCell ref="I190:J193"/>
    <mergeCell ref="D195:E195"/>
    <mergeCell ref="D204:E204"/>
    <mergeCell ref="D191:E191"/>
    <mergeCell ref="D192:E192"/>
    <mergeCell ref="A337:J339"/>
    <mergeCell ref="A336:B336"/>
    <mergeCell ref="E336:G336"/>
    <mergeCell ref="C336:D336"/>
    <mergeCell ref="H336:J336"/>
    <mergeCell ref="D245:E245"/>
    <mergeCell ref="D246:E246"/>
    <mergeCell ref="A243:B243"/>
    <mergeCell ref="I243:J247"/>
    <mergeCell ref="A270:B270"/>
    <mergeCell ref="D270:E270"/>
    <mergeCell ref="A334:J334"/>
    <mergeCell ref="A335:J335"/>
    <mergeCell ref="A331:J331"/>
    <mergeCell ref="A332:J332"/>
    <mergeCell ref="A333:J333"/>
    <mergeCell ref="A328:J328"/>
    <mergeCell ref="A329:J329"/>
    <mergeCell ref="A330:J330"/>
    <mergeCell ref="A319:B319"/>
    <mergeCell ref="D319:E319"/>
    <mergeCell ref="A320:B320"/>
    <mergeCell ref="D320:E320"/>
    <mergeCell ref="A318:B318"/>
    <mergeCell ref="A293:B293"/>
    <mergeCell ref="D293:E293"/>
    <mergeCell ref="I282:J285"/>
    <mergeCell ref="D279:E279"/>
    <mergeCell ref="D280:E280"/>
    <mergeCell ref="A308:B308"/>
    <mergeCell ref="I300:J304"/>
    <mergeCell ref="A302:B302"/>
    <mergeCell ref="D302:E302"/>
    <mergeCell ref="I287:J290"/>
    <mergeCell ref="A286:J286"/>
    <mergeCell ref="A282:B282"/>
    <mergeCell ref="D282:E282"/>
    <mergeCell ref="A283:B283"/>
    <mergeCell ref="D283:E283"/>
    <mergeCell ref="A284:B284"/>
    <mergeCell ref="D284:E284"/>
    <mergeCell ref="A285:B285"/>
    <mergeCell ref="A281:J281"/>
    <mergeCell ref="D285:E285"/>
    <mergeCell ref="A294:J294"/>
    <mergeCell ref="A309:B309"/>
    <mergeCell ref="I297:J298"/>
    <mergeCell ref="A295:J295"/>
    <mergeCell ref="A296:J296"/>
    <mergeCell ref="D308:E308"/>
    <mergeCell ref="D309:E309"/>
    <mergeCell ref="D306:E306"/>
    <mergeCell ref="D307:E307"/>
    <mergeCell ref="A303:B303"/>
    <mergeCell ref="D303:E303"/>
    <mergeCell ref="A301:B301"/>
    <mergeCell ref="D301:E301"/>
    <mergeCell ref="A300:B300"/>
    <mergeCell ref="D300:E300"/>
    <mergeCell ref="A306:B306"/>
    <mergeCell ref="I306:J310"/>
    <mergeCell ref="A307:B307"/>
    <mergeCell ref="A310:B310"/>
    <mergeCell ref="D310:E310"/>
    <mergeCell ref="A299:J299"/>
    <mergeCell ref="A304:B304"/>
    <mergeCell ref="D304:E304"/>
    <mergeCell ref="A305:J305"/>
    <mergeCell ref="D166:E166"/>
    <mergeCell ref="A167:B167"/>
    <mergeCell ref="D167:E167"/>
    <mergeCell ref="D181:E181"/>
    <mergeCell ref="D182:E182"/>
    <mergeCell ref="A180:B180"/>
    <mergeCell ref="D183:E183"/>
    <mergeCell ref="I185:J188"/>
    <mergeCell ref="A259:B259"/>
    <mergeCell ref="D259:E259"/>
    <mergeCell ref="A257:B257"/>
    <mergeCell ref="D257:E257"/>
    <mergeCell ref="A258:B258"/>
    <mergeCell ref="D258:E258"/>
    <mergeCell ref="A254:J254"/>
    <mergeCell ref="A248:J248"/>
    <mergeCell ref="A220:J220"/>
    <mergeCell ref="A232:J232"/>
    <mergeCell ref="A226:J226"/>
    <mergeCell ref="A227:B227"/>
    <mergeCell ref="D227:E227"/>
    <mergeCell ref="I227:J230"/>
    <mergeCell ref="A228:B228"/>
    <mergeCell ref="D228:E228"/>
    <mergeCell ref="A271:J271"/>
    <mergeCell ref="A260:J260"/>
    <mergeCell ref="A261:B261"/>
    <mergeCell ref="D261:E261"/>
    <mergeCell ref="I261:J264"/>
    <mergeCell ref="A262:B262"/>
    <mergeCell ref="D262:E262"/>
    <mergeCell ref="I255:J259"/>
    <mergeCell ref="D264:E264"/>
    <mergeCell ref="D268:E268"/>
    <mergeCell ref="A269:B269"/>
    <mergeCell ref="D269:E269"/>
    <mergeCell ref="A266:J266"/>
    <mergeCell ref="A263:B263"/>
    <mergeCell ref="A267:J267"/>
    <mergeCell ref="A268:B268"/>
    <mergeCell ref="A264:B264"/>
    <mergeCell ref="D263:E263"/>
    <mergeCell ref="A265:J265"/>
    <mergeCell ref="A230:B230"/>
    <mergeCell ref="D230:E230"/>
    <mergeCell ref="A233:J233"/>
    <mergeCell ref="A223:B223"/>
    <mergeCell ref="D223:E223"/>
    <mergeCell ref="A224:B224"/>
    <mergeCell ref="I221:J225"/>
    <mergeCell ref="I268:J270"/>
    <mergeCell ref="A255:B255"/>
    <mergeCell ref="D247:E247"/>
    <mergeCell ref="A231:J231"/>
    <mergeCell ref="D238:E238"/>
    <mergeCell ref="I237:J241"/>
    <mergeCell ref="A236:J236"/>
    <mergeCell ref="D243:E243"/>
    <mergeCell ref="A246:B246"/>
    <mergeCell ref="A252:B252"/>
    <mergeCell ref="D252:E252"/>
    <mergeCell ref="A253:B253"/>
    <mergeCell ref="D253:E253"/>
    <mergeCell ref="D249:E249"/>
    <mergeCell ref="A249:B249"/>
    <mergeCell ref="D251:E251"/>
    <mergeCell ref="D244:E244"/>
    <mergeCell ref="D215:E215"/>
    <mergeCell ref="A244:B244"/>
    <mergeCell ref="A245:B245"/>
    <mergeCell ref="A225:B225"/>
    <mergeCell ref="D225:E225"/>
    <mergeCell ref="A242:J242"/>
    <mergeCell ref="D224:E224"/>
    <mergeCell ref="A221:B221"/>
    <mergeCell ref="D218:E218"/>
    <mergeCell ref="A219:B219"/>
    <mergeCell ref="D219:E219"/>
    <mergeCell ref="A215:B215"/>
    <mergeCell ref="I234:J235"/>
    <mergeCell ref="A235:B235"/>
    <mergeCell ref="D235:E235"/>
    <mergeCell ref="A240:B240"/>
    <mergeCell ref="D240:E240"/>
    <mergeCell ref="A241:B241"/>
    <mergeCell ref="D241:E241"/>
    <mergeCell ref="A237:B237"/>
    <mergeCell ref="D237:E237"/>
    <mergeCell ref="A238:B238"/>
    <mergeCell ref="A229:B229"/>
    <mergeCell ref="D229:E229"/>
    <mergeCell ref="A112:J112"/>
    <mergeCell ref="D93:E93"/>
    <mergeCell ref="A67:B67"/>
    <mergeCell ref="D67:E67"/>
    <mergeCell ref="A68:B68"/>
    <mergeCell ref="D68:E68"/>
    <mergeCell ref="A69:B69"/>
    <mergeCell ref="D69:E69"/>
    <mergeCell ref="A70:B70"/>
    <mergeCell ref="C70:J70"/>
    <mergeCell ref="E71:F71"/>
    <mergeCell ref="A78:B78"/>
    <mergeCell ref="D78:E78"/>
    <mergeCell ref="A79:B79"/>
    <mergeCell ref="A80:B80"/>
    <mergeCell ref="D80:E80"/>
    <mergeCell ref="D79:E79"/>
    <mergeCell ref="A81:B81"/>
    <mergeCell ref="A97:B97"/>
    <mergeCell ref="A98:B98"/>
    <mergeCell ref="C98:J98"/>
    <mergeCell ref="E99:F99"/>
    <mergeCell ref="I99:J99"/>
    <mergeCell ref="D92:E92"/>
    <mergeCell ref="A323:J323"/>
    <mergeCell ref="A324:B324"/>
    <mergeCell ref="D324:E324"/>
    <mergeCell ref="I324:J327"/>
    <mergeCell ref="A325:B325"/>
    <mergeCell ref="D325:E325"/>
    <mergeCell ref="A326:B326"/>
    <mergeCell ref="D326:E326"/>
    <mergeCell ref="A327:B327"/>
    <mergeCell ref="D327:E327"/>
    <mergeCell ref="A317:J317"/>
    <mergeCell ref="A312:B312"/>
    <mergeCell ref="D312:E312"/>
    <mergeCell ref="I312:J316"/>
    <mergeCell ref="A313:B313"/>
    <mergeCell ref="D313:E313"/>
    <mergeCell ref="A314:B314"/>
    <mergeCell ref="D314:E314"/>
    <mergeCell ref="A315:B315"/>
    <mergeCell ref="D315:E315"/>
    <mergeCell ref="A316:B316"/>
    <mergeCell ref="D316:E316"/>
    <mergeCell ref="A100:B100"/>
    <mergeCell ref="C100:J100"/>
    <mergeCell ref="A101:B101"/>
    <mergeCell ref="D101:E101"/>
    <mergeCell ref="F101:G101"/>
    <mergeCell ref="H101:J101"/>
    <mergeCell ref="A48:B48"/>
    <mergeCell ref="A49:C49"/>
    <mergeCell ref="D49:E49"/>
    <mergeCell ref="F49:G49"/>
    <mergeCell ref="H49:J49"/>
    <mergeCell ref="A55:J55"/>
    <mergeCell ref="A50:J50"/>
    <mergeCell ref="A51:C51"/>
    <mergeCell ref="D51:E51"/>
    <mergeCell ref="F51:G51"/>
    <mergeCell ref="H51:J51"/>
    <mergeCell ref="C52:J52"/>
    <mergeCell ref="A93:B93"/>
    <mergeCell ref="A94:B94"/>
    <mergeCell ref="D94:E94"/>
    <mergeCell ref="A95:B95"/>
    <mergeCell ref="D95:E95"/>
    <mergeCell ref="C84:J84"/>
    <mergeCell ref="A38:E38"/>
    <mergeCell ref="F38:J38"/>
    <mergeCell ref="H45:J45"/>
    <mergeCell ref="C48:F48"/>
    <mergeCell ref="H48:J48"/>
    <mergeCell ref="A45:B45"/>
    <mergeCell ref="C45:F45"/>
    <mergeCell ref="A46:B46"/>
    <mergeCell ref="C46:F46"/>
    <mergeCell ref="A47:B47"/>
    <mergeCell ref="C47:F47"/>
    <mergeCell ref="A40:E40"/>
    <mergeCell ref="F40:J40"/>
    <mergeCell ref="A41:E41"/>
    <mergeCell ref="F41:J41"/>
    <mergeCell ref="A42:E42"/>
    <mergeCell ref="F42:J42"/>
    <mergeCell ref="A43:E43"/>
    <mergeCell ref="F43:J43"/>
    <mergeCell ref="A44:J44"/>
    <mergeCell ref="H47:J47"/>
    <mergeCell ref="H46:J46"/>
    <mergeCell ref="A102:B102"/>
    <mergeCell ref="D102:E102"/>
    <mergeCell ref="F102:G111"/>
    <mergeCell ref="H102:J111"/>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 ref="A111:B111"/>
    <mergeCell ref="D111:E111"/>
  </mergeCells>
  <hyperlinks>
    <hyperlink ref="C34" r:id="rId1"/>
  </hyperlinks>
  <pageMargins left="0.43307086614173229" right="0.43307086614173229" top="0.78740157480314965" bottom="0.78740157480314965" header="0.19685039370078741" footer="0.19685039370078741"/>
  <pageSetup scale="94" fitToHeight="0" orientation="portrait" r:id="rId2"/>
  <headerFooter>
    <oddHeader>&amp;C&amp;G</oddHeader>
    <oddFooter>&amp;L&amp;"Times New Roman,Bold"&amp;12Ref No: &amp;F&amp;C&amp;G&amp;R&amp;"Times New Roman,Bold"&amp;12&amp;P</oddFooter>
  </headerFooter>
  <rowBreaks count="2" manualBreakCount="2">
    <brk id="339" max="16383" man="1"/>
    <brk id="38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D7" sqref="D7"/>
    </sheetView>
  </sheetViews>
  <sheetFormatPr defaultColWidth="8.7265625" defaultRowHeight="14.5" x14ac:dyDescent="0.35"/>
  <cols>
    <col min="1" max="1" width="8.7265625" style="48"/>
    <col min="2" max="2" width="22.1796875" style="48" customWidth="1"/>
    <col min="3" max="3" width="37" style="48" customWidth="1"/>
    <col min="4" max="5" width="11.453125" style="48" customWidth="1"/>
    <col min="6" max="6" width="14" style="48" customWidth="1"/>
    <col min="7" max="7" width="20" style="48" customWidth="1"/>
    <col min="8" max="8" width="16.453125" style="48" customWidth="1"/>
    <col min="9" max="9" width="8.7265625" style="48"/>
    <col min="10" max="10" width="9.81640625" style="48" bestFit="1" customWidth="1"/>
    <col min="11" max="16384" width="8.7265625" style="48"/>
  </cols>
  <sheetData>
    <row r="1" spans="1:10" ht="15" customHeight="1" x14ac:dyDescent="0.35">
      <c r="A1" s="47"/>
      <c r="B1" s="47"/>
      <c r="C1" s="47"/>
      <c r="D1" s="47"/>
      <c r="E1" s="47"/>
      <c r="F1" s="47"/>
      <c r="G1" s="47"/>
      <c r="H1" s="47"/>
    </row>
    <row r="2" spans="1:10" ht="15" customHeight="1" x14ac:dyDescent="0.35">
      <c r="A2" s="49"/>
      <c r="B2" s="49"/>
      <c r="C2" s="49"/>
      <c r="D2" s="49"/>
      <c r="E2" s="49"/>
      <c r="F2" s="49"/>
      <c r="G2" s="49"/>
      <c r="H2" s="49"/>
    </row>
    <row r="3" spans="1:10" x14ac:dyDescent="0.35">
      <c r="A3" s="49"/>
      <c r="B3" s="267" t="s">
        <v>213</v>
      </c>
      <c r="C3" s="267"/>
      <c r="D3" s="267"/>
      <c r="E3" s="267"/>
      <c r="F3" s="267"/>
      <c r="G3" s="267"/>
      <c r="H3" s="267"/>
    </row>
    <row r="4" spans="1:10" x14ac:dyDescent="0.35">
      <c r="A4" s="49"/>
      <c r="B4" s="50" t="s">
        <v>214</v>
      </c>
      <c r="C4" s="50" t="s">
        <v>215</v>
      </c>
      <c r="D4" s="50" t="s">
        <v>113</v>
      </c>
      <c r="E4" s="50" t="s">
        <v>216</v>
      </c>
      <c r="F4" s="50" t="s">
        <v>217</v>
      </c>
      <c r="G4" s="50" t="s">
        <v>218</v>
      </c>
      <c r="H4" s="50" t="s">
        <v>219</v>
      </c>
    </row>
    <row r="5" spans="1:10" x14ac:dyDescent="0.35">
      <c r="A5" s="49"/>
      <c r="B5" s="51" t="s">
        <v>220</v>
      </c>
      <c r="C5" s="52" t="s">
        <v>178</v>
      </c>
      <c r="D5" s="53" t="s">
        <v>221</v>
      </c>
      <c r="E5" s="54">
        <v>417</v>
      </c>
      <c r="F5" s="55">
        <v>695</v>
      </c>
      <c r="G5" s="56">
        <f>H5/F5</f>
        <v>8633.0935251798564</v>
      </c>
      <c r="H5" s="57">
        <v>6000000</v>
      </c>
      <c r="J5" s="58"/>
    </row>
    <row r="6" spans="1:10" x14ac:dyDescent="0.35">
      <c r="A6" s="49"/>
      <c r="B6" s="51" t="s">
        <v>220</v>
      </c>
      <c r="C6" s="52" t="s">
        <v>178</v>
      </c>
      <c r="D6" s="53" t="s">
        <v>222</v>
      </c>
      <c r="E6" s="54">
        <v>636</v>
      </c>
      <c r="F6" s="55">
        <v>1060</v>
      </c>
      <c r="G6" s="56">
        <f>H6/F6</f>
        <v>8000</v>
      </c>
      <c r="H6" s="57">
        <v>8480000</v>
      </c>
      <c r="J6" s="58"/>
    </row>
    <row r="7" spans="1:10" x14ac:dyDescent="0.35">
      <c r="A7" s="49"/>
      <c r="B7" s="51" t="s">
        <v>223</v>
      </c>
      <c r="C7" s="52" t="s">
        <v>178</v>
      </c>
      <c r="D7" s="53" t="s">
        <v>222</v>
      </c>
      <c r="E7" s="54">
        <v>636</v>
      </c>
      <c r="F7" s="55">
        <f>E7*1.5</f>
        <v>954</v>
      </c>
      <c r="G7" s="56">
        <f t="shared" ref="G7:G11" si="0">H7/F7</f>
        <v>10482.180293501047</v>
      </c>
      <c r="H7" s="57">
        <v>10000000</v>
      </c>
      <c r="J7" s="58"/>
    </row>
    <row r="8" spans="1:10" x14ac:dyDescent="0.35">
      <c r="A8" s="49"/>
      <c r="B8" s="51" t="s">
        <v>224</v>
      </c>
      <c r="C8" s="52" t="s">
        <v>178</v>
      </c>
      <c r="D8" s="53" t="s">
        <v>221</v>
      </c>
      <c r="E8" s="54">
        <v>417</v>
      </c>
      <c r="F8" s="55">
        <f t="shared" ref="F8:F12" si="1">E8*1.5</f>
        <v>625.5</v>
      </c>
      <c r="G8" s="56">
        <f t="shared" si="0"/>
        <v>8887.2901678657072</v>
      </c>
      <c r="H8" s="57">
        <v>5559000</v>
      </c>
      <c r="J8" s="58"/>
    </row>
    <row r="9" spans="1:10" x14ac:dyDescent="0.35">
      <c r="A9" s="49"/>
      <c r="B9" s="51" t="s">
        <v>224</v>
      </c>
      <c r="C9" s="52" t="s">
        <v>178</v>
      </c>
      <c r="D9" s="53" t="s">
        <v>221</v>
      </c>
      <c r="E9" s="54">
        <v>465</v>
      </c>
      <c r="F9" s="55">
        <f t="shared" si="1"/>
        <v>697.5</v>
      </c>
      <c r="G9" s="56">
        <f t="shared" si="0"/>
        <v>8887.4551971326164</v>
      </c>
      <c r="H9" s="57">
        <v>6199000</v>
      </c>
      <c r="J9" s="58"/>
    </row>
    <row r="10" spans="1:10" x14ac:dyDescent="0.35">
      <c r="A10" s="49"/>
      <c r="B10" s="51" t="s">
        <v>224</v>
      </c>
      <c r="C10" s="52" t="s">
        <v>178</v>
      </c>
      <c r="D10" s="53" t="s">
        <v>222</v>
      </c>
      <c r="E10" s="54">
        <v>636</v>
      </c>
      <c r="F10" s="55">
        <f t="shared" si="1"/>
        <v>954</v>
      </c>
      <c r="G10" s="56">
        <f t="shared" si="0"/>
        <v>8887.8406708595394</v>
      </c>
      <c r="H10" s="57">
        <v>8479000</v>
      </c>
      <c r="J10" s="58"/>
    </row>
    <row r="11" spans="1:10" x14ac:dyDescent="0.35">
      <c r="A11" s="49"/>
      <c r="B11" s="51" t="s">
        <v>224</v>
      </c>
      <c r="C11" s="52" t="s">
        <v>178</v>
      </c>
      <c r="D11" s="53" t="s">
        <v>222</v>
      </c>
      <c r="E11" s="54">
        <v>732</v>
      </c>
      <c r="F11" s="55">
        <f t="shared" si="1"/>
        <v>1098</v>
      </c>
      <c r="G11" s="56">
        <f t="shared" si="0"/>
        <v>8887.978142076503</v>
      </c>
      <c r="H11" s="57">
        <v>9759000</v>
      </c>
      <c r="J11" s="58"/>
    </row>
    <row r="12" spans="1:10" ht="15" customHeight="1" x14ac:dyDescent="0.35">
      <c r="A12" s="49"/>
      <c r="B12" s="59" t="s">
        <v>225</v>
      </c>
      <c r="C12" s="54"/>
      <c r="D12" s="54"/>
      <c r="E12" s="54">
        <v>0</v>
      </c>
      <c r="F12" s="56">
        <f t="shared" si="1"/>
        <v>0</v>
      </c>
      <c r="G12" s="60">
        <f>AVERAGE(G5:G11)</f>
        <v>8952.2625709450385</v>
      </c>
      <c r="H12" s="54"/>
      <c r="J12" s="58"/>
    </row>
    <row r="13" spans="1:10" ht="15" customHeight="1" x14ac:dyDescent="0.35">
      <c r="A13" s="47"/>
      <c r="B13" s="59" t="s">
        <v>226</v>
      </c>
      <c r="C13" s="53"/>
      <c r="D13" s="53"/>
      <c r="E13" s="53"/>
      <c r="F13" s="61"/>
      <c r="G13" s="59">
        <v>9000</v>
      </c>
      <c r="H13" s="59"/>
      <c r="I13" s="62"/>
      <c r="J13" s="58"/>
    </row>
    <row r="14" spans="1:10" ht="15" customHeight="1" x14ac:dyDescent="0.35">
      <c r="B14" s="47"/>
      <c r="C14" s="47"/>
      <c r="D14" s="47"/>
      <c r="E14" s="47"/>
      <c r="G14" s="63"/>
    </row>
    <row r="15" spans="1:10" x14ac:dyDescent="0.35">
      <c r="G15" s="63"/>
    </row>
    <row r="16" spans="1:10" x14ac:dyDescent="0.35">
      <c r="G16" s="63"/>
    </row>
    <row r="17" spans="2:7" x14ac:dyDescent="0.35">
      <c r="G17" s="63"/>
    </row>
    <row r="18" spans="2:7" x14ac:dyDescent="0.35">
      <c r="G18" s="63"/>
    </row>
    <row r="19" spans="2:7" x14ac:dyDescent="0.35">
      <c r="G19" s="63"/>
    </row>
    <row r="20" spans="2:7" x14ac:dyDescent="0.35">
      <c r="G20" s="63"/>
    </row>
    <row r="21" spans="2:7" x14ac:dyDescent="0.35">
      <c r="G21" s="63"/>
    </row>
    <row r="22" spans="2:7" x14ac:dyDescent="0.35">
      <c r="G22" s="63"/>
    </row>
    <row r="23" spans="2:7" x14ac:dyDescent="0.35">
      <c r="B23" s="64"/>
      <c r="G23" s="63"/>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topLeftCell="A4" workbookViewId="0">
      <selection activeCell="C24" sqref="C24:C25"/>
    </sheetView>
  </sheetViews>
  <sheetFormatPr defaultRowHeight="14.5" x14ac:dyDescent="0.35"/>
  <cols>
    <col min="1" max="1" width="11.453125" customWidth="1"/>
    <col min="2" max="2" width="12" customWidth="1"/>
    <col min="257" max="257" width="11.453125" customWidth="1"/>
    <col min="258" max="258" width="12" customWidth="1"/>
    <col min="513" max="513" width="11.453125" customWidth="1"/>
    <col min="514" max="514" width="12" customWidth="1"/>
    <col min="769" max="769" width="11.453125" customWidth="1"/>
    <col min="770" max="770" width="12" customWidth="1"/>
    <col min="1025" max="1025" width="11.453125" customWidth="1"/>
    <col min="1026" max="1026" width="12" customWidth="1"/>
    <col min="1281" max="1281" width="11.453125" customWidth="1"/>
    <col min="1282" max="1282" width="12" customWidth="1"/>
    <col min="1537" max="1537" width="11.453125" customWidth="1"/>
    <col min="1538" max="1538" width="12" customWidth="1"/>
    <col min="1793" max="1793" width="11.453125" customWidth="1"/>
    <col min="1794" max="1794" width="12" customWidth="1"/>
    <col min="2049" max="2049" width="11.453125" customWidth="1"/>
    <col min="2050" max="2050" width="12" customWidth="1"/>
    <col min="2305" max="2305" width="11.453125" customWidth="1"/>
    <col min="2306" max="2306" width="12" customWidth="1"/>
    <col min="2561" max="2561" width="11.453125" customWidth="1"/>
    <col min="2562" max="2562" width="12" customWidth="1"/>
    <col min="2817" max="2817" width="11.453125" customWidth="1"/>
    <col min="2818" max="2818" width="12" customWidth="1"/>
    <col min="3073" max="3073" width="11.453125" customWidth="1"/>
    <col min="3074" max="3074" width="12" customWidth="1"/>
    <col min="3329" max="3329" width="11.453125" customWidth="1"/>
    <col min="3330" max="3330" width="12" customWidth="1"/>
    <col min="3585" max="3585" width="11.453125" customWidth="1"/>
    <col min="3586" max="3586" width="12" customWidth="1"/>
    <col min="3841" max="3841" width="11.453125" customWidth="1"/>
    <col min="3842" max="3842" width="12" customWidth="1"/>
    <col min="4097" max="4097" width="11.453125" customWidth="1"/>
    <col min="4098" max="4098" width="12" customWidth="1"/>
    <col min="4353" max="4353" width="11.453125" customWidth="1"/>
    <col min="4354" max="4354" width="12" customWidth="1"/>
    <col min="4609" max="4609" width="11.453125" customWidth="1"/>
    <col min="4610" max="4610" width="12" customWidth="1"/>
    <col min="4865" max="4865" width="11.453125" customWidth="1"/>
    <col min="4866" max="4866" width="12" customWidth="1"/>
    <col min="5121" max="5121" width="11.453125" customWidth="1"/>
    <col min="5122" max="5122" width="12" customWidth="1"/>
    <col min="5377" max="5377" width="11.453125" customWidth="1"/>
    <col min="5378" max="5378" width="12" customWidth="1"/>
    <col min="5633" max="5633" width="11.453125" customWidth="1"/>
    <col min="5634" max="5634" width="12" customWidth="1"/>
    <col min="5889" max="5889" width="11.453125" customWidth="1"/>
    <col min="5890" max="5890" width="12" customWidth="1"/>
    <col min="6145" max="6145" width="11.453125" customWidth="1"/>
    <col min="6146" max="6146" width="12" customWidth="1"/>
    <col min="6401" max="6401" width="11.453125" customWidth="1"/>
    <col min="6402" max="6402" width="12" customWidth="1"/>
    <col min="6657" max="6657" width="11.453125" customWidth="1"/>
    <col min="6658" max="6658" width="12" customWidth="1"/>
    <col min="6913" max="6913" width="11.453125" customWidth="1"/>
    <col min="6914" max="6914" width="12" customWidth="1"/>
    <col min="7169" max="7169" width="11.453125" customWidth="1"/>
    <col min="7170" max="7170" width="12" customWidth="1"/>
    <col min="7425" max="7425" width="11.453125" customWidth="1"/>
    <col min="7426" max="7426" width="12" customWidth="1"/>
    <col min="7681" max="7681" width="11.453125" customWidth="1"/>
    <col min="7682" max="7682" width="12" customWidth="1"/>
    <col min="7937" max="7937" width="11.453125" customWidth="1"/>
    <col min="7938" max="7938" width="12" customWidth="1"/>
    <col min="8193" max="8193" width="11.453125" customWidth="1"/>
    <col min="8194" max="8194" width="12" customWidth="1"/>
    <col min="8449" max="8449" width="11.453125" customWidth="1"/>
    <col min="8450" max="8450" width="12" customWidth="1"/>
    <col min="8705" max="8705" width="11.453125" customWidth="1"/>
    <col min="8706" max="8706" width="12" customWidth="1"/>
    <col min="8961" max="8961" width="11.453125" customWidth="1"/>
    <col min="8962" max="8962" width="12" customWidth="1"/>
    <col min="9217" max="9217" width="11.453125" customWidth="1"/>
    <col min="9218" max="9218" width="12" customWidth="1"/>
    <col min="9473" max="9473" width="11.453125" customWidth="1"/>
    <col min="9474" max="9474" width="12" customWidth="1"/>
    <col min="9729" max="9729" width="11.453125" customWidth="1"/>
    <col min="9730" max="9730" width="12" customWidth="1"/>
    <col min="9985" max="9985" width="11.453125" customWidth="1"/>
    <col min="9986" max="9986" width="12" customWidth="1"/>
    <col min="10241" max="10241" width="11.453125" customWidth="1"/>
    <col min="10242" max="10242" width="12" customWidth="1"/>
    <col min="10497" max="10497" width="11.453125" customWidth="1"/>
    <col min="10498" max="10498" width="12" customWidth="1"/>
    <col min="10753" max="10753" width="11.453125" customWidth="1"/>
    <col min="10754" max="10754" width="12" customWidth="1"/>
    <col min="11009" max="11009" width="11.453125" customWidth="1"/>
    <col min="11010" max="11010" width="12" customWidth="1"/>
    <col min="11265" max="11265" width="11.453125" customWidth="1"/>
    <col min="11266" max="11266" width="12" customWidth="1"/>
    <col min="11521" max="11521" width="11.453125" customWidth="1"/>
    <col min="11522" max="11522" width="12" customWidth="1"/>
    <col min="11777" max="11777" width="11.453125" customWidth="1"/>
    <col min="11778" max="11778" width="12" customWidth="1"/>
    <col min="12033" max="12033" width="11.453125" customWidth="1"/>
    <col min="12034" max="12034" width="12" customWidth="1"/>
    <col min="12289" max="12289" width="11.453125" customWidth="1"/>
    <col min="12290" max="12290" width="12" customWidth="1"/>
    <col min="12545" max="12545" width="11.453125" customWidth="1"/>
    <col min="12546" max="12546" width="12" customWidth="1"/>
    <col min="12801" max="12801" width="11.453125" customWidth="1"/>
    <col min="12802" max="12802" width="12" customWidth="1"/>
    <col min="13057" max="13057" width="11.453125" customWidth="1"/>
    <col min="13058" max="13058" width="12" customWidth="1"/>
    <col min="13313" max="13313" width="11.453125" customWidth="1"/>
    <col min="13314" max="13314" width="12" customWidth="1"/>
    <col min="13569" max="13569" width="11.453125" customWidth="1"/>
    <col min="13570" max="13570" width="12" customWidth="1"/>
    <col min="13825" max="13825" width="11.453125" customWidth="1"/>
    <col min="13826" max="13826" width="12" customWidth="1"/>
    <col min="14081" max="14081" width="11.453125" customWidth="1"/>
    <col min="14082" max="14082" width="12" customWidth="1"/>
    <col min="14337" max="14337" width="11.453125" customWidth="1"/>
    <col min="14338" max="14338" width="12" customWidth="1"/>
    <col min="14593" max="14593" width="11.453125" customWidth="1"/>
    <col min="14594" max="14594" width="12" customWidth="1"/>
    <col min="14849" max="14849" width="11.453125" customWidth="1"/>
    <col min="14850" max="14850" width="12" customWidth="1"/>
    <col min="15105" max="15105" width="11.453125" customWidth="1"/>
    <col min="15106" max="15106" width="12" customWidth="1"/>
    <col min="15361" max="15361" width="11.453125" customWidth="1"/>
    <col min="15362" max="15362" width="12" customWidth="1"/>
    <col min="15617" max="15617" width="11.453125" customWidth="1"/>
    <col min="15618" max="15618" width="12" customWidth="1"/>
    <col min="15873" max="15873" width="11.453125" customWidth="1"/>
    <col min="15874" max="15874" width="12" customWidth="1"/>
    <col min="16129" max="16129" width="11.453125" customWidth="1"/>
    <col min="16130" max="16130" width="12" customWidth="1"/>
  </cols>
  <sheetData>
    <row r="1" spans="1:3" x14ac:dyDescent="0.35">
      <c r="A1" t="s">
        <v>212</v>
      </c>
      <c r="B1" t="s">
        <v>227</v>
      </c>
      <c r="C1" t="s">
        <v>228</v>
      </c>
    </row>
    <row r="2" spans="1:3" x14ac:dyDescent="0.35">
      <c r="C2" t="s">
        <v>229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30" sqref="D30"/>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135</v>
      </c>
      <c r="B2" s="20" t="s">
        <v>136</v>
      </c>
      <c r="C2" s="20" t="s">
        <v>137</v>
      </c>
      <c r="D2" s="268" t="s">
        <v>138</v>
      </c>
      <c r="E2" s="268"/>
    </row>
    <row r="3" spans="1:13" x14ac:dyDescent="0.3">
      <c r="A3" s="23">
        <v>0</v>
      </c>
      <c r="B3" s="23">
        <v>0</v>
      </c>
      <c r="C3" s="23">
        <v>1</v>
      </c>
      <c r="D3" s="270">
        <v>16</v>
      </c>
      <c r="E3" s="270"/>
    </row>
    <row r="5" spans="1:13" hidden="1" x14ac:dyDescent="0.3">
      <c r="A5" s="19" t="s">
        <v>100</v>
      </c>
      <c r="B5" s="21" t="s">
        <v>152</v>
      </c>
      <c r="C5" s="21">
        <f>D3</f>
        <v>16</v>
      </c>
      <c r="D5" s="22"/>
    </row>
    <row r="6" spans="1:13" x14ac:dyDescent="0.3">
      <c r="A6" s="19" t="s">
        <v>101</v>
      </c>
      <c r="B6" s="24">
        <v>10</v>
      </c>
      <c r="C6" s="25">
        <v>10</v>
      </c>
      <c r="D6" s="26">
        <f>((100/B6)*C6)/100</f>
        <v>1</v>
      </c>
      <c r="E6" s="27"/>
      <c r="J6" s="27"/>
    </row>
    <row r="7" spans="1:13" x14ac:dyDescent="0.3">
      <c r="A7" s="19" t="s">
        <v>102</v>
      </c>
      <c r="B7" s="24">
        <f>A3+B3+C3+D3</f>
        <v>17</v>
      </c>
      <c r="C7" s="25">
        <v>0.5</v>
      </c>
      <c r="D7" s="26">
        <f t="shared" ref="D7:D12" si="0">((100/B7)*C7)/100</f>
        <v>2.9411764705882356E-2</v>
      </c>
      <c r="F7" s="271" t="s">
        <v>153</v>
      </c>
      <c r="G7" s="271"/>
      <c r="H7" s="28" t="s">
        <v>154</v>
      </c>
      <c r="J7" s="35"/>
    </row>
    <row r="8" spans="1:13" x14ac:dyDescent="0.3">
      <c r="A8" s="19" t="s">
        <v>107</v>
      </c>
      <c r="B8" s="24">
        <f>C5</f>
        <v>16</v>
      </c>
      <c r="C8" s="25">
        <v>0</v>
      </c>
      <c r="D8" s="26">
        <f t="shared" si="0"/>
        <v>0</v>
      </c>
      <c r="E8" s="27"/>
      <c r="F8" s="269" t="s">
        <v>155</v>
      </c>
      <c r="G8" s="269"/>
      <c r="H8" s="24" t="s">
        <v>156</v>
      </c>
      <c r="J8" s="27"/>
    </row>
    <row r="9" spans="1:13" x14ac:dyDescent="0.3">
      <c r="A9" s="19" t="s">
        <v>109</v>
      </c>
      <c r="B9" s="24">
        <f>C5</f>
        <v>16</v>
      </c>
      <c r="C9" s="25">
        <v>0</v>
      </c>
      <c r="D9" s="26">
        <f t="shared" si="0"/>
        <v>0</v>
      </c>
      <c r="E9" s="27"/>
      <c r="F9" s="269" t="s">
        <v>157</v>
      </c>
      <c r="G9" s="269"/>
      <c r="H9" s="24" t="s">
        <v>158</v>
      </c>
      <c r="J9" s="27"/>
    </row>
    <row r="10" spans="1:13" x14ac:dyDescent="0.3">
      <c r="A10" s="19" t="s">
        <v>70</v>
      </c>
      <c r="B10" s="24">
        <f>C5</f>
        <v>16</v>
      </c>
      <c r="C10" s="25">
        <v>0</v>
      </c>
      <c r="D10" s="26">
        <f t="shared" si="0"/>
        <v>0</v>
      </c>
      <c r="E10" s="27"/>
      <c r="F10" s="269" t="s">
        <v>159</v>
      </c>
      <c r="G10" s="269"/>
      <c r="H10" s="24" t="s">
        <v>160</v>
      </c>
      <c r="J10" s="27"/>
    </row>
    <row r="11" spans="1:13" x14ac:dyDescent="0.3">
      <c r="A11" s="29" t="s">
        <v>105</v>
      </c>
      <c r="B11" s="24">
        <f>C5</f>
        <v>16</v>
      </c>
      <c r="C11" s="25">
        <v>0</v>
      </c>
      <c r="D11" s="26">
        <f t="shared" si="0"/>
        <v>0</v>
      </c>
      <c r="E11" s="27"/>
      <c r="F11" s="269" t="s">
        <v>161</v>
      </c>
      <c r="G11" s="269"/>
      <c r="H11" s="24" t="s">
        <v>162</v>
      </c>
    </row>
    <row r="12" spans="1:13" x14ac:dyDescent="0.3">
      <c r="A12" s="19" t="s">
        <v>71</v>
      </c>
      <c r="B12" s="24">
        <f>C5</f>
        <v>16</v>
      </c>
      <c r="C12" s="25">
        <v>0</v>
      </c>
      <c r="D12" s="26">
        <f t="shared" si="0"/>
        <v>0</v>
      </c>
      <c r="E12" s="27"/>
      <c r="F12" s="269" t="s">
        <v>163</v>
      </c>
      <c r="G12" s="269"/>
      <c r="H12" s="24" t="s">
        <v>164</v>
      </c>
    </row>
    <row r="13" spans="1:13" x14ac:dyDescent="0.3">
      <c r="F13" s="269" t="s">
        <v>165</v>
      </c>
      <c r="G13" s="269"/>
      <c r="H13" s="24" t="s">
        <v>166</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68" t="s">
        <v>106</v>
      </c>
      <c r="F15" s="268"/>
      <c r="G15" s="30">
        <f>C6</f>
        <v>10</v>
      </c>
      <c r="H15" s="30">
        <f>40/B7*C7</f>
        <v>1.1764705882352942</v>
      </c>
      <c r="I15" s="30">
        <f>15/B8*C8</f>
        <v>0</v>
      </c>
      <c r="J15" s="30">
        <f>10/B9*C9</f>
        <v>0</v>
      </c>
      <c r="K15" s="30">
        <f>10/B10*C10</f>
        <v>0</v>
      </c>
      <c r="L15" s="30">
        <f>5/B11*C11</f>
        <v>0</v>
      </c>
      <c r="M15" s="30">
        <f>5/B12*C12</f>
        <v>0</v>
      </c>
    </row>
    <row r="16" spans="1:13" hidden="1" x14ac:dyDescent="0.3">
      <c r="A16" s="20" t="s">
        <v>68</v>
      </c>
      <c r="B16" s="20">
        <f>H15</f>
        <v>1.1764705882352942</v>
      </c>
      <c r="C16" s="20">
        <f>H16</f>
        <v>0.88235294117647056</v>
      </c>
      <c r="E16" s="268" t="s">
        <v>108</v>
      </c>
      <c r="F16" s="268"/>
      <c r="G16" s="20">
        <f>G15+20</f>
        <v>30</v>
      </c>
      <c r="H16" s="20">
        <f>30/B7*C7</f>
        <v>0.88235294117647056</v>
      </c>
      <c r="I16" s="20">
        <f>15/B8*C8</f>
        <v>0</v>
      </c>
      <c r="J16" s="20">
        <f>10/B9*C9</f>
        <v>0</v>
      </c>
      <c r="K16" s="20">
        <f>5/B10*C10</f>
        <v>0</v>
      </c>
      <c r="L16" s="20">
        <f>5/B11*C11</f>
        <v>0</v>
      </c>
      <c r="M16" s="20">
        <f>5/B12*C12</f>
        <v>0</v>
      </c>
    </row>
    <row r="17" spans="1:13" hidden="1" x14ac:dyDescent="0.3">
      <c r="A17" s="20" t="s">
        <v>104</v>
      </c>
      <c r="B17" s="20">
        <f>I15</f>
        <v>0</v>
      </c>
      <c r="C17" s="20">
        <f>I16</f>
        <v>0</v>
      </c>
      <c r="M17" s="27"/>
    </row>
    <row r="18" spans="1:13" hidden="1" x14ac:dyDescent="0.3">
      <c r="A18" s="20" t="s">
        <v>69</v>
      </c>
      <c r="B18" s="20">
        <f>J15</f>
        <v>0</v>
      </c>
      <c r="C18" s="20">
        <f>J16</f>
        <v>0</v>
      </c>
      <c r="M18" s="27"/>
    </row>
    <row r="19" spans="1:13" hidden="1" x14ac:dyDescent="0.3">
      <c r="A19" s="20" t="s">
        <v>70</v>
      </c>
      <c r="B19" s="20">
        <f>K15</f>
        <v>0</v>
      </c>
      <c r="C19" s="20">
        <f>K16</f>
        <v>0</v>
      </c>
      <c r="M19" s="27"/>
    </row>
    <row r="20" spans="1:13" hidden="1" x14ac:dyDescent="0.3">
      <c r="A20" s="31" t="s">
        <v>105</v>
      </c>
      <c r="B20" s="20">
        <f>L15</f>
        <v>0</v>
      </c>
      <c r="C20" s="20">
        <f>L16</f>
        <v>0</v>
      </c>
      <c r="M20" s="27"/>
    </row>
    <row r="21" spans="1:13" hidden="1" x14ac:dyDescent="0.3">
      <c r="A21" s="20" t="s">
        <v>71</v>
      </c>
      <c r="B21" s="20">
        <f>M15</f>
        <v>0</v>
      </c>
      <c r="C21" s="20">
        <f>M16</f>
        <v>0</v>
      </c>
      <c r="M21" s="27"/>
    </row>
    <row r="22" spans="1:13" x14ac:dyDescent="0.3">
      <c r="A22" s="20" t="s">
        <v>111</v>
      </c>
      <c r="B22" s="32">
        <f>(B15+B16+B17+B18+B19+B20+B21)/100</f>
        <v>0.11176470588235293</v>
      </c>
      <c r="C22" s="32">
        <f>(C15+C16+C17+C18+C19+C20+C21)/100</f>
        <v>0.30882352941176472</v>
      </c>
      <c r="F22" s="269" t="s">
        <v>167</v>
      </c>
      <c r="G22" s="269"/>
      <c r="H22" s="24" t="s">
        <v>158</v>
      </c>
      <c r="M22" s="27"/>
    </row>
    <row r="23" spans="1:13" x14ac:dyDescent="0.3">
      <c r="F23" s="269" t="s">
        <v>168</v>
      </c>
      <c r="G23" s="269"/>
      <c r="H23" s="24" t="s">
        <v>169</v>
      </c>
    </row>
    <row r="24" spans="1:13" x14ac:dyDescent="0.3">
      <c r="A24" s="33" t="s">
        <v>143</v>
      </c>
      <c r="B24" s="34">
        <v>0.01</v>
      </c>
      <c r="C24" s="34">
        <v>0.02</v>
      </c>
      <c r="F24" s="269" t="s">
        <v>170</v>
      </c>
      <c r="G24" s="269"/>
      <c r="H24" s="24" t="s">
        <v>171</v>
      </c>
    </row>
    <row r="25" spans="1:13" x14ac:dyDescent="0.3">
      <c r="A25" s="33" t="s">
        <v>144</v>
      </c>
      <c r="B25" s="34">
        <v>0.01</v>
      </c>
      <c r="C25" s="34">
        <v>0.03</v>
      </c>
    </row>
    <row r="26" spans="1:13" x14ac:dyDescent="0.3">
      <c r="A26" s="33" t="s">
        <v>145</v>
      </c>
      <c r="B26" s="34">
        <v>0.03</v>
      </c>
      <c r="C26" s="34">
        <v>0.08</v>
      </c>
    </row>
    <row r="27" spans="1:13" x14ac:dyDescent="0.3">
      <c r="A27" s="33" t="s">
        <v>146</v>
      </c>
      <c r="B27" s="34">
        <v>0.05</v>
      </c>
      <c r="C27" s="34">
        <v>0.15</v>
      </c>
    </row>
    <row r="28" spans="1:13" x14ac:dyDescent="0.3">
      <c r="A28" s="33" t="s">
        <v>147</v>
      </c>
      <c r="B28" s="34">
        <v>7.0000000000000007E-2</v>
      </c>
      <c r="C28" s="34">
        <v>0.2</v>
      </c>
    </row>
    <row r="29" spans="1:13" x14ac:dyDescent="0.3">
      <c r="A29" s="33" t="s">
        <v>148</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4" sqref="D4"/>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135</v>
      </c>
      <c r="B2" s="20" t="s">
        <v>136</v>
      </c>
      <c r="C2" s="20" t="s">
        <v>137</v>
      </c>
      <c r="D2" s="268" t="s">
        <v>138</v>
      </c>
      <c r="E2" s="268"/>
    </row>
    <row r="3" spans="1:13" x14ac:dyDescent="0.3">
      <c r="A3" s="23">
        <v>0</v>
      </c>
      <c r="B3" s="23">
        <v>0</v>
      </c>
      <c r="C3" s="23">
        <v>1</v>
      </c>
      <c r="D3" s="270">
        <v>16</v>
      </c>
      <c r="E3" s="270"/>
    </row>
    <row r="5" spans="1:13" hidden="1" x14ac:dyDescent="0.3">
      <c r="A5" s="19" t="s">
        <v>100</v>
      </c>
      <c r="B5" s="21" t="s">
        <v>152</v>
      </c>
      <c r="C5" s="21">
        <f>D3</f>
        <v>16</v>
      </c>
      <c r="D5" s="22"/>
    </row>
    <row r="6" spans="1:13" x14ac:dyDescent="0.3">
      <c r="A6" s="19" t="s">
        <v>101</v>
      </c>
      <c r="B6" s="44">
        <v>10</v>
      </c>
      <c r="C6" s="45">
        <v>10</v>
      </c>
      <c r="D6" s="26">
        <f>((100/B6)*C6)/100</f>
        <v>1</v>
      </c>
      <c r="E6" s="27"/>
      <c r="J6" s="27"/>
    </row>
    <row r="7" spans="1:13" x14ac:dyDescent="0.3">
      <c r="A7" s="19" t="s">
        <v>102</v>
      </c>
      <c r="B7" s="44">
        <f>A3+B3+C3+D3</f>
        <v>17</v>
      </c>
      <c r="C7" s="45">
        <v>0.5</v>
      </c>
      <c r="D7" s="26">
        <f t="shared" ref="D7:D12" si="0">((100/B7)*C7)/100</f>
        <v>2.9411764705882356E-2</v>
      </c>
      <c r="F7" s="271" t="s">
        <v>153</v>
      </c>
      <c r="G7" s="271"/>
      <c r="H7" s="46" t="s">
        <v>154</v>
      </c>
      <c r="J7" s="35"/>
    </row>
    <row r="8" spans="1:13" x14ac:dyDescent="0.3">
      <c r="A8" s="19" t="s">
        <v>107</v>
      </c>
      <c r="B8" s="44">
        <f>C5</f>
        <v>16</v>
      </c>
      <c r="C8" s="45">
        <v>0</v>
      </c>
      <c r="D8" s="26">
        <f t="shared" si="0"/>
        <v>0</v>
      </c>
      <c r="E8" s="27"/>
      <c r="F8" s="269" t="s">
        <v>155</v>
      </c>
      <c r="G8" s="269"/>
      <c r="H8" s="44" t="s">
        <v>156</v>
      </c>
      <c r="J8" s="27"/>
    </row>
    <row r="9" spans="1:13" x14ac:dyDescent="0.3">
      <c r="A9" s="19" t="s">
        <v>109</v>
      </c>
      <c r="B9" s="44">
        <f>C5</f>
        <v>16</v>
      </c>
      <c r="C9" s="45">
        <v>0</v>
      </c>
      <c r="D9" s="26">
        <f t="shared" si="0"/>
        <v>0</v>
      </c>
      <c r="E9" s="27"/>
      <c r="F9" s="269" t="s">
        <v>157</v>
      </c>
      <c r="G9" s="269"/>
      <c r="H9" s="44" t="s">
        <v>158</v>
      </c>
      <c r="J9" s="27"/>
    </row>
    <row r="10" spans="1:13" x14ac:dyDescent="0.3">
      <c r="A10" s="19" t="s">
        <v>70</v>
      </c>
      <c r="B10" s="44">
        <f>C5</f>
        <v>16</v>
      </c>
      <c r="C10" s="45">
        <v>0</v>
      </c>
      <c r="D10" s="26">
        <f t="shared" si="0"/>
        <v>0</v>
      </c>
      <c r="E10" s="27"/>
      <c r="F10" s="269" t="s">
        <v>159</v>
      </c>
      <c r="G10" s="269"/>
      <c r="H10" s="44" t="s">
        <v>160</v>
      </c>
      <c r="J10" s="27"/>
    </row>
    <row r="11" spans="1:13" x14ac:dyDescent="0.3">
      <c r="A11" s="29" t="s">
        <v>105</v>
      </c>
      <c r="B11" s="44">
        <f>C5</f>
        <v>16</v>
      </c>
      <c r="C11" s="45">
        <v>0</v>
      </c>
      <c r="D11" s="26">
        <f t="shared" si="0"/>
        <v>0</v>
      </c>
      <c r="E11" s="27"/>
      <c r="F11" s="269" t="s">
        <v>161</v>
      </c>
      <c r="G11" s="269"/>
      <c r="H11" s="44" t="s">
        <v>162</v>
      </c>
    </row>
    <row r="12" spans="1:13" x14ac:dyDescent="0.3">
      <c r="A12" s="19" t="s">
        <v>71</v>
      </c>
      <c r="B12" s="44">
        <f>C5</f>
        <v>16</v>
      </c>
      <c r="C12" s="45">
        <v>0</v>
      </c>
      <c r="D12" s="26">
        <f t="shared" si="0"/>
        <v>0</v>
      </c>
      <c r="E12" s="27"/>
      <c r="F12" s="269" t="s">
        <v>163</v>
      </c>
      <c r="G12" s="269"/>
      <c r="H12" s="44" t="s">
        <v>164</v>
      </c>
    </row>
    <row r="13" spans="1:13" x14ac:dyDescent="0.3">
      <c r="F13" s="269" t="s">
        <v>165</v>
      </c>
      <c r="G13" s="269"/>
      <c r="H13" s="44" t="s">
        <v>166</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68" t="s">
        <v>106</v>
      </c>
      <c r="F15" s="268"/>
      <c r="G15" s="30">
        <f>C6</f>
        <v>10</v>
      </c>
      <c r="H15" s="30">
        <f>40/B7*C7</f>
        <v>1.1764705882352942</v>
      </c>
      <c r="I15" s="30">
        <f>15/B8*C8</f>
        <v>0</v>
      </c>
      <c r="J15" s="30">
        <f>10/B9*C9</f>
        <v>0</v>
      </c>
      <c r="K15" s="30">
        <f>10/B10*C10</f>
        <v>0</v>
      </c>
      <c r="L15" s="30">
        <f>5/B11*C11</f>
        <v>0</v>
      </c>
      <c r="M15" s="30">
        <f>5/B12*C12</f>
        <v>0</v>
      </c>
    </row>
    <row r="16" spans="1:13" hidden="1" x14ac:dyDescent="0.3">
      <c r="A16" s="20" t="s">
        <v>68</v>
      </c>
      <c r="B16" s="20">
        <f>H15</f>
        <v>1.1764705882352942</v>
      </c>
      <c r="C16" s="20">
        <f>H16</f>
        <v>0.88235294117647056</v>
      </c>
      <c r="E16" s="268" t="s">
        <v>108</v>
      </c>
      <c r="F16" s="268"/>
      <c r="G16" s="20">
        <f>G15+20</f>
        <v>30</v>
      </c>
      <c r="H16" s="20">
        <f>30/B7*C7</f>
        <v>0.88235294117647056</v>
      </c>
      <c r="I16" s="20">
        <f>15/B8*C8</f>
        <v>0</v>
      </c>
      <c r="J16" s="20">
        <f>10/B9*C9</f>
        <v>0</v>
      </c>
      <c r="K16" s="20">
        <f>5/B10*C10</f>
        <v>0</v>
      </c>
      <c r="L16" s="20">
        <f>5/B11*C11</f>
        <v>0</v>
      </c>
      <c r="M16" s="20">
        <f>5/B12*C12</f>
        <v>0</v>
      </c>
    </row>
    <row r="17" spans="1:13" hidden="1" x14ac:dyDescent="0.3">
      <c r="A17" s="20" t="s">
        <v>104</v>
      </c>
      <c r="B17" s="20">
        <f>I15</f>
        <v>0</v>
      </c>
      <c r="C17" s="20">
        <f>I16</f>
        <v>0</v>
      </c>
      <c r="M17" s="27"/>
    </row>
    <row r="18" spans="1:13" hidden="1" x14ac:dyDescent="0.3">
      <c r="A18" s="20" t="s">
        <v>69</v>
      </c>
      <c r="B18" s="20">
        <f>J15</f>
        <v>0</v>
      </c>
      <c r="C18" s="20">
        <f>J16</f>
        <v>0</v>
      </c>
      <c r="M18" s="27"/>
    </row>
    <row r="19" spans="1:13" hidden="1" x14ac:dyDescent="0.3">
      <c r="A19" s="20" t="s">
        <v>70</v>
      </c>
      <c r="B19" s="20">
        <f>K15</f>
        <v>0</v>
      </c>
      <c r="C19" s="20">
        <f>K16</f>
        <v>0</v>
      </c>
      <c r="M19" s="27"/>
    </row>
    <row r="20" spans="1:13" hidden="1" x14ac:dyDescent="0.3">
      <c r="A20" s="31" t="s">
        <v>105</v>
      </c>
      <c r="B20" s="20">
        <f>L15</f>
        <v>0</v>
      </c>
      <c r="C20" s="20">
        <f>L16</f>
        <v>0</v>
      </c>
      <c r="M20" s="27"/>
    </row>
    <row r="21" spans="1:13" hidden="1" x14ac:dyDescent="0.3">
      <c r="A21" s="20" t="s">
        <v>71</v>
      </c>
      <c r="B21" s="20">
        <f>M15</f>
        <v>0</v>
      </c>
      <c r="C21" s="20">
        <f>M16</f>
        <v>0</v>
      </c>
      <c r="M21" s="27"/>
    </row>
    <row r="22" spans="1:13" x14ac:dyDescent="0.3">
      <c r="A22" s="20" t="s">
        <v>111</v>
      </c>
      <c r="B22" s="32">
        <f>(B15+B16+B17+B18+B19+B20+B21)/100</f>
        <v>0.11176470588235293</v>
      </c>
      <c r="C22" s="32">
        <f>(C15+C16+C17+C18+C19+C20+C21)/100</f>
        <v>0.30882352941176472</v>
      </c>
      <c r="F22" s="269" t="s">
        <v>167</v>
      </c>
      <c r="G22" s="269"/>
      <c r="H22" s="44" t="s">
        <v>158</v>
      </c>
      <c r="M22" s="27"/>
    </row>
    <row r="23" spans="1:13" x14ac:dyDescent="0.3">
      <c r="F23" s="269" t="s">
        <v>168</v>
      </c>
      <c r="G23" s="269"/>
      <c r="H23" s="44" t="s">
        <v>169</v>
      </c>
    </row>
    <row r="24" spans="1:13" x14ac:dyDescent="0.3">
      <c r="A24" s="33" t="s">
        <v>143</v>
      </c>
      <c r="B24" s="34">
        <v>0.01</v>
      </c>
      <c r="C24" s="34">
        <v>0.02</v>
      </c>
      <c r="F24" s="269" t="s">
        <v>170</v>
      </c>
      <c r="G24" s="269"/>
      <c r="H24" s="44" t="s">
        <v>171</v>
      </c>
    </row>
    <row r="25" spans="1:13" x14ac:dyDescent="0.3">
      <c r="A25" s="33" t="s">
        <v>144</v>
      </c>
      <c r="B25" s="34">
        <v>0.01</v>
      </c>
      <c r="C25" s="34">
        <v>0.03</v>
      </c>
    </row>
    <row r="26" spans="1:13" x14ac:dyDescent="0.3">
      <c r="A26" s="33" t="s">
        <v>145</v>
      </c>
      <c r="B26" s="34">
        <v>0.03</v>
      </c>
      <c r="C26" s="34">
        <v>0.08</v>
      </c>
    </row>
    <row r="27" spans="1:13" x14ac:dyDescent="0.3">
      <c r="A27" s="33" t="s">
        <v>146</v>
      </c>
      <c r="B27" s="34">
        <v>0.05</v>
      </c>
      <c r="C27" s="34">
        <v>0.15</v>
      </c>
    </row>
    <row r="28" spans="1:13" x14ac:dyDescent="0.3">
      <c r="A28" s="33" t="s">
        <v>147</v>
      </c>
      <c r="B28" s="34">
        <v>7.0000000000000007E-2</v>
      </c>
      <c r="C28" s="34">
        <v>0.2</v>
      </c>
    </row>
    <row r="29" spans="1:13" x14ac:dyDescent="0.3">
      <c r="A29" s="33" t="s">
        <v>148</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4" sqref="D4"/>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135</v>
      </c>
      <c r="B2" s="20" t="s">
        <v>136</v>
      </c>
      <c r="C2" s="20" t="s">
        <v>137</v>
      </c>
      <c r="D2" s="268" t="s">
        <v>138</v>
      </c>
      <c r="E2" s="268"/>
    </row>
    <row r="3" spans="1:13" x14ac:dyDescent="0.3">
      <c r="A3" s="23">
        <v>0</v>
      </c>
      <c r="B3" s="23">
        <v>0</v>
      </c>
      <c r="C3" s="23">
        <v>1</v>
      </c>
      <c r="D3" s="270">
        <v>16</v>
      </c>
      <c r="E3" s="270"/>
    </row>
    <row r="5" spans="1:13" hidden="1" x14ac:dyDescent="0.3">
      <c r="A5" s="19" t="s">
        <v>100</v>
      </c>
      <c r="B5" s="21" t="s">
        <v>152</v>
      </c>
      <c r="C5" s="21">
        <f>D3</f>
        <v>16</v>
      </c>
      <c r="D5" s="22"/>
    </row>
    <row r="6" spans="1:13" x14ac:dyDescent="0.3">
      <c r="A6" s="19" t="s">
        <v>101</v>
      </c>
      <c r="B6" s="40">
        <v>10</v>
      </c>
      <c r="C6" s="41">
        <v>10</v>
      </c>
      <c r="D6" s="26">
        <f>((100/B6)*C6)/100</f>
        <v>1</v>
      </c>
      <c r="E6" s="27"/>
      <c r="J6" s="27"/>
    </row>
    <row r="7" spans="1:13" x14ac:dyDescent="0.3">
      <c r="A7" s="19" t="s">
        <v>102</v>
      </c>
      <c r="B7" s="40">
        <f>A3+B3+C3+D3</f>
        <v>17</v>
      </c>
      <c r="C7" s="41">
        <v>10</v>
      </c>
      <c r="D7" s="26">
        <f t="shared" ref="D7:D12" si="0">((100/B7)*C7)/100</f>
        <v>0.58823529411764708</v>
      </c>
      <c r="F7" s="271" t="s">
        <v>153</v>
      </c>
      <c r="G7" s="271"/>
      <c r="H7" s="42" t="s">
        <v>154</v>
      </c>
      <c r="J7" s="35"/>
    </row>
    <row r="8" spans="1:13" x14ac:dyDescent="0.3">
      <c r="A8" s="19" t="s">
        <v>107</v>
      </c>
      <c r="B8" s="40">
        <f>C5</f>
        <v>16</v>
      </c>
      <c r="C8" s="41">
        <v>7</v>
      </c>
      <c r="D8" s="26">
        <f t="shared" si="0"/>
        <v>0.4375</v>
      </c>
      <c r="E8" s="27"/>
      <c r="F8" s="269" t="s">
        <v>155</v>
      </c>
      <c r="G8" s="269"/>
      <c r="H8" s="40" t="s">
        <v>156</v>
      </c>
      <c r="J8" s="27"/>
    </row>
    <row r="9" spans="1:13" x14ac:dyDescent="0.3">
      <c r="A9" s="19" t="s">
        <v>109</v>
      </c>
      <c r="B9" s="40">
        <f>C5</f>
        <v>16</v>
      </c>
      <c r="C9" s="41">
        <f>4/2</f>
        <v>2</v>
      </c>
      <c r="D9" s="26">
        <f t="shared" si="0"/>
        <v>0.125</v>
      </c>
      <c r="E9" s="27"/>
      <c r="F9" s="269" t="s">
        <v>157</v>
      </c>
      <c r="G9" s="269"/>
      <c r="H9" s="40" t="s">
        <v>158</v>
      </c>
      <c r="J9" s="27"/>
    </row>
    <row r="10" spans="1:13" x14ac:dyDescent="0.3">
      <c r="A10" s="19" t="s">
        <v>70</v>
      </c>
      <c r="B10" s="40">
        <f>C5</f>
        <v>16</v>
      </c>
      <c r="C10" s="41">
        <v>0</v>
      </c>
      <c r="D10" s="26">
        <f t="shared" si="0"/>
        <v>0</v>
      </c>
      <c r="E10" s="27"/>
      <c r="F10" s="269" t="s">
        <v>159</v>
      </c>
      <c r="G10" s="269"/>
      <c r="H10" s="40" t="s">
        <v>160</v>
      </c>
      <c r="J10" s="27"/>
    </row>
    <row r="11" spans="1:13" x14ac:dyDescent="0.3">
      <c r="A11" s="29" t="s">
        <v>105</v>
      </c>
      <c r="B11" s="40">
        <f>C5</f>
        <v>16</v>
      </c>
      <c r="C11" s="41">
        <v>0</v>
      </c>
      <c r="D11" s="26">
        <f t="shared" si="0"/>
        <v>0</v>
      </c>
      <c r="E11" s="27"/>
      <c r="F11" s="269" t="s">
        <v>161</v>
      </c>
      <c r="G11" s="269"/>
      <c r="H11" s="40" t="s">
        <v>162</v>
      </c>
    </row>
    <row r="12" spans="1:13" x14ac:dyDescent="0.3">
      <c r="A12" s="19" t="s">
        <v>71</v>
      </c>
      <c r="B12" s="40">
        <f>C5</f>
        <v>16</v>
      </c>
      <c r="C12" s="41">
        <v>0</v>
      </c>
      <c r="D12" s="26">
        <f t="shared" si="0"/>
        <v>0</v>
      </c>
      <c r="E12" s="27"/>
      <c r="F12" s="269" t="s">
        <v>163</v>
      </c>
      <c r="G12" s="269"/>
      <c r="H12" s="40" t="s">
        <v>164</v>
      </c>
    </row>
    <row r="13" spans="1:13" x14ac:dyDescent="0.3">
      <c r="F13" s="269" t="s">
        <v>165</v>
      </c>
      <c r="G13" s="269"/>
      <c r="H13" s="40" t="s">
        <v>166</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68" t="s">
        <v>106</v>
      </c>
      <c r="F15" s="268"/>
      <c r="G15" s="30">
        <f>C6</f>
        <v>10</v>
      </c>
      <c r="H15" s="30">
        <f>40/B7*C7</f>
        <v>23.529411764705884</v>
      </c>
      <c r="I15" s="30">
        <f>15/B8*C8</f>
        <v>6.5625</v>
      </c>
      <c r="J15" s="30">
        <f>10/B9*C9</f>
        <v>1.25</v>
      </c>
      <c r="K15" s="30">
        <f>10/B10*C10</f>
        <v>0</v>
      </c>
      <c r="L15" s="30">
        <f>5/B11*C11</f>
        <v>0</v>
      </c>
      <c r="M15" s="30">
        <f>5/B12*C12</f>
        <v>0</v>
      </c>
    </row>
    <row r="16" spans="1:13" hidden="1" x14ac:dyDescent="0.3">
      <c r="A16" s="20" t="s">
        <v>68</v>
      </c>
      <c r="B16" s="20">
        <f>H15</f>
        <v>23.529411764705884</v>
      </c>
      <c r="C16" s="20">
        <f>H16</f>
        <v>17.647058823529413</v>
      </c>
      <c r="E16" s="268" t="s">
        <v>108</v>
      </c>
      <c r="F16" s="268"/>
      <c r="G16" s="20">
        <f>G15+20</f>
        <v>30</v>
      </c>
      <c r="H16" s="20">
        <f>30/B7*C7</f>
        <v>17.647058823529413</v>
      </c>
      <c r="I16" s="20">
        <f>15/B8*C8</f>
        <v>6.5625</v>
      </c>
      <c r="J16" s="20">
        <f>10/B9*C9</f>
        <v>1.25</v>
      </c>
      <c r="K16" s="20">
        <f>5/B10*C10</f>
        <v>0</v>
      </c>
      <c r="L16" s="20">
        <f>5/B11*C11</f>
        <v>0</v>
      </c>
      <c r="M16" s="20">
        <f>5/B12*C12</f>
        <v>0</v>
      </c>
    </row>
    <row r="17" spans="1:13" hidden="1" x14ac:dyDescent="0.3">
      <c r="A17" s="20" t="s">
        <v>104</v>
      </c>
      <c r="B17" s="20">
        <f>I15</f>
        <v>6.5625</v>
      </c>
      <c r="C17" s="20">
        <f>I16</f>
        <v>6.5625</v>
      </c>
      <c r="M17" s="27"/>
    </row>
    <row r="18" spans="1:13" hidden="1" x14ac:dyDescent="0.3">
      <c r="A18" s="20" t="s">
        <v>69</v>
      </c>
      <c r="B18" s="20">
        <f>J15</f>
        <v>1.25</v>
      </c>
      <c r="C18" s="20">
        <f>J16</f>
        <v>1.25</v>
      </c>
      <c r="M18" s="27"/>
    </row>
    <row r="19" spans="1:13" hidden="1" x14ac:dyDescent="0.3">
      <c r="A19" s="20" t="s">
        <v>70</v>
      </c>
      <c r="B19" s="20">
        <f>K15</f>
        <v>0</v>
      </c>
      <c r="C19" s="20">
        <f>K16</f>
        <v>0</v>
      </c>
      <c r="M19" s="27"/>
    </row>
    <row r="20" spans="1:13" hidden="1" x14ac:dyDescent="0.3">
      <c r="A20" s="31" t="s">
        <v>105</v>
      </c>
      <c r="B20" s="20">
        <f>L15</f>
        <v>0</v>
      </c>
      <c r="C20" s="20">
        <f>L16</f>
        <v>0</v>
      </c>
      <c r="M20" s="27"/>
    </row>
    <row r="21" spans="1:13" hidden="1" x14ac:dyDescent="0.3">
      <c r="A21" s="20" t="s">
        <v>71</v>
      </c>
      <c r="B21" s="20">
        <f>M15</f>
        <v>0</v>
      </c>
      <c r="C21" s="20">
        <f>M16</f>
        <v>0</v>
      </c>
      <c r="M21" s="27"/>
    </row>
    <row r="22" spans="1:13" x14ac:dyDescent="0.3">
      <c r="A22" s="20" t="s">
        <v>111</v>
      </c>
      <c r="B22" s="32">
        <f>(B15+B16+B17+B18+B19+B20+B21)/100</f>
        <v>0.41341911764705885</v>
      </c>
      <c r="C22" s="32">
        <f>(C15+C16+C17+C18+C19+C20+C21)/100</f>
        <v>0.55459558823529409</v>
      </c>
      <c r="F22" s="269" t="s">
        <v>167</v>
      </c>
      <c r="G22" s="269"/>
      <c r="H22" s="40" t="s">
        <v>158</v>
      </c>
      <c r="M22" s="27"/>
    </row>
    <row r="23" spans="1:13" x14ac:dyDescent="0.3">
      <c r="F23" s="269" t="s">
        <v>168</v>
      </c>
      <c r="G23" s="269"/>
      <c r="H23" s="40" t="s">
        <v>169</v>
      </c>
    </row>
    <row r="24" spans="1:13" x14ac:dyDescent="0.3">
      <c r="A24" s="33" t="s">
        <v>143</v>
      </c>
      <c r="B24" s="34">
        <v>0.01</v>
      </c>
      <c r="C24" s="34">
        <v>0.02</v>
      </c>
      <c r="F24" s="269" t="s">
        <v>170</v>
      </c>
      <c r="G24" s="269"/>
      <c r="H24" s="40" t="s">
        <v>171</v>
      </c>
    </row>
    <row r="25" spans="1:13" x14ac:dyDescent="0.3">
      <c r="A25" s="33" t="s">
        <v>144</v>
      </c>
      <c r="B25" s="34">
        <v>0.01</v>
      </c>
      <c r="C25" s="34">
        <v>0.03</v>
      </c>
    </row>
    <row r="26" spans="1:13" x14ac:dyDescent="0.3">
      <c r="A26" s="33" t="s">
        <v>145</v>
      </c>
      <c r="B26" s="34">
        <v>0.03</v>
      </c>
      <c r="C26" s="34">
        <v>0.08</v>
      </c>
    </row>
    <row r="27" spans="1:13" x14ac:dyDescent="0.3">
      <c r="A27" s="33" t="s">
        <v>146</v>
      </c>
      <c r="B27" s="34">
        <v>0.05</v>
      </c>
      <c r="C27" s="34">
        <v>0.15</v>
      </c>
    </row>
    <row r="28" spans="1:13" x14ac:dyDescent="0.3">
      <c r="A28" s="33" t="s">
        <v>147</v>
      </c>
      <c r="B28" s="34">
        <v>7.0000000000000007E-2</v>
      </c>
      <c r="C28" s="34">
        <v>0.2</v>
      </c>
    </row>
    <row r="29" spans="1:13" x14ac:dyDescent="0.3">
      <c r="A29" s="33" t="s">
        <v>148</v>
      </c>
      <c r="B29" s="34">
        <v>0.1</v>
      </c>
      <c r="C29" s="3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A4" workbookViewId="0">
      <selection activeCell="D4" sqref="D4"/>
    </sheetView>
  </sheetViews>
  <sheetFormatPr defaultRowHeight="14" x14ac:dyDescent="0.3"/>
  <cols>
    <col min="1" max="1" width="20.54296875" style="19" customWidth="1"/>
    <col min="2" max="2" width="11.7265625" style="19" customWidth="1"/>
    <col min="3" max="4" width="9.1796875" style="19"/>
    <col min="5" max="5" width="10.1796875" style="19" customWidth="1"/>
    <col min="6" max="6" width="10.7265625" style="19" customWidth="1"/>
    <col min="7" max="7" width="9.1796875" style="19"/>
    <col min="8" max="8" width="10.453125" style="19" customWidth="1"/>
    <col min="9" max="9" width="15.453125" style="19" customWidth="1"/>
    <col min="10" max="258" width="9.1796875" style="19"/>
    <col min="259" max="259" width="11.7265625" style="19" customWidth="1"/>
    <col min="260" max="260" width="9.1796875" style="19"/>
    <col min="261" max="261" width="14.7265625" style="19" customWidth="1"/>
    <col min="262" max="262" width="10.7265625" style="19" customWidth="1"/>
    <col min="263" max="514" width="9.1796875" style="19"/>
    <col min="515" max="515" width="11.7265625" style="19" customWidth="1"/>
    <col min="516" max="516" width="9.1796875" style="19"/>
    <col min="517" max="517" width="14.7265625" style="19" customWidth="1"/>
    <col min="518" max="518" width="10.7265625" style="19" customWidth="1"/>
    <col min="519" max="770" width="9.1796875" style="19"/>
    <col min="771" max="771" width="11.7265625" style="19" customWidth="1"/>
    <col min="772" max="772" width="9.1796875" style="19"/>
    <col min="773" max="773" width="14.7265625" style="19" customWidth="1"/>
    <col min="774" max="774" width="10.7265625" style="19" customWidth="1"/>
    <col min="775" max="1026" width="9.1796875" style="19"/>
    <col min="1027" max="1027" width="11.7265625" style="19" customWidth="1"/>
    <col min="1028" max="1028" width="9.1796875" style="19"/>
    <col min="1029" max="1029" width="14.7265625" style="19" customWidth="1"/>
    <col min="1030" max="1030" width="10.7265625" style="19" customWidth="1"/>
    <col min="1031" max="1282" width="9.1796875" style="19"/>
    <col min="1283" max="1283" width="11.7265625" style="19" customWidth="1"/>
    <col min="1284" max="1284" width="9.1796875" style="19"/>
    <col min="1285" max="1285" width="14.7265625" style="19" customWidth="1"/>
    <col min="1286" max="1286" width="10.7265625" style="19" customWidth="1"/>
    <col min="1287" max="1538" width="9.1796875" style="19"/>
    <col min="1539" max="1539" width="11.7265625" style="19" customWidth="1"/>
    <col min="1540" max="1540" width="9.1796875" style="19"/>
    <col min="1541" max="1541" width="14.7265625" style="19" customWidth="1"/>
    <col min="1542" max="1542" width="10.7265625" style="19" customWidth="1"/>
    <col min="1543" max="1794" width="9.1796875" style="19"/>
    <col min="1795" max="1795" width="11.7265625" style="19" customWidth="1"/>
    <col min="1796" max="1796" width="9.1796875" style="19"/>
    <col min="1797" max="1797" width="14.7265625" style="19" customWidth="1"/>
    <col min="1798" max="1798" width="10.7265625" style="19" customWidth="1"/>
    <col min="1799" max="2050" width="9.1796875" style="19"/>
    <col min="2051" max="2051" width="11.7265625" style="19" customWidth="1"/>
    <col min="2052" max="2052" width="9.1796875" style="19"/>
    <col min="2053" max="2053" width="14.7265625" style="19" customWidth="1"/>
    <col min="2054" max="2054" width="10.7265625" style="19" customWidth="1"/>
    <col min="2055" max="2306" width="9.1796875" style="19"/>
    <col min="2307" max="2307" width="11.7265625" style="19" customWidth="1"/>
    <col min="2308" max="2308" width="9.1796875" style="19"/>
    <col min="2309" max="2309" width="14.7265625" style="19" customWidth="1"/>
    <col min="2310" max="2310" width="10.7265625" style="19" customWidth="1"/>
    <col min="2311" max="2562" width="9.1796875" style="19"/>
    <col min="2563" max="2563" width="11.7265625" style="19" customWidth="1"/>
    <col min="2564" max="2564" width="9.1796875" style="19"/>
    <col min="2565" max="2565" width="14.7265625" style="19" customWidth="1"/>
    <col min="2566" max="2566" width="10.7265625" style="19" customWidth="1"/>
    <col min="2567" max="2818" width="9.1796875" style="19"/>
    <col min="2819" max="2819" width="11.7265625" style="19" customWidth="1"/>
    <col min="2820" max="2820" width="9.1796875" style="19"/>
    <col min="2821" max="2821" width="14.7265625" style="19" customWidth="1"/>
    <col min="2822" max="2822" width="10.7265625" style="19" customWidth="1"/>
    <col min="2823" max="3074" width="9.1796875" style="19"/>
    <col min="3075" max="3075" width="11.7265625" style="19" customWidth="1"/>
    <col min="3076" max="3076" width="9.1796875" style="19"/>
    <col min="3077" max="3077" width="14.7265625" style="19" customWidth="1"/>
    <col min="3078" max="3078" width="10.7265625" style="19" customWidth="1"/>
    <col min="3079" max="3330" width="9.1796875" style="19"/>
    <col min="3331" max="3331" width="11.7265625" style="19" customWidth="1"/>
    <col min="3332" max="3332" width="9.1796875" style="19"/>
    <col min="3333" max="3333" width="14.7265625" style="19" customWidth="1"/>
    <col min="3334" max="3334" width="10.7265625" style="19" customWidth="1"/>
    <col min="3335" max="3586" width="9.1796875" style="19"/>
    <col min="3587" max="3587" width="11.7265625" style="19" customWidth="1"/>
    <col min="3588" max="3588" width="9.1796875" style="19"/>
    <col min="3589" max="3589" width="14.7265625" style="19" customWidth="1"/>
    <col min="3590" max="3590" width="10.7265625" style="19" customWidth="1"/>
    <col min="3591" max="3842" width="9.1796875" style="19"/>
    <col min="3843" max="3843" width="11.7265625" style="19" customWidth="1"/>
    <col min="3844" max="3844" width="9.1796875" style="19"/>
    <col min="3845" max="3845" width="14.7265625" style="19" customWidth="1"/>
    <col min="3846" max="3846" width="10.7265625" style="19" customWidth="1"/>
    <col min="3847" max="4098" width="9.1796875" style="19"/>
    <col min="4099" max="4099" width="11.7265625" style="19" customWidth="1"/>
    <col min="4100" max="4100" width="9.1796875" style="19"/>
    <col min="4101" max="4101" width="14.7265625" style="19" customWidth="1"/>
    <col min="4102" max="4102" width="10.7265625" style="19" customWidth="1"/>
    <col min="4103" max="4354" width="9.1796875" style="19"/>
    <col min="4355" max="4355" width="11.7265625" style="19" customWidth="1"/>
    <col min="4356" max="4356" width="9.1796875" style="19"/>
    <col min="4357" max="4357" width="14.7265625" style="19" customWidth="1"/>
    <col min="4358" max="4358" width="10.7265625" style="19" customWidth="1"/>
    <col min="4359" max="4610" width="9.1796875" style="19"/>
    <col min="4611" max="4611" width="11.7265625" style="19" customWidth="1"/>
    <col min="4612" max="4612" width="9.1796875" style="19"/>
    <col min="4613" max="4613" width="14.7265625" style="19" customWidth="1"/>
    <col min="4614" max="4614" width="10.7265625" style="19" customWidth="1"/>
    <col min="4615" max="4866" width="9.1796875" style="19"/>
    <col min="4867" max="4867" width="11.7265625" style="19" customWidth="1"/>
    <col min="4868" max="4868" width="9.1796875" style="19"/>
    <col min="4869" max="4869" width="14.7265625" style="19" customWidth="1"/>
    <col min="4870" max="4870" width="10.7265625" style="19" customWidth="1"/>
    <col min="4871" max="5122" width="9.1796875" style="19"/>
    <col min="5123" max="5123" width="11.7265625" style="19" customWidth="1"/>
    <col min="5124" max="5124" width="9.1796875" style="19"/>
    <col min="5125" max="5125" width="14.7265625" style="19" customWidth="1"/>
    <col min="5126" max="5126" width="10.7265625" style="19" customWidth="1"/>
    <col min="5127" max="5378" width="9.1796875" style="19"/>
    <col min="5379" max="5379" width="11.7265625" style="19" customWidth="1"/>
    <col min="5380" max="5380" width="9.1796875" style="19"/>
    <col min="5381" max="5381" width="14.7265625" style="19" customWidth="1"/>
    <col min="5382" max="5382" width="10.7265625" style="19" customWidth="1"/>
    <col min="5383" max="5634" width="9.1796875" style="19"/>
    <col min="5635" max="5635" width="11.7265625" style="19" customWidth="1"/>
    <col min="5636" max="5636" width="9.1796875" style="19"/>
    <col min="5637" max="5637" width="14.7265625" style="19" customWidth="1"/>
    <col min="5638" max="5638" width="10.7265625" style="19" customWidth="1"/>
    <col min="5639" max="5890" width="9.1796875" style="19"/>
    <col min="5891" max="5891" width="11.7265625" style="19" customWidth="1"/>
    <col min="5892" max="5892" width="9.1796875" style="19"/>
    <col min="5893" max="5893" width="14.7265625" style="19" customWidth="1"/>
    <col min="5894" max="5894" width="10.7265625" style="19" customWidth="1"/>
    <col min="5895" max="6146" width="9.1796875" style="19"/>
    <col min="6147" max="6147" width="11.7265625" style="19" customWidth="1"/>
    <col min="6148" max="6148" width="9.1796875" style="19"/>
    <col min="6149" max="6149" width="14.7265625" style="19" customWidth="1"/>
    <col min="6150" max="6150" width="10.7265625" style="19" customWidth="1"/>
    <col min="6151" max="6402" width="9.1796875" style="19"/>
    <col min="6403" max="6403" width="11.7265625" style="19" customWidth="1"/>
    <col min="6404" max="6404" width="9.1796875" style="19"/>
    <col min="6405" max="6405" width="14.7265625" style="19" customWidth="1"/>
    <col min="6406" max="6406" width="10.7265625" style="19" customWidth="1"/>
    <col min="6407" max="6658" width="9.1796875" style="19"/>
    <col min="6659" max="6659" width="11.7265625" style="19" customWidth="1"/>
    <col min="6660" max="6660" width="9.1796875" style="19"/>
    <col min="6661" max="6661" width="14.7265625" style="19" customWidth="1"/>
    <col min="6662" max="6662" width="10.7265625" style="19" customWidth="1"/>
    <col min="6663" max="6914" width="9.1796875" style="19"/>
    <col min="6915" max="6915" width="11.7265625" style="19" customWidth="1"/>
    <col min="6916" max="6916" width="9.1796875" style="19"/>
    <col min="6917" max="6917" width="14.7265625" style="19" customWidth="1"/>
    <col min="6918" max="6918" width="10.7265625" style="19" customWidth="1"/>
    <col min="6919" max="7170" width="9.1796875" style="19"/>
    <col min="7171" max="7171" width="11.7265625" style="19" customWidth="1"/>
    <col min="7172" max="7172" width="9.1796875" style="19"/>
    <col min="7173" max="7173" width="14.7265625" style="19" customWidth="1"/>
    <col min="7174" max="7174" width="10.7265625" style="19" customWidth="1"/>
    <col min="7175" max="7426" width="9.1796875" style="19"/>
    <col min="7427" max="7427" width="11.7265625" style="19" customWidth="1"/>
    <col min="7428" max="7428" width="9.1796875" style="19"/>
    <col min="7429" max="7429" width="14.7265625" style="19" customWidth="1"/>
    <col min="7430" max="7430" width="10.7265625" style="19" customWidth="1"/>
    <col min="7431" max="7682" width="9.1796875" style="19"/>
    <col min="7683" max="7683" width="11.7265625" style="19" customWidth="1"/>
    <col min="7684" max="7684" width="9.1796875" style="19"/>
    <col min="7685" max="7685" width="14.7265625" style="19" customWidth="1"/>
    <col min="7686" max="7686" width="10.7265625" style="19" customWidth="1"/>
    <col min="7687" max="7938" width="9.1796875" style="19"/>
    <col min="7939" max="7939" width="11.7265625" style="19" customWidth="1"/>
    <col min="7940" max="7940" width="9.1796875" style="19"/>
    <col min="7941" max="7941" width="14.7265625" style="19" customWidth="1"/>
    <col min="7942" max="7942" width="10.7265625" style="19" customWidth="1"/>
    <col min="7943" max="8194" width="9.1796875" style="19"/>
    <col min="8195" max="8195" width="11.7265625" style="19" customWidth="1"/>
    <col min="8196" max="8196" width="9.1796875" style="19"/>
    <col min="8197" max="8197" width="14.7265625" style="19" customWidth="1"/>
    <col min="8198" max="8198" width="10.7265625" style="19" customWidth="1"/>
    <col min="8199" max="8450" width="9.1796875" style="19"/>
    <col min="8451" max="8451" width="11.7265625" style="19" customWidth="1"/>
    <col min="8452" max="8452" width="9.1796875" style="19"/>
    <col min="8453" max="8453" width="14.7265625" style="19" customWidth="1"/>
    <col min="8454" max="8454" width="10.7265625" style="19" customWidth="1"/>
    <col min="8455" max="8706" width="9.1796875" style="19"/>
    <col min="8707" max="8707" width="11.7265625" style="19" customWidth="1"/>
    <col min="8708" max="8708" width="9.1796875" style="19"/>
    <col min="8709" max="8709" width="14.7265625" style="19" customWidth="1"/>
    <col min="8710" max="8710" width="10.7265625" style="19" customWidth="1"/>
    <col min="8711" max="8962" width="9.1796875" style="19"/>
    <col min="8963" max="8963" width="11.7265625" style="19" customWidth="1"/>
    <col min="8964" max="8964" width="9.1796875" style="19"/>
    <col min="8965" max="8965" width="14.7265625" style="19" customWidth="1"/>
    <col min="8966" max="8966" width="10.7265625" style="19" customWidth="1"/>
    <col min="8967" max="9218" width="9.1796875" style="19"/>
    <col min="9219" max="9219" width="11.7265625" style="19" customWidth="1"/>
    <col min="9220" max="9220" width="9.1796875" style="19"/>
    <col min="9221" max="9221" width="14.7265625" style="19" customWidth="1"/>
    <col min="9222" max="9222" width="10.7265625" style="19" customWidth="1"/>
    <col min="9223" max="9474" width="9.1796875" style="19"/>
    <col min="9475" max="9475" width="11.7265625" style="19" customWidth="1"/>
    <col min="9476" max="9476" width="9.1796875" style="19"/>
    <col min="9477" max="9477" width="14.7265625" style="19" customWidth="1"/>
    <col min="9478" max="9478" width="10.7265625" style="19" customWidth="1"/>
    <col min="9479" max="9730" width="9.1796875" style="19"/>
    <col min="9731" max="9731" width="11.7265625" style="19" customWidth="1"/>
    <col min="9732" max="9732" width="9.1796875" style="19"/>
    <col min="9733" max="9733" width="14.7265625" style="19" customWidth="1"/>
    <col min="9734" max="9734" width="10.7265625" style="19" customWidth="1"/>
    <col min="9735" max="9986" width="9.1796875" style="19"/>
    <col min="9987" max="9987" width="11.7265625" style="19" customWidth="1"/>
    <col min="9988" max="9988" width="9.1796875" style="19"/>
    <col min="9989" max="9989" width="14.7265625" style="19" customWidth="1"/>
    <col min="9990" max="9990" width="10.7265625" style="19" customWidth="1"/>
    <col min="9991" max="10242" width="9.1796875" style="19"/>
    <col min="10243" max="10243" width="11.7265625" style="19" customWidth="1"/>
    <col min="10244" max="10244" width="9.1796875" style="19"/>
    <col min="10245" max="10245" width="14.7265625" style="19" customWidth="1"/>
    <col min="10246" max="10246" width="10.7265625" style="19" customWidth="1"/>
    <col min="10247" max="10498" width="9.1796875" style="19"/>
    <col min="10499" max="10499" width="11.7265625" style="19" customWidth="1"/>
    <col min="10500" max="10500" width="9.1796875" style="19"/>
    <col min="10501" max="10501" width="14.7265625" style="19" customWidth="1"/>
    <col min="10502" max="10502" width="10.7265625" style="19" customWidth="1"/>
    <col min="10503" max="10754" width="9.1796875" style="19"/>
    <col min="10755" max="10755" width="11.7265625" style="19" customWidth="1"/>
    <col min="10756" max="10756" width="9.1796875" style="19"/>
    <col min="10757" max="10757" width="14.7265625" style="19" customWidth="1"/>
    <col min="10758" max="10758" width="10.7265625" style="19" customWidth="1"/>
    <col min="10759" max="11010" width="9.1796875" style="19"/>
    <col min="11011" max="11011" width="11.7265625" style="19" customWidth="1"/>
    <col min="11012" max="11012" width="9.1796875" style="19"/>
    <col min="11013" max="11013" width="14.7265625" style="19" customWidth="1"/>
    <col min="11014" max="11014" width="10.7265625" style="19" customWidth="1"/>
    <col min="11015" max="11266" width="9.1796875" style="19"/>
    <col min="11267" max="11267" width="11.7265625" style="19" customWidth="1"/>
    <col min="11268" max="11268" width="9.1796875" style="19"/>
    <col min="11269" max="11269" width="14.7265625" style="19" customWidth="1"/>
    <col min="11270" max="11270" width="10.7265625" style="19" customWidth="1"/>
    <col min="11271" max="11522" width="9.1796875" style="19"/>
    <col min="11523" max="11523" width="11.7265625" style="19" customWidth="1"/>
    <col min="11524" max="11524" width="9.1796875" style="19"/>
    <col min="11525" max="11525" width="14.7265625" style="19" customWidth="1"/>
    <col min="11526" max="11526" width="10.7265625" style="19" customWidth="1"/>
    <col min="11527" max="11778" width="9.1796875" style="19"/>
    <col min="11779" max="11779" width="11.7265625" style="19" customWidth="1"/>
    <col min="11780" max="11780" width="9.1796875" style="19"/>
    <col min="11781" max="11781" width="14.7265625" style="19" customWidth="1"/>
    <col min="11782" max="11782" width="10.7265625" style="19" customWidth="1"/>
    <col min="11783" max="12034" width="9.1796875" style="19"/>
    <col min="12035" max="12035" width="11.7265625" style="19" customWidth="1"/>
    <col min="12036" max="12036" width="9.1796875" style="19"/>
    <col min="12037" max="12037" width="14.7265625" style="19" customWidth="1"/>
    <col min="12038" max="12038" width="10.7265625" style="19" customWidth="1"/>
    <col min="12039" max="12290" width="9.1796875" style="19"/>
    <col min="12291" max="12291" width="11.7265625" style="19" customWidth="1"/>
    <col min="12292" max="12292" width="9.1796875" style="19"/>
    <col min="12293" max="12293" width="14.7265625" style="19" customWidth="1"/>
    <col min="12294" max="12294" width="10.7265625" style="19" customWidth="1"/>
    <col min="12295" max="12546" width="9.1796875" style="19"/>
    <col min="12547" max="12547" width="11.7265625" style="19" customWidth="1"/>
    <col min="12548" max="12548" width="9.1796875" style="19"/>
    <col min="12549" max="12549" width="14.7265625" style="19" customWidth="1"/>
    <col min="12550" max="12550" width="10.7265625" style="19" customWidth="1"/>
    <col min="12551" max="12802" width="9.1796875" style="19"/>
    <col min="12803" max="12803" width="11.7265625" style="19" customWidth="1"/>
    <col min="12804" max="12804" width="9.1796875" style="19"/>
    <col min="12805" max="12805" width="14.7265625" style="19" customWidth="1"/>
    <col min="12806" max="12806" width="10.7265625" style="19" customWidth="1"/>
    <col min="12807" max="13058" width="9.1796875" style="19"/>
    <col min="13059" max="13059" width="11.7265625" style="19" customWidth="1"/>
    <col min="13060" max="13060" width="9.1796875" style="19"/>
    <col min="13061" max="13061" width="14.7265625" style="19" customWidth="1"/>
    <col min="13062" max="13062" width="10.7265625" style="19" customWidth="1"/>
    <col min="13063" max="13314" width="9.1796875" style="19"/>
    <col min="13315" max="13315" width="11.7265625" style="19" customWidth="1"/>
    <col min="13316" max="13316" width="9.1796875" style="19"/>
    <col min="13317" max="13317" width="14.7265625" style="19" customWidth="1"/>
    <col min="13318" max="13318" width="10.7265625" style="19" customWidth="1"/>
    <col min="13319" max="13570" width="9.1796875" style="19"/>
    <col min="13571" max="13571" width="11.7265625" style="19" customWidth="1"/>
    <col min="13572" max="13572" width="9.1796875" style="19"/>
    <col min="13573" max="13573" width="14.7265625" style="19" customWidth="1"/>
    <col min="13574" max="13574" width="10.7265625" style="19" customWidth="1"/>
    <col min="13575" max="13826" width="9.1796875" style="19"/>
    <col min="13827" max="13827" width="11.7265625" style="19" customWidth="1"/>
    <col min="13828" max="13828" width="9.1796875" style="19"/>
    <col min="13829" max="13829" width="14.7265625" style="19" customWidth="1"/>
    <col min="13830" max="13830" width="10.7265625" style="19" customWidth="1"/>
    <col min="13831" max="14082" width="9.1796875" style="19"/>
    <col min="14083" max="14083" width="11.7265625" style="19" customWidth="1"/>
    <col min="14084" max="14084" width="9.1796875" style="19"/>
    <col min="14085" max="14085" width="14.7265625" style="19" customWidth="1"/>
    <col min="14086" max="14086" width="10.7265625" style="19" customWidth="1"/>
    <col min="14087" max="14338" width="9.1796875" style="19"/>
    <col min="14339" max="14339" width="11.7265625" style="19" customWidth="1"/>
    <col min="14340" max="14340" width="9.1796875" style="19"/>
    <col min="14341" max="14341" width="14.7265625" style="19" customWidth="1"/>
    <col min="14342" max="14342" width="10.7265625" style="19" customWidth="1"/>
    <col min="14343" max="14594" width="9.1796875" style="19"/>
    <col min="14595" max="14595" width="11.7265625" style="19" customWidth="1"/>
    <col min="14596" max="14596" width="9.1796875" style="19"/>
    <col min="14597" max="14597" width="14.7265625" style="19" customWidth="1"/>
    <col min="14598" max="14598" width="10.7265625" style="19" customWidth="1"/>
    <col min="14599" max="14850" width="9.1796875" style="19"/>
    <col min="14851" max="14851" width="11.7265625" style="19" customWidth="1"/>
    <col min="14852" max="14852" width="9.1796875" style="19"/>
    <col min="14853" max="14853" width="14.7265625" style="19" customWidth="1"/>
    <col min="14854" max="14854" width="10.7265625" style="19" customWidth="1"/>
    <col min="14855" max="15106" width="9.1796875" style="19"/>
    <col min="15107" max="15107" width="11.7265625" style="19" customWidth="1"/>
    <col min="15108" max="15108" width="9.1796875" style="19"/>
    <col min="15109" max="15109" width="14.7265625" style="19" customWidth="1"/>
    <col min="15110" max="15110" width="10.7265625" style="19" customWidth="1"/>
    <col min="15111" max="15362" width="9.1796875" style="19"/>
    <col min="15363" max="15363" width="11.7265625" style="19" customWidth="1"/>
    <col min="15364" max="15364" width="9.1796875" style="19"/>
    <col min="15365" max="15365" width="14.7265625" style="19" customWidth="1"/>
    <col min="15366" max="15366" width="10.7265625" style="19" customWidth="1"/>
    <col min="15367" max="15618" width="9.1796875" style="19"/>
    <col min="15619" max="15619" width="11.7265625" style="19" customWidth="1"/>
    <col min="15620" max="15620" width="9.1796875" style="19"/>
    <col min="15621" max="15621" width="14.7265625" style="19" customWidth="1"/>
    <col min="15622" max="15622" width="10.7265625" style="19" customWidth="1"/>
    <col min="15623" max="15874" width="9.1796875" style="19"/>
    <col min="15875" max="15875" width="11.7265625" style="19" customWidth="1"/>
    <col min="15876" max="15876" width="9.1796875" style="19"/>
    <col min="15877" max="15877" width="14.7265625" style="19" customWidth="1"/>
    <col min="15878" max="15878" width="10.7265625" style="19" customWidth="1"/>
    <col min="15879" max="16130" width="9.1796875" style="19"/>
    <col min="16131" max="16131" width="11.7265625" style="19" customWidth="1"/>
    <col min="16132" max="16132" width="9.1796875" style="19"/>
    <col min="16133" max="16133" width="14.7265625" style="19" customWidth="1"/>
    <col min="16134" max="16134" width="10.7265625" style="19" customWidth="1"/>
    <col min="16135" max="16384" width="9.1796875" style="19"/>
  </cols>
  <sheetData>
    <row r="2" spans="1:13" x14ac:dyDescent="0.3">
      <c r="A2" s="20" t="s">
        <v>135</v>
      </c>
      <c r="B2" s="20" t="s">
        <v>136</v>
      </c>
      <c r="C2" s="20" t="s">
        <v>137</v>
      </c>
      <c r="D2" s="268" t="s">
        <v>138</v>
      </c>
      <c r="E2" s="268"/>
    </row>
    <row r="3" spans="1:13" x14ac:dyDescent="0.3">
      <c r="A3" s="23">
        <v>0</v>
      </c>
      <c r="B3" s="23">
        <v>0</v>
      </c>
      <c r="C3" s="23">
        <v>1</v>
      </c>
      <c r="D3" s="270">
        <v>16</v>
      </c>
      <c r="E3" s="270"/>
    </row>
    <row r="5" spans="1:13" hidden="1" x14ac:dyDescent="0.3">
      <c r="A5" s="19" t="s">
        <v>100</v>
      </c>
      <c r="B5" s="21" t="s">
        <v>152</v>
      </c>
      <c r="C5" s="21">
        <f>D3</f>
        <v>16</v>
      </c>
      <c r="D5" s="22"/>
    </row>
    <row r="6" spans="1:13" x14ac:dyDescent="0.3">
      <c r="A6" s="19" t="s">
        <v>101</v>
      </c>
      <c r="B6" s="44">
        <v>10</v>
      </c>
      <c r="C6" s="45">
        <v>10</v>
      </c>
      <c r="D6" s="26">
        <f>((100/B6)*C6)/100</f>
        <v>1</v>
      </c>
      <c r="E6" s="27"/>
      <c r="J6" s="27"/>
    </row>
    <row r="7" spans="1:13" x14ac:dyDescent="0.3">
      <c r="A7" s="19" t="s">
        <v>102</v>
      </c>
      <c r="B7" s="44">
        <f>A3+B3+C3+D3</f>
        <v>17</v>
      </c>
      <c r="C7" s="45">
        <v>11</v>
      </c>
      <c r="D7" s="26">
        <f t="shared" ref="D7:D12" si="0">((100/B7)*C7)/100</f>
        <v>0.64705882352941191</v>
      </c>
      <c r="F7" s="271" t="s">
        <v>153</v>
      </c>
      <c r="G7" s="271"/>
      <c r="H7" s="46" t="s">
        <v>154</v>
      </c>
      <c r="J7" s="35"/>
    </row>
    <row r="8" spans="1:13" x14ac:dyDescent="0.3">
      <c r="A8" s="19" t="s">
        <v>107</v>
      </c>
      <c r="B8" s="44">
        <f>C5</f>
        <v>16</v>
      </c>
      <c r="C8" s="45">
        <v>7</v>
      </c>
      <c r="D8" s="26">
        <f t="shared" si="0"/>
        <v>0.4375</v>
      </c>
      <c r="E8" s="27"/>
      <c r="F8" s="269" t="s">
        <v>155</v>
      </c>
      <c r="G8" s="269"/>
      <c r="H8" s="44" t="s">
        <v>156</v>
      </c>
      <c r="J8" s="27"/>
    </row>
    <row r="9" spans="1:13" x14ac:dyDescent="0.3">
      <c r="A9" s="19" t="s">
        <v>109</v>
      </c>
      <c r="B9" s="44">
        <f>C5</f>
        <v>16</v>
      </c>
      <c r="C9" s="45">
        <f>5/2</f>
        <v>2.5</v>
      </c>
      <c r="D9" s="26">
        <f t="shared" si="0"/>
        <v>0.15625</v>
      </c>
      <c r="E9" s="27"/>
      <c r="F9" s="269" t="s">
        <v>157</v>
      </c>
      <c r="G9" s="269"/>
      <c r="H9" s="44" t="s">
        <v>158</v>
      </c>
      <c r="J9" s="27"/>
    </row>
    <row r="10" spans="1:13" x14ac:dyDescent="0.3">
      <c r="A10" s="19" t="s">
        <v>70</v>
      </c>
      <c r="B10" s="44">
        <f>C5</f>
        <v>16</v>
      </c>
      <c r="C10" s="45">
        <v>0</v>
      </c>
      <c r="D10" s="26">
        <f t="shared" si="0"/>
        <v>0</v>
      </c>
      <c r="E10" s="27"/>
      <c r="F10" s="269" t="s">
        <v>159</v>
      </c>
      <c r="G10" s="269"/>
      <c r="H10" s="44" t="s">
        <v>160</v>
      </c>
      <c r="J10" s="27"/>
    </row>
    <row r="11" spans="1:13" x14ac:dyDescent="0.3">
      <c r="A11" s="29" t="s">
        <v>105</v>
      </c>
      <c r="B11" s="44">
        <f>C5</f>
        <v>16</v>
      </c>
      <c r="C11" s="45">
        <v>0</v>
      </c>
      <c r="D11" s="26">
        <f t="shared" si="0"/>
        <v>0</v>
      </c>
      <c r="E11" s="27"/>
      <c r="F11" s="269" t="s">
        <v>161</v>
      </c>
      <c r="G11" s="269"/>
      <c r="H11" s="44" t="s">
        <v>162</v>
      </c>
    </row>
    <row r="12" spans="1:13" x14ac:dyDescent="0.3">
      <c r="A12" s="19" t="s">
        <v>71</v>
      </c>
      <c r="B12" s="44">
        <f>C5</f>
        <v>16</v>
      </c>
      <c r="C12" s="45">
        <v>0</v>
      </c>
      <c r="D12" s="26">
        <f t="shared" si="0"/>
        <v>0</v>
      </c>
      <c r="E12" s="27"/>
      <c r="F12" s="269" t="s">
        <v>163</v>
      </c>
      <c r="G12" s="269"/>
      <c r="H12" s="44" t="s">
        <v>164</v>
      </c>
    </row>
    <row r="13" spans="1:13" x14ac:dyDescent="0.3">
      <c r="F13" s="269" t="s">
        <v>165</v>
      </c>
      <c r="G13" s="269"/>
      <c r="H13" s="44" t="s">
        <v>166</v>
      </c>
    </row>
    <row r="14" spans="1:13" hidden="1" x14ac:dyDescent="0.3">
      <c r="A14" s="20"/>
      <c r="B14" s="20" t="s">
        <v>106</v>
      </c>
      <c r="C14" s="20" t="s">
        <v>110</v>
      </c>
      <c r="G14" s="20" t="s">
        <v>101</v>
      </c>
      <c r="H14" s="20" t="s">
        <v>103</v>
      </c>
      <c r="I14" s="20" t="s">
        <v>104</v>
      </c>
      <c r="J14" s="20" t="s">
        <v>69</v>
      </c>
      <c r="K14" s="20" t="s">
        <v>70</v>
      </c>
      <c r="L14" s="20" t="s">
        <v>105</v>
      </c>
      <c r="M14" s="20" t="s">
        <v>71</v>
      </c>
    </row>
    <row r="15" spans="1:13" hidden="1" x14ac:dyDescent="0.3">
      <c r="A15" s="20" t="s">
        <v>67</v>
      </c>
      <c r="B15" s="20">
        <f>G15</f>
        <v>10</v>
      </c>
      <c r="C15" s="20">
        <f>G16</f>
        <v>30</v>
      </c>
      <c r="E15" s="268" t="s">
        <v>106</v>
      </c>
      <c r="F15" s="268"/>
      <c r="G15" s="30">
        <f>C6</f>
        <v>10</v>
      </c>
      <c r="H15" s="30">
        <f>40/B7*C7</f>
        <v>25.882352941176471</v>
      </c>
      <c r="I15" s="30">
        <f>15/B8*C8</f>
        <v>6.5625</v>
      </c>
      <c r="J15" s="30">
        <f>10/B9*C9</f>
        <v>1.5625</v>
      </c>
      <c r="K15" s="30">
        <f>10/B10*C10</f>
        <v>0</v>
      </c>
      <c r="L15" s="30">
        <f>5/B11*C11</f>
        <v>0</v>
      </c>
      <c r="M15" s="30">
        <f>5/B12*C12</f>
        <v>0</v>
      </c>
    </row>
    <row r="16" spans="1:13" hidden="1" x14ac:dyDescent="0.3">
      <c r="A16" s="20" t="s">
        <v>68</v>
      </c>
      <c r="B16" s="20">
        <f>H15</f>
        <v>25.882352941176471</v>
      </c>
      <c r="C16" s="20">
        <f>H16</f>
        <v>19.411764705882351</v>
      </c>
      <c r="E16" s="268" t="s">
        <v>108</v>
      </c>
      <c r="F16" s="268"/>
      <c r="G16" s="20">
        <f>G15+20</f>
        <v>30</v>
      </c>
      <c r="H16" s="20">
        <f>30/B7*C7</f>
        <v>19.411764705882351</v>
      </c>
      <c r="I16" s="20">
        <f>15/B8*C8</f>
        <v>6.5625</v>
      </c>
      <c r="J16" s="20">
        <f>10/B9*C9</f>
        <v>1.5625</v>
      </c>
      <c r="K16" s="20">
        <f>5/B10*C10</f>
        <v>0</v>
      </c>
      <c r="L16" s="20">
        <f>5/B11*C11</f>
        <v>0</v>
      </c>
      <c r="M16" s="20">
        <f>5/B12*C12</f>
        <v>0</v>
      </c>
    </row>
    <row r="17" spans="1:13" hidden="1" x14ac:dyDescent="0.3">
      <c r="A17" s="20" t="s">
        <v>104</v>
      </c>
      <c r="B17" s="20">
        <f>I15</f>
        <v>6.5625</v>
      </c>
      <c r="C17" s="20">
        <f>I16</f>
        <v>6.5625</v>
      </c>
      <c r="M17" s="27"/>
    </row>
    <row r="18" spans="1:13" hidden="1" x14ac:dyDescent="0.3">
      <c r="A18" s="20" t="s">
        <v>69</v>
      </c>
      <c r="B18" s="20">
        <f>J15</f>
        <v>1.5625</v>
      </c>
      <c r="C18" s="20">
        <f>J16</f>
        <v>1.5625</v>
      </c>
      <c r="M18" s="27"/>
    </row>
    <row r="19" spans="1:13" hidden="1" x14ac:dyDescent="0.3">
      <c r="A19" s="20" t="s">
        <v>70</v>
      </c>
      <c r="B19" s="20">
        <f>K15</f>
        <v>0</v>
      </c>
      <c r="C19" s="20">
        <f>K16</f>
        <v>0</v>
      </c>
      <c r="M19" s="27"/>
    </row>
    <row r="20" spans="1:13" hidden="1" x14ac:dyDescent="0.3">
      <c r="A20" s="31" t="s">
        <v>105</v>
      </c>
      <c r="B20" s="20">
        <f>L15</f>
        <v>0</v>
      </c>
      <c r="C20" s="20">
        <f>L16</f>
        <v>0</v>
      </c>
      <c r="M20" s="27"/>
    </row>
    <row r="21" spans="1:13" hidden="1" x14ac:dyDescent="0.3">
      <c r="A21" s="20" t="s">
        <v>71</v>
      </c>
      <c r="B21" s="20">
        <f>M15</f>
        <v>0</v>
      </c>
      <c r="C21" s="20">
        <f>M16</f>
        <v>0</v>
      </c>
      <c r="M21" s="27"/>
    </row>
    <row r="22" spans="1:13" x14ac:dyDescent="0.3">
      <c r="A22" s="20" t="s">
        <v>111</v>
      </c>
      <c r="B22" s="32">
        <f>(B15+B16+B17+B18+B19+B20+B21)/100</f>
        <v>0.4400735294117647</v>
      </c>
      <c r="C22" s="32">
        <f>(C15+C16+C17+C18+C19+C20+C21)/100</f>
        <v>0.57536764705882348</v>
      </c>
      <c r="F22" s="269" t="s">
        <v>167</v>
      </c>
      <c r="G22" s="269"/>
      <c r="H22" s="44" t="s">
        <v>158</v>
      </c>
      <c r="M22" s="27"/>
    </row>
    <row r="23" spans="1:13" x14ac:dyDescent="0.3">
      <c r="F23" s="269" t="s">
        <v>168</v>
      </c>
      <c r="G23" s="269"/>
      <c r="H23" s="44" t="s">
        <v>169</v>
      </c>
    </row>
    <row r="24" spans="1:13" x14ac:dyDescent="0.3">
      <c r="A24" s="33" t="s">
        <v>143</v>
      </c>
      <c r="B24" s="34">
        <v>0.01</v>
      </c>
      <c r="C24" s="34">
        <v>0.02</v>
      </c>
      <c r="F24" s="269" t="s">
        <v>170</v>
      </c>
      <c r="G24" s="269"/>
      <c r="H24" s="44" t="s">
        <v>171</v>
      </c>
    </row>
    <row r="25" spans="1:13" x14ac:dyDescent="0.3">
      <c r="A25" s="33" t="s">
        <v>144</v>
      </c>
      <c r="B25" s="34">
        <v>0.01</v>
      </c>
      <c r="C25" s="34">
        <v>0.03</v>
      </c>
    </row>
    <row r="26" spans="1:13" x14ac:dyDescent="0.3">
      <c r="A26" s="33" t="s">
        <v>145</v>
      </c>
      <c r="B26" s="34">
        <v>0.03</v>
      </c>
      <c r="C26" s="34">
        <v>0.08</v>
      </c>
    </row>
    <row r="27" spans="1:13" x14ac:dyDescent="0.3">
      <c r="A27" s="33" t="s">
        <v>146</v>
      </c>
      <c r="B27" s="34">
        <v>0.05</v>
      </c>
      <c r="C27" s="34">
        <v>0.15</v>
      </c>
    </row>
    <row r="28" spans="1:13" x14ac:dyDescent="0.3">
      <c r="A28" s="33" t="s">
        <v>147</v>
      </c>
      <c r="B28" s="34">
        <v>7.0000000000000007E-2</v>
      </c>
      <c r="C28" s="34">
        <v>0.2</v>
      </c>
    </row>
    <row r="29" spans="1:13" x14ac:dyDescent="0.3">
      <c r="A29" s="33" t="s">
        <v>148</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4.5" x14ac:dyDescent="0.35"/>
  <cols>
    <col min="2" max="2" width="12.26953125" customWidth="1"/>
  </cols>
  <sheetData>
    <row r="2" spans="1:12" x14ac:dyDescent="0.35">
      <c r="B2" s="5" t="s">
        <v>112</v>
      </c>
      <c r="C2" s="272"/>
      <c r="D2" s="272"/>
    </row>
    <row r="3" spans="1:12" x14ac:dyDescent="0.35">
      <c r="D3" s="6"/>
      <c r="E3" s="6"/>
      <c r="F3" s="6"/>
      <c r="G3" s="6"/>
      <c r="H3" s="6"/>
      <c r="I3" s="6"/>
    </row>
    <row r="4" spans="1:12" x14ac:dyDescent="0.35">
      <c r="A4" s="5" t="s">
        <v>113</v>
      </c>
      <c r="B4" s="7" t="s">
        <v>114</v>
      </c>
      <c r="C4" s="273" t="s">
        <v>115</v>
      </c>
      <c r="D4" s="273"/>
      <c r="E4" s="273"/>
      <c r="F4" s="8"/>
      <c r="G4" s="273" t="s">
        <v>116</v>
      </c>
      <c r="H4" s="273"/>
      <c r="I4" s="273"/>
      <c r="J4" s="273" t="s">
        <v>117</v>
      </c>
      <c r="K4" s="273"/>
      <c r="L4" s="273"/>
    </row>
    <row r="5" spans="1:12" x14ac:dyDescent="0.35">
      <c r="A5" s="5">
        <v>1</v>
      </c>
      <c r="B5" s="7"/>
      <c r="C5" s="7" t="s">
        <v>118</v>
      </c>
      <c r="D5" s="7" t="s">
        <v>119</v>
      </c>
      <c r="E5" s="7" t="s">
        <v>80</v>
      </c>
      <c r="F5" s="7"/>
      <c r="G5" s="7" t="s">
        <v>118</v>
      </c>
      <c r="H5" s="7" t="s">
        <v>119</v>
      </c>
      <c r="I5" s="7" t="s">
        <v>80</v>
      </c>
      <c r="J5" s="7" t="s">
        <v>118</v>
      </c>
      <c r="K5" s="7" t="s">
        <v>119</v>
      </c>
      <c r="L5" s="7" t="s">
        <v>80</v>
      </c>
    </row>
    <row r="6" spans="1:12" x14ac:dyDescent="0.35">
      <c r="B6" s="9" t="s">
        <v>120</v>
      </c>
      <c r="C6" s="9"/>
      <c r="D6" s="9"/>
      <c r="E6" s="9">
        <f>C6*D6</f>
        <v>0</v>
      </c>
      <c r="F6" s="9" t="s">
        <v>121</v>
      </c>
      <c r="G6" s="9"/>
      <c r="H6" s="9"/>
      <c r="I6" s="9">
        <f>G6*H6</f>
        <v>0</v>
      </c>
      <c r="J6" s="9"/>
      <c r="K6" s="9"/>
      <c r="L6" s="9">
        <f>J6*K6</f>
        <v>0</v>
      </c>
    </row>
    <row r="7" spans="1:12" x14ac:dyDescent="0.35">
      <c r="B7" s="9"/>
      <c r="C7" s="9"/>
      <c r="D7" s="9"/>
      <c r="E7" s="9">
        <f t="shared" ref="E7:E33" si="0">C7*D7</f>
        <v>0</v>
      </c>
      <c r="F7" s="9" t="s">
        <v>122</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123</v>
      </c>
      <c r="C9" s="9"/>
      <c r="D9" s="9"/>
      <c r="E9" s="9">
        <f t="shared" si="0"/>
        <v>0</v>
      </c>
      <c r="F9" s="9" t="s">
        <v>121</v>
      </c>
      <c r="G9" s="9"/>
      <c r="H9" s="9"/>
      <c r="I9" s="9">
        <f t="shared" si="1"/>
        <v>0</v>
      </c>
      <c r="J9" s="9"/>
      <c r="K9" s="9"/>
      <c r="L9" s="9">
        <f t="shared" si="2"/>
        <v>0</v>
      </c>
    </row>
    <row r="10" spans="1:12" x14ac:dyDescent="0.35">
      <c r="B10" s="9"/>
      <c r="C10" s="9"/>
      <c r="D10" s="9"/>
      <c r="E10" s="9">
        <f t="shared" si="0"/>
        <v>0</v>
      </c>
      <c r="F10" s="9" t="s">
        <v>122</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124</v>
      </c>
      <c r="C13" s="9"/>
      <c r="D13" s="9"/>
      <c r="E13" s="9">
        <f t="shared" si="0"/>
        <v>0</v>
      </c>
      <c r="F13" s="9" t="s">
        <v>121</v>
      </c>
      <c r="G13" s="9"/>
      <c r="H13" s="9"/>
      <c r="I13" s="9">
        <f t="shared" si="1"/>
        <v>0</v>
      </c>
      <c r="J13" s="9"/>
      <c r="K13" s="9"/>
      <c r="L13" s="9">
        <f t="shared" si="2"/>
        <v>0</v>
      </c>
    </row>
    <row r="14" spans="1:12" x14ac:dyDescent="0.35">
      <c r="B14" s="9"/>
      <c r="C14" s="9"/>
      <c r="D14" s="9"/>
      <c r="E14" s="9">
        <f t="shared" si="0"/>
        <v>0</v>
      </c>
      <c r="F14" s="9" t="s">
        <v>122</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125</v>
      </c>
      <c r="C17" s="9"/>
      <c r="D17" s="9"/>
      <c r="E17" s="9">
        <f t="shared" si="0"/>
        <v>0</v>
      </c>
      <c r="F17" s="9" t="s">
        <v>121</v>
      </c>
      <c r="G17" s="9"/>
      <c r="H17" s="9"/>
      <c r="I17" s="9">
        <f t="shared" si="1"/>
        <v>0</v>
      </c>
      <c r="J17" s="9"/>
      <c r="K17" s="9"/>
      <c r="L17" s="9">
        <f t="shared" si="2"/>
        <v>0</v>
      </c>
    </row>
    <row r="18" spans="2:12" x14ac:dyDescent="0.35">
      <c r="B18" s="9"/>
      <c r="C18" s="9"/>
      <c r="D18" s="9"/>
      <c r="E18" s="9">
        <f t="shared" si="0"/>
        <v>0</v>
      </c>
      <c r="F18" s="9" t="s">
        <v>122</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125</v>
      </c>
      <c r="C20" s="9"/>
      <c r="D20" s="9"/>
      <c r="E20" s="9">
        <f t="shared" si="0"/>
        <v>0</v>
      </c>
      <c r="F20" s="9" t="s">
        <v>121</v>
      </c>
      <c r="G20" s="9"/>
      <c r="H20" s="9"/>
      <c r="I20" s="9">
        <f t="shared" si="1"/>
        <v>0</v>
      </c>
      <c r="J20" s="9"/>
      <c r="K20" s="9"/>
      <c r="L20" s="9">
        <f t="shared" si="2"/>
        <v>0</v>
      </c>
    </row>
    <row r="21" spans="2:12" x14ac:dyDescent="0.35">
      <c r="B21" s="9"/>
      <c r="C21" s="9"/>
      <c r="D21" s="9"/>
      <c r="E21" s="9">
        <f t="shared" si="0"/>
        <v>0</v>
      </c>
      <c r="F21" s="9" t="s">
        <v>122</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126</v>
      </c>
      <c r="C23" s="9"/>
      <c r="D23" s="9"/>
      <c r="E23" s="9">
        <f t="shared" si="0"/>
        <v>0</v>
      </c>
      <c r="F23" s="9" t="s">
        <v>127</v>
      </c>
      <c r="G23" s="9"/>
      <c r="H23" s="9"/>
      <c r="I23" s="9">
        <f t="shared" si="1"/>
        <v>0</v>
      </c>
      <c r="J23" s="9"/>
      <c r="K23" s="9"/>
      <c r="L23" s="9">
        <f t="shared" si="2"/>
        <v>0</v>
      </c>
    </row>
    <row r="24" spans="2:12" x14ac:dyDescent="0.35">
      <c r="B24" s="9" t="s">
        <v>128</v>
      </c>
      <c r="C24" s="9"/>
      <c r="D24" s="9"/>
      <c r="E24" s="9">
        <f t="shared" si="0"/>
        <v>0</v>
      </c>
      <c r="F24" s="9" t="s">
        <v>127</v>
      </c>
      <c r="G24" s="9"/>
      <c r="H24" s="9"/>
      <c r="I24" s="9">
        <f t="shared" si="1"/>
        <v>0</v>
      </c>
      <c r="J24" s="9"/>
      <c r="K24" s="9"/>
      <c r="L24" s="9">
        <f t="shared" si="2"/>
        <v>0</v>
      </c>
    </row>
    <row r="25" spans="2:12" x14ac:dyDescent="0.35">
      <c r="B25" s="9" t="s">
        <v>129</v>
      </c>
      <c r="C25" s="9"/>
      <c r="D25" s="9"/>
      <c r="E25" s="9">
        <f t="shared" si="0"/>
        <v>0</v>
      </c>
      <c r="F25" s="9" t="s">
        <v>127</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130</v>
      </c>
      <c r="C27" s="9"/>
      <c r="D27" s="9"/>
      <c r="E27" s="9">
        <f t="shared" si="0"/>
        <v>0</v>
      </c>
      <c r="F27" s="9"/>
      <c r="G27" s="9"/>
      <c r="H27" s="9"/>
      <c r="I27" s="9">
        <f t="shared" si="1"/>
        <v>0</v>
      </c>
      <c r="J27" s="9"/>
      <c r="K27" s="9"/>
      <c r="L27" s="9">
        <f t="shared" si="2"/>
        <v>0</v>
      </c>
    </row>
    <row r="28" spans="2:12" x14ac:dyDescent="0.35">
      <c r="B28" s="9" t="s">
        <v>131</v>
      </c>
      <c r="C28" s="9"/>
      <c r="D28" s="9"/>
      <c r="E28" s="9">
        <f t="shared" si="0"/>
        <v>0</v>
      </c>
      <c r="F28" s="9"/>
      <c r="G28" s="9"/>
      <c r="H28" s="9"/>
      <c r="I28" s="9">
        <f t="shared" si="1"/>
        <v>0</v>
      </c>
      <c r="J28" s="9"/>
      <c r="K28" s="9"/>
      <c r="L28" s="9">
        <f t="shared" si="2"/>
        <v>0</v>
      </c>
    </row>
    <row r="29" spans="2:12" x14ac:dyDescent="0.35">
      <c r="B29" s="9" t="s">
        <v>132</v>
      </c>
      <c r="C29" s="9"/>
      <c r="D29" s="9"/>
      <c r="E29" s="9">
        <f t="shared" si="0"/>
        <v>0</v>
      </c>
      <c r="F29" s="9"/>
      <c r="G29" s="9"/>
      <c r="H29" s="9"/>
      <c r="I29" s="9">
        <f t="shared" si="1"/>
        <v>0</v>
      </c>
      <c r="J29" s="9"/>
      <c r="K29" s="9"/>
      <c r="L29" s="9">
        <f t="shared" si="2"/>
        <v>0</v>
      </c>
    </row>
    <row r="30" spans="2:12" x14ac:dyDescent="0.35">
      <c r="B30" s="9" t="s">
        <v>133</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83</v>
      </c>
      <c r="C34" s="9"/>
      <c r="D34" s="9">
        <f>E34*10.764</f>
        <v>0</v>
      </c>
      <c r="E34" s="9">
        <f>SUM(E6:E33)</f>
        <v>0</v>
      </c>
      <c r="F34" s="9"/>
      <c r="G34" s="9"/>
      <c r="H34" s="9">
        <f>I34*10.764</f>
        <v>0</v>
      </c>
      <c r="I34" s="9">
        <f>SUM(I6:I33)</f>
        <v>0</v>
      </c>
      <c r="J34" s="9"/>
      <c r="K34" s="9">
        <f>L34*10.764</f>
        <v>0</v>
      </c>
      <c r="L34" s="9">
        <f>SUM(L6:L33)</f>
        <v>0</v>
      </c>
    </row>
    <row r="36" spans="2:12" x14ac:dyDescent="0.3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Report (2)</vt:lpstr>
      <vt:lpstr>VALUATION</vt:lpstr>
      <vt:lpstr>NOTE</vt:lpstr>
      <vt:lpstr>A &amp; B</vt:lpstr>
      <vt:lpstr>B</vt:lpstr>
      <vt:lpstr>C&amp;D</vt:lpstr>
      <vt:lpstr>E&amp;F(2)</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2024-11-14T10:39:48Z</cp:lastPrinted>
  <dcterms:created xsi:type="dcterms:W3CDTF">2019-07-16T09:29:46Z</dcterms:created>
  <dcterms:modified xsi:type="dcterms:W3CDTF">2025-07-30T11:55:53Z</dcterms:modified>
</cp:coreProperties>
</file>