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30-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Report!$A$1:$H$483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5" i="1" l="1"/>
  <c r="B91" i="1"/>
  <c r="H91" i="1"/>
  <c r="D102" i="1" l="1"/>
  <c r="J94" i="1"/>
  <c r="D100" i="1"/>
  <c r="D96" i="1"/>
  <c r="J95" i="1"/>
  <c r="C94" i="1" s="1"/>
  <c r="J93" i="1"/>
  <c r="J90" i="1"/>
  <c r="J92" i="1" s="1"/>
  <c r="D103" i="1"/>
  <c r="D99" i="1"/>
  <c r="D98" i="1"/>
  <c r="D101" i="1"/>
  <c r="D97" i="1"/>
  <c r="J98" i="1"/>
  <c r="J101" i="1"/>
  <c r="J100" i="1"/>
  <c r="J99" i="1"/>
  <c r="J96" i="1"/>
  <c r="J191" i="1"/>
  <c r="I191" i="1"/>
  <c r="K191" i="1" s="1"/>
  <c r="J171" i="1"/>
  <c r="I171" i="1"/>
  <c r="I170" i="1"/>
  <c r="I169" i="1"/>
  <c r="J166" i="1"/>
  <c r="I166" i="1"/>
  <c r="I215" i="1"/>
  <c r="E284" i="1"/>
  <c r="D284" i="1"/>
  <c r="E283" i="1"/>
  <c r="D283" i="1"/>
  <c r="E282" i="1"/>
  <c r="D282" i="1"/>
  <c r="E280" i="1"/>
  <c r="D280" i="1"/>
  <c r="E279" i="1"/>
  <c r="D279" i="1"/>
  <c r="E278" i="1"/>
  <c r="D278" i="1"/>
  <c r="E277" i="1"/>
  <c r="D277" i="1"/>
  <c r="E275" i="1"/>
  <c r="D275" i="1"/>
  <c r="E274" i="1"/>
  <c r="D274" i="1"/>
  <c r="E273" i="1"/>
  <c r="D273" i="1"/>
  <c r="E272" i="1"/>
  <c r="D272" i="1"/>
  <c r="E268" i="1"/>
  <c r="D268" i="1"/>
  <c r="E267" i="1"/>
  <c r="D267" i="1"/>
  <c r="E266" i="1"/>
  <c r="D266" i="1"/>
  <c r="E265" i="1"/>
  <c r="D265" i="1"/>
  <c r="E263" i="1"/>
  <c r="D263" i="1"/>
  <c r="E262" i="1"/>
  <c r="D262" i="1"/>
  <c r="E261" i="1"/>
  <c r="D261" i="1"/>
  <c r="E260" i="1"/>
  <c r="D260" i="1"/>
  <c r="E258" i="1"/>
  <c r="D258" i="1"/>
  <c r="E257" i="1"/>
  <c r="D257" i="1"/>
  <c r="E256" i="1"/>
  <c r="D256" i="1"/>
  <c r="E255" i="1"/>
  <c r="D255" i="1"/>
  <c r="E250" i="1"/>
  <c r="D250" i="1"/>
  <c r="E249" i="1"/>
  <c r="D249" i="1"/>
  <c r="E248" i="1"/>
  <c r="D248" i="1"/>
  <c r="E247" i="1"/>
  <c r="D247" i="1"/>
  <c r="E246" i="1"/>
  <c r="D246" i="1"/>
  <c r="E245" i="1"/>
  <c r="D245" i="1"/>
  <c r="E243" i="1"/>
  <c r="D243" i="1"/>
  <c r="E242" i="1"/>
  <c r="D242" i="1"/>
  <c r="E241" i="1"/>
  <c r="D241" i="1"/>
  <c r="E240" i="1"/>
  <c r="D240" i="1"/>
  <c r="E239" i="1"/>
  <c r="D239" i="1"/>
  <c r="E238" i="1"/>
  <c r="D238" i="1"/>
  <c r="E234" i="1"/>
  <c r="D234" i="1"/>
  <c r="E233" i="1"/>
  <c r="D233" i="1"/>
  <c r="E232" i="1"/>
  <c r="D232" i="1"/>
  <c r="E231" i="1"/>
  <c r="D231" i="1"/>
  <c r="D227" i="1"/>
  <c r="E226" i="1"/>
  <c r="D226" i="1"/>
  <c r="E225" i="1"/>
  <c r="D225" i="1"/>
  <c r="E224" i="1"/>
  <c r="D224" i="1"/>
  <c r="D222" i="1"/>
  <c r="E221" i="1"/>
  <c r="D221" i="1"/>
  <c r="E220" i="1"/>
  <c r="D220" i="1"/>
  <c r="E219" i="1"/>
  <c r="D219" i="1"/>
  <c r="E215" i="1"/>
  <c r="D215" i="1"/>
  <c r="E214" i="1"/>
  <c r="D214" i="1"/>
  <c r="E213" i="1"/>
  <c r="D213" i="1"/>
  <c r="E212" i="1"/>
  <c r="D212" i="1"/>
  <c r="E211" i="1"/>
  <c r="D211" i="1"/>
  <c r="E210" i="1"/>
  <c r="D210" i="1"/>
  <c r="E208" i="1"/>
  <c r="D208" i="1"/>
  <c r="E207" i="1"/>
  <c r="D207" i="1"/>
  <c r="E206" i="1"/>
  <c r="D206" i="1"/>
  <c r="E205" i="1"/>
  <c r="D205" i="1"/>
  <c r="E204" i="1"/>
  <c r="D204" i="1"/>
  <c r="E203" i="1"/>
  <c r="D203" i="1"/>
  <c r="E199" i="1"/>
  <c r="D199" i="1"/>
  <c r="E198" i="1"/>
  <c r="D198" i="1"/>
  <c r="E197" i="1"/>
  <c r="D197" i="1"/>
  <c r="E196" i="1"/>
  <c r="D196" i="1"/>
  <c r="E194" i="1"/>
  <c r="D194" i="1"/>
  <c r="E193" i="1"/>
  <c r="D193" i="1"/>
  <c r="E192" i="1"/>
  <c r="D192" i="1"/>
  <c r="E191" i="1"/>
  <c r="D191" i="1"/>
  <c r="A283" i="1"/>
  <c r="A284" i="1" s="1"/>
  <c r="A285" i="1" s="1"/>
  <c r="A266" i="1"/>
  <c r="A267" i="1" s="1"/>
  <c r="A268" i="1" s="1"/>
  <c r="A278" i="1"/>
  <c r="A279" i="1" s="1"/>
  <c r="A280" i="1" s="1"/>
  <c r="J97" i="1" l="1"/>
  <c r="C95" i="1" s="1"/>
  <c r="D94" i="1"/>
  <c r="F284" i="1"/>
  <c r="H284" i="1" s="1"/>
  <c r="F266" i="1"/>
  <c r="H266" i="1" s="1"/>
  <c r="F268" i="1"/>
  <c r="H268" i="1" s="1"/>
  <c r="F283" i="1"/>
  <c r="H283" i="1" s="1"/>
  <c r="F265" i="1"/>
  <c r="H265" i="1" s="1"/>
  <c r="F282" i="1"/>
  <c r="H282" i="1" s="1"/>
  <c r="F267" i="1"/>
  <c r="H267" i="1" s="1"/>
  <c r="J102" i="1" l="1"/>
  <c r="J103" i="1" s="1"/>
  <c r="J91" i="1"/>
  <c r="F255" i="1"/>
  <c r="F280" i="1"/>
  <c r="H280" i="1" s="1"/>
  <c r="F279" i="1"/>
  <c r="H279" i="1" s="1"/>
  <c r="F278" i="1"/>
  <c r="H278" i="1" s="1"/>
  <c r="F277" i="1"/>
  <c r="H277" i="1" s="1"/>
  <c r="F275" i="1"/>
  <c r="H275" i="1" s="1"/>
  <c r="F274" i="1"/>
  <c r="H274" i="1" s="1"/>
  <c r="F273" i="1"/>
  <c r="H273" i="1" s="1"/>
  <c r="A273" i="1"/>
  <c r="A274" i="1" s="1"/>
  <c r="A275" i="1" s="1"/>
  <c r="F272" i="1"/>
  <c r="F263" i="1"/>
  <c r="H263" i="1" s="1"/>
  <c r="F262" i="1"/>
  <c r="H262" i="1" s="1"/>
  <c r="F261" i="1"/>
  <c r="H261" i="1" s="1"/>
  <c r="A261" i="1"/>
  <c r="A262" i="1" s="1"/>
  <c r="A263" i="1" s="1"/>
  <c r="F260" i="1"/>
  <c r="H260" i="1" s="1"/>
  <c r="F258" i="1"/>
  <c r="H258" i="1" s="1"/>
  <c r="F257" i="1"/>
  <c r="H257" i="1" s="1"/>
  <c r="F256" i="1"/>
  <c r="H256" i="1" s="1"/>
  <c r="A256" i="1"/>
  <c r="A257" i="1" s="1"/>
  <c r="A258" i="1" s="1"/>
  <c r="F250" i="1"/>
  <c r="H250" i="1" s="1"/>
  <c r="F246" i="1"/>
  <c r="H246" i="1" s="1"/>
  <c r="A246" i="1"/>
  <c r="A247" i="1" s="1"/>
  <c r="A248" i="1" s="1"/>
  <c r="A249" i="1" s="1"/>
  <c r="A250" i="1" s="1"/>
  <c r="A239" i="1"/>
  <c r="A240" i="1" s="1"/>
  <c r="A241" i="1" s="1"/>
  <c r="A242" i="1" s="1"/>
  <c r="A243" i="1" s="1"/>
  <c r="F234" i="1"/>
  <c r="H234" i="1" s="1"/>
  <c r="A232" i="1"/>
  <c r="A233" i="1" s="1"/>
  <c r="A234" i="1" s="1"/>
  <c r="F227" i="1"/>
  <c r="H227" i="1" s="1"/>
  <c r="A225" i="1"/>
  <c r="A226" i="1" s="1"/>
  <c r="A227" i="1" s="1"/>
  <c r="A211" i="1"/>
  <c r="A212" i="1" s="1"/>
  <c r="A213" i="1" s="1"/>
  <c r="A214" i="1" s="1"/>
  <c r="A215" i="1" s="1"/>
  <c r="I196" i="1"/>
  <c r="A197" i="1"/>
  <c r="A198" i="1" s="1"/>
  <c r="A199" i="1" s="1"/>
  <c r="A220" i="1"/>
  <c r="A221" i="1" s="1"/>
  <c r="A222" i="1" s="1"/>
  <c r="I207" i="1"/>
  <c r="I202" i="1"/>
  <c r="I198" i="1"/>
  <c r="I192" i="1"/>
  <c r="A204" i="1"/>
  <c r="A205" i="1" s="1"/>
  <c r="A206" i="1" s="1"/>
  <c r="A207" i="1" s="1"/>
  <c r="A208" i="1" s="1"/>
  <c r="D95" i="1" l="1"/>
  <c r="I91" i="1" s="1"/>
  <c r="I92" i="1" s="1"/>
  <c r="I90" i="1" s="1"/>
  <c r="C92" i="1" s="1"/>
  <c r="G94" i="1"/>
  <c r="E94" i="1"/>
  <c r="C172" i="1"/>
  <c r="C171" i="1"/>
  <c r="H272" i="1"/>
  <c r="G172" i="1" s="1"/>
  <c r="E172" i="1"/>
  <c r="H255" i="1"/>
  <c r="G171" i="1" s="1"/>
  <c r="E171" i="1"/>
  <c r="F243" i="1"/>
  <c r="H243" i="1" s="1"/>
  <c r="F226" i="1"/>
  <c r="H226" i="1" s="1"/>
  <c r="F247" i="1"/>
  <c r="H247" i="1" s="1"/>
  <c r="F241" i="1"/>
  <c r="H241" i="1" s="1"/>
  <c r="F238" i="1"/>
  <c r="F248" i="1"/>
  <c r="H248" i="1" s="1"/>
  <c r="F249" i="1"/>
  <c r="H249" i="1" s="1"/>
  <c r="F245" i="1"/>
  <c r="H245" i="1" s="1"/>
  <c r="F225" i="1"/>
  <c r="H225" i="1" s="1"/>
  <c r="F239" i="1"/>
  <c r="H239" i="1" s="1"/>
  <c r="F240" i="1"/>
  <c r="H240" i="1" s="1"/>
  <c r="F242" i="1"/>
  <c r="H242" i="1" s="1"/>
  <c r="F212" i="1"/>
  <c r="H212" i="1" s="1"/>
  <c r="F224" i="1"/>
  <c r="H224" i="1" s="1"/>
  <c r="F232" i="1"/>
  <c r="H232" i="1" s="1"/>
  <c r="F233" i="1"/>
  <c r="H233" i="1" s="1"/>
  <c r="F231" i="1"/>
  <c r="F214" i="1"/>
  <c r="H214" i="1" s="1"/>
  <c r="F197" i="1"/>
  <c r="H197" i="1" s="1"/>
  <c r="F210" i="1"/>
  <c r="H210" i="1" s="1"/>
  <c r="F213" i="1"/>
  <c r="H213" i="1" s="1"/>
  <c r="F215" i="1"/>
  <c r="H215" i="1" s="1"/>
  <c r="F211" i="1"/>
  <c r="H211" i="1" s="1"/>
  <c r="F199" i="1"/>
  <c r="H199" i="1" s="1"/>
  <c r="F196" i="1"/>
  <c r="H196" i="1" s="1"/>
  <c r="F198" i="1"/>
  <c r="H198" i="1" s="1"/>
  <c r="F207" i="1"/>
  <c r="H207" i="1" s="1"/>
  <c r="F208" i="1"/>
  <c r="H208" i="1" s="1"/>
  <c r="C132" i="1"/>
  <c r="G51" i="1"/>
  <c r="E43" i="1"/>
  <c r="C169" i="1" l="1"/>
  <c r="C170" i="1"/>
  <c r="H231" i="1"/>
  <c r="G169" i="1" s="1"/>
  <c r="E169" i="1"/>
  <c r="H238" i="1"/>
  <c r="G170" i="1" s="1"/>
  <c r="E170" i="1"/>
  <c r="B289" i="1"/>
  <c r="F181" i="1" l="1"/>
  <c r="H181" i="1" s="1"/>
  <c r="F182" i="1"/>
  <c r="H182" i="1" s="1"/>
  <c r="F183" i="1"/>
  <c r="H183" i="1" s="1"/>
  <c r="F180" i="1"/>
  <c r="H180" i="1" s="1"/>
  <c r="G58" i="1" l="1"/>
  <c r="C58" i="1"/>
  <c r="G56" i="1"/>
  <c r="C56" i="1"/>
  <c r="C54" i="1"/>
  <c r="S33" i="1" l="1"/>
  <c r="F11" i="5" l="1"/>
  <c r="G11" i="5" s="1"/>
  <c r="F10" i="5"/>
  <c r="G10" i="5" s="1"/>
  <c r="F9" i="5"/>
  <c r="G9" i="5" s="1"/>
  <c r="G8" i="5"/>
  <c r="F8" i="5"/>
  <c r="F7" i="5"/>
  <c r="G7" i="5" s="1"/>
  <c r="G6" i="5"/>
  <c r="F6" i="5"/>
  <c r="F5" i="5"/>
  <c r="G5" i="5" s="1"/>
  <c r="G12" i="5" s="1"/>
  <c r="D312" i="1"/>
  <c r="B290" i="1"/>
  <c r="F222" i="1"/>
  <c r="H222" i="1" s="1"/>
  <c r="F221" i="1"/>
  <c r="H221" i="1" s="1"/>
  <c r="F220" i="1"/>
  <c r="H220" i="1" s="1"/>
  <c r="F219" i="1"/>
  <c r="F206" i="1"/>
  <c r="H206" i="1" s="1"/>
  <c r="F205" i="1"/>
  <c r="H205" i="1" s="1"/>
  <c r="F204" i="1"/>
  <c r="H204" i="1" s="1"/>
  <c r="F203" i="1"/>
  <c r="F194" i="1"/>
  <c r="H194" i="1" s="1"/>
  <c r="F193" i="1"/>
  <c r="H193" i="1" s="1"/>
  <c r="F192" i="1"/>
  <c r="H192" i="1" s="1"/>
  <c r="A192" i="1"/>
  <c r="A193" i="1" s="1"/>
  <c r="A194" i="1" s="1"/>
  <c r="F191" i="1"/>
  <c r="A181" i="1"/>
  <c r="A182" i="1" s="1"/>
  <c r="A183" i="1" s="1"/>
  <c r="F158" i="1"/>
  <c r="C118" i="1"/>
  <c r="C104" i="1"/>
  <c r="D70" i="1"/>
  <c r="D62" i="1"/>
  <c r="C51" i="1"/>
  <c r="E44" i="1"/>
  <c r="E45" i="1" s="1"/>
  <c r="E31" i="1"/>
  <c r="E28" i="1"/>
  <c r="E26" i="1"/>
  <c r="C16" i="1"/>
  <c r="I15" i="1"/>
  <c r="Z13" i="1"/>
  <c r="E8" i="1"/>
  <c r="E3" i="1"/>
  <c r="H119" i="1"/>
  <c r="H105" i="1"/>
  <c r="H77" i="1"/>
  <c r="C167" i="1" l="1"/>
  <c r="C168" i="1"/>
  <c r="C166" i="1"/>
  <c r="C173" i="1" s="1"/>
  <c r="C174" i="1" s="1"/>
  <c r="H191" i="1"/>
  <c r="G166" i="1" s="1"/>
  <c r="E166" i="1"/>
  <c r="H203" i="1"/>
  <c r="G167" i="1" s="1"/>
  <c r="E167" i="1"/>
  <c r="H219" i="1"/>
  <c r="G168" i="1" s="1"/>
  <c r="E168" i="1"/>
  <c r="J76" i="1"/>
  <c r="J78" i="1" s="1"/>
  <c r="J79" i="1"/>
  <c r="J80" i="1"/>
  <c r="J81" i="1"/>
  <c r="C80" i="1" s="1"/>
  <c r="J109" i="1"/>
  <c r="C108" i="1" s="1"/>
  <c r="D113" i="1"/>
  <c r="D115" i="1"/>
  <c r="J108" i="1"/>
  <c r="D114" i="1"/>
  <c r="J104" i="1"/>
  <c r="J106" i="1" s="1"/>
  <c r="D112" i="1"/>
  <c r="J107" i="1"/>
  <c r="D111" i="1"/>
  <c r="D117" i="1"/>
  <c r="D116" i="1"/>
  <c r="D110" i="1"/>
  <c r="D84" i="1"/>
  <c r="D86" i="1"/>
  <c r="D85" i="1"/>
  <c r="D89" i="1"/>
  <c r="D83" i="1"/>
  <c r="D88" i="1"/>
  <c r="D82" i="1"/>
  <c r="D87" i="1"/>
  <c r="J118" i="1"/>
  <c r="J120" i="1" s="1"/>
  <c r="D127" i="1"/>
  <c r="D129" i="1"/>
  <c r="J123" i="1"/>
  <c r="D128" i="1"/>
  <c r="J122" i="1"/>
  <c r="D126" i="1"/>
  <c r="J121" i="1"/>
  <c r="D125" i="1"/>
  <c r="D131" i="1"/>
  <c r="D130" i="1"/>
  <c r="B119" i="1"/>
  <c r="B105" i="1"/>
  <c r="B77" i="1"/>
  <c r="J82" i="1" s="1"/>
  <c r="E173" i="1" l="1"/>
  <c r="E174" i="1" s="1"/>
  <c r="G173" i="1"/>
  <c r="G174" i="1" s="1"/>
  <c r="C122" i="1"/>
  <c r="D122" i="1" s="1"/>
  <c r="D108" i="1"/>
  <c r="D80" i="1"/>
  <c r="D124" i="1"/>
  <c r="J129" i="1"/>
  <c r="J126" i="1"/>
  <c r="J128" i="1"/>
  <c r="J127" i="1"/>
  <c r="J124" i="1"/>
  <c r="J115" i="1"/>
  <c r="J112" i="1"/>
  <c r="J114" i="1"/>
  <c r="J113" i="1"/>
  <c r="J110" i="1"/>
  <c r="J111" i="1" s="1"/>
  <c r="J86" i="1"/>
  <c r="J84" i="1"/>
  <c r="J85" i="1"/>
  <c r="J83" i="1"/>
  <c r="J88" i="1" s="1"/>
  <c r="J87" i="1"/>
  <c r="J89" i="1" l="1"/>
  <c r="C81" i="1" s="1"/>
  <c r="E80" i="1" s="1"/>
  <c r="J125" i="1"/>
  <c r="J130" i="1" s="1"/>
  <c r="J131" i="1" s="1"/>
  <c r="C123" i="1" s="1"/>
  <c r="J119" i="1" s="1"/>
  <c r="J116" i="1"/>
  <c r="D81" i="1" l="1"/>
  <c r="I77" i="1" s="1"/>
  <c r="I78" i="1" s="1"/>
  <c r="J77" i="1"/>
  <c r="G80" i="1"/>
  <c r="J117" i="1"/>
  <c r="C109" i="1" s="1"/>
  <c r="D123" i="1"/>
  <c r="I119" i="1" s="1"/>
  <c r="I120" i="1" s="1"/>
  <c r="I118" i="1" s="1"/>
  <c r="C120" i="1" s="1"/>
  <c r="E122" i="1"/>
  <c r="G122" i="1"/>
  <c r="D74" i="1" s="1"/>
  <c r="D75" i="1" s="1"/>
  <c r="I76" i="1" l="1"/>
  <c r="C78" i="1" s="1"/>
  <c r="E108" i="1"/>
  <c r="D109" i="1"/>
  <c r="I105" i="1" s="1"/>
  <c r="I106" i="1" s="1"/>
  <c r="G108" i="1"/>
  <c r="J105" i="1"/>
  <c r="F75" i="1"/>
  <c r="B133" i="1"/>
  <c r="H133" i="1"/>
  <c r="I104" i="1" l="1"/>
  <c r="C106" i="1" s="1"/>
  <c r="J136" i="1"/>
  <c r="D141" i="1"/>
  <c r="D144" i="1"/>
  <c r="D142" i="1"/>
  <c r="D140" i="1"/>
  <c r="D138" i="1"/>
  <c r="J135" i="1"/>
  <c r="J132" i="1"/>
  <c r="J134" i="1" s="1"/>
  <c r="J137" i="1"/>
  <c r="C136" i="1" s="1"/>
  <c r="D136" i="1" s="1"/>
  <c r="D145" i="1"/>
  <c r="D143" i="1"/>
  <c r="D139" i="1"/>
  <c r="J142" i="1"/>
  <c r="J140" i="1"/>
  <c r="J138" i="1"/>
  <c r="J139" i="1" s="1"/>
  <c r="J144" i="1" s="1"/>
  <c r="J145" i="1" s="1"/>
  <c r="C137" i="1" s="1"/>
  <c r="D137" i="1" s="1"/>
  <c r="J141" i="1"/>
  <c r="J143" i="1"/>
  <c r="E136" i="1" l="1"/>
  <c r="I133" i="1"/>
  <c r="I134" i="1" s="1"/>
  <c r="G136" i="1"/>
  <c r="J133" i="1"/>
  <c r="I132" i="1" l="1"/>
  <c r="C134"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51"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86"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<sst xmlns="http://schemas.openxmlformats.org/spreadsheetml/2006/main" count="780" uniqueCount="369">
  <si>
    <t xml:space="preserve">Valuation Report </t>
  </si>
  <si>
    <t>Date:</t>
  </si>
  <si>
    <t>CPC Name:</t>
  </si>
  <si>
    <t>Date Of Property Visit</t>
  </si>
  <si>
    <t>Name of the builder group</t>
  </si>
  <si>
    <t>Name of the builder company</t>
  </si>
  <si>
    <t>Name of the Project</t>
  </si>
  <si>
    <t>Name / No of the Building</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</si>
  <si>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</si>
  <si>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</si>
  <si>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</si>
  <si>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</si>
  <si>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</si>
  <si>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</si>
  <si>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</si>
  <si>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</si>
  <si>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</si>
  <si>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</si>
  <si>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</si>
  <si>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</si>
  <si>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</si>
  <si>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</si>
  <si>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</si>
  <si>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</si>
  <si>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</si>
  <si>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</si>
  <si>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</si>
  <si>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</si>
  <si>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</si>
  <si>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</si>
  <si>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</si>
  <si>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</si>
  <si>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</si>
  <si>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</si>
  <si>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</si>
  <si>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</si>
  <si>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</si>
  <si>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</si>
  <si>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</si>
  <si>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</si>
  <si>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</si>
  <si>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</si>
  <si>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</si>
  <si>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</si>
  <si>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</si>
  <si>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</si>
  <si>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</si>
  <si>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</si>
  <si>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</si>
  <si>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</si>
  <si>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</si>
  <si>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</si>
  <si>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</si>
  <si>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</si>
  <si>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</si>
  <si>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</si>
  <si>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</si>
  <si>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</si>
  <si>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</si>
  <si>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</si>
  <si>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</si>
  <si>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</si>
  <si>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</si>
  <si>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</si>
  <si>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</si>
  <si>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</si>
  <si>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</si>
  <si>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</si>
  <si>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</si>
  <si>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</si>
  <si>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</si>
  <si>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</si>
  <si>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</si>
  <si>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</si>
  <si>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</si>
  <si>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</si>
  <si>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</si>
  <si>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</si>
  <si>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</si>
  <si>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</si>
  <si>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</si>
  <si>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</si>
  <si>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</si>
  <si>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</si>
  <si>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</si>
  <si>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</si>
  <si>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</si>
  <si>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</si>
  <si>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</si>
  <si>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</si>
  <si>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</si>
  <si>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</si>
  <si>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</si>
  <si>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</si>
  <si>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</si>
  <si>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</si>
  <si>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</si>
  <si>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</si>
  <si>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</si>
  <si>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</si>
  <si>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</si>
  <si>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</si>
  <si>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</si>
  <si>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</si>
  <si>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</si>
  <si>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</si>
  <si>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</si>
  <si>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</si>
  <si>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</si>
  <si>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</si>
  <si>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</si>
  <si>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</si>
  <si>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</si>
  <si>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</si>
  <si>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</si>
  <si>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</si>
  <si>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</si>
  <si>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</si>
  <si>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</si>
  <si>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</si>
  <si>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</si>
  <si>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</si>
  <si>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</si>
  <si>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</si>
  <si>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</si>
  <si>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</si>
  <si>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</si>
  <si>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</si>
  <si>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</si>
  <si>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</si>
  <si>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</si>
  <si>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</si>
  <si>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</si>
  <si>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</si>
  <si>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</si>
  <si>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</si>
  <si>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</si>
  <si>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</si>
  <si>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</si>
  <si>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</si>
  <si>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</si>
  <si>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</si>
  <si>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</si>
  <si>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</si>
  <si>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</si>
  <si>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</si>
  <si>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</si>
  <si>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</si>
  <si>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</si>
  <si>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</si>
  <si>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</si>
  <si>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</si>
  <si>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</si>
  <si>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</si>
  <si>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</si>
  <si>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</si>
  <si>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</si>
  <si>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</si>
  <si>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</si>
  <si>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</si>
  <si>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</si>
  <si>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</si>
  <si>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</si>
  <si>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</si>
  <si>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</si>
  <si>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</si>
  <si>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</si>
  <si>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</si>
  <si>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</si>
  <si>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</si>
  <si>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</si>
  <si>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</si>
  <si>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</si>
  <si>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</si>
  <si>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</si>
  <si>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</si>
  <si>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</si>
  <si>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</si>
  <si>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</si>
  <si>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</si>
  <si>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</si>
  <si>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</si>
  <si>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</si>
  <si>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</si>
  <si>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</si>
  <si>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</si>
  <si>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</si>
  <si>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</si>
  <si>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</si>
  <si>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</si>
  <si>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</si>
  <si>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</si>
  <si>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</si>
  <si>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</si>
  <si>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</si>
  <si>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</si>
  <si>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</si>
  <si>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</si>
  <si>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</si>
  <si>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</si>
  <si>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</si>
  <si>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</si>
  <si>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</si>
  <si>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</si>
  <si>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</si>
  <si>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</si>
  <si>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</si>
  <si>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</si>
  <si>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</si>
  <si>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</si>
  <si>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</si>
  <si>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</si>
  <si>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</si>
  <si>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</si>
  <si>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</si>
  <si>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</si>
  <si>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</si>
  <si>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</si>
  <si>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</si>
  <si>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</si>
  <si>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</si>
  <si>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</si>
  <si>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</si>
  <si>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</si>
  <si>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</si>
  <si>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</si>
  <si>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</si>
  <si>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</si>
  <si>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</si>
  <si>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</si>
  <si>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</si>
  <si>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</si>
  <si>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</si>
  <si>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</si>
  <si>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</si>
  <si>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</si>
  <si>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</si>
  <si>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</si>
  <si>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</si>
  <si>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</si>
  <si>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</si>
  <si>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</si>
  <si>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</si>
  <si>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</si>
  <si>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</si>
  <si>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</si>
  <si>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</si>
  <si>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</si>
  <si>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</si>
  <si>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</si>
  <si>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</si>
  <si>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</si>
  <si>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</si>
  <si>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</si>
  <si>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</si>
  <si>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</si>
  <si>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</si>
  <si>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</si>
  <si>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</si>
  <si>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</si>
  <si>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</si>
  <si>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</si>
  <si>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</si>
  <si>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</si>
  <si>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</si>
  <si>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</si>
  <si>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</si>
  <si>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</si>
  <si>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</si>
  <si>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</si>
  <si>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</si>
  <si>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</si>
  <si>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</si>
  <si>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</si>
  <si>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</si>
  <si>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</si>
  <si>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</si>
  <si>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</si>
  <si>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</si>
  <si>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</si>
  <si>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</si>
  <si>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</si>
  <si>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</si>
  <si>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</si>
  <si>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</si>
  <si>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</si>
  <si>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</si>
  <si>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</si>
  <si>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</si>
  <si>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</si>
  <si>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</si>
  <si>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</si>
  <si>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</si>
  <si>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</si>
  <si>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</si>
  <si>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</si>
  <si>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</si>
  <si>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</si>
  <si>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</si>
  <si>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</si>
  <si>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Green World Realtors</t>
  </si>
  <si>
    <t>The Green Sapphirre</t>
  </si>
  <si>
    <t>Mr. Pramod Sir 9920424930</t>
  </si>
  <si>
    <t>Approved Plans, CC, Sale Plans, Cost Sheet</t>
  </si>
  <si>
    <t>Survey No</t>
  </si>
  <si>
    <t>43/4/5/6B</t>
  </si>
  <si>
    <t>Bapgaon</t>
  </si>
  <si>
    <t>https://maps.app.goo.gl/B739TehQ2yScAZwH6</t>
  </si>
  <si>
    <t>19.278075,73.140452</t>
  </si>
  <si>
    <t>Jai Malhar Nagar</t>
  </si>
  <si>
    <t>Internal Road</t>
  </si>
  <si>
    <t>Kalyan West</t>
  </si>
  <si>
    <t>5.9 KM from Kalyan  Railway Station</t>
  </si>
  <si>
    <t>RERA Name &amp; No..</t>
  </si>
  <si>
    <t>Open Plot</t>
  </si>
  <si>
    <t>Building</t>
  </si>
  <si>
    <t>Other Plot</t>
  </si>
  <si>
    <t>Adj. S.No.42</t>
  </si>
  <si>
    <t>Adj. H.No.1A+3 &amp; Adj. H.No.6A</t>
  </si>
  <si>
    <t>Existing 6.00 Mt Wide Road/Adj.S.No.118</t>
  </si>
  <si>
    <t>07 Wings</t>
  </si>
  <si>
    <t>BS/Rekhakan/BP/Mau.Bapgaon/
Tal.Bhiwandi SSThane/5573</t>
  </si>
  <si>
    <t>Mahasul/K-1/T-8/B.P/Mau.Bapgaon-Bhiwandi/SR-27/2023</t>
  </si>
  <si>
    <t>(Building No.1 to 4) = Gr/St + 1st to 7th Floor</t>
  </si>
  <si>
    <t>Building No.1 (Wing A, B &amp; C) = Gr/St + 1st to 7th Floor</t>
  </si>
  <si>
    <t>Building No.4 (Wing F &amp; G) = Gr/St + 1st to 7th Floor</t>
  </si>
  <si>
    <t>As per RERA - 30/11/2027</t>
  </si>
  <si>
    <r>
      <t xml:space="preserve">Proposed Amenities :                                                                                                                                                                                                                         </t>
    </r>
    <r>
      <rPr>
        <b/>
        <sz val="12"/>
        <rFont val="Times New Roman"/>
        <family val="1"/>
      </rPr>
      <t xml:space="preserve">                                               </t>
    </r>
  </si>
  <si>
    <t>Mangesh Laxman Bapardekar</t>
  </si>
  <si>
    <t>Indoor Games, Club House, Community Hall, Kids Swimming Pool, Gymnasium, Play Garden, Childern Creche, Cricket Turf, Driver Room, Leak Proof Exterior Texture Paint, Society Office, Rainwaterharvesting System etc.</t>
  </si>
  <si>
    <t>Building No.1</t>
  </si>
  <si>
    <t>Wing A</t>
  </si>
  <si>
    <t>Ground Floor For Entry Lobby, Driver's Room, Society Office &amp; Parking</t>
  </si>
  <si>
    <t>Wing B</t>
  </si>
  <si>
    <t>Ground Floor For Entry Lobby &amp; Parking</t>
  </si>
  <si>
    <t>Wing C</t>
  </si>
  <si>
    <t>1st, 3rd, 5th &amp; 7th Floor For Residential</t>
  </si>
  <si>
    <t>1BHK</t>
  </si>
  <si>
    <t>2BHK</t>
  </si>
  <si>
    <t>Balcony Area</t>
  </si>
  <si>
    <t>1RK</t>
  </si>
  <si>
    <t>2nd, 4th &amp; 6th Floor</t>
  </si>
  <si>
    <t>1st to 7th Floor For Residential</t>
  </si>
  <si>
    <t>Building No.4</t>
  </si>
  <si>
    <t>Wing F</t>
  </si>
  <si>
    <t>Wing G</t>
  </si>
  <si>
    <t>7th Floor</t>
  </si>
  <si>
    <t>7th Floor For (Part Refuge Area)</t>
  </si>
  <si>
    <t>Refuge Area</t>
  </si>
  <si>
    <t xml:space="preserve">Details of Residential in Building   </t>
  </si>
  <si>
    <t>We considered Gross carpet area = Net carpet + Balcony Area</t>
  </si>
  <si>
    <t>1st, 3rd &amp; 5th Floor For Residential</t>
  </si>
  <si>
    <t>As per RERA</t>
  </si>
  <si>
    <t>Flats - 223</t>
  </si>
  <si>
    <t>Sai Ram Nagar Bapgaon Housing Complex</t>
  </si>
  <si>
    <t>The Green Sapphirre (Wing 1 to 4) &amp; P51700054111</t>
  </si>
  <si>
    <t>Building No.1 (Wing A to C)
Building No.2 (Wing D)
Building No.3 (Wing E)
Building No.4 (Wing F &amp; G)</t>
  </si>
  <si>
    <t>Building No.2 (Wing D) = Gr/St + 1st to 7th Floor</t>
  </si>
  <si>
    <t>Building No.2 (Wing D)</t>
  </si>
  <si>
    <t>Building No.1 (Wing A, B &amp; C) = Gr/St + 1st to 7th Floor
Building No.2 (Wing D) = Gr/St + 1st to 7th Floor
Building No.3 (Wing E) = Gr/St + 1st to 7th Floor
Building No.4 (Wing F &amp; G) = Gr/St + 1st to 7th Floor</t>
  </si>
  <si>
    <t>Building No.3 (Wing E) = Gr/St + 1st to 7th Floor</t>
  </si>
  <si>
    <t>Building No.3 (Wing E)</t>
  </si>
  <si>
    <t>1.5BHK</t>
  </si>
  <si>
    <t>Pooja Kawale</t>
  </si>
  <si>
    <t>RATE 100+ by BHARGAV VERBAL on 24/05/2025</t>
  </si>
  <si>
    <t>Recommended Rates of the Property have been revised on 24/05/2025.</t>
  </si>
  <si>
    <t>Building No.1 (Wing A) = Gr/St + 1st to 7th Floor</t>
  </si>
  <si>
    <t>Building No.1 (Wing B &amp; C) = Gr/St + 1st to 7th Floor</t>
  </si>
  <si>
    <t>Construction work is in process at the time of Visit (Labour found).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</si>
</sst>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2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0" xfId="1" applyFont="1" applyAlignment="1">
      <alignment horizontal="center" vertical="center"/>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7" fillId="0" borderId="0" xfId="0" applyFont="1" applyAlignment="1">
      <alignment horizontal="center" vertical="center" wrapText="1"/>
    </xf>
    <xf numFmtId="2" fontId="7" fillId="0" borderId="0" xfId="1" applyNumberFormat="1" applyFont="1" applyAlignment="1">
      <alignment horizontal="center" vertical="center"/>
    </xf>
    <xf numFmtId="0" fontId="12" fillId="0" borderId="1" xfId="1" applyFont="1" applyBorder="1" applyAlignment="1" applyProtection="1">
      <alignment horizontal="center" vertical="top" wrapText="1"/>
      <protection locked="0"/>
    </xf>
    <xf numFmtId="1" fontId="7" fillId="0" borderId="1" xfId="1" applyNumberFormat="1" applyFont="1" applyBorder="1" applyAlignment="1">
      <alignment horizontal="center" vertical="center"/>
    </xf>
    <xf numFmtId="9" fontId="10" fillId="0" borderId="16" xfId="8" applyFont="1" applyFill="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25" fillId="2" borderId="15" xfId="0" applyFont="1" applyFill="1" applyBorder="1"/>
    <xf numFmtId="0" fontId="26" fillId="0" borderId="9" xfId="0" applyFont="1" applyBorder="1"/>
    <xf numFmtId="1" fontId="17" fillId="0" borderId="1" xfId="1" applyNumberFormat="1" applyFont="1" applyBorder="1" applyAlignment="1" applyProtection="1">
      <alignment horizontal="center" vertical="top" wrapText="1"/>
      <protection locked="0"/>
    </xf>
    <xf numFmtId="9" fontId="17" fillId="0" borderId="1"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14" fontId="8" fillId="0" borderId="0" xfId="1" applyNumberFormat="1" applyFont="1" applyAlignment="1" applyProtection="1">
      <alignment vertical="top"/>
      <protection locked="0"/>
    </xf>
    <xf numFmtId="0" fontId="12" fillId="0" borderId="1" xfId="1" applyFont="1" applyBorder="1" applyAlignment="1" applyProtection="1">
      <alignment horizontal="center" vertical="top" wrapText="1"/>
      <protection locked="0"/>
    </xf>
    <xf numFmtId="0" fontId="12" fillId="0" borderId="5"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64" fontId="6" fillId="0" borderId="1" xfId="1" applyNumberFormat="1" applyFont="1" applyBorder="1" applyAlignment="1" applyProtection="1">
      <alignment horizontal="left" vertical="top"/>
      <protection locked="0"/>
    </xf>
    <xf numFmtId="0" fontId="8"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0" fontId="12" fillId="0" borderId="4"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center" wrapText="1"/>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7" fillId="0" borderId="0" xfId="1" applyFont="1" applyAlignment="1">
      <alignment horizontal="center" vertical="center"/>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3" fillId="0" borderId="4"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1" fontId="8" fillId="0" borderId="1" xfId="1" applyNumberFormat="1" applyFont="1" applyBorder="1" applyAlignment="1" applyProtection="1">
      <alignment horizontal="center" vertical="center" wrapText="1"/>
      <protection locked="0"/>
    </xf>
    <xf numFmtId="1" fontId="4" fillId="0" borderId="1" xfId="1" applyNumberFormat="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1" fontId="17" fillId="0" borderId="1"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1" fontId="10" fillId="0" borderId="1" xfId="0" applyNumberFormat="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0" fontId="8" fillId="0" borderId="32"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33" xfId="1" applyFont="1" applyBorder="1" applyAlignment="1" applyProtection="1">
      <alignment horizontal="left" vertical="top" wrapText="1"/>
      <protection locked="0"/>
    </xf>
    <xf numFmtId="1" fontId="6" fillId="0" borderId="21" xfId="1" applyNumberFormat="1" applyFont="1" applyBorder="1" applyAlignment="1" applyProtection="1">
      <alignment horizontal="center" vertical="center" wrapText="1"/>
      <protection locked="0"/>
    </xf>
    <xf numFmtId="0" fontId="9" fillId="0" borderId="1" xfId="5" applyFont="1" applyBorder="1" applyAlignment="1">
      <alignment horizontal="left"/>
    </xf>
    <xf numFmtId="1" fontId="10" fillId="0" borderId="1" xfId="0" applyNumberFormat="1" applyFont="1" applyBorder="1" applyAlignment="1" applyProtection="1">
      <alignment vertical="top" wrapText="1"/>
      <protection locked="0"/>
    </xf>
    <xf numFmtId="1" fontId="13" fillId="0" borderId="1" xfId="0" applyNumberFormat="1" applyFont="1" applyBorder="1" applyAlignment="1" applyProtection="1">
      <alignment vertical="top" wrapText="1"/>
      <protection locked="0"/>
    </xf>
    <xf numFmtId="1" fontId="8" fillId="0" borderId="1" xfId="0" applyNumberFormat="1" applyFont="1" applyBorder="1" applyAlignment="1" applyProtection="1">
      <alignment vertical="top" wrapText="1"/>
      <protection locked="0"/>
    </xf>
    <xf numFmtId="1" fontId="17" fillId="0" borderId="1" xfId="0" applyNumberFormat="1" applyFont="1" applyBorder="1" applyAlignment="1" applyProtection="1">
      <alignment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s>
</file>

<file path=xl/drawings/_rels/drawing2.xml.rels><?xml version="1.0" encoding="UTF-8" standalone="yes"?>
<Relationships xmlns="http://schemas.openxmlformats.org/package/2006/relationships"><Relationship Id="rId1" Type="http://schemas.openxmlformats.org/officeDocument/2006/relationships/image" Target="../media/image3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8.png"/></Relationships>
</file>

<file path=xl/drawings/drawing1.xml><?xml version="1.0" encoding="utf-8"?>
<xdr:wsDr xmlns:xdr="http://schemas.openxmlformats.org/drawingml/2006/spreadsheetDrawing" xmlns:a="http://schemas.openxmlformats.org/drawingml/2006/main">
  <xdr:twoCellAnchor editAs="oneCell">
    <xdr:from>
      <xdr:col>8</xdr:col>
      <xdr:colOff>390524</xdr:colOff>
      <xdr:row>14</xdr:row>
      <xdr:rowOff>200026</xdr:rowOff>
    </xdr:from>
    <xdr:to>
      <xdr:col>15</xdr:col>
      <xdr:colOff>722189</xdr:colOff>
      <xdr:row>17</xdr:row>
      <xdr:rowOff>20336</xdr:rowOff>
    </xdr:to>
    <xdr:pic>
      <xdr:nvPicPr>
        <xdr:cNvPr id="2" name="Picture 1"/>
        <xdr:cNvPicPr>
          <a:picLocks noChangeAspect="1"/>
        </xdr:cNvPicPr>
      </xdr:nvPicPr>
      <xdr:blipFill>
        <a:blip xmlns:r="http://schemas.openxmlformats.org/officeDocument/2006/relationships" r:embed="rId1"/>
        <a:stretch>
          <a:fillRect/>
        </a:stretch>
      </xdr:blipFill>
      <xdr:spPr>
        <a:xfrm>
          <a:off x="6705599" y="3838576"/>
          <a:ext cx="6322890" cy="1049035"/>
        </a:xfrm>
        <a:prstGeom prst="rect">
          <a:avLst/>
        </a:prstGeom>
      </xdr:spPr>
    </xdr:pic>
    <xdr:clientData/>
  </xdr:twoCellAnchor>
  <xdr:twoCellAnchor editAs="oneCell">
    <xdr:from>
      <xdr:col>2</xdr:col>
      <xdr:colOff>13607</xdr:colOff>
      <xdr:row>398</xdr:row>
      <xdr:rowOff>40822</xdr:rowOff>
    </xdr:from>
    <xdr:to>
      <xdr:col>5</xdr:col>
      <xdr:colOff>312964</xdr:colOff>
      <xdr:row>409</xdr:row>
      <xdr:rowOff>179264</xdr:rowOff>
    </xdr:to>
    <xdr:pic>
      <xdr:nvPicPr>
        <xdr:cNvPr id="5" name="Picture 4"/>
        <xdr:cNvPicPr>
          <a:picLocks noChangeAspect="1"/>
        </xdr:cNvPicPr>
      </xdr:nvPicPr>
      <xdr:blipFill rotWithShape="1">
        <a:blip xmlns:r="http://schemas.openxmlformats.org/officeDocument/2006/relationships" r:embed="rId2"/>
        <a:srcRect r="7125"/>
        <a:stretch/>
      </xdr:blipFill>
      <xdr:spPr>
        <a:xfrm>
          <a:off x="1578428" y="57394929"/>
          <a:ext cx="2830286" cy="2383621"/>
        </a:xfrm>
        <a:prstGeom prst="rect">
          <a:avLst/>
        </a:prstGeom>
        <a:ln w="3175">
          <a:solidFill>
            <a:schemeClr val="tx1"/>
          </a:solidFill>
        </a:ln>
      </xdr:spPr>
    </xdr:pic>
    <xdr:clientData/>
  </xdr:twoCellAnchor>
  <xdr:twoCellAnchor>
    <xdr:from>
      <xdr:col>2</xdr:col>
      <xdr:colOff>83282</xdr:colOff>
      <xdr:row>410</xdr:row>
      <xdr:rowOff>76185</xdr:rowOff>
    </xdr:from>
    <xdr:to>
      <xdr:col>5</xdr:col>
      <xdr:colOff>167090</xdr:colOff>
      <xdr:row>439</xdr:row>
      <xdr:rowOff>44450</xdr:rowOff>
    </xdr:to>
    <xdr:grpSp>
      <xdr:nvGrpSpPr>
        <xdr:cNvPr id="6" name="Group 5"/>
        <xdr:cNvGrpSpPr/>
      </xdr:nvGrpSpPr>
      <xdr:grpSpPr>
        <a:xfrm>
          <a:off x="1721582" y="80759285"/>
          <a:ext cx="2750808" cy="5676915"/>
          <a:chOff x="2134734" y="2774819"/>
          <a:chExt cx="2614738" cy="6097438"/>
        </a:xfrm>
      </xdr:grpSpPr>
      <xdr:pic>
        <xdr:nvPicPr>
          <xdr:cNvPr id="7" name="Picture 6"/>
          <xdr:cNvPicPr>
            <a:picLocks noChangeAspect="1"/>
          </xdr:cNvPicPr>
        </xdr:nvPicPr>
        <xdr:blipFill>
          <a:blip xmlns:r="http://schemas.openxmlformats.org/officeDocument/2006/relationships" r:embed="rId3"/>
          <a:stretch>
            <a:fillRect/>
          </a:stretch>
        </xdr:blipFill>
        <xdr:spPr>
          <a:xfrm rot="16200000">
            <a:off x="393384" y="4516169"/>
            <a:ext cx="6097438" cy="2614738"/>
          </a:xfrm>
          <a:prstGeom prst="rect">
            <a:avLst/>
          </a:prstGeom>
          <a:ln w="3175">
            <a:solidFill>
              <a:schemeClr val="tx1"/>
            </a:solidFill>
          </a:ln>
        </xdr:spPr>
      </xdr:pic>
      <xdr:sp macro="" textlink="">
        <xdr:nvSpPr>
          <xdr:cNvPr id="8" name="Freeform 7"/>
          <xdr:cNvSpPr/>
        </xdr:nvSpPr>
        <xdr:spPr>
          <a:xfrm>
            <a:off x="2962275" y="5581651"/>
            <a:ext cx="1473994" cy="1443038"/>
          </a:xfrm>
          <a:custGeom>
            <a:avLst/>
            <a:gdLst>
              <a:gd name="connsiteX0" fmla="*/ 304800 w 1443038"/>
              <a:gd name="connsiteY0" fmla="*/ 1390650 h 1390650"/>
              <a:gd name="connsiteX1" fmla="*/ 0 w 1443038"/>
              <a:gd name="connsiteY1" fmla="*/ 1347788 h 1390650"/>
              <a:gd name="connsiteX2" fmla="*/ 204788 w 1443038"/>
              <a:gd name="connsiteY2" fmla="*/ 90488 h 1390650"/>
              <a:gd name="connsiteX3" fmla="*/ 1438275 w 1443038"/>
              <a:gd name="connsiteY3" fmla="*/ 0 h 1390650"/>
              <a:gd name="connsiteX4" fmla="*/ 1443038 w 1443038"/>
              <a:gd name="connsiteY4" fmla="*/ 352425 h 1390650"/>
              <a:gd name="connsiteX5" fmla="*/ 533400 w 1443038"/>
              <a:gd name="connsiteY5" fmla="*/ 419100 h 1390650"/>
              <a:gd name="connsiteX6" fmla="*/ 304800 w 1443038"/>
              <a:gd name="connsiteY6" fmla="*/ 1390650 h 1390650"/>
              <a:gd name="connsiteX0" fmla="*/ 361950 w 1443038"/>
              <a:gd name="connsiteY0" fmla="*/ 1414463 h 1414463"/>
              <a:gd name="connsiteX1" fmla="*/ 0 w 1443038"/>
              <a:gd name="connsiteY1" fmla="*/ 1347788 h 1414463"/>
              <a:gd name="connsiteX2" fmla="*/ 204788 w 1443038"/>
              <a:gd name="connsiteY2" fmla="*/ 90488 h 1414463"/>
              <a:gd name="connsiteX3" fmla="*/ 1438275 w 1443038"/>
              <a:gd name="connsiteY3" fmla="*/ 0 h 1414463"/>
              <a:gd name="connsiteX4" fmla="*/ 1443038 w 1443038"/>
              <a:gd name="connsiteY4" fmla="*/ 352425 h 1414463"/>
              <a:gd name="connsiteX5" fmla="*/ 533400 w 1443038"/>
              <a:gd name="connsiteY5" fmla="*/ 419100 h 1414463"/>
              <a:gd name="connsiteX6" fmla="*/ 361950 w 1443038"/>
              <a:gd name="connsiteY6" fmla="*/ 1414463 h 1414463"/>
              <a:gd name="connsiteX0" fmla="*/ 361950 w 1443038"/>
              <a:gd name="connsiteY0" fmla="*/ 1414463 h 1414463"/>
              <a:gd name="connsiteX1" fmla="*/ 0 w 1443038"/>
              <a:gd name="connsiteY1" fmla="*/ 1347788 h 1414463"/>
              <a:gd name="connsiteX2" fmla="*/ 204788 w 1443038"/>
              <a:gd name="connsiteY2" fmla="*/ 90488 h 1414463"/>
              <a:gd name="connsiteX3" fmla="*/ 1438275 w 1443038"/>
              <a:gd name="connsiteY3" fmla="*/ 0 h 1414463"/>
              <a:gd name="connsiteX4" fmla="*/ 1443038 w 1443038"/>
              <a:gd name="connsiteY4" fmla="*/ 352425 h 1414463"/>
              <a:gd name="connsiteX5" fmla="*/ 533400 w 1443038"/>
              <a:gd name="connsiteY5" fmla="*/ 419100 h 1414463"/>
              <a:gd name="connsiteX6" fmla="*/ 361950 w 1443038"/>
              <a:gd name="connsiteY6" fmla="*/ 1414463 h 14144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443038" h="1414463">
                <a:moveTo>
                  <a:pt x="361950" y="1414463"/>
                </a:moveTo>
                <a:lnTo>
                  <a:pt x="0" y="1347788"/>
                </a:lnTo>
                <a:lnTo>
                  <a:pt x="204788" y="90488"/>
                </a:lnTo>
                <a:lnTo>
                  <a:pt x="1438275" y="0"/>
                </a:lnTo>
                <a:cubicBezTo>
                  <a:pt x="1439863" y="117475"/>
                  <a:pt x="1441450" y="234950"/>
                  <a:pt x="1443038" y="352425"/>
                </a:cubicBezTo>
                <a:lnTo>
                  <a:pt x="533400" y="419100"/>
                </a:lnTo>
                <a:lnTo>
                  <a:pt x="361950" y="1414463"/>
                </a:lnTo>
                <a:close/>
              </a:path>
            </a:pathLst>
          </a:custGeom>
          <a:no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1"/>
          </a:p>
        </xdr:txBody>
      </xdr:sp>
      <xdr:sp macro="" textlink="">
        <xdr:nvSpPr>
          <xdr:cNvPr id="9" name="Rectangle 8"/>
          <xdr:cNvSpPr/>
        </xdr:nvSpPr>
        <xdr:spPr>
          <a:xfrm rot="559642">
            <a:off x="3041266" y="6359342"/>
            <a:ext cx="311944" cy="593200"/>
          </a:xfrm>
          <a:prstGeom prst="rect">
            <a:avLst/>
          </a:prstGeom>
          <a:noFill/>
          <a:ln w="9525">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1"/>
          </a:p>
        </xdr:txBody>
      </xdr:sp>
      <xdr:sp macro="" textlink="">
        <xdr:nvSpPr>
          <xdr:cNvPr id="10" name="Rectangle 9"/>
          <xdr:cNvSpPr/>
        </xdr:nvSpPr>
        <xdr:spPr>
          <a:xfrm rot="5154782">
            <a:off x="3975764" y="5503263"/>
            <a:ext cx="311944" cy="576262"/>
          </a:xfrm>
          <a:prstGeom prst="rect">
            <a:avLst/>
          </a:prstGeom>
          <a:noFill/>
          <a:ln w="95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1"/>
          </a:p>
        </xdr:txBody>
      </xdr:sp>
      <xdr:sp macro="" textlink="">
        <xdr:nvSpPr>
          <xdr:cNvPr id="11" name="Freeform 10"/>
          <xdr:cNvSpPr/>
        </xdr:nvSpPr>
        <xdr:spPr>
          <a:xfrm>
            <a:off x="3092450" y="5648325"/>
            <a:ext cx="749300" cy="727075"/>
          </a:xfrm>
          <a:custGeom>
            <a:avLst/>
            <a:gdLst>
              <a:gd name="connsiteX0" fmla="*/ 0 w 749300"/>
              <a:gd name="connsiteY0" fmla="*/ 676275 h 727075"/>
              <a:gd name="connsiteX1" fmla="*/ 111125 w 749300"/>
              <a:gd name="connsiteY1" fmla="*/ 120650 h 727075"/>
              <a:gd name="connsiteX2" fmla="*/ 196850 w 749300"/>
              <a:gd name="connsiteY2" fmla="*/ 50800 h 727075"/>
              <a:gd name="connsiteX3" fmla="*/ 733425 w 749300"/>
              <a:gd name="connsiteY3" fmla="*/ 0 h 727075"/>
              <a:gd name="connsiteX4" fmla="*/ 749300 w 749300"/>
              <a:gd name="connsiteY4" fmla="*/ 304800 h 727075"/>
              <a:gd name="connsiteX5" fmla="*/ 422275 w 749300"/>
              <a:gd name="connsiteY5" fmla="*/ 330200 h 727075"/>
              <a:gd name="connsiteX6" fmla="*/ 361950 w 749300"/>
              <a:gd name="connsiteY6" fmla="*/ 374650 h 727075"/>
              <a:gd name="connsiteX7" fmla="*/ 292100 w 749300"/>
              <a:gd name="connsiteY7" fmla="*/ 727075 h 727075"/>
              <a:gd name="connsiteX8" fmla="*/ 0 w 749300"/>
              <a:gd name="connsiteY8" fmla="*/ 676275 h 7270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749300" h="727075">
                <a:moveTo>
                  <a:pt x="0" y="676275"/>
                </a:moveTo>
                <a:lnTo>
                  <a:pt x="111125" y="120650"/>
                </a:lnTo>
                <a:lnTo>
                  <a:pt x="196850" y="50800"/>
                </a:lnTo>
                <a:lnTo>
                  <a:pt x="733425" y="0"/>
                </a:lnTo>
                <a:lnTo>
                  <a:pt x="749300" y="304800"/>
                </a:lnTo>
                <a:lnTo>
                  <a:pt x="422275" y="330200"/>
                </a:lnTo>
                <a:lnTo>
                  <a:pt x="361950" y="374650"/>
                </a:lnTo>
                <a:lnTo>
                  <a:pt x="292100" y="727075"/>
                </a:lnTo>
                <a:lnTo>
                  <a:pt x="0" y="676275"/>
                </a:lnTo>
                <a:close/>
              </a:path>
            </a:pathLst>
          </a:cu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1"/>
          </a:p>
        </xdr:txBody>
      </xdr:sp>
      <xdr:sp macro="" textlink="">
        <xdr:nvSpPr>
          <xdr:cNvPr id="12" name="TextBox 40"/>
          <xdr:cNvSpPr txBox="1"/>
        </xdr:nvSpPr>
        <xdr:spPr>
          <a:xfrm rot="17012345">
            <a:off x="3138339" y="6264289"/>
            <a:ext cx="925348" cy="23288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t>Building No.1</a:t>
            </a:r>
            <a:endParaRPr lang="en-IN" sz="900" b="1"/>
          </a:p>
        </xdr:txBody>
      </xdr:sp>
      <xdr:sp macro="" textlink="">
        <xdr:nvSpPr>
          <xdr:cNvPr id="13" name="TextBox 51"/>
          <xdr:cNvSpPr txBox="1"/>
        </xdr:nvSpPr>
        <xdr:spPr>
          <a:xfrm rot="17012345">
            <a:off x="2883744" y="6470786"/>
            <a:ext cx="747275" cy="23288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solidFill>
                  <a:srgbClr val="CC0099"/>
                </a:solidFill>
              </a:rPr>
              <a:t>Wing A</a:t>
            </a:r>
            <a:endParaRPr lang="en-IN" sz="900" b="1">
              <a:solidFill>
                <a:srgbClr val="CC0099"/>
              </a:solidFill>
            </a:endParaRPr>
          </a:p>
        </xdr:txBody>
      </xdr:sp>
      <xdr:sp macro="" textlink="">
        <xdr:nvSpPr>
          <xdr:cNvPr id="14" name="TextBox 52"/>
          <xdr:cNvSpPr txBox="1"/>
        </xdr:nvSpPr>
        <xdr:spPr>
          <a:xfrm rot="19112622">
            <a:off x="3134362" y="5778462"/>
            <a:ext cx="586213" cy="23947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solidFill>
                  <a:srgbClr val="FF0000"/>
                </a:solidFill>
              </a:rPr>
              <a:t>Wing B</a:t>
            </a:r>
            <a:endParaRPr lang="en-IN" sz="900" b="1">
              <a:solidFill>
                <a:srgbClr val="FF0000"/>
              </a:solidFill>
            </a:endParaRPr>
          </a:p>
        </xdr:txBody>
      </xdr:sp>
      <xdr:sp macro="" textlink="">
        <xdr:nvSpPr>
          <xdr:cNvPr id="15" name="TextBox 53"/>
          <xdr:cNvSpPr txBox="1"/>
        </xdr:nvSpPr>
        <xdr:spPr>
          <a:xfrm rot="21244650">
            <a:off x="3924160" y="5661932"/>
            <a:ext cx="586213" cy="23947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solidFill>
                  <a:srgbClr val="0000FF"/>
                </a:solidFill>
              </a:rPr>
              <a:t>Wing C</a:t>
            </a:r>
            <a:endParaRPr lang="en-IN" sz="900" b="1">
              <a:solidFill>
                <a:srgbClr val="0000FF"/>
              </a:solidFill>
            </a:endParaRPr>
          </a:p>
        </xdr:txBody>
      </xdr:sp>
      <xdr:sp macro="" textlink="">
        <xdr:nvSpPr>
          <xdr:cNvPr id="16" name="Rectangle 15"/>
          <xdr:cNvSpPr/>
        </xdr:nvSpPr>
        <xdr:spPr>
          <a:xfrm rot="1367001">
            <a:off x="3296217" y="4771646"/>
            <a:ext cx="427077" cy="697833"/>
          </a:xfrm>
          <a:prstGeom prst="rect">
            <a:avLst/>
          </a:prstGeom>
          <a:noFill/>
          <a:ln>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0000FF"/>
              </a:solidFill>
            </a:endParaRPr>
          </a:p>
        </xdr:txBody>
      </xdr:sp>
      <xdr:sp macro="" textlink="">
        <xdr:nvSpPr>
          <xdr:cNvPr id="17" name="TextBox 55"/>
          <xdr:cNvSpPr txBox="1"/>
        </xdr:nvSpPr>
        <xdr:spPr>
          <a:xfrm rot="17693083">
            <a:off x="2639726" y="4812567"/>
            <a:ext cx="1273706" cy="2172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solidFill>
                  <a:srgbClr val="0000FF"/>
                </a:solidFill>
              </a:rPr>
              <a:t>Building No.2/(Wing D)</a:t>
            </a:r>
            <a:endParaRPr lang="en-IN" sz="800" b="1">
              <a:solidFill>
                <a:srgbClr val="0000FF"/>
              </a:solidFill>
            </a:endParaRPr>
          </a:p>
        </xdr:txBody>
      </xdr:sp>
      <xdr:sp macro="" textlink="">
        <xdr:nvSpPr>
          <xdr:cNvPr id="18" name="Freeform 17"/>
          <xdr:cNvSpPr/>
        </xdr:nvSpPr>
        <xdr:spPr>
          <a:xfrm>
            <a:off x="3769785" y="4749518"/>
            <a:ext cx="825899" cy="759958"/>
          </a:xfrm>
          <a:custGeom>
            <a:avLst/>
            <a:gdLst>
              <a:gd name="connsiteX0" fmla="*/ 0 w 723900"/>
              <a:gd name="connsiteY0" fmla="*/ 660400 h 800100"/>
              <a:gd name="connsiteX1" fmla="*/ 260350 w 723900"/>
              <a:gd name="connsiteY1" fmla="*/ 76200 h 800100"/>
              <a:gd name="connsiteX2" fmla="*/ 552450 w 723900"/>
              <a:gd name="connsiteY2" fmla="*/ 0 h 800100"/>
              <a:gd name="connsiteX3" fmla="*/ 723900 w 723900"/>
              <a:gd name="connsiteY3" fmla="*/ 641350 h 800100"/>
              <a:gd name="connsiteX4" fmla="*/ 635000 w 723900"/>
              <a:gd name="connsiteY4" fmla="*/ 781050 h 800100"/>
              <a:gd name="connsiteX5" fmla="*/ 19050 w 723900"/>
              <a:gd name="connsiteY5" fmla="*/ 800100 h 800100"/>
              <a:gd name="connsiteX6" fmla="*/ 0 w 723900"/>
              <a:gd name="connsiteY6" fmla="*/ 660400 h 8001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23900" h="800100">
                <a:moveTo>
                  <a:pt x="0" y="660400"/>
                </a:moveTo>
                <a:lnTo>
                  <a:pt x="260350" y="76200"/>
                </a:lnTo>
                <a:lnTo>
                  <a:pt x="552450" y="0"/>
                </a:lnTo>
                <a:lnTo>
                  <a:pt x="723900" y="641350"/>
                </a:lnTo>
                <a:lnTo>
                  <a:pt x="635000" y="781050"/>
                </a:lnTo>
                <a:lnTo>
                  <a:pt x="19050" y="800100"/>
                </a:lnTo>
                <a:lnTo>
                  <a:pt x="0" y="660400"/>
                </a:lnTo>
                <a:close/>
              </a:path>
            </a:pathLst>
          </a:custGeom>
          <a:noFill/>
          <a:ln>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9" name="TextBox 58"/>
          <xdr:cNvSpPr txBox="1"/>
        </xdr:nvSpPr>
        <xdr:spPr>
          <a:xfrm rot="16044747">
            <a:off x="4017253" y="5002327"/>
            <a:ext cx="1207631" cy="2172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b="1">
                <a:solidFill>
                  <a:srgbClr val="CC0099"/>
                </a:solidFill>
              </a:rPr>
              <a:t>Building No.3/(Wing E)</a:t>
            </a:r>
            <a:endParaRPr lang="en-IN" sz="800" b="1">
              <a:solidFill>
                <a:srgbClr val="CC0099"/>
              </a:solidFill>
            </a:endParaRPr>
          </a:p>
        </xdr:txBody>
      </xdr:sp>
      <xdr:sp macro="" textlink="">
        <xdr:nvSpPr>
          <xdr:cNvPr id="20" name="Rectangle 19"/>
          <xdr:cNvSpPr/>
        </xdr:nvSpPr>
        <xdr:spPr>
          <a:xfrm rot="20856638">
            <a:off x="3885945" y="3430175"/>
            <a:ext cx="423490" cy="1301446"/>
          </a:xfrm>
          <a:prstGeom prst="rect">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0000FF"/>
              </a:solidFill>
            </a:endParaRPr>
          </a:p>
        </xdr:txBody>
      </xdr:sp>
      <xdr:sp macro="" textlink="">
        <xdr:nvSpPr>
          <xdr:cNvPr id="21" name="TextBox 60"/>
          <xdr:cNvSpPr txBox="1"/>
        </xdr:nvSpPr>
        <xdr:spPr>
          <a:xfrm rot="20844091">
            <a:off x="3513896" y="3213823"/>
            <a:ext cx="955599" cy="23947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t>Building No.4</a:t>
            </a:r>
            <a:endParaRPr lang="en-IN" sz="900" b="1"/>
          </a:p>
        </xdr:txBody>
      </xdr:sp>
      <xdr:sp macro="" textlink="">
        <xdr:nvSpPr>
          <xdr:cNvPr id="22" name="Rectangle 21"/>
          <xdr:cNvSpPr/>
        </xdr:nvSpPr>
        <xdr:spPr>
          <a:xfrm rot="20930407">
            <a:off x="4006267" y="4081513"/>
            <a:ext cx="306297" cy="611092"/>
          </a:xfrm>
          <a:prstGeom prst="rect">
            <a:avLst/>
          </a:prstGeom>
          <a:noFill/>
          <a:ln w="9525">
            <a:solidFill>
              <a:srgbClr val="CC0099"/>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1"/>
          </a:p>
        </xdr:txBody>
      </xdr:sp>
      <xdr:sp macro="" textlink="">
        <xdr:nvSpPr>
          <xdr:cNvPr id="23" name="Rectangle 22"/>
          <xdr:cNvSpPr/>
        </xdr:nvSpPr>
        <xdr:spPr>
          <a:xfrm rot="10106926">
            <a:off x="3877024" y="3467340"/>
            <a:ext cx="311944" cy="620052"/>
          </a:xfrm>
          <a:prstGeom prst="rect">
            <a:avLst/>
          </a:prstGeom>
          <a:noFill/>
          <a:ln w="95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b="1"/>
          </a:p>
        </xdr:txBody>
      </xdr:sp>
      <xdr:sp macro="" textlink="">
        <xdr:nvSpPr>
          <xdr:cNvPr id="24" name="TextBox 63"/>
          <xdr:cNvSpPr txBox="1"/>
        </xdr:nvSpPr>
        <xdr:spPr>
          <a:xfrm rot="15437087">
            <a:off x="3794327" y="4188152"/>
            <a:ext cx="768419" cy="23288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solidFill>
                  <a:srgbClr val="CC0099"/>
                </a:solidFill>
              </a:rPr>
              <a:t>Wing F</a:t>
            </a:r>
            <a:endParaRPr lang="en-IN" sz="900" b="1">
              <a:solidFill>
                <a:srgbClr val="CC0099"/>
              </a:solidFill>
            </a:endParaRPr>
          </a:p>
        </xdr:txBody>
      </xdr:sp>
      <xdr:sp macro="" textlink="">
        <xdr:nvSpPr>
          <xdr:cNvPr id="25" name="TextBox 64"/>
          <xdr:cNvSpPr txBox="1"/>
        </xdr:nvSpPr>
        <xdr:spPr>
          <a:xfrm rot="15212210">
            <a:off x="3746663" y="3643412"/>
            <a:ext cx="602801" cy="23288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900" b="1">
                <a:solidFill>
                  <a:srgbClr val="0000FF"/>
                </a:solidFill>
              </a:rPr>
              <a:t>Wing G</a:t>
            </a:r>
            <a:endParaRPr lang="en-IN" sz="900" b="1">
              <a:solidFill>
                <a:srgbClr val="0000FF"/>
              </a:solidFill>
            </a:endParaRPr>
          </a:p>
        </xdr:txBody>
      </xdr:sp>
    </xdr:grpSp>
    <xdr:clientData/>
  </xdr:twoCellAnchor>
  <xdr:twoCellAnchor>
    <xdr:from>
      <xdr:col>0</xdr:col>
      <xdr:colOff>232878</xdr:colOff>
      <xdr:row>460</xdr:row>
      <xdr:rowOff>53686</xdr:rowOff>
    </xdr:from>
    <xdr:to>
      <xdr:col>7</xdr:col>
      <xdr:colOff>424835</xdr:colOff>
      <xdr:row>480</xdr:row>
      <xdr:rowOff>68685</xdr:rowOff>
    </xdr:to>
    <xdr:grpSp>
      <xdr:nvGrpSpPr>
        <xdr:cNvPr id="29" name="Group 28"/>
        <xdr:cNvGrpSpPr/>
      </xdr:nvGrpSpPr>
      <xdr:grpSpPr>
        <a:xfrm>
          <a:off x="232878" y="90579286"/>
          <a:ext cx="6046657" cy="3951999"/>
          <a:chOff x="319844" y="4574750"/>
          <a:chExt cx="5760000" cy="4110749"/>
        </a:xfrm>
      </xdr:grpSpPr>
      <xdr:pic>
        <xdr:nvPicPr>
          <xdr:cNvPr id="30" name="Picture 29"/>
          <xdr:cNvPicPr>
            <a:picLocks noChangeAspect="1"/>
          </xdr:cNvPicPr>
        </xdr:nvPicPr>
        <xdr:blipFill rotWithShape="1">
          <a:blip xmlns:r="http://schemas.openxmlformats.org/officeDocument/2006/relationships" r:embed="rId4"/>
          <a:srcRect t="2099" r="5346"/>
          <a:stretch/>
        </xdr:blipFill>
        <xdr:spPr>
          <a:xfrm>
            <a:off x="319844" y="4574750"/>
            <a:ext cx="5760000" cy="4110749"/>
          </a:xfrm>
          <a:prstGeom prst="rect">
            <a:avLst/>
          </a:prstGeom>
          <a:ln>
            <a:solidFill>
              <a:srgbClr val="000000"/>
            </a:solidFill>
          </a:ln>
        </xdr:spPr>
      </xdr:pic>
      <xdr:sp macro="" textlink="">
        <xdr:nvSpPr>
          <xdr:cNvPr id="31" name="Freeform 30"/>
          <xdr:cNvSpPr/>
        </xdr:nvSpPr>
        <xdr:spPr>
          <a:xfrm>
            <a:off x="2358369" y="6223295"/>
            <a:ext cx="847132" cy="495005"/>
          </a:xfrm>
          <a:custGeom>
            <a:avLst/>
            <a:gdLst>
              <a:gd name="connsiteX0" fmla="*/ 82550 w 2178050"/>
              <a:gd name="connsiteY0" fmla="*/ 0 h 1130300"/>
              <a:gd name="connsiteX1" fmla="*/ 0 w 2178050"/>
              <a:gd name="connsiteY1" fmla="*/ 361950 h 1130300"/>
              <a:gd name="connsiteX2" fmla="*/ 793750 w 2178050"/>
              <a:gd name="connsiteY2" fmla="*/ 660400 h 1130300"/>
              <a:gd name="connsiteX3" fmla="*/ 787400 w 2178050"/>
              <a:gd name="connsiteY3" fmla="*/ 1047750 h 1130300"/>
              <a:gd name="connsiteX4" fmla="*/ 1079500 w 2178050"/>
              <a:gd name="connsiteY4" fmla="*/ 1130300 h 1130300"/>
              <a:gd name="connsiteX5" fmla="*/ 1257300 w 2178050"/>
              <a:gd name="connsiteY5" fmla="*/ 1130300 h 1130300"/>
              <a:gd name="connsiteX6" fmla="*/ 1517650 w 2178050"/>
              <a:gd name="connsiteY6" fmla="*/ 1104900 h 1130300"/>
              <a:gd name="connsiteX7" fmla="*/ 1816100 w 2178050"/>
              <a:gd name="connsiteY7" fmla="*/ 1047750 h 1130300"/>
              <a:gd name="connsiteX8" fmla="*/ 2006600 w 2178050"/>
              <a:gd name="connsiteY8" fmla="*/ 1016000 h 1130300"/>
              <a:gd name="connsiteX9" fmla="*/ 2165350 w 2178050"/>
              <a:gd name="connsiteY9" fmla="*/ 869950 h 1130300"/>
              <a:gd name="connsiteX10" fmla="*/ 2178050 w 2178050"/>
              <a:gd name="connsiteY10" fmla="*/ 673100 h 1130300"/>
              <a:gd name="connsiteX11" fmla="*/ 1892300 w 2178050"/>
              <a:gd name="connsiteY11" fmla="*/ 685800 h 1130300"/>
              <a:gd name="connsiteX12" fmla="*/ 330200 w 2178050"/>
              <a:gd name="connsiteY12" fmla="*/ 139700 h 1130300"/>
              <a:gd name="connsiteX13" fmla="*/ 82550 w 2178050"/>
              <a:gd name="connsiteY13" fmla="*/ 0 h 1130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178050" h="1130300">
                <a:moveTo>
                  <a:pt x="82550" y="0"/>
                </a:moveTo>
                <a:lnTo>
                  <a:pt x="0" y="361950"/>
                </a:lnTo>
                <a:lnTo>
                  <a:pt x="793750" y="660400"/>
                </a:lnTo>
                <a:lnTo>
                  <a:pt x="787400" y="1047750"/>
                </a:lnTo>
                <a:lnTo>
                  <a:pt x="1079500" y="1130300"/>
                </a:lnTo>
                <a:lnTo>
                  <a:pt x="1257300" y="1130300"/>
                </a:lnTo>
                <a:lnTo>
                  <a:pt x="1517650" y="1104900"/>
                </a:lnTo>
                <a:lnTo>
                  <a:pt x="1816100" y="1047750"/>
                </a:lnTo>
                <a:lnTo>
                  <a:pt x="2006600" y="1016000"/>
                </a:lnTo>
                <a:lnTo>
                  <a:pt x="2165350" y="869950"/>
                </a:lnTo>
                <a:lnTo>
                  <a:pt x="2178050" y="673100"/>
                </a:lnTo>
                <a:lnTo>
                  <a:pt x="1892300" y="685800"/>
                </a:lnTo>
                <a:lnTo>
                  <a:pt x="330200" y="139700"/>
                </a:lnTo>
                <a:lnTo>
                  <a:pt x="82550" y="0"/>
                </a:lnTo>
                <a:close/>
              </a:path>
            </a:pathLst>
          </a:cu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0</xdr:col>
      <xdr:colOff>436375</xdr:colOff>
      <xdr:row>441</xdr:row>
      <xdr:rowOff>93429</xdr:rowOff>
    </xdr:from>
    <xdr:to>
      <xdr:col>7</xdr:col>
      <xdr:colOff>259920</xdr:colOff>
      <xdr:row>459</xdr:row>
      <xdr:rowOff>114308</xdr:rowOff>
    </xdr:to>
    <xdr:pic>
      <xdr:nvPicPr>
        <xdr:cNvPr id="33" name="Picture 32"/>
        <xdr:cNvPicPr>
          <a:picLocks noChangeAspect="1"/>
        </xdr:cNvPicPr>
      </xdr:nvPicPr>
      <xdr:blipFill rotWithShape="1">
        <a:blip xmlns:r="http://schemas.openxmlformats.org/officeDocument/2006/relationships" r:embed="rId5"/>
        <a:srcRect l="5934" t="3734"/>
        <a:stretch/>
      </xdr:blipFill>
      <xdr:spPr>
        <a:xfrm>
          <a:off x="436375" y="79453488"/>
          <a:ext cx="5404074" cy="3651585"/>
        </a:xfrm>
        <a:prstGeom prst="rect">
          <a:avLst/>
        </a:prstGeom>
        <a:ln w="3175">
          <a:solidFill>
            <a:schemeClr val="tx1"/>
          </a:solidFill>
        </a:ln>
      </xdr:spPr>
    </xdr:pic>
    <xdr:clientData/>
  </xdr:twoCellAnchor>
  <xdr:twoCellAnchor editAs="oneCell">
    <xdr:from>
      <xdr:col>9</xdr:col>
      <xdr:colOff>576543</xdr:colOff>
      <xdr:row>41</xdr:row>
      <xdr:rowOff>189380</xdr:rowOff>
    </xdr:from>
    <xdr:to>
      <xdr:col>15</xdr:col>
      <xdr:colOff>248840</xdr:colOff>
      <xdr:row>49</xdr:row>
      <xdr:rowOff>111185</xdr:rowOff>
    </xdr:to>
    <xdr:pic>
      <xdr:nvPicPr>
        <xdr:cNvPr id="34" name="Picture 33"/>
        <xdr:cNvPicPr>
          <a:picLocks noChangeAspect="1"/>
        </xdr:cNvPicPr>
      </xdr:nvPicPr>
      <xdr:blipFill>
        <a:blip xmlns:r="http://schemas.openxmlformats.org/officeDocument/2006/relationships" r:embed="rId6"/>
        <a:stretch>
          <a:fillRect/>
        </a:stretch>
      </xdr:blipFill>
      <xdr:spPr>
        <a:xfrm>
          <a:off x="8053668" y="10381130"/>
          <a:ext cx="4501472" cy="1750605"/>
        </a:xfrm>
        <a:prstGeom prst="rect">
          <a:avLst/>
        </a:prstGeom>
      </xdr:spPr>
    </xdr:pic>
    <xdr:clientData/>
  </xdr:twoCellAnchor>
  <xdr:twoCellAnchor editAs="oneCell">
    <xdr:from>
      <xdr:col>9</xdr:col>
      <xdr:colOff>229160</xdr:colOff>
      <xdr:row>49</xdr:row>
      <xdr:rowOff>54910</xdr:rowOff>
    </xdr:from>
    <xdr:to>
      <xdr:col>16</xdr:col>
      <xdr:colOff>6915</xdr:colOff>
      <xdr:row>59</xdr:row>
      <xdr:rowOff>42786</xdr:rowOff>
    </xdr:to>
    <xdr:pic>
      <xdr:nvPicPr>
        <xdr:cNvPr id="35" name="Picture 34"/>
        <xdr:cNvPicPr>
          <a:picLocks noChangeAspect="1"/>
        </xdr:cNvPicPr>
      </xdr:nvPicPr>
      <xdr:blipFill>
        <a:blip xmlns:r="http://schemas.openxmlformats.org/officeDocument/2006/relationships" r:embed="rId7"/>
        <a:stretch>
          <a:fillRect/>
        </a:stretch>
      </xdr:blipFill>
      <xdr:spPr>
        <a:xfrm>
          <a:off x="7706285" y="12075460"/>
          <a:ext cx="5387980" cy="1454726"/>
        </a:xfrm>
        <a:prstGeom prst="rect">
          <a:avLst/>
        </a:prstGeom>
      </xdr:spPr>
    </xdr:pic>
    <xdr:clientData/>
  </xdr:twoCellAnchor>
  <xdr:twoCellAnchor editAs="oneCell">
    <xdr:from>
      <xdr:col>11</xdr:col>
      <xdr:colOff>723900</xdr:colOff>
      <xdr:row>191</xdr:row>
      <xdr:rowOff>47625</xdr:rowOff>
    </xdr:from>
    <xdr:to>
      <xdr:col>19</xdr:col>
      <xdr:colOff>515170</xdr:colOff>
      <xdr:row>212</xdr:row>
      <xdr:rowOff>181581</xdr:rowOff>
    </xdr:to>
    <xdr:pic>
      <xdr:nvPicPr>
        <xdr:cNvPr id="48" name="Picture 47"/>
        <xdr:cNvPicPr>
          <a:picLocks noChangeAspect="1"/>
        </xdr:cNvPicPr>
      </xdr:nvPicPr>
      <xdr:blipFill>
        <a:blip xmlns:r="http://schemas.openxmlformats.org/officeDocument/2006/relationships" r:embed="rId8"/>
        <a:stretch>
          <a:fillRect/>
        </a:stretch>
      </xdr:blipFill>
      <xdr:spPr>
        <a:xfrm>
          <a:off x="9667875" y="36461700"/>
          <a:ext cx="5877745" cy="4334481"/>
        </a:xfrm>
        <a:prstGeom prst="rect">
          <a:avLst/>
        </a:prstGeom>
      </xdr:spPr>
    </xdr:pic>
    <xdr:clientData/>
  </xdr:twoCellAnchor>
  <xdr:twoCellAnchor editAs="oneCell">
    <xdr:from>
      <xdr:col>8</xdr:col>
      <xdr:colOff>352425</xdr:colOff>
      <xdr:row>218</xdr:row>
      <xdr:rowOff>123825</xdr:rowOff>
    </xdr:from>
    <xdr:to>
      <xdr:col>14</xdr:col>
      <xdr:colOff>29253</xdr:colOff>
      <xdr:row>224</xdr:row>
      <xdr:rowOff>38256</xdr:rowOff>
    </xdr:to>
    <xdr:pic>
      <xdr:nvPicPr>
        <xdr:cNvPr id="49" name="Picture 48"/>
        <xdr:cNvPicPr>
          <a:picLocks noChangeAspect="1"/>
        </xdr:cNvPicPr>
      </xdr:nvPicPr>
      <xdr:blipFill>
        <a:blip xmlns:r="http://schemas.openxmlformats.org/officeDocument/2006/relationships" r:embed="rId9"/>
        <a:stretch>
          <a:fillRect/>
        </a:stretch>
      </xdr:blipFill>
      <xdr:spPr>
        <a:xfrm>
          <a:off x="6667500" y="44015025"/>
          <a:ext cx="4858428" cy="1114581"/>
        </a:xfrm>
        <a:prstGeom prst="rect">
          <a:avLst/>
        </a:prstGeom>
      </xdr:spPr>
    </xdr:pic>
    <xdr:clientData/>
  </xdr:twoCellAnchor>
  <xdr:twoCellAnchor editAs="oneCell">
    <xdr:from>
      <xdr:col>8</xdr:col>
      <xdr:colOff>438150</xdr:colOff>
      <xdr:row>224</xdr:row>
      <xdr:rowOff>182766</xdr:rowOff>
    </xdr:from>
    <xdr:to>
      <xdr:col>16</xdr:col>
      <xdr:colOff>182149</xdr:colOff>
      <xdr:row>236</xdr:row>
      <xdr:rowOff>57558</xdr:rowOff>
    </xdr:to>
    <xdr:pic>
      <xdr:nvPicPr>
        <xdr:cNvPr id="50" name="Picture 49"/>
        <xdr:cNvPicPr>
          <a:picLocks noChangeAspect="1"/>
        </xdr:cNvPicPr>
      </xdr:nvPicPr>
      <xdr:blipFill>
        <a:blip xmlns:r="http://schemas.openxmlformats.org/officeDocument/2006/relationships" r:embed="rId10"/>
        <a:stretch>
          <a:fillRect/>
        </a:stretch>
      </xdr:blipFill>
      <xdr:spPr>
        <a:xfrm>
          <a:off x="6753225" y="45274116"/>
          <a:ext cx="6516274" cy="2265567"/>
        </a:xfrm>
        <a:prstGeom prst="rect">
          <a:avLst/>
        </a:prstGeom>
      </xdr:spPr>
    </xdr:pic>
    <xdr:clientData/>
  </xdr:twoCellAnchor>
  <xdr:twoCellAnchor editAs="oneCell">
    <xdr:from>
      <xdr:col>9</xdr:col>
      <xdr:colOff>309842</xdr:colOff>
      <xdr:row>243</xdr:row>
      <xdr:rowOff>146661</xdr:rowOff>
    </xdr:from>
    <xdr:to>
      <xdr:col>16</xdr:col>
      <xdr:colOff>361116</xdr:colOff>
      <xdr:row>256</xdr:row>
      <xdr:rowOff>3170</xdr:rowOff>
    </xdr:to>
    <xdr:pic>
      <xdr:nvPicPr>
        <xdr:cNvPr id="51" name="Picture 50"/>
        <xdr:cNvPicPr>
          <a:picLocks noChangeAspect="1"/>
        </xdr:cNvPicPr>
      </xdr:nvPicPr>
      <xdr:blipFill>
        <a:blip xmlns:r="http://schemas.openxmlformats.org/officeDocument/2006/relationships" r:embed="rId11"/>
        <a:stretch>
          <a:fillRect/>
        </a:stretch>
      </xdr:blipFill>
      <xdr:spPr>
        <a:xfrm>
          <a:off x="7784166" y="47603573"/>
          <a:ext cx="5665421" cy="2478685"/>
        </a:xfrm>
        <a:prstGeom prst="rect">
          <a:avLst/>
        </a:prstGeom>
      </xdr:spPr>
    </xdr:pic>
    <xdr:clientData/>
  </xdr:twoCellAnchor>
  <xdr:twoCellAnchor editAs="oneCell">
    <xdr:from>
      <xdr:col>8</xdr:col>
      <xdr:colOff>1141931</xdr:colOff>
      <xdr:row>259</xdr:row>
      <xdr:rowOff>123845</xdr:rowOff>
    </xdr:from>
    <xdr:to>
      <xdr:col>18</xdr:col>
      <xdr:colOff>303236</xdr:colOff>
      <xdr:row>281</xdr:row>
      <xdr:rowOff>29345</xdr:rowOff>
    </xdr:to>
    <xdr:pic>
      <xdr:nvPicPr>
        <xdr:cNvPr id="52" name="Picture 51"/>
        <xdr:cNvPicPr>
          <a:picLocks noChangeAspect="1"/>
        </xdr:cNvPicPr>
      </xdr:nvPicPr>
      <xdr:blipFill>
        <a:blip xmlns:r="http://schemas.openxmlformats.org/officeDocument/2006/relationships" r:embed="rId12"/>
        <a:stretch>
          <a:fillRect/>
        </a:stretch>
      </xdr:blipFill>
      <xdr:spPr>
        <a:xfrm>
          <a:off x="7450843" y="50808051"/>
          <a:ext cx="7151099" cy="4343029"/>
        </a:xfrm>
        <a:prstGeom prst="rect">
          <a:avLst/>
        </a:prstGeom>
      </xdr:spPr>
    </xdr:pic>
    <xdr:clientData/>
  </xdr:twoCellAnchor>
  <xdr:twoCellAnchor>
    <xdr:from>
      <xdr:col>4</xdr:col>
      <xdr:colOff>390526</xdr:colOff>
      <xdr:row>432</xdr:row>
      <xdr:rowOff>142875</xdr:rowOff>
    </xdr:from>
    <xdr:to>
      <xdr:col>5</xdr:col>
      <xdr:colOff>76200</xdr:colOff>
      <xdr:row>432</xdr:row>
      <xdr:rowOff>161925</xdr:rowOff>
    </xdr:to>
    <xdr:cxnSp macro="">
      <xdr:nvCxnSpPr>
        <xdr:cNvPr id="4" name="Straight Arrow Connector 3"/>
        <xdr:cNvCxnSpPr/>
      </xdr:nvCxnSpPr>
      <xdr:spPr>
        <a:xfrm flipH="1">
          <a:off x="3714751" y="76390500"/>
          <a:ext cx="466724" cy="1905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95250</xdr:colOff>
      <xdr:row>431</xdr:row>
      <xdr:rowOff>180975</xdr:rowOff>
    </xdr:from>
    <xdr:ext cx="319831" cy="342786"/>
    <xdr:sp macro="" textlink="">
      <xdr:nvSpPr>
        <xdr:cNvPr id="32" name="TextBox 31"/>
        <xdr:cNvSpPr txBox="1"/>
      </xdr:nvSpPr>
      <xdr:spPr>
        <a:xfrm>
          <a:off x="3419475" y="76228575"/>
          <a:ext cx="31983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N</a:t>
          </a:r>
        </a:p>
      </xdr:txBody>
    </xdr:sp>
    <xdr:clientData/>
  </xdr:oneCellAnchor>
  <xdr:oneCellAnchor>
    <xdr:from>
      <xdr:col>10</xdr:col>
      <xdr:colOff>50800</xdr:colOff>
      <xdr:row>321</xdr:row>
      <xdr:rowOff>133350</xdr:rowOff>
    </xdr:from>
    <xdr:ext cx="708912" cy="311496"/>
    <xdr:sp macro="" textlink="">
      <xdr:nvSpPr>
        <xdr:cNvPr id="3" name="TextBox 2"/>
        <xdr:cNvSpPr txBox="1"/>
      </xdr:nvSpPr>
      <xdr:spPr>
        <a:xfrm>
          <a:off x="8693150" y="6329680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A Wing</a:t>
          </a:r>
        </a:p>
      </xdr:txBody>
    </xdr:sp>
    <xdr:clientData/>
  </xdr:oneCellAnchor>
  <xdr:oneCellAnchor>
    <xdr:from>
      <xdr:col>10</xdr:col>
      <xdr:colOff>50800</xdr:colOff>
      <xdr:row>364</xdr:row>
      <xdr:rowOff>133350</xdr:rowOff>
    </xdr:from>
    <xdr:ext cx="596574" cy="264560"/>
    <xdr:sp macro="" textlink="">
      <xdr:nvSpPr>
        <xdr:cNvPr id="72" name="TextBox 71"/>
        <xdr:cNvSpPr txBox="1"/>
      </xdr:nvSpPr>
      <xdr:spPr>
        <a:xfrm>
          <a:off x="8693150" y="6329680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A Wing</a:t>
          </a:r>
        </a:p>
      </xdr:txBody>
    </xdr:sp>
    <xdr:clientData/>
  </xdr:oneCellAnchor>
  <xdr:twoCellAnchor>
    <xdr:from>
      <xdr:col>0</xdr:col>
      <xdr:colOff>114300</xdr:colOff>
      <xdr:row>312</xdr:row>
      <xdr:rowOff>171450</xdr:rowOff>
    </xdr:from>
    <xdr:to>
      <xdr:col>7</xdr:col>
      <xdr:colOff>657982</xdr:colOff>
      <xdr:row>347</xdr:row>
      <xdr:rowOff>34622</xdr:rowOff>
    </xdr:to>
    <xdr:grpSp>
      <xdr:nvGrpSpPr>
        <xdr:cNvPr id="27" name="Group 26"/>
        <xdr:cNvGrpSpPr/>
      </xdr:nvGrpSpPr>
      <xdr:grpSpPr>
        <a:xfrm>
          <a:off x="114300" y="61563250"/>
          <a:ext cx="6398382" cy="6752922"/>
          <a:chOff x="114300" y="61499750"/>
          <a:chExt cx="6398382" cy="6752922"/>
        </a:xfrm>
      </xdr:grpSpPr>
      <xdr:pic>
        <xdr:nvPicPr>
          <xdr:cNvPr id="59" name="Picture 5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98412" y="61499750"/>
            <a:ext cx="2877714" cy="2160000"/>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98412" y="63796211"/>
            <a:ext cx="2877714" cy="2160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3412879" y="63796211"/>
            <a:ext cx="2877714" cy="2160000"/>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14300" y="66092672"/>
            <a:ext cx="2877714" cy="2160000"/>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134035" y="66092672"/>
            <a:ext cx="1618313" cy="2160000"/>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4894369" y="66092672"/>
            <a:ext cx="1618313" cy="2160000"/>
          </a:xfrm>
          <a:prstGeom prst="rect">
            <a:avLst/>
          </a:prstGeom>
          <a:ln>
            <a:solidFill>
              <a:schemeClr val="tx1"/>
            </a:solidFill>
          </a:ln>
        </xdr:spPr>
      </xdr:pic>
      <xdr:pic>
        <xdr:nvPicPr>
          <xdr:cNvPr id="73" name="Picture 72"/>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412879" y="61499750"/>
            <a:ext cx="2877714" cy="2160000"/>
          </a:xfrm>
          <a:prstGeom prst="rect">
            <a:avLst/>
          </a:prstGeom>
          <a:ln>
            <a:solidFill>
              <a:schemeClr val="tx1"/>
            </a:solidFill>
          </a:ln>
        </xdr:spPr>
      </xdr:pic>
      <xdr:sp macro="" textlink="">
        <xdr:nvSpPr>
          <xdr:cNvPr id="93" name="TextBox 92"/>
          <xdr:cNvSpPr txBox="1"/>
        </xdr:nvSpPr>
        <xdr:spPr>
          <a:xfrm>
            <a:off x="1420762" y="6271260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A Wing</a:t>
            </a:r>
          </a:p>
        </xdr:txBody>
      </xdr:sp>
      <xdr:sp macro="" textlink="">
        <xdr:nvSpPr>
          <xdr:cNvPr id="94" name="TextBox 93"/>
          <xdr:cNvSpPr txBox="1"/>
        </xdr:nvSpPr>
        <xdr:spPr>
          <a:xfrm>
            <a:off x="4301879" y="6275705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A Wing</a:t>
            </a:r>
          </a:p>
        </xdr:txBody>
      </xdr:sp>
      <xdr:sp macro="" textlink="">
        <xdr:nvSpPr>
          <xdr:cNvPr id="95" name="TextBox 94"/>
          <xdr:cNvSpPr txBox="1"/>
        </xdr:nvSpPr>
        <xdr:spPr>
          <a:xfrm>
            <a:off x="1503312" y="64786811"/>
            <a:ext cx="100206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 &amp; C Wing</a:t>
            </a:r>
          </a:p>
        </xdr:txBody>
      </xdr:sp>
      <xdr:sp macro="" textlink="">
        <xdr:nvSpPr>
          <xdr:cNvPr id="96" name="TextBox 95"/>
          <xdr:cNvSpPr txBox="1"/>
        </xdr:nvSpPr>
        <xdr:spPr>
          <a:xfrm>
            <a:off x="3635129" y="64704261"/>
            <a:ext cx="1002069"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B &amp; C Wing</a:t>
            </a:r>
          </a:p>
        </xdr:txBody>
      </xdr:sp>
      <xdr:sp macro="" textlink="">
        <xdr:nvSpPr>
          <xdr:cNvPr id="97" name="TextBox 96"/>
          <xdr:cNvSpPr txBox="1"/>
        </xdr:nvSpPr>
        <xdr:spPr>
          <a:xfrm>
            <a:off x="819150" y="67013422"/>
            <a:ext cx="71551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D Wing</a:t>
            </a:r>
          </a:p>
        </xdr:txBody>
      </xdr:sp>
      <xdr:sp macro="" textlink="">
        <xdr:nvSpPr>
          <xdr:cNvPr id="98" name="TextBox 97"/>
          <xdr:cNvSpPr txBox="1"/>
        </xdr:nvSpPr>
        <xdr:spPr>
          <a:xfrm>
            <a:off x="3705535" y="67800822"/>
            <a:ext cx="71551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E Wing</a:t>
            </a:r>
          </a:p>
        </xdr:txBody>
      </xdr:sp>
      <xdr:sp macro="" textlink="">
        <xdr:nvSpPr>
          <xdr:cNvPr id="99" name="TextBox 98"/>
          <xdr:cNvSpPr txBox="1"/>
        </xdr:nvSpPr>
        <xdr:spPr>
          <a:xfrm>
            <a:off x="5503969" y="67705572"/>
            <a:ext cx="715517"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E Wing</a:t>
            </a:r>
          </a:p>
        </xdr:txBody>
      </xdr:sp>
    </xdr:grpSp>
    <xdr:clientData/>
  </xdr:twoCellAnchor>
  <xdr:twoCellAnchor>
    <xdr:from>
      <xdr:col>0</xdr:col>
      <xdr:colOff>95250</xdr:colOff>
      <xdr:row>355</xdr:row>
      <xdr:rowOff>146050</xdr:rowOff>
    </xdr:from>
    <xdr:to>
      <xdr:col>7</xdr:col>
      <xdr:colOff>665952</xdr:colOff>
      <xdr:row>389</xdr:row>
      <xdr:rowOff>155598</xdr:rowOff>
    </xdr:to>
    <xdr:grpSp>
      <xdr:nvGrpSpPr>
        <xdr:cNvPr id="26" name="Group 25"/>
        <xdr:cNvGrpSpPr/>
      </xdr:nvGrpSpPr>
      <xdr:grpSpPr>
        <a:xfrm>
          <a:off x="95250" y="70002400"/>
          <a:ext cx="6425402" cy="6702448"/>
          <a:chOff x="95250" y="69919850"/>
          <a:chExt cx="6425402" cy="6702448"/>
        </a:xfrm>
      </xdr:grpSpPr>
      <xdr:pic>
        <xdr:nvPicPr>
          <xdr:cNvPr id="74" name="Picture 73"/>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4270759" y="74462298"/>
            <a:ext cx="1618313" cy="2160000"/>
          </a:xfrm>
          <a:prstGeom prst="rect">
            <a:avLst/>
          </a:prstGeom>
          <a:ln>
            <a:solidFill>
              <a:schemeClr val="tx1"/>
            </a:solidFill>
          </a:ln>
        </xdr:spPr>
      </xdr:pic>
      <xdr:pic>
        <xdr:nvPicPr>
          <xdr:cNvPr id="75" name="Picture 74"/>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4902339" y="69919850"/>
            <a:ext cx="1618313" cy="2160000"/>
          </a:xfrm>
          <a:prstGeom prst="rect">
            <a:avLst/>
          </a:prstGeom>
          <a:ln>
            <a:solidFill>
              <a:schemeClr val="tx1"/>
            </a:solidFill>
          </a:ln>
        </xdr:spPr>
      </xdr:pic>
      <xdr:pic>
        <xdr:nvPicPr>
          <xdr:cNvPr id="76" name="Picture 75"/>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3128495" y="69919850"/>
            <a:ext cx="1618313" cy="2160000"/>
          </a:xfrm>
          <a:prstGeom prst="rect">
            <a:avLst/>
          </a:prstGeom>
          <a:ln>
            <a:solidFill>
              <a:schemeClr val="tx1"/>
            </a:solidFill>
          </a:ln>
        </xdr:spPr>
      </xdr:pic>
      <xdr:pic>
        <xdr:nvPicPr>
          <xdr:cNvPr id="77" name="Picture 76"/>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3370581" y="72191074"/>
            <a:ext cx="2877714" cy="2160000"/>
          </a:xfrm>
          <a:prstGeom prst="rect">
            <a:avLst/>
          </a:prstGeom>
          <a:ln>
            <a:solidFill>
              <a:schemeClr val="tx1"/>
            </a:solidFill>
          </a:ln>
        </xdr:spPr>
      </xdr:pic>
      <xdr:pic>
        <xdr:nvPicPr>
          <xdr:cNvPr id="78" name="Picture 77"/>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2496155" y="74462298"/>
            <a:ext cx="1618313" cy="2160000"/>
          </a:xfrm>
          <a:prstGeom prst="rect">
            <a:avLst/>
          </a:prstGeom>
          <a:ln>
            <a:solidFill>
              <a:schemeClr val="tx1"/>
            </a:solidFill>
          </a:ln>
        </xdr:spPr>
      </xdr:pic>
      <xdr:pic>
        <xdr:nvPicPr>
          <xdr:cNvPr id="79" name="Picture 78"/>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337336" y="72191074"/>
            <a:ext cx="2877714" cy="2160000"/>
          </a:xfrm>
          <a:prstGeom prst="rect">
            <a:avLst/>
          </a:prstGeom>
          <a:ln>
            <a:solidFill>
              <a:schemeClr val="tx1"/>
            </a:solidFill>
          </a:ln>
        </xdr:spPr>
      </xdr:pic>
      <xdr:pic>
        <xdr:nvPicPr>
          <xdr:cNvPr id="80" name="Picture 79"/>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95250" y="69919850"/>
            <a:ext cx="2877714" cy="2160000"/>
          </a:xfrm>
          <a:prstGeom prst="rect">
            <a:avLst/>
          </a:prstGeom>
          <a:ln>
            <a:solidFill>
              <a:schemeClr val="tx1"/>
            </a:solidFill>
          </a:ln>
        </xdr:spPr>
      </xdr:pic>
      <xdr:pic>
        <xdr:nvPicPr>
          <xdr:cNvPr id="92" name="Picture 91"/>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721551" y="74462298"/>
            <a:ext cx="1618313" cy="2160000"/>
          </a:xfrm>
          <a:prstGeom prst="rect">
            <a:avLst/>
          </a:prstGeom>
          <a:ln>
            <a:solidFill>
              <a:schemeClr val="tx1"/>
            </a:solidFill>
          </a:ln>
        </xdr:spPr>
      </xdr:pic>
      <xdr:sp macro="" textlink="">
        <xdr:nvSpPr>
          <xdr:cNvPr id="100" name="TextBox 99"/>
          <xdr:cNvSpPr txBox="1"/>
        </xdr:nvSpPr>
        <xdr:spPr>
          <a:xfrm>
            <a:off x="1847850" y="70510400"/>
            <a:ext cx="687561"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F Wing</a:t>
            </a:r>
          </a:p>
        </xdr:txBody>
      </xdr:sp>
      <xdr:sp macro="" textlink="">
        <xdr:nvSpPr>
          <xdr:cNvPr id="101" name="TextBox 100"/>
          <xdr:cNvSpPr txBox="1"/>
        </xdr:nvSpPr>
        <xdr:spPr>
          <a:xfrm>
            <a:off x="514350" y="70624700"/>
            <a:ext cx="718274"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G Wing</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739TehQ2yScAZwH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441"/>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52" t="s">
        <v>162</v>
      </c>
      <c r="B1" s="152"/>
      <c r="C1" s="152"/>
      <c r="D1" s="152"/>
      <c r="E1" s="152"/>
      <c r="F1" s="152"/>
      <c r="G1" s="152"/>
      <c r="H1" s="152"/>
    </row>
    <row r="2" spans="1:26" ht="16.5" customHeight="1" x14ac:dyDescent="0.35">
      <c r="A2" s="143" t="s">
        <v>0</v>
      </c>
      <c r="B2" s="143"/>
      <c r="C2" s="143"/>
      <c r="D2" s="143"/>
      <c r="E2" s="143"/>
      <c r="F2" s="143"/>
      <c r="G2" s="143"/>
      <c r="H2" s="143"/>
    </row>
    <row r="3" spans="1:26" x14ac:dyDescent="0.35">
      <c r="A3" s="123" t="s">
        <v>1</v>
      </c>
      <c r="B3" s="123"/>
      <c r="C3" s="123"/>
      <c r="D3" s="123"/>
      <c r="E3" s="123" t="str">
        <f ca="1">TEXT(TODAY(),"DD/MM/YYYY")</f>
        <v>30/07/2025</v>
      </c>
      <c r="F3" s="123"/>
      <c r="G3" s="123"/>
      <c r="H3" s="123"/>
      <c r="K3" s="50" t="s">
        <v>234</v>
      </c>
      <c r="L3" s="48" t="s">
        <v>232</v>
      </c>
      <c r="M3" s="48" t="s">
        <v>237</v>
      </c>
      <c r="N3" s="48" t="s">
        <v>235</v>
      </c>
      <c r="O3" s="48" t="s">
        <v>236</v>
      </c>
      <c r="P3" s="48" t="s">
        <v>238</v>
      </c>
    </row>
    <row r="4" spans="1:26" ht="15" customHeight="1" x14ac:dyDescent="0.35">
      <c r="A4" s="123" t="s">
        <v>231</v>
      </c>
      <c r="B4" s="123"/>
      <c r="C4" s="123"/>
      <c r="D4" s="123"/>
      <c r="E4" s="123" t="s">
        <v>232</v>
      </c>
      <c r="F4" s="123"/>
      <c r="G4" s="123"/>
      <c r="H4" s="123"/>
      <c r="K4" s="47" t="s">
        <v>233</v>
      </c>
      <c r="L4" s="48" t="s">
        <v>168</v>
      </c>
      <c r="M4" s="48" t="s">
        <v>242</v>
      </c>
      <c r="N4" s="48" t="s">
        <v>244</v>
      </c>
      <c r="O4" s="48" t="s">
        <v>246</v>
      </c>
      <c r="P4" s="48"/>
    </row>
    <row r="5" spans="1:26" ht="15" customHeight="1" x14ac:dyDescent="0.35">
      <c r="A5" s="123" t="s">
        <v>2</v>
      </c>
      <c r="B5" s="123"/>
      <c r="C5" s="123"/>
      <c r="D5" s="123"/>
      <c r="E5" s="123" t="s">
        <v>241</v>
      </c>
      <c r="F5" s="123"/>
      <c r="G5" s="123"/>
      <c r="H5" s="123"/>
      <c r="K5" s="47"/>
      <c r="L5" s="48" t="s">
        <v>239</v>
      </c>
      <c r="M5" s="48" t="s">
        <v>243</v>
      </c>
      <c r="N5" s="48" t="s">
        <v>245</v>
      </c>
      <c r="O5" s="48" t="s">
        <v>247</v>
      </c>
      <c r="P5" s="48"/>
    </row>
    <row r="6" spans="1:26" x14ac:dyDescent="0.35">
      <c r="A6" s="123" t="s">
        <v>3</v>
      </c>
      <c r="B6" s="123"/>
      <c r="C6" s="123"/>
      <c r="D6" s="123"/>
      <c r="E6" s="154">
        <v>45868</v>
      </c>
      <c r="F6" s="123"/>
      <c r="G6" s="123"/>
      <c r="H6" s="123"/>
      <c r="K6" s="47"/>
      <c r="L6" s="48" t="s">
        <v>240</v>
      </c>
      <c r="M6" s="48"/>
      <c r="N6" s="48"/>
      <c r="O6" s="48" t="s">
        <v>248</v>
      </c>
      <c r="P6" s="48"/>
    </row>
    <row r="7" spans="1:26" ht="16.5" customHeight="1" x14ac:dyDescent="0.35">
      <c r="A7" s="123" t="s">
        <v>4</v>
      </c>
      <c r="B7" s="123"/>
      <c r="C7" s="123"/>
      <c r="D7" s="123"/>
      <c r="E7" s="123" t="s">
        <v>300</v>
      </c>
      <c r="F7" s="123"/>
      <c r="G7" s="123"/>
      <c r="H7" s="123"/>
      <c r="K7" s="47"/>
      <c r="L7" s="48" t="s">
        <v>241</v>
      </c>
      <c r="M7" s="48"/>
      <c r="N7" s="48"/>
      <c r="O7" s="48" t="s">
        <v>248</v>
      </c>
      <c r="P7" s="48"/>
    </row>
    <row r="8" spans="1:26" ht="15" customHeight="1" x14ac:dyDescent="0.35">
      <c r="A8" s="123" t="s">
        <v>5</v>
      </c>
      <c r="B8" s="123"/>
      <c r="C8" s="123"/>
      <c r="D8" s="123"/>
      <c r="E8" s="123" t="str">
        <f>E7</f>
        <v>Green World Realtors</v>
      </c>
      <c r="F8" s="123"/>
      <c r="G8" s="123"/>
      <c r="H8" s="123"/>
      <c r="K8" s="47"/>
      <c r="L8" s="48"/>
      <c r="M8" s="48"/>
      <c r="N8" s="48"/>
      <c r="O8" s="48" t="s">
        <v>249</v>
      </c>
      <c r="P8" s="48"/>
    </row>
    <row r="9" spans="1:26" x14ac:dyDescent="0.35">
      <c r="A9" s="123" t="s">
        <v>6</v>
      </c>
      <c r="B9" s="123"/>
      <c r="C9" s="123"/>
      <c r="D9" s="123"/>
      <c r="E9" s="153" t="s">
        <v>301</v>
      </c>
      <c r="F9" s="153"/>
      <c r="G9" s="153"/>
      <c r="H9" s="153"/>
      <c r="K9" s="47"/>
      <c r="L9" s="48"/>
      <c r="M9" s="48"/>
      <c r="N9" s="48"/>
      <c r="O9" s="48" t="s">
        <v>250</v>
      </c>
      <c r="P9" s="48"/>
    </row>
    <row r="10" spans="1:26" x14ac:dyDescent="0.35">
      <c r="A10" s="123" t="s">
        <v>165</v>
      </c>
      <c r="B10" s="123"/>
      <c r="C10" s="123"/>
      <c r="D10" s="123"/>
      <c r="E10" s="123">
        <v>9920424930</v>
      </c>
      <c r="F10" s="123"/>
      <c r="G10" s="123"/>
      <c r="H10" s="123"/>
      <c r="K10" s="47"/>
      <c r="L10" s="48"/>
      <c r="M10" s="48"/>
      <c r="N10" s="48"/>
      <c r="O10" s="48"/>
      <c r="P10" s="48"/>
    </row>
    <row r="11" spans="1:26" x14ac:dyDescent="0.35">
      <c r="A11" s="123" t="s">
        <v>166</v>
      </c>
      <c r="B11" s="123"/>
      <c r="C11" s="123"/>
      <c r="D11" s="123"/>
      <c r="E11" s="123" t="s">
        <v>302</v>
      </c>
      <c r="F11" s="123"/>
      <c r="G11" s="123"/>
      <c r="H11" s="123"/>
    </row>
    <row r="12" spans="1:26" ht="67.5" customHeight="1" x14ac:dyDescent="0.35">
      <c r="A12" s="123" t="s">
        <v>7</v>
      </c>
      <c r="B12" s="123"/>
      <c r="C12" s="123"/>
      <c r="D12" s="123"/>
      <c r="E12" s="122" t="s">
        <v>356</v>
      </c>
      <c r="F12" s="123"/>
      <c r="G12" s="123"/>
      <c r="H12" s="123"/>
    </row>
    <row r="13" spans="1:26" x14ac:dyDescent="0.35">
      <c r="A13" s="123" t="s">
        <v>169</v>
      </c>
      <c r="B13" s="123"/>
      <c r="C13" s="123"/>
      <c r="D13" s="123"/>
      <c r="E13" s="123" t="s">
        <v>27</v>
      </c>
      <c r="F13" s="123"/>
      <c r="G13" s="123"/>
      <c r="H13" s="123"/>
      <c r="S13" s="48" t="s">
        <v>176</v>
      </c>
      <c r="T13" s="48" t="s">
        <v>186</v>
      </c>
      <c r="U13" s="48" t="s">
        <v>170</v>
      </c>
      <c r="V13" s="48" t="s">
        <v>191</v>
      </c>
      <c r="W13" s="48" t="s">
        <v>209</v>
      </c>
      <c r="X13"/>
      <c r="Y13" t="s">
        <v>191</v>
      </c>
      <c r="Z13" t="e">
        <f ca="1">OFFSET($S$13,1,MATCH($G20,$S$13:$W$13,0)-1,15,1)</f>
        <v>#VALUE!</v>
      </c>
    </row>
    <row r="14" spans="1:26" x14ac:dyDescent="0.35">
      <c r="A14" s="102" t="s">
        <v>277</v>
      </c>
      <c r="B14" s="102"/>
      <c r="C14" s="102"/>
      <c r="D14" s="102"/>
      <c r="E14" s="122" t="s">
        <v>303</v>
      </c>
      <c r="F14" s="122"/>
      <c r="G14" s="122"/>
      <c r="H14" s="122"/>
      <c r="S14" s="48" t="s">
        <v>177</v>
      </c>
      <c r="T14" s="48" t="s">
        <v>184</v>
      </c>
      <c r="U14" s="48" t="s">
        <v>206</v>
      </c>
      <c r="V14" s="48" t="s">
        <v>192</v>
      </c>
      <c r="W14" s="48" t="s">
        <v>210</v>
      </c>
      <c r="X14"/>
      <c r="Y14"/>
      <c r="Z14"/>
    </row>
    <row r="15" spans="1:26" ht="32.25" customHeight="1" x14ac:dyDescent="0.35">
      <c r="A15" s="102" t="s">
        <v>313</v>
      </c>
      <c r="B15" s="102"/>
      <c r="C15" s="102"/>
      <c r="D15" s="102"/>
      <c r="E15" s="122" t="s">
        <v>355</v>
      </c>
      <c r="F15" s="123"/>
      <c r="G15" s="123"/>
      <c r="H15" s="123"/>
      <c r="I15" s="95" t="e">
        <f ca="1">OFFSET($D$5,1,MATCH($J13,$D$5:$H$5,0)-1,15,1)</f>
        <v>#N/A</v>
      </c>
      <c r="J15" s="96"/>
      <c r="K15" s="96"/>
      <c r="L15" s="96"/>
      <c r="M15" s="96"/>
      <c r="N15" s="96"/>
      <c r="O15" s="96"/>
      <c r="P15" s="96"/>
      <c r="S15" s="48" t="s">
        <v>178</v>
      </c>
      <c r="T15" s="48" t="s">
        <v>185</v>
      </c>
      <c r="U15" s="48" t="s">
        <v>207</v>
      </c>
      <c r="V15" s="48" t="s">
        <v>193</v>
      </c>
      <c r="W15" s="48" t="s">
        <v>223</v>
      </c>
      <c r="X15"/>
      <c r="Y15"/>
      <c r="Z15"/>
    </row>
    <row r="16" spans="1:26" ht="48.75" customHeight="1" x14ac:dyDescent="0.35">
      <c r="A16" s="108" t="s">
        <v>8</v>
      </c>
      <c r="B16" s="108"/>
      <c r="C16" s="108" t="str">
        <f>CONCATENATE((IF(OR(E9="",E9="NA"),"",E9)),", ",(IF(OR(A17="",A17="NA"),"",A17)),".",(IF(OR(C17="",C17="NA"),"",C17)),", near ",(IF(OR(C22="",C22="NA"),"",C22)),", ",(IF(OR(C19="",C19="NA"),"",C19)),", ",(IF(OR(C18="",C18="NA"),"",C18)),", ",(IF(OR(G19="",G19="NA"),"",G19)),", ",(IF(OR(C20="",C20="NA"),"",C20)),", ",(IF(OR(C21="",C21="NA"),"",C21)),", ",(IF(OR(G20="",G20="NA"),"",G20))," - ",(IF(OR(G21="",G21="NA"),"",G21)),".")</f>
        <v>The Green Sapphirre, Survey No.43/4/5/6B, near Sai Ram Nagar Bapgaon Housing Complex, Internal Road, Jai Malhar Nagar, Bapgaon, Kalyan West, Bhiwandi, Thane  - 421302.</v>
      </c>
      <c r="D16" s="108"/>
      <c r="E16" s="108"/>
      <c r="F16" s="108"/>
      <c r="G16" s="108"/>
      <c r="H16" s="108"/>
      <c r="S16" s="48" t="s">
        <v>179</v>
      </c>
      <c r="T16" s="48" t="s">
        <v>187</v>
      </c>
      <c r="U16" s="48" t="s">
        <v>208</v>
      </c>
      <c r="V16" s="48" t="s">
        <v>194</v>
      </c>
      <c r="W16" s="48" t="s">
        <v>211</v>
      </c>
      <c r="X16"/>
      <c r="Y16"/>
      <c r="Z16"/>
    </row>
    <row r="17" spans="1:26" x14ac:dyDescent="0.35">
      <c r="A17" s="122" t="s">
        <v>304</v>
      </c>
      <c r="B17" s="122"/>
      <c r="C17" s="122" t="s">
        <v>305</v>
      </c>
      <c r="D17" s="122"/>
      <c r="E17" s="122"/>
      <c r="F17" s="122"/>
      <c r="G17" s="122"/>
      <c r="H17" s="122"/>
      <c r="S17" s="48" t="s">
        <v>180</v>
      </c>
      <c r="T17" s="48" t="s">
        <v>188</v>
      </c>
      <c r="U17" s="48" t="s">
        <v>170</v>
      </c>
      <c r="V17" s="48" t="s">
        <v>195</v>
      </c>
      <c r="W17" s="48" t="s">
        <v>212</v>
      </c>
      <c r="X17"/>
      <c r="Y17"/>
      <c r="Z17"/>
    </row>
    <row r="18" spans="1:26" ht="15.75" customHeight="1" x14ac:dyDescent="0.35">
      <c r="A18" s="122" t="s">
        <v>160</v>
      </c>
      <c r="B18" s="122"/>
      <c r="C18" s="122" t="s">
        <v>309</v>
      </c>
      <c r="D18" s="122"/>
      <c r="E18" s="122"/>
      <c r="F18" s="122"/>
      <c r="G18" s="122"/>
      <c r="H18" s="122"/>
      <c r="S18" s="48" t="s">
        <v>181</v>
      </c>
      <c r="T18" s="48" t="s">
        <v>186</v>
      </c>
      <c r="U18" s="48"/>
      <c r="V18" s="48" t="s">
        <v>196</v>
      </c>
      <c r="W18" s="48" t="s">
        <v>213</v>
      </c>
      <c r="X18"/>
      <c r="Y18"/>
      <c r="Z18"/>
    </row>
    <row r="19" spans="1:26" ht="15.75" customHeight="1" x14ac:dyDescent="0.35">
      <c r="A19" s="108" t="s">
        <v>9</v>
      </c>
      <c r="B19" s="108"/>
      <c r="C19" s="123" t="s">
        <v>310</v>
      </c>
      <c r="D19" s="123"/>
      <c r="E19" s="122" t="s">
        <v>69</v>
      </c>
      <c r="F19" s="122"/>
      <c r="G19" s="122" t="s">
        <v>306</v>
      </c>
      <c r="H19" s="122"/>
      <c r="S19" s="48" t="s">
        <v>182</v>
      </c>
      <c r="T19" s="48" t="s">
        <v>189</v>
      </c>
      <c r="U19" s="48"/>
      <c r="V19" s="48" t="s">
        <v>197</v>
      </c>
      <c r="W19" s="48" t="s">
        <v>214</v>
      </c>
      <c r="X19"/>
      <c r="Y19"/>
      <c r="Z19"/>
    </row>
    <row r="20" spans="1:26" x14ac:dyDescent="0.35">
      <c r="A20" s="102" t="s">
        <v>11</v>
      </c>
      <c r="B20" s="102"/>
      <c r="C20" s="122" t="s">
        <v>311</v>
      </c>
      <c r="D20" s="122"/>
      <c r="E20" s="122" t="s">
        <v>10</v>
      </c>
      <c r="F20" s="122"/>
      <c r="G20" s="156" t="s">
        <v>176</v>
      </c>
      <c r="H20" s="156"/>
      <c r="S20" s="48" t="s">
        <v>183</v>
      </c>
      <c r="T20" s="48" t="s">
        <v>190</v>
      </c>
      <c r="U20" s="48"/>
      <c r="V20" s="48" t="s">
        <v>198</v>
      </c>
      <c r="W20" s="48" t="s">
        <v>215</v>
      </c>
      <c r="X20"/>
      <c r="Y20"/>
      <c r="Z20"/>
    </row>
    <row r="21" spans="1:26" x14ac:dyDescent="0.35">
      <c r="A21" s="102" t="s">
        <v>70</v>
      </c>
      <c r="B21" s="102"/>
      <c r="C21" s="122" t="s">
        <v>180</v>
      </c>
      <c r="D21" s="122"/>
      <c r="E21" s="122" t="s">
        <v>12</v>
      </c>
      <c r="F21" s="122"/>
      <c r="G21" s="122">
        <v>421302</v>
      </c>
      <c r="H21" s="122"/>
      <c r="S21" s="48"/>
      <c r="T21" s="48"/>
      <c r="U21" s="48"/>
      <c r="V21" s="48" t="s">
        <v>199</v>
      </c>
      <c r="W21" s="48" t="s">
        <v>216</v>
      </c>
      <c r="X21"/>
      <c r="Y21"/>
      <c r="Z21"/>
    </row>
    <row r="22" spans="1:26" ht="35.25" customHeight="1" x14ac:dyDescent="0.35">
      <c r="A22" s="102" t="s">
        <v>119</v>
      </c>
      <c r="B22" s="102"/>
      <c r="C22" s="122" t="s">
        <v>354</v>
      </c>
      <c r="D22" s="122"/>
      <c r="E22" s="108" t="s">
        <v>13</v>
      </c>
      <c r="F22" s="108"/>
      <c r="G22" s="122" t="s">
        <v>312</v>
      </c>
      <c r="H22" s="122"/>
      <c r="S22" s="48"/>
      <c r="T22" s="48"/>
      <c r="U22" s="48"/>
      <c r="V22" s="48" t="s">
        <v>200</v>
      </c>
      <c r="W22" s="48" t="s">
        <v>217</v>
      </c>
      <c r="X22"/>
      <c r="Y22"/>
      <c r="Z22"/>
    </row>
    <row r="23" spans="1:26" ht="15" customHeight="1" x14ac:dyDescent="0.35">
      <c r="A23" s="108" t="s">
        <v>72</v>
      </c>
      <c r="B23" s="108"/>
      <c r="C23" s="108"/>
      <c r="D23" s="108"/>
      <c r="E23" s="123" t="s">
        <v>14</v>
      </c>
      <c r="F23" s="123"/>
      <c r="G23" s="123"/>
      <c r="H23" s="123"/>
      <c r="S23" s="48"/>
      <c r="T23" s="48"/>
      <c r="U23" s="48"/>
      <c r="V23" s="48" t="s">
        <v>201</v>
      </c>
      <c r="W23" s="48" t="s">
        <v>218</v>
      </c>
      <c r="X23"/>
      <c r="Y23"/>
      <c r="Z23"/>
    </row>
    <row r="24" spans="1:26" ht="18.75" customHeight="1" x14ac:dyDescent="0.35">
      <c r="A24" s="108"/>
      <c r="B24" s="108"/>
      <c r="C24" s="108"/>
      <c r="D24" s="108"/>
      <c r="E24" s="123"/>
      <c r="F24" s="123"/>
      <c r="G24" s="123"/>
      <c r="H24" s="123"/>
      <c r="S24" s="48"/>
      <c r="T24" s="48"/>
      <c r="U24" s="48"/>
      <c r="V24" s="48" t="s">
        <v>202</v>
      </c>
      <c r="W24" s="48" t="s">
        <v>219</v>
      </c>
      <c r="X24"/>
      <c r="Y24"/>
      <c r="Z24"/>
    </row>
    <row r="25" spans="1:26" ht="15" customHeight="1" x14ac:dyDescent="0.35">
      <c r="A25" s="108" t="s">
        <v>15</v>
      </c>
      <c r="B25" s="108"/>
      <c r="C25" s="108"/>
      <c r="D25" s="108"/>
      <c r="E25" s="122" t="s">
        <v>16</v>
      </c>
      <c r="F25" s="122"/>
      <c r="G25" s="122"/>
      <c r="H25" s="122"/>
      <c r="S25" s="48"/>
      <c r="T25" s="48"/>
      <c r="U25" s="48"/>
      <c r="V25" s="48" t="s">
        <v>203</v>
      </c>
      <c r="W25" s="48" t="s">
        <v>220</v>
      </c>
      <c r="X25"/>
      <c r="Y25"/>
      <c r="Z25"/>
    </row>
    <row r="26" spans="1:26" ht="15" customHeight="1" x14ac:dyDescent="0.35">
      <c r="A26" s="102" t="s">
        <v>17</v>
      </c>
      <c r="B26" s="102"/>
      <c r="C26" s="102"/>
      <c r="D26" s="102"/>
      <c r="E26" s="122" t="str">
        <f>IF(AND(G20="Mumbai"),"Upper Class","Middle Class")</f>
        <v>Middle Class</v>
      </c>
      <c r="F26" s="122"/>
      <c r="G26" s="122"/>
      <c r="H26" s="122"/>
      <c r="S26" s="48"/>
      <c r="T26" s="48"/>
      <c r="U26" s="48"/>
      <c r="V26" s="48" t="s">
        <v>204</v>
      </c>
      <c r="W26" s="48" t="s">
        <v>221</v>
      </c>
      <c r="X26"/>
      <c r="Y26"/>
      <c r="Z26"/>
    </row>
    <row r="27" spans="1:26" x14ac:dyDescent="0.35">
      <c r="A27" s="102" t="s">
        <v>18</v>
      </c>
      <c r="B27" s="102"/>
      <c r="C27" s="102"/>
      <c r="D27" s="102"/>
      <c r="E27" s="122" t="s">
        <v>19</v>
      </c>
      <c r="F27" s="122"/>
      <c r="G27" s="122"/>
      <c r="H27" s="122"/>
      <c r="S27" s="48"/>
      <c r="T27" s="48"/>
      <c r="U27" s="48"/>
      <c r="V27" s="48" t="s">
        <v>205</v>
      </c>
      <c r="W27" s="48" t="s">
        <v>222</v>
      </c>
      <c r="X27"/>
      <c r="Y27"/>
      <c r="Z27"/>
    </row>
    <row r="28" spans="1:26" ht="15.75" customHeight="1" x14ac:dyDescent="0.35">
      <c r="A28" s="102" t="s">
        <v>20</v>
      </c>
      <c r="B28" s="102"/>
      <c r="C28" s="102"/>
      <c r="D28" s="102"/>
      <c r="E28" s="122" t="str">
        <f>IF(AND(G20="Mumbai"),"Developed","Developing")</f>
        <v>Developing</v>
      </c>
      <c r="F28" s="122"/>
      <c r="G28" s="122"/>
      <c r="H28" s="122"/>
    </row>
    <row r="29" spans="1:26" x14ac:dyDescent="0.35">
      <c r="A29" s="102" t="s">
        <v>21</v>
      </c>
      <c r="B29" s="102"/>
      <c r="C29" s="102"/>
      <c r="D29" s="102"/>
      <c r="E29" s="122" t="s">
        <v>22</v>
      </c>
      <c r="F29" s="122"/>
      <c r="G29" s="122"/>
      <c r="H29" s="122"/>
    </row>
    <row r="30" spans="1:26" ht="15.75" customHeight="1" x14ac:dyDescent="0.35">
      <c r="A30" s="102" t="s">
        <v>77</v>
      </c>
      <c r="B30" s="102"/>
      <c r="C30" s="102"/>
      <c r="D30" s="102"/>
      <c r="E30" s="122" t="s">
        <v>78</v>
      </c>
      <c r="F30" s="122"/>
      <c r="G30" s="122"/>
      <c r="H30" s="122"/>
    </row>
    <row r="31" spans="1:26" ht="15" customHeight="1" x14ac:dyDescent="0.35">
      <c r="A31" s="102" t="s">
        <v>29</v>
      </c>
      <c r="B31" s="102"/>
      <c r="C31" s="102"/>
      <c r="D31" s="102"/>
      <c r="E31" s="122"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22"/>
      <c r="G31" s="122"/>
      <c r="H31" s="122"/>
    </row>
    <row r="32" spans="1:26" ht="15.75" customHeight="1" x14ac:dyDescent="0.35">
      <c r="A32" s="102" t="s">
        <v>89</v>
      </c>
      <c r="B32" s="102"/>
      <c r="C32" s="102"/>
      <c r="D32" s="102"/>
      <c r="E32" s="122" t="s">
        <v>30</v>
      </c>
      <c r="F32" s="122"/>
      <c r="G32" s="122"/>
      <c r="H32" s="122"/>
    </row>
    <row r="33" spans="1:19" s="19" customFormat="1" x14ac:dyDescent="0.35">
      <c r="A33" s="163" t="s">
        <v>90</v>
      </c>
      <c r="B33" s="163"/>
      <c r="C33" s="162" t="s">
        <v>171</v>
      </c>
      <c r="D33" s="162"/>
      <c r="E33" s="162"/>
      <c r="F33" s="162" t="s">
        <v>28</v>
      </c>
      <c r="G33" s="162"/>
      <c r="H33" s="162"/>
      <c r="S33" s="19" t="e">
        <f ca="1">OFFSET($S$13,1,MATCH($G20,$S$13:$W$13,0)-1,15,1)</f>
        <v>#VALUE!</v>
      </c>
    </row>
    <row r="34" spans="1:19" s="19" customFormat="1" x14ac:dyDescent="0.35">
      <c r="A34" s="161" t="s">
        <v>23</v>
      </c>
      <c r="B34" s="161" t="s">
        <v>27</v>
      </c>
      <c r="C34" s="157" t="s">
        <v>316</v>
      </c>
      <c r="D34" s="157"/>
      <c r="E34" s="157"/>
      <c r="F34" s="157" t="s">
        <v>314</v>
      </c>
      <c r="G34" s="157"/>
      <c r="H34" s="157"/>
    </row>
    <row r="35" spans="1:19" ht="37.5" customHeight="1" x14ac:dyDescent="0.35">
      <c r="A35" s="155" t="s">
        <v>24</v>
      </c>
      <c r="B35" s="155" t="s">
        <v>27</v>
      </c>
      <c r="C35" s="155" t="s">
        <v>319</v>
      </c>
      <c r="D35" s="155"/>
      <c r="E35" s="155"/>
      <c r="F35" s="155" t="s">
        <v>310</v>
      </c>
      <c r="G35" s="155"/>
      <c r="H35" s="155"/>
    </row>
    <row r="36" spans="1:19" s="19" customFormat="1" x14ac:dyDescent="0.35">
      <c r="A36" s="161" t="s">
        <v>26</v>
      </c>
      <c r="B36" s="161" t="s">
        <v>27</v>
      </c>
      <c r="C36" s="158" t="s">
        <v>317</v>
      </c>
      <c r="D36" s="159"/>
      <c r="E36" s="160"/>
      <c r="F36" s="158" t="s">
        <v>314</v>
      </c>
      <c r="G36" s="159"/>
      <c r="H36" s="160"/>
    </row>
    <row r="37" spans="1:19" x14ac:dyDescent="0.35">
      <c r="A37" s="161" t="s">
        <v>25</v>
      </c>
      <c r="B37" s="161" t="s">
        <v>27</v>
      </c>
      <c r="C37" s="158" t="s">
        <v>318</v>
      </c>
      <c r="D37" s="159"/>
      <c r="E37" s="160"/>
      <c r="F37" s="158" t="s">
        <v>315</v>
      </c>
      <c r="G37" s="159"/>
      <c r="H37" s="160"/>
    </row>
    <row r="38" spans="1:19" x14ac:dyDescent="0.35">
      <c r="A38" s="102" t="s">
        <v>278</v>
      </c>
      <c r="B38" s="102"/>
      <c r="C38" s="102"/>
      <c r="D38" s="102"/>
      <c r="E38" s="102"/>
      <c r="F38" s="102"/>
      <c r="G38" s="102"/>
      <c r="H38" s="102"/>
    </row>
    <row r="39" spans="1:19" ht="15.75" customHeight="1" x14ac:dyDescent="0.35">
      <c r="A39" s="102" t="s">
        <v>163</v>
      </c>
      <c r="B39" s="102"/>
      <c r="C39" s="150" t="s">
        <v>308</v>
      </c>
      <c r="D39" s="150"/>
      <c r="E39" s="150"/>
      <c r="F39" s="150"/>
      <c r="G39" s="150"/>
      <c r="H39" s="150"/>
    </row>
    <row r="40" spans="1:19" x14ac:dyDescent="0.35">
      <c r="A40" s="102" t="s">
        <v>159</v>
      </c>
      <c r="B40" s="102"/>
      <c r="C40" s="197" t="s">
        <v>307</v>
      </c>
      <c r="D40" s="122"/>
      <c r="E40" s="122"/>
      <c r="F40" s="122"/>
      <c r="G40" s="122"/>
      <c r="H40" s="122"/>
    </row>
    <row r="41" spans="1:19" x14ac:dyDescent="0.35">
      <c r="A41" s="150" t="s">
        <v>31</v>
      </c>
      <c r="B41" s="150"/>
      <c r="C41" s="150"/>
      <c r="D41" s="150"/>
      <c r="E41" s="150"/>
      <c r="F41" s="150"/>
      <c r="G41" s="150"/>
      <c r="H41" s="150"/>
    </row>
    <row r="42" spans="1:19" x14ac:dyDescent="0.35">
      <c r="A42" s="102" t="s">
        <v>32</v>
      </c>
      <c r="B42" s="102"/>
      <c r="C42" s="102"/>
      <c r="D42" s="102"/>
      <c r="E42" s="164">
        <v>4473.8999999999996</v>
      </c>
      <c r="F42" s="164"/>
      <c r="G42" s="164"/>
      <c r="H42" s="164"/>
    </row>
    <row r="43" spans="1:19" x14ac:dyDescent="0.35">
      <c r="A43" s="102" t="s">
        <v>33</v>
      </c>
      <c r="B43" s="102"/>
      <c r="C43" s="102"/>
      <c r="D43" s="102"/>
      <c r="E43" s="110">
        <f>4921.29/E42</f>
        <v>1.1000000000000001</v>
      </c>
      <c r="F43" s="110"/>
      <c r="G43" s="110"/>
      <c r="H43" s="110"/>
    </row>
    <row r="44" spans="1:19" x14ac:dyDescent="0.35">
      <c r="A44" s="102" t="s">
        <v>34</v>
      </c>
      <c r="B44" s="102"/>
      <c r="C44" s="102"/>
      <c r="D44" s="102"/>
      <c r="E44" s="110">
        <f>E46/E42-E43</f>
        <v>1.1780124723395695</v>
      </c>
      <c r="F44" s="110"/>
      <c r="G44" s="110"/>
      <c r="H44" s="110"/>
    </row>
    <row r="45" spans="1:19" x14ac:dyDescent="0.35">
      <c r="A45" s="102" t="s">
        <v>35</v>
      </c>
      <c r="B45" s="102"/>
      <c r="C45" s="102"/>
      <c r="D45" s="102"/>
      <c r="E45" s="110">
        <f>E43+E44</f>
        <v>2.2780124723395696</v>
      </c>
      <c r="F45" s="110"/>
      <c r="G45" s="110"/>
      <c r="H45" s="110"/>
    </row>
    <row r="46" spans="1:19" x14ac:dyDescent="0.35">
      <c r="A46" s="102" t="s">
        <v>88</v>
      </c>
      <c r="B46" s="102"/>
      <c r="C46" s="102"/>
      <c r="D46" s="102"/>
      <c r="E46" s="177">
        <v>10191.6</v>
      </c>
      <c r="F46" s="177"/>
      <c r="G46" s="177"/>
      <c r="H46" s="177"/>
    </row>
    <row r="47" spans="1:19" x14ac:dyDescent="0.35">
      <c r="A47" s="123" t="s">
        <v>36</v>
      </c>
      <c r="B47" s="123"/>
      <c r="C47" s="123"/>
      <c r="D47" s="123"/>
      <c r="E47" s="123" t="s">
        <v>320</v>
      </c>
      <c r="F47" s="123"/>
      <c r="G47" s="123"/>
      <c r="H47" s="123"/>
    </row>
    <row r="48" spans="1:19" x14ac:dyDescent="0.35">
      <c r="A48" s="150" t="s">
        <v>37</v>
      </c>
      <c r="B48" s="150"/>
      <c r="C48" s="150"/>
      <c r="D48" s="150"/>
      <c r="E48" s="150"/>
      <c r="F48" s="150"/>
      <c r="G48" s="150"/>
      <c r="H48" s="150"/>
    </row>
    <row r="49" spans="1:24" ht="33.75" customHeight="1" x14ac:dyDescent="0.35">
      <c r="A49" s="114" t="s">
        <v>148</v>
      </c>
      <c r="B49" s="115"/>
      <c r="C49" s="189" t="s">
        <v>261</v>
      </c>
      <c r="D49" s="190"/>
      <c r="E49" s="190"/>
      <c r="F49" s="190"/>
      <c r="G49" s="190"/>
      <c r="H49" s="191"/>
      <c r="R49" t="s">
        <v>251</v>
      </c>
      <c r="S49" t="s">
        <v>170</v>
      </c>
      <c r="T49" t="s">
        <v>176</v>
      </c>
      <c r="U49" t="s">
        <v>191</v>
      </c>
      <c r="V49" t="s">
        <v>186</v>
      </c>
    </row>
    <row r="50" spans="1:24" ht="33.75" customHeight="1" x14ac:dyDescent="0.35">
      <c r="A50" s="114" t="s">
        <v>38</v>
      </c>
      <c r="B50" s="115"/>
      <c r="C50" s="114" t="s">
        <v>321</v>
      </c>
      <c r="D50" s="119"/>
      <c r="E50" s="115"/>
      <c r="F50" s="17" t="s">
        <v>39</v>
      </c>
      <c r="G50" s="120">
        <v>45104</v>
      </c>
      <c r="H50" s="115"/>
      <c r="R50"/>
      <c r="S50" t="s">
        <v>252</v>
      </c>
      <c r="T50" t="s">
        <v>257</v>
      </c>
      <c r="U50" t="s">
        <v>268</v>
      </c>
      <c r="V50" t="s">
        <v>273</v>
      </c>
    </row>
    <row r="51" spans="1:24" ht="31.5" customHeight="1" x14ac:dyDescent="0.35">
      <c r="A51" s="114" t="s">
        <v>40</v>
      </c>
      <c r="B51" s="115"/>
      <c r="C51" s="114" t="str">
        <f>C50</f>
        <v>BS/Rekhakan/BP/Mau.Bapgaon/
Tal.Bhiwandi SSThane/5573</v>
      </c>
      <c r="D51" s="119"/>
      <c r="E51" s="115"/>
      <c r="F51" s="17" t="s">
        <v>39</v>
      </c>
      <c r="G51" s="120">
        <f>G50</f>
        <v>45104</v>
      </c>
      <c r="H51" s="115"/>
      <c r="R51"/>
      <c r="S51" t="s">
        <v>253</v>
      </c>
      <c r="T51" t="s">
        <v>258</v>
      </c>
      <c r="U51" t="s">
        <v>266</v>
      </c>
      <c r="V51" t="s">
        <v>274</v>
      </c>
    </row>
    <row r="52" spans="1:24" s="20" customFormat="1" ht="34.5" customHeight="1" x14ac:dyDescent="0.35">
      <c r="A52" s="131" t="s">
        <v>152</v>
      </c>
      <c r="B52" s="132"/>
      <c r="C52" s="114" t="s">
        <v>322</v>
      </c>
      <c r="D52" s="119"/>
      <c r="E52" s="115"/>
      <c r="F52" s="17" t="s">
        <v>39</v>
      </c>
      <c r="G52" s="120">
        <v>45260</v>
      </c>
      <c r="H52" s="115"/>
      <c r="R52"/>
      <c r="S52" t="s">
        <v>254</v>
      </c>
      <c r="T52" t="s">
        <v>259</v>
      </c>
      <c r="U52" t="s">
        <v>256</v>
      </c>
      <c r="V52" t="s">
        <v>275</v>
      </c>
    </row>
    <row r="53" spans="1:24" s="20" customFormat="1" x14ac:dyDescent="0.35">
      <c r="A53" s="133"/>
      <c r="B53" s="134"/>
      <c r="C53" s="114" t="s">
        <v>323</v>
      </c>
      <c r="D53" s="119"/>
      <c r="E53" s="119"/>
      <c r="F53" s="119"/>
      <c r="G53" s="119"/>
      <c r="H53" s="115"/>
      <c r="R53"/>
      <c r="S53" t="s">
        <v>255</v>
      </c>
      <c r="T53" t="s">
        <v>262</v>
      </c>
      <c r="U53" t="s">
        <v>269</v>
      </c>
    </row>
    <row r="54" spans="1:24" s="20" customFormat="1" hidden="1" x14ac:dyDescent="0.35">
      <c r="A54" s="127" t="s">
        <v>279</v>
      </c>
      <c r="B54" s="128"/>
      <c r="C54" s="114" t="str">
        <f>C53</f>
        <v>(Building No.1 to 4) = Gr/St + 1st to 7th Floor</v>
      </c>
      <c r="D54" s="119"/>
      <c r="E54" s="115"/>
      <c r="F54" s="17" t="s">
        <v>39</v>
      </c>
      <c r="G54" s="114"/>
      <c r="H54" s="115"/>
      <c r="R54"/>
      <c r="S54" t="s">
        <v>254</v>
      </c>
      <c r="T54" t="s">
        <v>259</v>
      </c>
      <c r="U54" t="s">
        <v>256</v>
      </c>
      <c r="V54" t="s">
        <v>275</v>
      </c>
    </row>
    <row r="55" spans="1:24" s="20" customFormat="1" ht="32.25" hidden="1" customHeight="1" x14ac:dyDescent="0.35">
      <c r="A55" s="129"/>
      <c r="B55" s="130"/>
      <c r="C55" s="202"/>
      <c r="D55" s="203"/>
      <c r="E55" s="203"/>
      <c r="F55" s="203"/>
      <c r="G55" s="203"/>
      <c r="H55" s="204"/>
      <c r="R55"/>
      <c r="S55" t="s">
        <v>256</v>
      </c>
      <c r="T55" t="s">
        <v>260</v>
      </c>
      <c r="U55" t="s">
        <v>270</v>
      </c>
      <c r="V55" s="18"/>
      <c r="W55" s="18"/>
      <c r="X55" s="18"/>
    </row>
    <row r="56" spans="1:24" s="20" customFormat="1" ht="34.5" hidden="1" customHeight="1" x14ac:dyDescent="0.35">
      <c r="A56" s="127" t="s">
        <v>280</v>
      </c>
      <c r="B56" s="128"/>
      <c r="C56" s="114">
        <f>C55</f>
        <v>0</v>
      </c>
      <c r="D56" s="119"/>
      <c r="E56" s="115"/>
      <c r="F56" s="17" t="s">
        <v>39</v>
      </c>
      <c r="G56" s="114">
        <f>G55</f>
        <v>0</v>
      </c>
      <c r="H56" s="115"/>
      <c r="R56"/>
      <c r="S56" s="18"/>
      <c r="T56" t="s">
        <v>261</v>
      </c>
      <c r="U56" t="s">
        <v>271</v>
      </c>
      <c r="V56" s="18"/>
      <c r="W56" s="18"/>
      <c r="X56" s="18"/>
    </row>
    <row r="57" spans="1:24" s="20" customFormat="1" ht="41.25" hidden="1" customHeight="1" x14ac:dyDescent="0.35">
      <c r="A57" s="129"/>
      <c r="B57" s="130"/>
      <c r="C57" s="114"/>
      <c r="D57" s="119"/>
      <c r="E57" s="119"/>
      <c r="F57" s="119"/>
      <c r="G57" s="119"/>
      <c r="H57" s="115"/>
      <c r="R57"/>
      <c r="S57" s="18"/>
      <c r="T57" t="s">
        <v>263</v>
      </c>
      <c r="U57" t="s">
        <v>272</v>
      </c>
      <c r="V57" s="18"/>
      <c r="W57" s="18"/>
      <c r="X57" s="18"/>
    </row>
    <row r="58" spans="1:24" s="20" customFormat="1" ht="15.75" hidden="1" customHeight="1" x14ac:dyDescent="0.35">
      <c r="A58" s="127" t="s">
        <v>281</v>
      </c>
      <c r="B58" s="128"/>
      <c r="C58" s="114">
        <f>C57</f>
        <v>0</v>
      </c>
      <c r="D58" s="119"/>
      <c r="E58" s="115"/>
      <c r="F58" s="17" t="s">
        <v>39</v>
      </c>
      <c r="G58" s="114">
        <f>G57</f>
        <v>0</v>
      </c>
      <c r="H58" s="115"/>
      <c r="R58"/>
      <c r="S58" s="18"/>
      <c r="T58" t="s">
        <v>264</v>
      </c>
      <c r="U58" s="18" t="s">
        <v>295</v>
      </c>
      <c r="V58" s="18"/>
      <c r="W58" s="18"/>
      <c r="X58" s="18"/>
    </row>
    <row r="59" spans="1:24" s="20" customFormat="1" ht="33.75" hidden="1" customHeight="1" x14ac:dyDescent="0.35">
      <c r="A59" s="129"/>
      <c r="B59" s="130"/>
      <c r="C59" s="114"/>
      <c r="D59" s="119"/>
      <c r="E59" s="119"/>
      <c r="F59" s="119"/>
      <c r="G59" s="119"/>
      <c r="H59" s="115"/>
      <c r="R59"/>
      <c r="S59" s="18"/>
      <c r="T59" t="s">
        <v>265</v>
      </c>
      <c r="U59" s="18"/>
      <c r="V59" s="18"/>
      <c r="W59" s="18"/>
      <c r="X59" s="18"/>
    </row>
    <row r="60" spans="1:24" x14ac:dyDescent="0.35">
      <c r="A60" s="103" t="s">
        <v>41</v>
      </c>
      <c r="B60" s="104"/>
      <c r="C60" s="103" t="s">
        <v>102</v>
      </c>
      <c r="D60" s="105"/>
      <c r="E60" s="104"/>
      <c r="F60" s="40" t="s">
        <v>39</v>
      </c>
      <c r="G60" s="125" t="s">
        <v>27</v>
      </c>
      <c r="H60" s="126"/>
      <c r="R60"/>
      <c r="T60" t="s">
        <v>267</v>
      </c>
    </row>
    <row r="61" spans="1:24" x14ac:dyDescent="0.35">
      <c r="A61" s="121" t="s">
        <v>43</v>
      </c>
      <c r="B61" s="121"/>
      <c r="C61" s="121"/>
      <c r="D61" s="121"/>
      <c r="E61" s="121"/>
      <c r="F61" s="121"/>
      <c r="G61" s="121"/>
      <c r="H61" s="121"/>
      <c r="T61" t="s">
        <v>276</v>
      </c>
    </row>
    <row r="62" spans="1:24" x14ac:dyDescent="0.35">
      <c r="A62" s="108" t="s">
        <v>87</v>
      </c>
      <c r="B62" s="108"/>
      <c r="C62" s="108"/>
      <c r="D62" s="102">
        <f>E46</f>
        <v>10191.6</v>
      </c>
      <c r="E62" s="102"/>
      <c r="F62" s="102"/>
      <c r="G62" s="102"/>
      <c r="H62" s="102"/>
      <c r="R62"/>
    </row>
    <row r="63" spans="1:24" x14ac:dyDescent="0.35">
      <c r="A63" s="122" t="s">
        <v>44</v>
      </c>
      <c r="B63" s="123"/>
      <c r="C63" s="123"/>
      <c r="D63" s="124" t="s">
        <v>353</v>
      </c>
      <c r="E63" s="124"/>
      <c r="F63" s="124"/>
      <c r="G63" s="124"/>
      <c r="H63" s="124"/>
      <c r="I63" s="21"/>
      <c r="R63"/>
    </row>
    <row r="64" spans="1:24" ht="65.25" customHeight="1" x14ac:dyDescent="0.35">
      <c r="A64" s="183" t="s">
        <v>45</v>
      </c>
      <c r="B64" s="184"/>
      <c r="C64" s="185"/>
      <c r="D64" s="181" t="s">
        <v>359</v>
      </c>
      <c r="E64" s="182"/>
      <c r="F64" s="182"/>
      <c r="G64" s="182"/>
      <c r="H64" s="182"/>
      <c r="R64"/>
    </row>
    <row r="65" spans="1:19" ht="15.75" customHeight="1" x14ac:dyDescent="0.35">
      <c r="A65" s="122" t="s">
        <v>85</v>
      </c>
      <c r="B65" s="122"/>
      <c r="C65" s="122"/>
      <c r="D65" s="123" t="s">
        <v>324</v>
      </c>
      <c r="E65" s="123"/>
      <c r="F65" s="123"/>
      <c r="G65" s="123"/>
      <c r="H65" s="123"/>
      <c r="R65"/>
    </row>
    <row r="66" spans="1:19" ht="15.75" customHeight="1" x14ac:dyDescent="0.35">
      <c r="A66" s="122"/>
      <c r="B66" s="122"/>
      <c r="C66" s="122"/>
      <c r="D66" s="123" t="s">
        <v>357</v>
      </c>
      <c r="E66" s="123"/>
      <c r="F66" s="123"/>
      <c r="G66" s="123"/>
      <c r="H66" s="123"/>
      <c r="R66"/>
    </row>
    <row r="67" spans="1:19" ht="15.75" customHeight="1" x14ac:dyDescent="0.35">
      <c r="A67" s="122"/>
      <c r="B67" s="122"/>
      <c r="C67" s="122"/>
      <c r="D67" s="123" t="s">
        <v>360</v>
      </c>
      <c r="E67" s="123"/>
      <c r="F67" s="123"/>
      <c r="G67" s="123"/>
      <c r="H67" s="123"/>
      <c r="S67"/>
    </row>
    <row r="68" spans="1:19" ht="15.75" customHeight="1" x14ac:dyDescent="0.35">
      <c r="A68" s="122"/>
      <c r="B68" s="122"/>
      <c r="C68" s="122"/>
      <c r="D68" s="123" t="s">
        <v>325</v>
      </c>
      <c r="E68" s="123"/>
      <c r="F68" s="123"/>
      <c r="G68" s="123"/>
      <c r="H68" s="123"/>
      <c r="S68"/>
    </row>
    <row r="69" spans="1:19" ht="15.75" customHeight="1" x14ac:dyDescent="0.35">
      <c r="A69" s="102" t="s">
        <v>42</v>
      </c>
      <c r="B69" s="102"/>
      <c r="C69" s="102"/>
      <c r="D69" s="108" t="s">
        <v>326</v>
      </c>
      <c r="E69" s="108"/>
      <c r="F69" s="108"/>
      <c r="G69" s="108"/>
      <c r="H69" s="108"/>
      <c r="J69" s="22"/>
      <c r="K69" s="21"/>
      <c r="N69" s="21"/>
      <c r="S69"/>
    </row>
    <row r="70" spans="1:19" ht="15.75" customHeight="1" x14ac:dyDescent="0.35">
      <c r="A70" s="102" t="s">
        <v>83</v>
      </c>
      <c r="B70" s="102"/>
      <c r="C70" s="102"/>
      <c r="D70" s="176" t="str">
        <f>(IF(G60="NA","60 Years After Completion",IF(G60&lt;&gt;"NA",""&amp;60-ROUNDDOWN((E3-G60)/360,0)&amp;" Years"," ")))</f>
        <v>60 Years After Completion</v>
      </c>
      <c r="E70" s="176"/>
      <c r="F70" s="176"/>
      <c r="G70" s="176"/>
      <c r="H70" s="176"/>
      <c r="N70" s="21"/>
      <c r="S70"/>
    </row>
    <row r="71" spans="1:19" ht="15.75" customHeight="1" x14ac:dyDescent="0.35">
      <c r="A71" s="102" t="s">
        <v>84</v>
      </c>
      <c r="B71" s="102"/>
      <c r="C71" s="102"/>
      <c r="D71" s="108" t="s">
        <v>22</v>
      </c>
      <c r="E71" s="108"/>
      <c r="F71" s="108"/>
      <c r="G71" s="108"/>
      <c r="H71" s="108"/>
      <c r="J71" s="23"/>
      <c r="K71" s="23"/>
      <c r="S71"/>
    </row>
    <row r="72" spans="1:19" ht="66" customHeight="1" x14ac:dyDescent="0.35">
      <c r="A72" s="123" t="s">
        <v>327</v>
      </c>
      <c r="B72" s="123"/>
      <c r="C72" s="123"/>
      <c r="D72" s="122" t="s">
        <v>329</v>
      </c>
      <c r="E72" s="122"/>
      <c r="F72" s="122"/>
      <c r="G72" s="122"/>
      <c r="H72" s="122"/>
      <c r="S72"/>
    </row>
    <row r="73" spans="1:19" x14ac:dyDescent="0.35">
      <c r="A73" s="108" t="s">
        <v>145</v>
      </c>
      <c r="B73" s="108"/>
      <c r="C73" s="108"/>
      <c r="D73" s="108" t="s">
        <v>27</v>
      </c>
      <c r="E73" s="108"/>
      <c r="F73" s="108"/>
      <c r="G73" s="108"/>
      <c r="H73" s="108"/>
      <c r="I73" s="24"/>
      <c r="J73" s="24"/>
      <c r="K73" s="24"/>
      <c r="L73" s="24"/>
      <c r="M73" s="24"/>
      <c r="N73" s="24"/>
    </row>
    <row r="74" spans="1:19" ht="15.75" customHeight="1" x14ac:dyDescent="0.35">
      <c r="A74" s="109" t="s">
        <v>82</v>
      </c>
      <c r="B74" s="109"/>
      <c r="C74" s="109"/>
      <c r="D74" s="181" t="str">
        <f ca="1">(IF(G122&gt;95%,"Nothing",IF(G122&gt;0%,"Cement, Aggregate, Steel, etc",IF(G122=0%,"Work not yet Started"))))</f>
        <v>Cement, Aggregate, Steel, etc</v>
      </c>
      <c r="E74" s="181"/>
      <c r="F74" s="181"/>
      <c r="G74" s="181"/>
      <c r="H74" s="181"/>
      <c r="J74" s="23"/>
      <c r="S74"/>
    </row>
    <row r="75" spans="1:19" ht="33.75" customHeight="1" thickBot="1" x14ac:dyDescent="0.4">
      <c r="A75" s="180" t="s">
        <v>115</v>
      </c>
      <c r="B75" s="180"/>
      <c r="C75" s="180"/>
      <c r="D75" s="181" t="str">
        <f ca="1">(IF(D74="Nothing","Yes",IF(D74="Cement, Aggregate, Steel, etc","Under Construction",IF(D74="Work not yet Started","Work not yet Started"))))</f>
        <v>Under Construction</v>
      </c>
      <c r="E75" s="181"/>
      <c r="F75" s="181" t="str">
        <f ca="1">(IF(D74="Nothing","Yes",IF(D74="Cement, Aggregate, Steel, etc","Under Construction",IF(D74="Work not yet Started","Work not yet Started"))))</f>
        <v>Under Construction</v>
      </c>
      <c r="G75" s="181"/>
      <c r="H75" s="181"/>
      <c r="S75"/>
    </row>
    <row r="76" spans="1:19" ht="15.75" customHeight="1" x14ac:dyDescent="0.35">
      <c r="A76" s="187" t="s">
        <v>137</v>
      </c>
      <c r="B76" s="188"/>
      <c r="C76" s="192" t="s">
        <v>366</v>
      </c>
      <c r="D76" s="193"/>
      <c r="E76" s="193"/>
      <c r="F76" s="193"/>
      <c r="G76" s="193"/>
      <c r="H76" s="194"/>
      <c r="I76" s="41" t="str">
        <f ca="1">IF(D89=100%,"All work Completed. Possession granted to the Building.",IF(D88=100%,"All work Completed, Waiting for OC",I77&amp;""&amp;I78&amp;""&amp;J77&amp;""&amp;J76&amp;" "&amp;J78))</f>
        <v xml:space="preserve">Excavation, Plinth Completed </v>
      </c>
      <c r="J76" s="42" t="str">
        <f ca="1">(IF(C82=(D77+F77+H77),"",IF(C82&gt;0,",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c>
      <c r="S76"/>
    </row>
    <row r="77" spans="1:19" x14ac:dyDescent="0.35">
      <c r="A77" s="15" t="s">
        <v>139</v>
      </c>
      <c r="B77" s="45">
        <f>IF(AND(ISNUMBER(SEARCH("1B",C76))),1,IF(AND(ISNUMBER(SEARCH("2B",C76))),2,IF(AND(ISNUMBER(SEARCH("3B",C76))),3,IF(AND(ISNUMBER(SEARCH("4B",C76))),4,IF(ISNUMBER(SEARCH("5B",C76)),5,0)))))</f>
        <v>0</v>
      </c>
      <c r="C77" s="46" t="s">
        <v>68</v>
      </c>
      <c r="D77" s="46">
        <v>1</v>
      </c>
      <c r="E77" s="46" t="s">
        <v>67</v>
      </c>
      <c r="F77" s="46">
        <v>0</v>
      </c>
      <c r="G77" s="46" t="s">
        <v>76</v>
      </c>
      <c r="H77" s="16">
        <f ca="1">--TRIM(RIGHT(SUBSTITUTE(LEFT(C76,_xlfn.AGGREGATE(16,6,FIND({0,1,2,3,4,5,6,7,8,9},C76,ROW(INDIRECT("1:"&amp;LEN(C76)))),1))," ",REPT(" ",LEN(C76))),LEN(C76)))</f>
        <v>7</v>
      </c>
      <c r="I77" s="43" t="str">
        <f ca="1">IF(D80=100%,"Excavation","")&amp;IF(D81=100%,", Plinth","")&amp;IF(D82=100%,", RCC Slab","")&amp;IF(D83=100%,", Brickwork","")&amp;IF(D84=100%,", Internal Plaster","")&amp;IF(D85=100%,", External Plaster","")&amp;IF(D86=100%,", Flooring","")&amp;IF(D87=100%,", Painting","")&amp;IF(D88=100%,", Building common Amenities","")</f>
        <v>Excavation, Plinth</v>
      </c>
      <c r="J77" s="44" t="str">
        <f ca="1">(IF(C80=0,"Work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x14ac:dyDescent="0.35">
      <c r="A78" s="186" t="s">
        <v>86</v>
      </c>
      <c r="B78" s="153"/>
      <c r="C78" s="112" t="str">
        <f ca="1">I76</f>
        <v xml:space="preserve">Excavation, Plinth Completed </v>
      </c>
      <c r="D78" s="112"/>
      <c r="E78" s="112"/>
      <c r="F78" s="112"/>
      <c r="G78" s="112"/>
      <c r="H78" s="179"/>
      <c r="I78" s="43" t="str">
        <f ca="1">IF(I77&lt;&gt;""," Completed","")</f>
        <v xml:space="preserve"> Completed</v>
      </c>
      <c r="J78" s="44" t="str">
        <f ca="1">IF(J76&lt;&gt;"","Completed","")</f>
        <v/>
      </c>
      <c r="S78"/>
    </row>
    <row r="79" spans="1:19" ht="15.75" customHeight="1" x14ac:dyDescent="0.35">
      <c r="A79" s="113" t="s">
        <v>46</v>
      </c>
      <c r="B79" s="87"/>
      <c r="C79" s="64" t="s">
        <v>136</v>
      </c>
      <c r="D79" s="64" t="s">
        <v>79</v>
      </c>
      <c r="E79" s="85" t="s">
        <v>81</v>
      </c>
      <c r="F79" s="85"/>
      <c r="G79" s="85" t="s">
        <v>80</v>
      </c>
      <c r="H79" s="86"/>
      <c r="I79" s="13" t="s">
        <v>138</v>
      </c>
      <c r="J79" s="25">
        <f ca="1">H77*25%</f>
        <v>1.75</v>
      </c>
      <c r="S79"/>
    </row>
    <row r="80" spans="1:19" x14ac:dyDescent="0.35">
      <c r="A80" s="113" t="s">
        <v>125</v>
      </c>
      <c r="B80" s="87"/>
      <c r="C80" s="64">
        <f ca="1">J81</f>
        <v>7</v>
      </c>
      <c r="D80" s="65">
        <f ca="1">((100/H77)*C80)/100</f>
        <v>1</v>
      </c>
      <c r="E80" s="165">
        <f ca="1">(((C81/H77*10)+(40/(D77+F77+H77)*C82)+(7.5/(H77)*C83)+(7.5/(H77)*C84)+(10/H77*C85)+(10/H77*C86)+(5/H77*C87)+(5/H77*C88)+(5/H77*C89))/100)</f>
        <v>0.1</v>
      </c>
      <c r="F80" s="166"/>
      <c r="G80" s="165">
        <f ca="1">((((C80/H77)*20)+((C81/H77)*25)+(30/(H77+F77+D77)*C82)+(5/H77*C83)+(5/H77*C84)+(5/H77*C85)+(5/H77*C86)+(0/H77*C87)+(0/H77*C88)+(5/H77*C89))/100)</f>
        <v>0.45</v>
      </c>
      <c r="H80" s="171"/>
      <c r="I80" s="13" t="s">
        <v>97</v>
      </c>
      <c r="J80" s="26">
        <f ca="1">H77*50%</f>
        <v>3.5</v>
      </c>
    </row>
    <row r="81" spans="1:19" x14ac:dyDescent="0.35">
      <c r="A81" s="113" t="s">
        <v>47</v>
      </c>
      <c r="B81" s="87"/>
      <c r="C81" s="68">
        <f ca="1">J89</f>
        <v>7</v>
      </c>
      <c r="D81" s="65">
        <f ca="1">((100/H77)*C81)/100</f>
        <v>1</v>
      </c>
      <c r="E81" s="167"/>
      <c r="F81" s="168"/>
      <c r="G81" s="167"/>
      <c r="H81" s="172"/>
      <c r="I81" s="13" t="s">
        <v>98</v>
      </c>
      <c r="J81" s="26">
        <f ca="1">H77</f>
        <v>7</v>
      </c>
      <c r="S81"/>
    </row>
    <row r="82" spans="1:19" ht="15.75" customHeight="1" x14ac:dyDescent="0.35">
      <c r="A82" s="113" t="s">
        <v>126</v>
      </c>
      <c r="B82" s="87"/>
      <c r="C82" s="64">
        <v>0</v>
      </c>
      <c r="D82" s="65">
        <f ca="1">((100/(D77+F77+H77))*C82)/100</f>
        <v>0</v>
      </c>
      <c r="E82" s="167"/>
      <c r="F82" s="168"/>
      <c r="G82" s="167"/>
      <c r="H82" s="172"/>
      <c r="I82" s="13" t="s">
        <v>99</v>
      </c>
      <c r="J82" s="27">
        <f ca="1">(IF(B77&gt;1,(H77/(B77+2)),H77/4))</f>
        <v>1.75</v>
      </c>
      <c r="S82"/>
    </row>
    <row r="83" spans="1:19" ht="15.75" customHeight="1" x14ac:dyDescent="0.35">
      <c r="A83" s="113" t="s">
        <v>133</v>
      </c>
      <c r="B83" s="87" t="s">
        <v>127</v>
      </c>
      <c r="C83" s="64">
        <v>0</v>
      </c>
      <c r="D83" s="65">
        <f ca="1">((100/H77)*C83)/100</f>
        <v>0</v>
      </c>
      <c r="E83" s="167"/>
      <c r="F83" s="168"/>
      <c r="G83" s="167"/>
      <c r="H83" s="172"/>
      <c r="I83" s="13" t="s">
        <v>100</v>
      </c>
      <c r="J83" s="27">
        <f ca="1">(IF(B77&gt;1,(H77/(B77+2)+J82),H77/4+J82))</f>
        <v>3.5</v>
      </c>
    </row>
    <row r="84" spans="1:19" ht="15.75" customHeight="1" x14ac:dyDescent="0.35">
      <c r="A84" s="113" t="s">
        <v>134</v>
      </c>
      <c r="B84" s="87" t="s">
        <v>127</v>
      </c>
      <c r="C84" s="64">
        <v>0</v>
      </c>
      <c r="D84" s="65">
        <f ca="1">((100/H77)*C84)/100</f>
        <v>0</v>
      </c>
      <c r="E84" s="167"/>
      <c r="F84" s="168"/>
      <c r="G84" s="167"/>
      <c r="H84" s="172"/>
      <c r="I84" s="13" t="s">
        <v>143</v>
      </c>
      <c r="J84" s="27">
        <f>(IF(B77&gt;1,(H77/(B77+2)+J83),0))</f>
        <v>0</v>
      </c>
    </row>
    <row r="85" spans="1:19" ht="15" customHeight="1" x14ac:dyDescent="0.35">
      <c r="A85" s="113" t="s">
        <v>132</v>
      </c>
      <c r="B85" s="87" t="s">
        <v>129</v>
      </c>
      <c r="C85" s="64">
        <v>0</v>
      </c>
      <c r="D85" s="65">
        <f ca="1">((100/(H77))*C85)/100</f>
        <v>0</v>
      </c>
      <c r="E85" s="167"/>
      <c r="F85" s="168"/>
      <c r="G85" s="167"/>
      <c r="H85" s="172"/>
      <c r="I85" s="13" t="s">
        <v>140</v>
      </c>
      <c r="J85" s="27">
        <f>(IF(B77&gt;2,(H77/(B77+2)+J84),0))</f>
        <v>0</v>
      </c>
    </row>
    <row r="86" spans="1:19" ht="15.75" customHeight="1" x14ac:dyDescent="0.35">
      <c r="A86" s="113" t="s">
        <v>128</v>
      </c>
      <c r="B86" s="87" t="s">
        <v>128</v>
      </c>
      <c r="C86" s="64">
        <v>0</v>
      </c>
      <c r="D86" s="65">
        <f ca="1">((100/H77)*C86)/100</f>
        <v>0</v>
      </c>
      <c r="E86" s="167"/>
      <c r="F86" s="168"/>
      <c r="G86" s="167"/>
      <c r="H86" s="172"/>
      <c r="I86" s="13" t="s">
        <v>141</v>
      </c>
      <c r="J86" s="28">
        <f>(IF(B77&gt;3,(H77/(B77+2)+J85),0))</f>
        <v>0</v>
      </c>
    </row>
    <row r="87" spans="1:19" ht="15.75" customHeight="1" x14ac:dyDescent="0.35">
      <c r="A87" s="113" t="s">
        <v>135</v>
      </c>
      <c r="B87" s="87"/>
      <c r="C87" s="64">
        <v>0</v>
      </c>
      <c r="D87" s="65">
        <f ca="1">((100/H77)*C87)/100</f>
        <v>0</v>
      </c>
      <c r="E87" s="167"/>
      <c r="F87" s="168"/>
      <c r="G87" s="167"/>
      <c r="H87" s="172"/>
      <c r="I87" s="13" t="s">
        <v>142</v>
      </c>
      <c r="J87" s="27">
        <f>(IF(B77&gt;4,(H77/(B77+2)+J86),0))</f>
        <v>0</v>
      </c>
    </row>
    <row r="88" spans="1:19" ht="15.75" customHeight="1" x14ac:dyDescent="0.35">
      <c r="A88" s="113" t="s">
        <v>130</v>
      </c>
      <c r="B88" s="87" t="s">
        <v>130</v>
      </c>
      <c r="C88" s="64">
        <v>0</v>
      </c>
      <c r="D88" s="65">
        <f ca="1">((100/(H77))*C88)/100</f>
        <v>0</v>
      </c>
      <c r="E88" s="167"/>
      <c r="F88" s="168"/>
      <c r="G88" s="167"/>
      <c r="H88" s="172"/>
      <c r="I88" s="13" t="s">
        <v>144</v>
      </c>
      <c r="J88" s="27">
        <f ca="1">(IF(B77=1,(H77/(B77+3)+J83),IF(B77=0,(H77/4+J83),IF(B77&gt;1,0))))</f>
        <v>5.25</v>
      </c>
    </row>
    <row r="89" spans="1:19" ht="16" thickBot="1" x14ac:dyDescent="0.4">
      <c r="A89" s="174" t="s">
        <v>131</v>
      </c>
      <c r="B89" s="175"/>
      <c r="C89" s="66">
        <v>0</v>
      </c>
      <c r="D89" s="67">
        <f ca="1">((100/(H77))*C89)/100</f>
        <v>0</v>
      </c>
      <c r="E89" s="169"/>
      <c r="F89" s="170"/>
      <c r="G89" s="169"/>
      <c r="H89" s="173"/>
      <c r="I89" s="14" t="s">
        <v>101</v>
      </c>
      <c r="J89" s="29">
        <f ca="1">(IF(B77&gt;1.5,(H77/(B77+2)+J83+MAX(0,J84-J83)+MAX(0,J85-J84)+MAX(0,J86-J85)+MAX(0,J87-J86)+MAX(0,J88-J87)),IF(B77=1,(H77/(B77+3)+J88),IF(B77=0,H77/4+J88))))</f>
        <v>7</v>
      </c>
    </row>
    <row r="90" spans="1:19" ht="15.75" customHeight="1" x14ac:dyDescent="0.35">
      <c r="A90" s="187" t="s">
        <v>137</v>
      </c>
      <c r="B90" s="188"/>
      <c r="C90" s="192" t="s">
        <v>367</v>
      </c>
      <c r="D90" s="193"/>
      <c r="E90" s="193"/>
      <c r="F90" s="193"/>
      <c r="G90" s="193"/>
      <c r="H90" s="194"/>
      <c r="I90" s="41" t="str">
        <f ca="1">IF(D103=100%,"All work Completed. Possession granted to the Building.",IF(D102=100%,"All work Completed, Waiting for OC",I91&amp;""&amp;I92&amp;""&amp;J91&amp;""&amp;J90&amp;" "&amp;J92))</f>
        <v xml:space="preserve">Excavation Completed, Footing work Completed </v>
      </c>
      <c r="J90" s="42" t="str">
        <f ca="1">(IF(C96=(D91+F91+H91),"",IF(C96&gt;0,",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c>
      <c r="S90"/>
    </row>
    <row r="91" spans="1:19" x14ac:dyDescent="0.35">
      <c r="A91" s="15" t="s">
        <v>139</v>
      </c>
      <c r="B91" s="82">
        <f>IF(AND(ISNUMBER(SEARCH("1B",C90))),1,IF(AND(ISNUMBER(SEARCH("2B",C90))),2,IF(AND(ISNUMBER(SEARCH("3B",C90))),3,IF(AND(ISNUMBER(SEARCH("4B",C90))),4,IF(ISNUMBER(SEARCH("5B",C90)),5,0)))))</f>
        <v>0</v>
      </c>
      <c r="C91" s="82" t="s">
        <v>68</v>
      </c>
      <c r="D91" s="82">
        <v>1</v>
      </c>
      <c r="E91" s="82" t="s">
        <v>67</v>
      </c>
      <c r="F91" s="82">
        <v>0</v>
      </c>
      <c r="G91" s="82" t="s">
        <v>76</v>
      </c>
      <c r="H91" s="16">
        <f ca="1">--TRIM(RIGHT(SUBSTITUTE(LEFT(C90,_xlfn.AGGREGATE(16,6,FIND({0,1,2,3,4,5,6,7,8,9},C90,ROW(INDIRECT("1:"&amp;LEN(C90)))),1))," ",REPT(" ",LEN(C90))),LEN(C90)))</f>
        <v>7</v>
      </c>
      <c r="I91" s="43" t="str">
        <f ca="1">IF(D94=100%,"Excavation","")&amp;IF(D95=100%,", Plinth","")&amp;IF(D96=100%,", RCC Slab","")&amp;IF(D97=100%,", Brickwork","")&amp;IF(D98=100%,", Internal Plaster","")&amp;IF(D99=100%,", External Plaster","")&amp;IF(D100=100%,", Flooring","")&amp;IF(D101=100%,", Painting","")&amp;IF(D102=100%,", Building common Amenities","")</f>
        <v>Excavation</v>
      </c>
      <c r="J91" s="44" t="str">
        <f ca="1">(IF(C94=0,"Work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Footing work Completed</v>
      </c>
      <c r="S91"/>
    </row>
    <row r="92" spans="1:19" x14ac:dyDescent="0.35">
      <c r="A92" s="186" t="s">
        <v>86</v>
      </c>
      <c r="B92" s="153"/>
      <c r="C92" s="112" t="str">
        <f ca="1">I90</f>
        <v xml:space="preserve">Excavation Completed, Footing work Completed </v>
      </c>
      <c r="D92" s="112"/>
      <c r="E92" s="112"/>
      <c r="F92" s="112"/>
      <c r="G92" s="112"/>
      <c r="H92" s="179"/>
      <c r="I92" s="43" t="str">
        <f ca="1">IF(I91&lt;&gt;""," Completed","")</f>
        <v xml:space="preserve"> Completed</v>
      </c>
      <c r="J92" s="44" t="str">
        <f ca="1">IF(J90&lt;&gt;"","Completed","")</f>
        <v/>
      </c>
      <c r="S92"/>
    </row>
    <row r="93" spans="1:19" ht="15.75" customHeight="1" x14ac:dyDescent="0.35">
      <c r="A93" s="113" t="s">
        <v>46</v>
      </c>
      <c r="B93" s="87"/>
      <c r="C93" s="81" t="s">
        <v>136</v>
      </c>
      <c r="D93" s="81" t="s">
        <v>79</v>
      </c>
      <c r="E93" s="85" t="s">
        <v>81</v>
      </c>
      <c r="F93" s="85"/>
      <c r="G93" s="85" t="s">
        <v>80</v>
      </c>
      <c r="H93" s="86"/>
      <c r="I93" s="13" t="s">
        <v>138</v>
      </c>
      <c r="J93" s="25">
        <f ca="1">H91*25%</f>
        <v>1.75</v>
      </c>
      <c r="S93"/>
    </row>
    <row r="94" spans="1:19" x14ac:dyDescent="0.35">
      <c r="A94" s="87" t="s">
        <v>125</v>
      </c>
      <c r="B94" s="87"/>
      <c r="C94" s="81">
        <f ca="1">J95</f>
        <v>7</v>
      </c>
      <c r="D94" s="65">
        <f ca="1">((100/H91)*C94)/100</f>
        <v>1</v>
      </c>
      <c r="E94" s="88">
        <f ca="1">(((C95/H91*10)+(40/(D91+F91+H91)*C96)+(7.5/(H91)*C97)+(7.5/(H91)*C98)+(10/H91*C99)+(10/H91*C100)+(5/H91*C101)+(5/H91*C102)+(5/H91*C103))/100)</f>
        <v>0.05</v>
      </c>
      <c r="F94" s="88"/>
      <c r="G94" s="88">
        <f ca="1">((((C94/H91)*20)+((C95/H91)*25)+(30/(H91+F91+D91)*C96)+(5/H91*C97)+(5/H91*C98)+(5/H91*C99)+(5/H91*C100)+(0/H91*C101)+(0/H91*C102)+(5/H91*C103))/100)</f>
        <v>0.32500000000000001</v>
      </c>
      <c r="H94" s="88"/>
      <c r="I94" s="13" t="s">
        <v>97</v>
      </c>
      <c r="J94" s="26">
        <f ca="1">H91*50%</f>
        <v>3.5</v>
      </c>
    </row>
    <row r="95" spans="1:19" x14ac:dyDescent="0.35">
      <c r="A95" s="87" t="s">
        <v>47</v>
      </c>
      <c r="B95" s="87"/>
      <c r="C95" s="68">
        <f ca="1">J97</f>
        <v>3.5</v>
      </c>
      <c r="D95" s="65">
        <f ca="1">((100/H91)*C95)/100</f>
        <v>0.5</v>
      </c>
      <c r="E95" s="88"/>
      <c r="F95" s="88"/>
      <c r="G95" s="88"/>
      <c r="H95" s="88"/>
      <c r="I95" s="13" t="s">
        <v>98</v>
      </c>
      <c r="J95" s="26">
        <f ca="1">H91</f>
        <v>7</v>
      </c>
      <c r="S95"/>
    </row>
    <row r="96" spans="1:19" ht="15.75" customHeight="1" x14ac:dyDescent="0.35">
      <c r="A96" s="87" t="s">
        <v>126</v>
      </c>
      <c r="B96" s="87"/>
      <c r="C96" s="81">
        <v>0</v>
      </c>
      <c r="D96" s="65">
        <f ca="1">((100/(D91+F91+H91))*C96)/100</f>
        <v>0</v>
      </c>
      <c r="E96" s="88"/>
      <c r="F96" s="88"/>
      <c r="G96" s="88"/>
      <c r="H96" s="88"/>
      <c r="I96" s="13" t="s">
        <v>99</v>
      </c>
      <c r="J96" s="27">
        <f ca="1">(IF(B91&gt;1,(H91/(B91+2)),H91/4))</f>
        <v>1.75</v>
      </c>
      <c r="S96"/>
    </row>
    <row r="97" spans="1:10" ht="15.75" customHeight="1" x14ac:dyDescent="0.35">
      <c r="A97" s="87" t="s">
        <v>133</v>
      </c>
      <c r="B97" s="87" t="s">
        <v>127</v>
      </c>
      <c r="C97" s="81">
        <v>0</v>
      </c>
      <c r="D97" s="65">
        <f ca="1">((100/H91)*C97)/100</f>
        <v>0</v>
      </c>
      <c r="E97" s="88"/>
      <c r="F97" s="88"/>
      <c r="G97" s="88"/>
      <c r="H97" s="88"/>
      <c r="I97" s="13" t="s">
        <v>100</v>
      </c>
      <c r="J97" s="27">
        <f ca="1">(IF(B91&gt;1,(H91/(B91+2)+J96),H91/4+J96))</f>
        <v>3.5</v>
      </c>
    </row>
    <row r="98" spans="1:10" ht="15.75" customHeight="1" x14ac:dyDescent="0.35">
      <c r="A98" s="87" t="s">
        <v>134</v>
      </c>
      <c r="B98" s="87" t="s">
        <v>127</v>
      </c>
      <c r="C98" s="81">
        <v>0</v>
      </c>
      <c r="D98" s="65">
        <f ca="1">((100/H91)*C98)/100</f>
        <v>0</v>
      </c>
      <c r="E98" s="88"/>
      <c r="F98" s="88"/>
      <c r="G98" s="88"/>
      <c r="H98" s="88"/>
      <c r="I98" s="13" t="s">
        <v>143</v>
      </c>
      <c r="J98" s="27">
        <f>(IF(B91&gt;1,(H91/(B91+2)+J97),0))</f>
        <v>0</v>
      </c>
    </row>
    <row r="99" spans="1:10" ht="15" customHeight="1" x14ac:dyDescent="0.35">
      <c r="A99" s="87" t="s">
        <v>132</v>
      </c>
      <c r="B99" s="87" t="s">
        <v>129</v>
      </c>
      <c r="C99" s="81">
        <v>0</v>
      </c>
      <c r="D99" s="65">
        <f ca="1">((100/(H91))*C99)/100</f>
        <v>0</v>
      </c>
      <c r="E99" s="88"/>
      <c r="F99" s="88"/>
      <c r="G99" s="88"/>
      <c r="H99" s="88"/>
      <c r="I99" s="13" t="s">
        <v>140</v>
      </c>
      <c r="J99" s="27">
        <f>(IF(B91&gt;2,(H91/(B91+2)+J98),0))</f>
        <v>0</v>
      </c>
    </row>
    <row r="100" spans="1:10" ht="15.75" customHeight="1" x14ac:dyDescent="0.35">
      <c r="A100" s="87" t="s">
        <v>128</v>
      </c>
      <c r="B100" s="87" t="s">
        <v>128</v>
      </c>
      <c r="C100" s="81">
        <v>0</v>
      </c>
      <c r="D100" s="65">
        <f ca="1">((100/H91)*C100)/100</f>
        <v>0</v>
      </c>
      <c r="E100" s="88"/>
      <c r="F100" s="88"/>
      <c r="G100" s="88"/>
      <c r="H100" s="88"/>
      <c r="I100" s="13" t="s">
        <v>141</v>
      </c>
      <c r="J100" s="28">
        <f>(IF(B91&gt;3,(H91/(B91+2)+J99),0))</f>
        <v>0</v>
      </c>
    </row>
    <row r="101" spans="1:10" ht="15.75" customHeight="1" x14ac:dyDescent="0.35">
      <c r="A101" s="87" t="s">
        <v>135</v>
      </c>
      <c r="B101" s="87"/>
      <c r="C101" s="81">
        <v>0</v>
      </c>
      <c r="D101" s="65">
        <f ca="1">((100/H91)*C101)/100</f>
        <v>0</v>
      </c>
      <c r="E101" s="88"/>
      <c r="F101" s="88"/>
      <c r="G101" s="88"/>
      <c r="H101" s="88"/>
      <c r="I101" s="13" t="s">
        <v>142</v>
      </c>
      <c r="J101" s="27">
        <f>(IF(B91&gt;4,(H91/(B91+2)+J100),0))</f>
        <v>0</v>
      </c>
    </row>
    <row r="102" spans="1:10" ht="15.75" customHeight="1" x14ac:dyDescent="0.35">
      <c r="A102" s="87" t="s">
        <v>130</v>
      </c>
      <c r="B102" s="87" t="s">
        <v>130</v>
      </c>
      <c r="C102" s="81">
        <v>0</v>
      </c>
      <c r="D102" s="65">
        <f ca="1">((100/(H91))*C102)/100</f>
        <v>0</v>
      </c>
      <c r="E102" s="88"/>
      <c r="F102" s="88"/>
      <c r="G102" s="88"/>
      <c r="H102" s="88"/>
      <c r="I102" s="13" t="s">
        <v>144</v>
      </c>
      <c r="J102" s="27">
        <f ca="1">(IF(B91=1,(H91/(B91+3)+J97),IF(B91=0,(H91/4+J97),IF(B91&gt;1,0))))</f>
        <v>5.25</v>
      </c>
    </row>
    <row r="103" spans="1:10" ht="16" thickBot="1" x14ac:dyDescent="0.4">
      <c r="A103" s="87" t="s">
        <v>131</v>
      </c>
      <c r="B103" s="87"/>
      <c r="C103" s="81">
        <v>0</v>
      </c>
      <c r="D103" s="65">
        <f ca="1">((100/(H91))*C103)/100</f>
        <v>0</v>
      </c>
      <c r="E103" s="88"/>
      <c r="F103" s="88"/>
      <c r="G103" s="88"/>
      <c r="H103" s="88"/>
      <c r="I103" s="14" t="s">
        <v>101</v>
      </c>
      <c r="J103" s="29">
        <f ca="1">(IF(B91&gt;1.5,(H91/(B91+2)+J97+MAX(0,J98-J97)+MAX(0,J99-J98)+MAX(0,J100-J99)+MAX(0,J101-J100)+MAX(0,J102-J101)),IF(B91=1,(H91/(B91+3)+J102),IF(B91=0,H91/4+J102))))</f>
        <v>7</v>
      </c>
    </row>
    <row r="104" spans="1:10" ht="15.75" customHeight="1" x14ac:dyDescent="0.35">
      <c r="A104" s="111" t="s">
        <v>137</v>
      </c>
      <c r="B104" s="111"/>
      <c r="C104" s="112" t="str">
        <f>D66</f>
        <v>Building No.2 (Wing D) = Gr/St + 1st to 7th Floor</v>
      </c>
      <c r="D104" s="112"/>
      <c r="E104" s="112"/>
      <c r="F104" s="112"/>
      <c r="G104" s="112"/>
      <c r="H104" s="112"/>
      <c r="I104" s="75" t="str">
        <f ca="1">IF(D117=100%,"All work Completed. Possession granted to the Building.",IF(D116=100%,"All work Completed, Waiting for OC",I105&amp;""&amp;I106&amp;""&amp;J105&amp;""&amp;J104&amp;" "&amp;J106))</f>
        <v xml:space="preserve">Excavation, Plinth Completed </v>
      </c>
      <c r="J104" s="42" t="str">
        <f ca="1">(IF(C110=(D105+F105+H105),"",IF(C110&gt;0,",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c>
    </row>
    <row r="105" spans="1:10" x14ac:dyDescent="0.35">
      <c r="A105" s="82" t="s">
        <v>139</v>
      </c>
      <c r="B105" s="82">
        <f>IF(AND(ISNUMBER(SEARCH("1B",C104))),1,IF(AND(ISNUMBER(SEARCH("2B",C104))),2,IF(AND(ISNUMBER(SEARCH("3B",C104))),3,IF(AND(ISNUMBER(SEARCH("4B",C104))),4,IF(ISNUMBER(SEARCH("5B",C104)),5,0)))))</f>
        <v>0</v>
      </c>
      <c r="C105" s="82" t="s">
        <v>68</v>
      </c>
      <c r="D105" s="82">
        <v>1</v>
      </c>
      <c r="E105" s="82" t="s">
        <v>67</v>
      </c>
      <c r="F105" s="82">
        <v>0</v>
      </c>
      <c r="G105" s="82" t="s">
        <v>76</v>
      </c>
      <c r="H105" s="82">
        <f ca="1">--TRIM(RIGHT(SUBSTITUTE(LEFT(C104,_xlfn.AGGREGATE(16,6,FIND({0,1,2,3,4,5,6,7,8,9},C104,ROW(INDIRECT("1:"&amp;LEN(C104)))),1))," ",REPT(" ",LEN(C104))),LEN(C104)))</f>
        <v>7</v>
      </c>
      <c r="I105" s="76" t="str">
        <f ca="1">IF(D108=100%,"Excavation","")&amp;IF(D109=100%,", Plinth","")&amp;IF(D110=100%,", RCC Slab","")&amp;IF(D111=100%,", Brickwork","")&amp;IF(D112=100%,", Internal Plaster","")&amp;IF(D113=100%,", External Plaster","")&amp;IF(D114=100%,", Flooring","")&amp;IF(D115=100%,", Painting","")&amp;IF(D116=100%,", Building common Amenities","")</f>
        <v>Excavation, Plinth</v>
      </c>
      <c r="J105" s="44" t="str">
        <f ca="1">(IF(C108=0,"Work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row>
    <row r="106" spans="1:10" x14ac:dyDescent="0.35">
      <c r="A106" s="153" t="s">
        <v>86</v>
      </c>
      <c r="B106" s="153"/>
      <c r="C106" s="112" t="str">
        <f ca="1">(IF($G$60="NA",I104,"All work Completed. OC Received."))</f>
        <v xml:space="preserve">Excavation, Plinth Completed </v>
      </c>
      <c r="D106" s="112"/>
      <c r="E106" s="112"/>
      <c r="F106" s="112"/>
      <c r="G106" s="112"/>
      <c r="H106" s="112"/>
      <c r="I106" s="76" t="str">
        <f ca="1">IF(I105&lt;&gt;""," Completed","")</f>
        <v xml:space="preserve"> Completed</v>
      </c>
      <c r="J106" s="44" t="str">
        <f ca="1">IF(J104&lt;&gt;"","Completed","")</f>
        <v/>
      </c>
    </row>
    <row r="107" spans="1:10" ht="15.75" customHeight="1" x14ac:dyDescent="0.35">
      <c r="A107" s="87" t="s">
        <v>46</v>
      </c>
      <c r="B107" s="87"/>
      <c r="C107" s="81" t="s">
        <v>136</v>
      </c>
      <c r="D107" s="81" t="s">
        <v>79</v>
      </c>
      <c r="E107" s="85" t="s">
        <v>81</v>
      </c>
      <c r="F107" s="85"/>
      <c r="G107" s="85" t="s">
        <v>80</v>
      </c>
      <c r="H107" s="85"/>
      <c r="I107" s="13" t="s">
        <v>138</v>
      </c>
      <c r="J107" s="25">
        <f ca="1">H105*25%</f>
        <v>1.75</v>
      </c>
    </row>
    <row r="108" spans="1:10" x14ac:dyDescent="0.35">
      <c r="A108" s="87" t="s">
        <v>125</v>
      </c>
      <c r="B108" s="87"/>
      <c r="C108" s="81">
        <f ca="1">J109</f>
        <v>7</v>
      </c>
      <c r="D108" s="65">
        <f ca="1">((100/H105)*C108)/100</f>
        <v>1</v>
      </c>
      <c r="E108" s="88">
        <f ca="1">(((C109/H105*10)+(40/(D105+F105+H105)*C110)+(7.5/(H105)*C111)+(7.5/(H105)*C112)+(10/H105*C113)+(10/H105*C114)+(5/H105*C115)+(5/H105*C116)+(5/H105*C117))/100)</f>
        <v>0.1</v>
      </c>
      <c r="F108" s="88"/>
      <c r="G108" s="88">
        <f ca="1">((((C108/H105)*20)+((C109/H105)*25)+(30/(H105+F105+D105)*C110)+(5/H105*C111)+(5/H105*C112)+(5/H105*C113)+(5/H105*C114)+(0/H105*C115)+(0/H105*C116)+(5/H105*C117))/100)</f>
        <v>0.45</v>
      </c>
      <c r="H108" s="88"/>
      <c r="I108" s="13" t="s">
        <v>97</v>
      </c>
      <c r="J108" s="26">
        <f ca="1">H105*50%</f>
        <v>3.5</v>
      </c>
    </row>
    <row r="109" spans="1:10" x14ac:dyDescent="0.35">
      <c r="A109" s="87" t="s">
        <v>47</v>
      </c>
      <c r="B109" s="87"/>
      <c r="C109" s="68">
        <f ca="1">J117</f>
        <v>7</v>
      </c>
      <c r="D109" s="65">
        <f ca="1">((100/H105)*C109)/100</f>
        <v>1</v>
      </c>
      <c r="E109" s="88"/>
      <c r="F109" s="88"/>
      <c r="G109" s="88"/>
      <c r="H109" s="88"/>
      <c r="I109" s="13" t="s">
        <v>98</v>
      </c>
      <c r="J109" s="26">
        <f ca="1">H105</f>
        <v>7</v>
      </c>
    </row>
    <row r="110" spans="1:10" ht="15.75" customHeight="1" x14ac:dyDescent="0.35">
      <c r="A110" s="87" t="s">
        <v>126</v>
      </c>
      <c r="B110" s="87"/>
      <c r="C110" s="81">
        <v>0</v>
      </c>
      <c r="D110" s="65">
        <f ca="1">((100/(D105+F105+H105))*C110)/100</f>
        <v>0</v>
      </c>
      <c r="E110" s="88"/>
      <c r="F110" s="88"/>
      <c r="G110" s="88"/>
      <c r="H110" s="88"/>
      <c r="I110" s="13" t="s">
        <v>99</v>
      </c>
      <c r="J110" s="27">
        <f ca="1">(IF(B105&gt;1,(H105/(B105+2)),H105/4))</f>
        <v>1.75</v>
      </c>
    </row>
    <row r="111" spans="1:10" ht="15.75" customHeight="1" x14ac:dyDescent="0.35">
      <c r="A111" s="87" t="s">
        <v>133</v>
      </c>
      <c r="B111" s="87" t="s">
        <v>127</v>
      </c>
      <c r="C111" s="81">
        <v>0</v>
      </c>
      <c r="D111" s="65">
        <f ca="1">((100/H105)*C111)/100</f>
        <v>0</v>
      </c>
      <c r="E111" s="88"/>
      <c r="F111" s="88"/>
      <c r="G111" s="88"/>
      <c r="H111" s="88"/>
      <c r="I111" s="13" t="s">
        <v>100</v>
      </c>
      <c r="J111" s="27">
        <f ca="1">(IF(B105&gt;1,(H105/(B105+2)+J110),H105/4+J110))</f>
        <v>3.5</v>
      </c>
    </row>
    <row r="112" spans="1:10" ht="15.75" customHeight="1" x14ac:dyDescent="0.35">
      <c r="A112" s="87" t="s">
        <v>134</v>
      </c>
      <c r="B112" s="87" t="s">
        <v>127</v>
      </c>
      <c r="C112" s="81">
        <v>0</v>
      </c>
      <c r="D112" s="65">
        <f ca="1">((100/H105)*C112)/100</f>
        <v>0</v>
      </c>
      <c r="E112" s="88"/>
      <c r="F112" s="88"/>
      <c r="G112" s="88"/>
      <c r="H112" s="88"/>
      <c r="I112" s="13" t="s">
        <v>143</v>
      </c>
      <c r="J112" s="27">
        <f>(IF(B105&gt;1,(H105/(B105+2)+J111),0))</f>
        <v>0</v>
      </c>
    </row>
    <row r="113" spans="1:10" ht="15" customHeight="1" x14ac:dyDescent="0.35">
      <c r="A113" s="87" t="s">
        <v>132</v>
      </c>
      <c r="B113" s="87" t="s">
        <v>129</v>
      </c>
      <c r="C113" s="81">
        <v>0</v>
      </c>
      <c r="D113" s="65">
        <f ca="1">((100/(H105))*C113)/100</f>
        <v>0</v>
      </c>
      <c r="E113" s="88"/>
      <c r="F113" s="88"/>
      <c r="G113" s="88"/>
      <c r="H113" s="88"/>
      <c r="I113" s="13" t="s">
        <v>140</v>
      </c>
      <c r="J113" s="27">
        <f>(IF(B105&gt;2,(H105/(B105+2)+J112),0))</f>
        <v>0</v>
      </c>
    </row>
    <row r="114" spans="1:10" ht="15.75" customHeight="1" x14ac:dyDescent="0.35">
      <c r="A114" s="87" t="s">
        <v>128</v>
      </c>
      <c r="B114" s="87" t="s">
        <v>128</v>
      </c>
      <c r="C114" s="81">
        <v>0</v>
      </c>
      <c r="D114" s="65">
        <f ca="1">((100/H105)*C114)/100</f>
        <v>0</v>
      </c>
      <c r="E114" s="88"/>
      <c r="F114" s="88"/>
      <c r="G114" s="88"/>
      <c r="H114" s="88"/>
      <c r="I114" s="13" t="s">
        <v>141</v>
      </c>
      <c r="J114" s="28">
        <f>(IF(B105&gt;3,(H105/(B105+2)+J113),0))</f>
        <v>0</v>
      </c>
    </row>
    <row r="115" spans="1:10" ht="15.75" customHeight="1" x14ac:dyDescent="0.35">
      <c r="A115" s="87" t="s">
        <v>135</v>
      </c>
      <c r="B115" s="87"/>
      <c r="C115" s="81">
        <v>0</v>
      </c>
      <c r="D115" s="65">
        <f ca="1">((100/H105)*C115)/100</f>
        <v>0</v>
      </c>
      <c r="E115" s="88"/>
      <c r="F115" s="88"/>
      <c r="G115" s="88"/>
      <c r="H115" s="88"/>
      <c r="I115" s="13" t="s">
        <v>142</v>
      </c>
      <c r="J115" s="27">
        <f>(IF(B105&gt;4,(H105/(B105+2)+J114),0))</f>
        <v>0</v>
      </c>
    </row>
    <row r="116" spans="1:10" ht="15.75" customHeight="1" x14ac:dyDescent="0.35">
      <c r="A116" s="87" t="s">
        <v>130</v>
      </c>
      <c r="B116" s="87" t="s">
        <v>130</v>
      </c>
      <c r="C116" s="81">
        <v>0</v>
      </c>
      <c r="D116" s="65">
        <f ca="1">((100/(H105))*C116)/100</f>
        <v>0</v>
      </c>
      <c r="E116" s="88"/>
      <c r="F116" s="88"/>
      <c r="G116" s="88"/>
      <c r="H116" s="88"/>
      <c r="I116" s="13" t="s">
        <v>144</v>
      </c>
      <c r="J116" s="27">
        <f ca="1">(IF(B105=1,(H105/(B105+3)+J111),IF(B105=0,(H105/4+J111),IF(B105&gt;1,0))))</f>
        <v>5.25</v>
      </c>
    </row>
    <row r="117" spans="1:10" ht="16" thickBot="1" x14ac:dyDescent="0.4">
      <c r="A117" s="87" t="s">
        <v>131</v>
      </c>
      <c r="B117" s="87"/>
      <c r="C117" s="81">
        <v>0</v>
      </c>
      <c r="D117" s="65">
        <f ca="1">((100/(H105))*C117)/100</f>
        <v>0</v>
      </c>
      <c r="E117" s="88"/>
      <c r="F117" s="88"/>
      <c r="G117" s="88"/>
      <c r="H117" s="88"/>
      <c r="I117" s="14" t="s">
        <v>101</v>
      </c>
      <c r="J117" s="29">
        <f ca="1">(IF(B105&gt;1.5,(H105/(B105+2)+J111+MAX(0,J112-J111)+MAX(0,J113-J112)+MAX(0,J114-J113)+MAX(0,J115-J114)+MAX(0,J116-J115)),IF(B105=1,(H105/(B105+3)+J116),IF(B105=0,H105/4+J116))))</f>
        <v>7</v>
      </c>
    </row>
    <row r="118" spans="1:10" ht="15.75" customHeight="1" x14ac:dyDescent="0.35">
      <c r="A118" s="111" t="s">
        <v>137</v>
      </c>
      <c r="B118" s="111"/>
      <c r="C118" s="112" t="str">
        <f>D67</f>
        <v>Building No.3 (Wing E) = Gr/St + 1st to 7th Floor</v>
      </c>
      <c r="D118" s="112"/>
      <c r="E118" s="112"/>
      <c r="F118" s="112"/>
      <c r="G118" s="112"/>
      <c r="H118" s="112"/>
      <c r="I118" s="75" t="str">
        <f ca="1">IF(D131=100%,"All work Completed. Possession granted to the Building.",IF(D130=100%,"All work Completed, Waiting for OC",I119&amp;""&amp;I120&amp;""&amp;J119&amp;""&amp;J118&amp;" "&amp;J120))</f>
        <v>Excavation, Plinth, RCC Slab, Brickwork, Internal Plaster Completed, External Plaster upto 5 Floor Completed</v>
      </c>
      <c r="J118" s="42" t="str">
        <f ca="1">(IF(C124=(D119+F119+H119),"",IF(C124&gt;0,", RCC upto "&amp;C124&amp;" Slab","")))&amp;(IF(C125=H119,"",IF(C125&gt;0,", Brickwork upto "&amp;C125&amp;" Floor","")))&amp;(IF(C126=H119,"",IF(C126&gt;0,", Internal Plaster upto "&amp;C126&amp;" Floor","")))&amp;(IF(C127=H119,"",IF(C127&gt;0,", External Plaster upto "&amp;C127&amp;" Floor","")))&amp;(IF(C128=H119,"",IF(C128&gt;0,", Flooring upto "&amp;C128&amp;" Floor","")))&amp;(IF(C129=H119,"",IF(C129&gt;0,", Painting upto "&amp;C129&amp;" Floor","")))&amp;(IF(C130=H119,"",IF(C130&gt;0,", Finishing upto "&amp;C130&amp;" Floor","")))&amp;(IF(C131=H119,"",IF(C131&gt;0,", Possession upto "&amp;C131&amp;" Floor","")))</f>
        <v>, External Plaster upto 5 Floor</v>
      </c>
    </row>
    <row r="119" spans="1:10" x14ac:dyDescent="0.35">
      <c r="A119" s="46" t="s">
        <v>139</v>
      </c>
      <c r="B119" s="46">
        <f>IF(AND(ISNUMBER(SEARCH("1B",C118))),1,IF(AND(ISNUMBER(SEARCH("2B",C118))),2,IF(AND(ISNUMBER(SEARCH("3B",C118))),3,IF(AND(ISNUMBER(SEARCH("4B",C118))),4,IF(ISNUMBER(SEARCH("5B",C118)),5,0)))))</f>
        <v>0</v>
      </c>
      <c r="C119" s="46" t="s">
        <v>68</v>
      </c>
      <c r="D119" s="46">
        <v>1</v>
      </c>
      <c r="E119" s="46" t="s">
        <v>67</v>
      </c>
      <c r="F119" s="46">
        <v>0</v>
      </c>
      <c r="G119" s="46" t="s">
        <v>76</v>
      </c>
      <c r="H119" s="46">
        <f ca="1">--TRIM(RIGHT(SUBSTITUTE(LEFT(C118,_xlfn.AGGREGATE(16,6,FIND({0,1,2,3,4,5,6,7,8,9},C118,ROW(INDIRECT("1:"&amp;LEN(C118)))),1))," ",REPT(" ",LEN(C118))),LEN(C118)))</f>
        <v>7</v>
      </c>
      <c r="I119" s="76" t="str">
        <f ca="1">IF(D122=100%,"Excavation","")&amp;IF(D123=100%,", Plinth","")&amp;IF(D124=100%,", RCC Slab","")&amp;IF(D125=100%,", Brickwork","")&amp;IF(D126=100%,", Internal Plaster","")&amp;IF(D127=100%,", External Plaster","")&amp;IF(D128=100%,", Flooring","")&amp;IF(D129=100%,", Painting","")&amp;IF(D130=100%,", Building common Amenities","")</f>
        <v>Excavation, Plinth, RCC Slab, Brickwork, Internal Plaster</v>
      </c>
      <c r="J119" s="44" t="str">
        <f ca="1">(IF(C122=0,"Work not yet Started.",IF(D122=25%,"Piling work in process",IF(D122=50%,"Excavation work in process",IF(D122=100%,"","0")))))&amp;(IF(C123=0%,"",IF(C123=J124,", Footing work is process",IF(C123=J125,", Footing work Completed",IF(C123=J126,", 1st Basement Completed",IF(C123=J127,", 1st &amp; 2nd Basement Completed",IF(C123=J128,", 1st to 3rd Basement Completed",IF(C123=J129,", 1st to 4th Basement Completed",IF(C123=J130,", Plinth work is process",IF(C123=J131,"","0"))))))))))</f>
        <v/>
      </c>
    </row>
    <row r="120" spans="1:10" ht="33" customHeight="1" x14ac:dyDescent="0.35">
      <c r="A120" s="153" t="s">
        <v>86</v>
      </c>
      <c r="B120" s="153"/>
      <c r="C120" s="112" t="str">
        <f ca="1">(IF($G$60="NA",I118,"All work Completed. OC Received."))</f>
        <v>Excavation, Plinth, RCC Slab, Brickwork, Internal Plaster Completed, External Plaster upto 5 Floor Completed</v>
      </c>
      <c r="D120" s="112"/>
      <c r="E120" s="112"/>
      <c r="F120" s="112"/>
      <c r="G120" s="112"/>
      <c r="H120" s="112"/>
      <c r="I120" s="76" t="str">
        <f ca="1">IF(I119&lt;&gt;""," Completed","")</f>
        <v xml:space="preserve"> Completed</v>
      </c>
      <c r="J120" s="44" t="str">
        <f ca="1">IF(J118&lt;&gt;"","Completed","")</f>
        <v>Completed</v>
      </c>
    </row>
    <row r="121" spans="1:10" ht="15.75" customHeight="1" x14ac:dyDescent="0.35">
      <c r="A121" s="87" t="s">
        <v>46</v>
      </c>
      <c r="B121" s="87"/>
      <c r="C121" s="74" t="s">
        <v>136</v>
      </c>
      <c r="D121" s="74" t="s">
        <v>79</v>
      </c>
      <c r="E121" s="85" t="s">
        <v>81</v>
      </c>
      <c r="F121" s="85"/>
      <c r="G121" s="85" t="s">
        <v>80</v>
      </c>
      <c r="H121" s="85"/>
      <c r="I121" s="13" t="s">
        <v>138</v>
      </c>
      <c r="J121" s="25">
        <f ca="1">H119*25%</f>
        <v>1.75</v>
      </c>
    </row>
    <row r="122" spans="1:10" x14ac:dyDescent="0.35">
      <c r="A122" s="87" t="s">
        <v>125</v>
      </c>
      <c r="B122" s="87"/>
      <c r="C122" s="74">
        <f ca="1">J123</f>
        <v>7</v>
      </c>
      <c r="D122" s="65">
        <f ca="1">((100/H119)*C122)/100</f>
        <v>1</v>
      </c>
      <c r="E122" s="88">
        <f ca="1">(((C123/H119*10)+(40/(D119+F119+H119)*C124)+(7.5/(H119)*C125)+(7.5/(H119)*C126)+(10/H119*C127)+(10/H119*C128)+(5/H119*C129)+(5/H119*C130)+(5/H119*C131))/100)</f>
        <v>0.72142857142857142</v>
      </c>
      <c r="F122" s="88"/>
      <c r="G122" s="88">
        <f ca="1">((((C122/H119)*20)+((C123/H119)*25)+(30/(H119+F119+D119)*C124)+(5/H119*C125)+(5/H119*C126)+(5/H119*C127)+(5/H119*C128)+(0/H119*C129)+(0/H119*C130)+(5/H119*C131))/100)</f>
        <v>0.88571428571428568</v>
      </c>
      <c r="H122" s="88"/>
      <c r="I122" s="13" t="s">
        <v>97</v>
      </c>
      <c r="J122" s="26">
        <f ca="1">H119*50%</f>
        <v>3.5</v>
      </c>
    </row>
    <row r="123" spans="1:10" x14ac:dyDescent="0.35">
      <c r="A123" s="87" t="s">
        <v>47</v>
      </c>
      <c r="B123" s="87"/>
      <c r="C123" s="68">
        <f ca="1">J131</f>
        <v>7</v>
      </c>
      <c r="D123" s="65">
        <f ca="1">((100/H119)*C123)/100</f>
        <v>1</v>
      </c>
      <c r="E123" s="88"/>
      <c r="F123" s="88"/>
      <c r="G123" s="88"/>
      <c r="H123" s="88"/>
      <c r="I123" s="13" t="s">
        <v>98</v>
      </c>
      <c r="J123" s="26">
        <f ca="1">H119</f>
        <v>7</v>
      </c>
    </row>
    <row r="124" spans="1:10" ht="15.75" customHeight="1" x14ac:dyDescent="0.35">
      <c r="A124" s="87" t="s">
        <v>126</v>
      </c>
      <c r="B124" s="87"/>
      <c r="C124" s="74">
        <v>8</v>
      </c>
      <c r="D124" s="65">
        <f ca="1">((100/(D119+F119+H119))*C124)/100</f>
        <v>1</v>
      </c>
      <c r="E124" s="88"/>
      <c r="F124" s="88"/>
      <c r="G124" s="88"/>
      <c r="H124" s="88"/>
      <c r="I124" s="13" t="s">
        <v>99</v>
      </c>
      <c r="J124" s="27">
        <f ca="1">(IF(B119&gt;1,(H119/(B119+2)),H119/4))</f>
        <v>1.75</v>
      </c>
    </row>
    <row r="125" spans="1:10" ht="15.75" customHeight="1" x14ac:dyDescent="0.35">
      <c r="A125" s="87" t="s">
        <v>133</v>
      </c>
      <c r="B125" s="87" t="s">
        <v>127</v>
      </c>
      <c r="C125" s="74">
        <v>7</v>
      </c>
      <c r="D125" s="65">
        <f ca="1">((100/H119)*C125)/100</f>
        <v>1</v>
      </c>
      <c r="E125" s="88"/>
      <c r="F125" s="88"/>
      <c r="G125" s="88"/>
      <c r="H125" s="88"/>
      <c r="I125" s="13" t="s">
        <v>100</v>
      </c>
      <c r="J125" s="27">
        <f ca="1">(IF(B119&gt;1,(H119/(B119+2)+J124),H119/4+J124))</f>
        <v>3.5</v>
      </c>
    </row>
    <row r="126" spans="1:10" ht="15.75" customHeight="1" x14ac:dyDescent="0.35">
      <c r="A126" s="87" t="s">
        <v>134</v>
      </c>
      <c r="B126" s="87" t="s">
        <v>127</v>
      </c>
      <c r="C126" s="74">
        <v>7</v>
      </c>
      <c r="D126" s="65">
        <f ca="1">((100/H119)*C126)/100</f>
        <v>1</v>
      </c>
      <c r="E126" s="88"/>
      <c r="F126" s="88"/>
      <c r="G126" s="88"/>
      <c r="H126" s="88"/>
      <c r="I126" s="13" t="s">
        <v>143</v>
      </c>
      <c r="J126" s="27">
        <f>(IF(B119&gt;1,(H119/(B119+2)+J125),0))</f>
        <v>0</v>
      </c>
    </row>
    <row r="127" spans="1:10" ht="15" customHeight="1" x14ac:dyDescent="0.35">
      <c r="A127" s="87" t="s">
        <v>132</v>
      </c>
      <c r="B127" s="87" t="s">
        <v>129</v>
      </c>
      <c r="C127" s="74">
        <v>5</v>
      </c>
      <c r="D127" s="65">
        <f ca="1">((100/(H119))*C127)/100</f>
        <v>0.7142857142857143</v>
      </c>
      <c r="E127" s="88"/>
      <c r="F127" s="88"/>
      <c r="G127" s="88"/>
      <c r="H127" s="88"/>
      <c r="I127" s="13" t="s">
        <v>140</v>
      </c>
      <c r="J127" s="27">
        <f>(IF(B119&gt;2,(H119/(B119+2)+J126),0))</f>
        <v>0</v>
      </c>
    </row>
    <row r="128" spans="1:10" ht="15.75" customHeight="1" x14ac:dyDescent="0.35">
      <c r="A128" s="87" t="s">
        <v>128</v>
      </c>
      <c r="B128" s="87" t="s">
        <v>128</v>
      </c>
      <c r="C128" s="74">
        <v>0</v>
      </c>
      <c r="D128" s="65">
        <f ca="1">((100/H119)*C128)/100</f>
        <v>0</v>
      </c>
      <c r="E128" s="88"/>
      <c r="F128" s="88"/>
      <c r="G128" s="88"/>
      <c r="H128" s="88"/>
      <c r="I128" s="13" t="s">
        <v>141</v>
      </c>
      <c r="J128" s="28">
        <f>(IF(B119&gt;3,(H119/(B119+2)+J127),0))</f>
        <v>0</v>
      </c>
    </row>
    <row r="129" spans="1:22" ht="15.75" customHeight="1" x14ac:dyDescent="0.35">
      <c r="A129" s="87" t="s">
        <v>135</v>
      </c>
      <c r="B129" s="87"/>
      <c r="C129" s="74">
        <v>0</v>
      </c>
      <c r="D129" s="65">
        <f ca="1">((100/H119)*C129)/100</f>
        <v>0</v>
      </c>
      <c r="E129" s="88"/>
      <c r="F129" s="88"/>
      <c r="G129" s="88"/>
      <c r="H129" s="88"/>
      <c r="I129" s="13" t="s">
        <v>142</v>
      </c>
      <c r="J129" s="27">
        <f>(IF(B119&gt;4,(H119/(B119+2)+J128),0))</f>
        <v>0</v>
      </c>
    </row>
    <row r="130" spans="1:22" ht="15.75" customHeight="1" x14ac:dyDescent="0.35">
      <c r="A130" s="87" t="s">
        <v>130</v>
      </c>
      <c r="B130" s="87" t="s">
        <v>130</v>
      </c>
      <c r="C130" s="74">
        <v>0</v>
      </c>
      <c r="D130" s="65">
        <f ca="1">((100/(H119))*C130)/100</f>
        <v>0</v>
      </c>
      <c r="E130" s="88"/>
      <c r="F130" s="88"/>
      <c r="G130" s="88"/>
      <c r="H130" s="88"/>
      <c r="I130" s="13" t="s">
        <v>144</v>
      </c>
      <c r="J130" s="27">
        <f ca="1">(IF(B119=1,(H119/(B119+3)+J125),IF(B119=0,(H119/4+J125),IF(B119&gt;1,0))))</f>
        <v>5.25</v>
      </c>
    </row>
    <row r="131" spans="1:22" ht="16" thickBot="1" x14ac:dyDescent="0.4">
      <c r="A131" s="87" t="s">
        <v>131</v>
      </c>
      <c r="B131" s="87"/>
      <c r="C131" s="74">
        <v>0</v>
      </c>
      <c r="D131" s="65">
        <f ca="1">((100/(H119))*C131)/100</f>
        <v>0</v>
      </c>
      <c r="E131" s="88"/>
      <c r="F131" s="88"/>
      <c r="G131" s="88"/>
      <c r="H131" s="88"/>
      <c r="I131" s="14" t="s">
        <v>101</v>
      </c>
      <c r="J131" s="29">
        <f ca="1">(IF(B119&gt;1.5,(H119/(B119+2)+J125+MAX(0,J126-J125)+MAX(0,J127-J126)+MAX(0,J128-J127)+MAX(0,J129-J128)+MAX(0,J130-J129)),IF(B119=1,(H119/(B119+3)+J130),IF(B119=0,H119/4+J130))))</f>
        <v>7</v>
      </c>
    </row>
    <row r="132" spans="1:22" x14ac:dyDescent="0.35">
      <c r="A132" s="209" t="s">
        <v>137</v>
      </c>
      <c r="B132" s="210"/>
      <c r="C132" s="211" t="str">
        <f>D68</f>
        <v>Building No.4 (Wing F &amp; G) = Gr/St + 1st to 7th Floor</v>
      </c>
      <c r="D132" s="212"/>
      <c r="E132" s="212"/>
      <c r="F132" s="212"/>
      <c r="G132" s="212"/>
      <c r="H132" s="213"/>
      <c r="I132" s="41" t="str">
        <f ca="1">IF(D145=100%,"All work Completed. Possession granted to the Building.",IF(D144=100%,"All work Completed, Waiting for OC",I133&amp;""&amp;I134&amp;""&amp;J133&amp;""&amp;J132&amp;" "&amp;J134))</f>
        <v>Excavation, Plinth, RCC Slab Completed, Brickwork upto 3 Floor Completed</v>
      </c>
      <c r="J132" s="42" t="str">
        <f ca="1">(IF(C138=(D133+F133+H133),"",IF(C138&gt;0,", RCC upto "&amp;C138&amp;" Slab","")))&amp;(IF(C139=H133,"",IF(C139&gt;0,", Brickwork upto "&amp;C139&amp;" Floor","")))&amp;(IF(C140=H133,"",IF(C140&gt;0,", Internal Plaster upto "&amp;C140&amp;" Floor","")))&amp;(IF(C141=H133,"",IF(C141&gt;0,", External Plaster upto "&amp;C141&amp;" Floor","")))&amp;(IF(C142=H133,"",IF(C142&gt;0,", Flooring upto "&amp;C142&amp;" Floor","")))&amp;(IF(C143=H133,"",IF(C143&gt;0,", Painting upto "&amp;C143&amp;" Floor","")))&amp;(IF(C144=H133,"",IF(C144&gt;0,", Finishing upto "&amp;C144&amp;" Floor","")))&amp;(IF(C145=H133,"",IF(C145&gt;0,", Possession upto "&amp;C145&amp;" Floor","")))</f>
        <v>, Brickwork upto 3 Floor</v>
      </c>
      <c r="R132" t="s">
        <v>251</v>
      </c>
      <c r="S132" t="s">
        <v>170</v>
      </c>
      <c r="T132" t="s">
        <v>176</v>
      </c>
      <c r="U132" t="s">
        <v>191</v>
      </c>
      <c r="V132" t="s">
        <v>186</v>
      </c>
    </row>
    <row r="133" spans="1:22" x14ac:dyDescent="0.35">
      <c r="A133" s="15" t="s">
        <v>139</v>
      </c>
      <c r="B133" s="46">
        <f>IF(AND(ISNUMBER(SEARCH("1B",C132))),1,IF(AND(ISNUMBER(SEARCH("2B",C132))),2,IF(AND(ISNUMBER(SEARCH("3B",C132))),3,IF(AND(ISNUMBER(SEARCH("4B",C132))),4,IF(ISNUMBER(SEARCH("5B",C132)),5,0)))))</f>
        <v>0</v>
      </c>
      <c r="C133" s="46" t="s">
        <v>68</v>
      </c>
      <c r="D133" s="46">
        <v>1</v>
      </c>
      <c r="E133" s="46" t="s">
        <v>67</v>
      </c>
      <c r="F133" s="46">
        <v>0</v>
      </c>
      <c r="G133" s="46" t="s">
        <v>76</v>
      </c>
      <c r="H133" s="16">
        <f ca="1">--TRIM(RIGHT(SUBSTITUTE(LEFT(C132,_xlfn.AGGREGATE(16,6,FIND({0,1,2,3,4,5,6,7,8,9},C132,ROW(INDIRECT("1:"&amp;LEN(C132)))),1))," ",REPT(" ",LEN(C132))),LEN(C132)))</f>
        <v>7</v>
      </c>
      <c r="I133" s="43" t="str">
        <f ca="1">IF(D136=100%,"Excavation","")&amp;IF(D137=100%,", Plinth","")&amp;IF(D138=100%,", RCC Slab","")&amp;IF(D139=100%,", Brickwork","")&amp;IF(D140=100%,", Internal Plaster","")&amp;IF(D141=100%,", External Plaster","")&amp;IF(D142=100%,", Flooring","")&amp;IF(D143=100%,", Painting","")&amp;IF(D144=100%,", Building common Amenities","")</f>
        <v>Excavation, Plinth, RCC Slab</v>
      </c>
      <c r="J133" s="44" t="str">
        <f ca="1">(IF(C136=0,"Work not yet Started.",IF(D136=25%,"Piling work in process",IF(D136=50%,"Excavation work in process",IF(D136=100%,"","0")))))&amp;(IF(C137=0%,"",IF(C137=J138,", Footing work is process",IF(C137=J139,", Footing work Completed",IF(C137=J140,", 1st Basement Completed",IF(C137=J141,", 1st &amp; 2nd Basement Completed",IF(C137=J142,", 1st to 3rd Basement Completed",IF(C137=J143,", 1st to 4th Basement Completed",IF(C137=J144,", Plinth work is process",IF(C137=J145,"","0"))))))))))</f>
        <v/>
      </c>
      <c r="R133"/>
      <c r="S133">
        <v>800000</v>
      </c>
      <c r="T133">
        <v>150000</v>
      </c>
      <c r="U133">
        <v>100000</v>
      </c>
      <c r="V133">
        <v>100000</v>
      </c>
    </row>
    <row r="134" spans="1:22" ht="31" customHeight="1" x14ac:dyDescent="0.35">
      <c r="A134" s="186" t="s">
        <v>86</v>
      </c>
      <c r="B134" s="153"/>
      <c r="C134" s="112" t="str">
        <f ca="1">(IF($G$60="NA",I132,"All work Completed. OC Received."))</f>
        <v>Excavation, Plinth, RCC Slab Completed, Brickwork upto 3 Floor Completed</v>
      </c>
      <c r="D134" s="112"/>
      <c r="E134" s="112"/>
      <c r="F134" s="112"/>
      <c r="G134" s="112"/>
      <c r="H134" s="179"/>
      <c r="I134" s="43" t="str">
        <f ca="1">IF(I133&lt;&gt;""," Completed","")</f>
        <v xml:space="preserve"> Completed</v>
      </c>
      <c r="J134" s="44" t="str">
        <f ca="1">IF(J132&lt;&gt;"","Completed","")</f>
        <v>Completed</v>
      </c>
      <c r="R134"/>
      <c r="S134">
        <v>900000</v>
      </c>
      <c r="T134">
        <v>200000</v>
      </c>
      <c r="U134">
        <v>150000</v>
      </c>
      <c r="V134">
        <v>150000</v>
      </c>
    </row>
    <row r="135" spans="1:22" x14ac:dyDescent="0.35">
      <c r="A135" s="140" t="s">
        <v>46</v>
      </c>
      <c r="B135" s="85"/>
      <c r="C135" s="71" t="s">
        <v>136</v>
      </c>
      <c r="D135" s="71" t="s">
        <v>79</v>
      </c>
      <c r="E135" s="85" t="s">
        <v>81</v>
      </c>
      <c r="F135" s="85"/>
      <c r="G135" s="85" t="s">
        <v>80</v>
      </c>
      <c r="H135" s="86"/>
      <c r="I135" s="13" t="s">
        <v>138</v>
      </c>
      <c r="J135" s="25">
        <f ca="1">H133*25%</f>
        <v>1.75</v>
      </c>
      <c r="R135"/>
      <c r="S135">
        <v>1000000</v>
      </c>
      <c r="T135">
        <v>250000</v>
      </c>
      <c r="U135">
        <v>200000</v>
      </c>
      <c r="V135">
        <v>200000</v>
      </c>
    </row>
    <row r="136" spans="1:22" s="30" customFormat="1" x14ac:dyDescent="0.35">
      <c r="A136" s="140" t="s">
        <v>125</v>
      </c>
      <c r="B136" s="85"/>
      <c r="C136" s="71">
        <f ca="1">J137</f>
        <v>7</v>
      </c>
      <c r="D136" s="65">
        <f ca="1">((100/H133)*C136)/100</f>
        <v>1</v>
      </c>
      <c r="E136" s="165">
        <f ca="1">(((C137/H133*10)+(40/(D133+F133+H133)*C138)+(7.5/(H133)*C139)+(7.5/(H133)*C140)+(10/H133*C141)+(10/H133*C142)+(5/H133*C143)+(5/H133*C144)+(5/H133*C145))/100)</f>
        <v>0.53214285714285714</v>
      </c>
      <c r="F136" s="166"/>
      <c r="G136" s="165">
        <f ca="1">((((C136/H133)*20)+((C137/H133)*25)+(30/(H133+F133+D133)*C138)+(5/H133*C139)+(5/H133*C140)+(5/H133*C141)+(5/H133*C142)+(0/H133*C143)+(0/H133*C144)+(5/H133*C145))/100)</f>
        <v>0.77142857142857135</v>
      </c>
      <c r="H136" s="171"/>
      <c r="I136" s="13" t="s">
        <v>97</v>
      </c>
      <c r="J136" s="26">
        <f ca="1">H133*50%</f>
        <v>3.5</v>
      </c>
      <c r="R136"/>
      <c r="S136">
        <v>1100000</v>
      </c>
      <c r="T136">
        <v>300000</v>
      </c>
      <c r="U136">
        <v>250000</v>
      </c>
      <c r="V136" s="20">
        <v>250000</v>
      </c>
    </row>
    <row r="137" spans="1:22" s="30" customFormat="1" x14ac:dyDescent="0.35">
      <c r="A137" s="140" t="s">
        <v>47</v>
      </c>
      <c r="B137" s="85"/>
      <c r="C137" s="68">
        <f ca="1">J145</f>
        <v>7</v>
      </c>
      <c r="D137" s="65">
        <f ca="1">((100/H133)*C137)/100</f>
        <v>1</v>
      </c>
      <c r="E137" s="167"/>
      <c r="F137" s="168"/>
      <c r="G137" s="167"/>
      <c r="H137" s="172"/>
      <c r="I137" s="13" t="s">
        <v>98</v>
      </c>
      <c r="J137" s="26">
        <f ca="1">H133</f>
        <v>7</v>
      </c>
      <c r="R137"/>
      <c r="S137">
        <v>1200000</v>
      </c>
      <c r="T137">
        <v>350000</v>
      </c>
      <c r="U137">
        <v>300000</v>
      </c>
      <c r="V137">
        <v>300000</v>
      </c>
    </row>
    <row r="138" spans="1:22" s="30" customFormat="1" x14ac:dyDescent="0.35">
      <c r="A138" s="140" t="s">
        <v>126</v>
      </c>
      <c r="B138" s="85"/>
      <c r="C138" s="71">
        <v>8</v>
      </c>
      <c r="D138" s="65">
        <f ca="1">((100/(D133+F133+H133))*C138)/100</f>
        <v>1</v>
      </c>
      <c r="E138" s="167"/>
      <c r="F138" s="168"/>
      <c r="G138" s="167"/>
      <c r="H138" s="172"/>
      <c r="I138" s="13" t="s">
        <v>99</v>
      </c>
      <c r="J138" s="27">
        <f ca="1">(IF(B133&gt;1,(H133/(B133+2)),H133/4))</f>
        <v>1.75</v>
      </c>
      <c r="R138"/>
      <c r="S138">
        <v>1300000</v>
      </c>
      <c r="T138">
        <v>400000</v>
      </c>
      <c r="U138">
        <v>350000</v>
      </c>
      <c r="V138" s="20">
        <v>400000</v>
      </c>
    </row>
    <row r="139" spans="1:22" s="30" customFormat="1" x14ac:dyDescent="0.35">
      <c r="A139" s="140" t="s">
        <v>133</v>
      </c>
      <c r="B139" s="85" t="s">
        <v>127</v>
      </c>
      <c r="C139" s="71">
        <v>3</v>
      </c>
      <c r="D139" s="65">
        <f ca="1">((100/H133)*C139)/100</f>
        <v>0.4285714285714286</v>
      </c>
      <c r="E139" s="167"/>
      <c r="F139" s="168"/>
      <c r="G139" s="167"/>
      <c r="H139" s="172"/>
      <c r="I139" s="13" t="s">
        <v>100</v>
      </c>
      <c r="J139" s="27">
        <f ca="1">(IF(B133&gt;1,(H133/(B133+2)+J138),H133/4+J138))</f>
        <v>3.5</v>
      </c>
      <c r="R139"/>
      <c r="S139">
        <v>1400000</v>
      </c>
      <c r="T139">
        <v>500000</v>
      </c>
      <c r="U139">
        <v>400000</v>
      </c>
      <c r="V139"/>
    </row>
    <row r="140" spans="1:22" s="30" customFormat="1" x14ac:dyDescent="0.35">
      <c r="A140" s="140" t="s">
        <v>134</v>
      </c>
      <c r="B140" s="85" t="s">
        <v>127</v>
      </c>
      <c r="C140" s="71">
        <v>0</v>
      </c>
      <c r="D140" s="65">
        <f ca="1">((100/H133)*C140)/100</f>
        <v>0</v>
      </c>
      <c r="E140" s="167"/>
      <c r="F140" s="168"/>
      <c r="G140" s="167"/>
      <c r="H140" s="172"/>
      <c r="I140" s="13" t="s">
        <v>143</v>
      </c>
      <c r="J140" s="27">
        <f>(IF(B133&gt;1,(H133/(B133+2)+J139),0))</f>
        <v>0</v>
      </c>
      <c r="R140"/>
      <c r="S140">
        <v>1500000</v>
      </c>
      <c r="T140">
        <v>600000</v>
      </c>
      <c r="U140">
        <v>500000</v>
      </c>
      <c r="V140" s="20"/>
    </row>
    <row r="141" spans="1:22" s="30" customFormat="1" x14ac:dyDescent="0.35">
      <c r="A141" s="140" t="s">
        <v>132</v>
      </c>
      <c r="B141" s="85" t="s">
        <v>129</v>
      </c>
      <c r="C141" s="71">
        <v>0</v>
      </c>
      <c r="D141" s="65">
        <f ca="1">((100/(H133))*C141)/100</f>
        <v>0</v>
      </c>
      <c r="E141" s="167"/>
      <c r="F141" s="168"/>
      <c r="G141" s="167"/>
      <c r="H141" s="172"/>
      <c r="I141" s="13" t="s">
        <v>140</v>
      </c>
      <c r="J141" s="27">
        <f>(IF(B133&gt;2,(H133/(B133+2)+J140),0))</f>
        <v>0</v>
      </c>
      <c r="R141"/>
      <c r="S141">
        <v>1600000</v>
      </c>
      <c r="T141">
        <v>700000</v>
      </c>
      <c r="U141">
        <v>600000</v>
      </c>
      <c r="V141"/>
    </row>
    <row r="142" spans="1:22" s="30" customFormat="1" x14ac:dyDescent="0.35">
      <c r="A142" s="140" t="s">
        <v>128</v>
      </c>
      <c r="B142" s="85" t="s">
        <v>128</v>
      </c>
      <c r="C142" s="71">
        <v>0</v>
      </c>
      <c r="D142" s="65">
        <f ca="1">((100/H133)*C142)/100</f>
        <v>0</v>
      </c>
      <c r="E142" s="167"/>
      <c r="F142" s="168"/>
      <c r="G142" s="167"/>
      <c r="H142" s="172"/>
      <c r="I142" s="13" t="s">
        <v>141</v>
      </c>
      <c r="J142" s="28">
        <f>(IF(B133&gt;3,(H133/(B133+2)+J141),0))</f>
        <v>0</v>
      </c>
      <c r="R142"/>
      <c r="S142">
        <v>1700000</v>
      </c>
      <c r="T142">
        <v>800000</v>
      </c>
      <c r="U142"/>
      <c r="V142" s="20"/>
    </row>
    <row r="143" spans="1:22" x14ac:dyDescent="0.35">
      <c r="A143" s="140" t="s">
        <v>135</v>
      </c>
      <c r="B143" s="85"/>
      <c r="C143" s="71">
        <v>0</v>
      </c>
      <c r="D143" s="65">
        <f ca="1">((100/H133)*C143)/100</f>
        <v>0</v>
      </c>
      <c r="E143" s="167"/>
      <c r="F143" s="168"/>
      <c r="G143" s="167"/>
      <c r="H143" s="172"/>
      <c r="I143" s="13" t="s">
        <v>142</v>
      </c>
      <c r="J143" s="27">
        <f>(IF(B133&gt;4,(H133/(B133+2)+J142),0))</f>
        <v>0</v>
      </c>
      <c r="R143"/>
      <c r="S143">
        <v>1800000</v>
      </c>
      <c r="T143">
        <v>900000</v>
      </c>
      <c r="U143"/>
    </row>
    <row r="144" spans="1:22" s="31" customFormat="1" x14ac:dyDescent="0.35">
      <c r="A144" s="140" t="s">
        <v>130</v>
      </c>
      <c r="B144" s="85" t="s">
        <v>130</v>
      </c>
      <c r="C144" s="71">
        <v>0</v>
      </c>
      <c r="D144" s="65">
        <f ca="1">((100/(H133))*C144)/100</f>
        <v>0</v>
      </c>
      <c r="E144" s="167"/>
      <c r="F144" s="168"/>
      <c r="G144" s="167"/>
      <c r="H144" s="172"/>
      <c r="I144" s="13" t="s">
        <v>144</v>
      </c>
      <c r="J144" s="27">
        <f ca="1">(IF(B133=1,(H133/(B133+3)+J139),IF(B133=0,(H133/4+J139),IF(B133&gt;1,0))))</f>
        <v>5.25</v>
      </c>
      <c r="R144" s="18"/>
      <c r="S144" s="18"/>
      <c r="T144">
        <v>1000000</v>
      </c>
      <c r="U144"/>
      <c r="V144" s="18"/>
    </row>
    <row r="145" spans="1:22" s="32" customFormat="1" ht="15.75" customHeight="1" thickBot="1" x14ac:dyDescent="0.4">
      <c r="A145" s="141" t="s">
        <v>131</v>
      </c>
      <c r="B145" s="142"/>
      <c r="C145" s="66">
        <v>0</v>
      </c>
      <c r="D145" s="67">
        <f ca="1">((100/(H133))*C145)/100</f>
        <v>0</v>
      </c>
      <c r="E145" s="169"/>
      <c r="F145" s="170"/>
      <c r="G145" s="169"/>
      <c r="H145" s="173"/>
      <c r="I145" s="14" t="s">
        <v>101</v>
      </c>
      <c r="J145" s="29">
        <f ca="1">(IF(B133&gt;1.5,(H133/(B133+2)+J139+MAX(0,J140-J139)+MAX(0,J141-J140)+MAX(0,J142-J141)+MAX(0,J143-J142)+MAX(0,J144-J143)),IF(B133=1,(H133/(B133+3)+J144),IF(B133=0,H133/4+J144))))</f>
        <v>7</v>
      </c>
      <c r="R145"/>
      <c r="S145" s="18"/>
      <c r="T145"/>
      <c r="U145"/>
      <c r="V145" s="18"/>
    </row>
    <row r="146" spans="1:22" s="32" customFormat="1" ht="15.75" customHeight="1" x14ac:dyDescent="0.35">
      <c r="A146" s="206" t="s">
        <v>154</v>
      </c>
      <c r="B146" s="206"/>
      <c r="C146" s="206"/>
      <c r="D146" s="206"/>
      <c r="E146" s="206"/>
      <c r="F146" s="208" t="s">
        <v>158</v>
      </c>
      <c r="G146" s="208"/>
      <c r="H146" s="208"/>
      <c r="I146" s="18"/>
      <c r="J146" s="18"/>
      <c r="R146"/>
      <c r="S146" s="18"/>
      <c r="T146"/>
      <c r="U146" s="18"/>
      <c r="V146" s="18"/>
    </row>
    <row r="147" spans="1:22" s="32" customFormat="1" x14ac:dyDescent="0.35">
      <c r="A147" s="102" t="s">
        <v>156</v>
      </c>
      <c r="B147" s="102"/>
      <c r="C147" s="102"/>
      <c r="D147" s="102"/>
      <c r="E147" s="102"/>
      <c r="F147" s="97">
        <v>5100</v>
      </c>
      <c r="G147" s="97"/>
      <c r="H147" s="97"/>
      <c r="I147" s="18" t="s">
        <v>364</v>
      </c>
      <c r="J147" s="18"/>
      <c r="R147"/>
      <c r="S147" s="18"/>
      <c r="T147"/>
      <c r="U147" s="18"/>
      <c r="V147" s="18"/>
    </row>
    <row r="148" spans="1:22" s="32" customFormat="1" hidden="1" x14ac:dyDescent="0.35">
      <c r="A148" s="102" t="s">
        <v>155</v>
      </c>
      <c r="B148" s="102"/>
      <c r="C148" s="102"/>
      <c r="D148" s="102"/>
      <c r="E148" s="102"/>
      <c r="F148" s="97"/>
      <c r="G148" s="97"/>
      <c r="H148" s="97"/>
      <c r="I148" s="18"/>
      <c r="J148" s="18"/>
      <c r="R148"/>
      <c r="S148" s="18"/>
      <c r="T148"/>
      <c r="U148" s="18"/>
      <c r="V148" s="18"/>
    </row>
    <row r="149" spans="1:22" s="32" customFormat="1" hidden="1" x14ac:dyDescent="0.35">
      <c r="A149" s="102" t="s">
        <v>157</v>
      </c>
      <c r="B149" s="102"/>
      <c r="C149" s="102"/>
      <c r="D149" s="102"/>
      <c r="E149" s="102"/>
      <c r="F149" s="97"/>
      <c r="G149" s="97"/>
      <c r="H149" s="97"/>
      <c r="I149" s="18"/>
      <c r="J149" s="18"/>
      <c r="R149"/>
      <c r="S149" s="18"/>
      <c r="T149"/>
      <c r="U149" s="18"/>
      <c r="V149" s="18"/>
    </row>
    <row r="150" spans="1:22" s="32" customFormat="1" hidden="1" x14ac:dyDescent="0.35">
      <c r="A150" s="102" t="s">
        <v>172</v>
      </c>
      <c r="B150" s="102"/>
      <c r="C150" s="102"/>
      <c r="D150" s="102"/>
      <c r="E150" s="102"/>
      <c r="F150" s="97"/>
      <c r="G150" s="97"/>
      <c r="H150" s="97"/>
      <c r="I150" s="30"/>
      <c r="J150" s="30"/>
      <c r="T150"/>
    </row>
    <row r="151" spans="1:22" s="32" customFormat="1" ht="15.75" customHeight="1" x14ac:dyDescent="0.35">
      <c r="A151" s="102" t="s">
        <v>91</v>
      </c>
      <c r="B151" s="102"/>
      <c r="C151" s="102"/>
      <c r="D151" s="102"/>
      <c r="E151" s="102"/>
      <c r="F151" s="97">
        <v>175000</v>
      </c>
      <c r="G151" s="97"/>
      <c r="H151" s="97"/>
      <c r="I151" s="30"/>
      <c r="J151" s="30"/>
      <c r="T151"/>
    </row>
    <row r="152" spans="1:22" s="32" customFormat="1" hidden="1" x14ac:dyDescent="0.35">
      <c r="A152" s="102" t="s">
        <v>92</v>
      </c>
      <c r="B152" s="102"/>
      <c r="C152" s="102"/>
      <c r="D152" s="102"/>
      <c r="E152" s="102"/>
      <c r="F152" s="97"/>
      <c r="G152" s="97"/>
      <c r="H152" s="97"/>
      <c r="I152" s="30"/>
      <c r="J152" s="30"/>
      <c r="T152"/>
    </row>
    <row r="153" spans="1:22" s="32" customFormat="1" hidden="1" x14ac:dyDescent="0.35">
      <c r="A153" s="102" t="s">
        <v>93</v>
      </c>
      <c r="B153" s="102"/>
      <c r="C153" s="102"/>
      <c r="D153" s="102"/>
      <c r="E153" s="102"/>
      <c r="F153" s="97"/>
      <c r="G153" s="97"/>
      <c r="H153" s="97"/>
      <c r="I153" s="30"/>
      <c r="J153" s="30"/>
      <c r="T153"/>
    </row>
    <row r="154" spans="1:22" s="32" customFormat="1" hidden="1" x14ac:dyDescent="0.35">
      <c r="A154" s="102" t="s">
        <v>94</v>
      </c>
      <c r="B154" s="102"/>
      <c r="C154" s="102"/>
      <c r="D154" s="102"/>
      <c r="E154" s="102"/>
      <c r="F154" s="97"/>
      <c r="G154" s="97"/>
      <c r="H154" s="97"/>
      <c r="I154" s="30"/>
      <c r="J154" s="30"/>
      <c r="T154"/>
    </row>
    <row r="155" spans="1:22" s="32" customFormat="1" hidden="1" x14ac:dyDescent="0.35">
      <c r="A155" s="102" t="s">
        <v>95</v>
      </c>
      <c r="B155" s="102"/>
      <c r="C155" s="102"/>
      <c r="D155" s="102"/>
      <c r="E155" s="102"/>
      <c r="F155" s="97"/>
      <c r="G155" s="97"/>
      <c r="H155" s="97"/>
      <c r="I155" s="30"/>
      <c r="J155" s="30"/>
      <c r="T155"/>
    </row>
    <row r="156" spans="1:22" s="31" customFormat="1" x14ac:dyDescent="0.35">
      <c r="A156" s="102" t="s">
        <v>96</v>
      </c>
      <c r="B156" s="102"/>
      <c r="C156" s="102"/>
      <c r="D156" s="102"/>
      <c r="E156" s="102"/>
      <c r="F156" s="97">
        <v>25000</v>
      </c>
      <c r="G156" s="97"/>
      <c r="H156" s="97"/>
      <c r="I156" s="30"/>
      <c r="J156" s="30"/>
      <c r="T156" s="32"/>
    </row>
    <row r="157" spans="1:22" x14ac:dyDescent="0.35">
      <c r="A157" s="102" t="s">
        <v>48</v>
      </c>
      <c r="B157" s="102"/>
      <c r="C157" s="102"/>
      <c r="D157" s="102"/>
      <c r="E157" s="102"/>
      <c r="F157" s="97">
        <v>150000</v>
      </c>
      <c r="G157" s="97"/>
      <c r="H157" s="97"/>
      <c r="T157" s="32"/>
    </row>
    <row r="158" spans="1:22" x14ac:dyDescent="0.35">
      <c r="A158" s="150" t="s">
        <v>49</v>
      </c>
      <c r="B158" s="150"/>
      <c r="C158" s="150"/>
      <c r="D158" s="150"/>
      <c r="E158" s="150"/>
      <c r="F158" s="97">
        <f>F147*0.8</f>
        <v>4080</v>
      </c>
      <c r="G158" s="97"/>
      <c r="H158" s="97"/>
      <c r="I158" s="31"/>
      <c r="J158" s="31"/>
      <c r="T158" s="32"/>
    </row>
    <row r="159" spans="1:22" s="34" customFormat="1" hidden="1" x14ac:dyDescent="0.35">
      <c r="A159" s="146" t="s">
        <v>71</v>
      </c>
      <c r="B159" s="146"/>
      <c r="C159" s="146"/>
      <c r="D159" s="146"/>
      <c r="E159" s="146"/>
      <c r="F159" s="146"/>
      <c r="G159" s="146"/>
      <c r="H159" s="146"/>
      <c r="I159" s="32"/>
      <c r="J159" s="32"/>
      <c r="T159" s="32"/>
    </row>
    <row r="160" spans="1:22" s="34" customFormat="1" hidden="1" x14ac:dyDescent="0.35">
      <c r="A160" s="101" t="s">
        <v>50</v>
      </c>
      <c r="B160" s="101"/>
      <c r="C160" s="107" t="s">
        <v>74</v>
      </c>
      <c r="D160" s="107"/>
      <c r="E160" s="106" t="s">
        <v>51</v>
      </c>
      <c r="F160" s="106"/>
      <c r="G160" s="101" t="s">
        <v>52</v>
      </c>
      <c r="H160" s="101"/>
      <c r="I160" s="32"/>
      <c r="J160" s="32"/>
      <c r="T160" s="32"/>
    </row>
    <row r="161" spans="1:20" s="34" customFormat="1" ht="15.75" hidden="1" customHeight="1" x14ac:dyDescent="0.35">
      <c r="A161" s="89"/>
      <c r="B161" s="89"/>
      <c r="C161" s="198"/>
      <c r="D161" s="198"/>
      <c r="E161" s="199"/>
      <c r="F161" s="199"/>
      <c r="G161" s="138"/>
      <c r="H161" s="138"/>
      <c r="I161" s="32"/>
      <c r="J161" s="32"/>
      <c r="L161" s="178"/>
      <c r="M161" s="178"/>
      <c r="N161" s="33"/>
      <c r="T161" s="32"/>
    </row>
    <row r="162" spans="1:20" s="34" customFormat="1" ht="15.75" hidden="1" customHeight="1" x14ac:dyDescent="0.35">
      <c r="A162" s="89"/>
      <c r="B162" s="89"/>
      <c r="C162" s="198"/>
      <c r="D162" s="198"/>
      <c r="E162" s="199"/>
      <c r="F162" s="199"/>
      <c r="G162" s="138"/>
      <c r="H162" s="138"/>
      <c r="I162" s="32"/>
      <c r="J162" s="32"/>
      <c r="L162" s="178"/>
      <c r="M162" s="178"/>
      <c r="N162" s="33"/>
      <c r="T162" s="31"/>
    </row>
    <row r="163" spans="1:20" s="34" customFormat="1" ht="15.75" hidden="1" customHeight="1" x14ac:dyDescent="0.35">
      <c r="A163" s="146" t="s">
        <v>147</v>
      </c>
      <c r="B163" s="146"/>
      <c r="C163" s="107"/>
      <c r="D163" s="107"/>
      <c r="E163" s="106"/>
      <c r="F163" s="106"/>
      <c r="G163" s="101"/>
      <c r="H163" s="101"/>
      <c r="I163" s="32"/>
      <c r="J163" s="32"/>
      <c r="L163" s="178"/>
      <c r="M163" s="178"/>
      <c r="N163" s="33"/>
      <c r="T163" s="18"/>
    </row>
    <row r="164" spans="1:20" s="34" customFormat="1" ht="15.75" customHeight="1" x14ac:dyDescent="0.35">
      <c r="A164" s="146" t="s">
        <v>66</v>
      </c>
      <c r="B164" s="146"/>
      <c r="C164" s="146"/>
      <c r="D164" s="146"/>
      <c r="E164" s="146"/>
      <c r="F164" s="146"/>
      <c r="G164" s="146"/>
      <c r="H164" s="146"/>
      <c r="I164" s="32"/>
      <c r="J164" s="32"/>
      <c r="L164" s="178"/>
      <c r="M164" s="178"/>
      <c r="N164" s="33"/>
      <c r="T164" s="18"/>
    </row>
    <row r="165" spans="1:20" s="34" customFormat="1" x14ac:dyDescent="0.35">
      <c r="A165" s="101" t="s">
        <v>50</v>
      </c>
      <c r="B165" s="101"/>
      <c r="C165" s="107" t="s">
        <v>74</v>
      </c>
      <c r="D165" s="107"/>
      <c r="E165" s="106" t="s">
        <v>51</v>
      </c>
      <c r="F165" s="106"/>
      <c r="G165" s="101" t="s">
        <v>52</v>
      </c>
      <c r="H165" s="101"/>
      <c r="I165" s="32" t="s">
        <v>352</v>
      </c>
      <c r="J165" s="32"/>
      <c r="N165" s="33"/>
    </row>
    <row r="166" spans="1:20" s="63" customFormat="1" x14ac:dyDescent="0.35">
      <c r="A166" s="89" t="s">
        <v>330</v>
      </c>
      <c r="B166" s="79" t="s">
        <v>331</v>
      </c>
      <c r="C166" s="90">
        <f>COUNT(F191:F194)*4+COUNT(F196:F199)*3</f>
        <v>28</v>
      </c>
      <c r="D166" s="90"/>
      <c r="E166" s="91">
        <f>SUM(F191:F194)*4+SUM(F196:F199)*3</f>
        <v>10644.304320000001</v>
      </c>
      <c r="F166" s="91"/>
      <c r="G166" s="91">
        <f>SUM(H191:H194)*4+SUM(H196:H199)*3</f>
        <v>15434.241264</v>
      </c>
      <c r="H166" s="91"/>
      <c r="I166" s="32">
        <f>14+7+7+28+7+14+7+7+7</f>
        <v>98</v>
      </c>
      <c r="J166" s="32">
        <f>28+42+28</f>
        <v>98</v>
      </c>
      <c r="N166" s="33"/>
    </row>
    <row r="167" spans="1:20" s="63" customFormat="1" x14ac:dyDescent="0.35">
      <c r="A167" s="89"/>
      <c r="B167" s="79" t="s">
        <v>333</v>
      </c>
      <c r="C167" s="90">
        <f>COUNT(F203:F208)*4+COUNT(F210:F215)*3</f>
        <v>42</v>
      </c>
      <c r="D167" s="90"/>
      <c r="E167" s="91">
        <f>SUM(F203:F208)*4+SUM(F210:F215)*3</f>
        <v>17096.999400000001</v>
      </c>
      <c r="F167" s="91"/>
      <c r="G167" s="91">
        <f>SUM(H203:H208)*4+SUM(H210:H215)*3</f>
        <v>24790.649129999998</v>
      </c>
      <c r="H167" s="91"/>
      <c r="I167" s="32"/>
      <c r="J167" s="32"/>
      <c r="N167" s="33"/>
    </row>
    <row r="168" spans="1:20" s="63" customFormat="1" x14ac:dyDescent="0.35">
      <c r="A168" s="89"/>
      <c r="B168" s="79" t="s">
        <v>335</v>
      </c>
      <c r="C168" s="90">
        <f>COUNT(F219:F222)*4+COUNT(F224:F227)*3</f>
        <v>28</v>
      </c>
      <c r="D168" s="90"/>
      <c r="E168" s="91">
        <f>SUM(F219:F222)*4+SUM(F224:F227)*3</f>
        <v>9050.3711999999996</v>
      </c>
      <c r="F168" s="91"/>
      <c r="G168" s="91">
        <f>SUM(H219:H222)*4+SUM(H224:H227)*3</f>
        <v>13123.038239999998</v>
      </c>
      <c r="H168" s="91"/>
      <c r="I168" s="32"/>
      <c r="J168" s="32"/>
      <c r="N168" s="33"/>
    </row>
    <row r="169" spans="1:20" s="63" customFormat="1" x14ac:dyDescent="0.35">
      <c r="A169" s="89" t="s">
        <v>358</v>
      </c>
      <c r="B169" s="89"/>
      <c r="C169" s="90">
        <f>COUNT(F231:F234)*7</f>
        <v>28</v>
      </c>
      <c r="D169" s="90"/>
      <c r="E169" s="91">
        <f>SUM(F231:F234)*7</f>
        <v>12488.177519999997</v>
      </c>
      <c r="F169" s="91"/>
      <c r="G169" s="91">
        <f>SUM(H231:H234)*7</f>
        <v>18107.857403999998</v>
      </c>
      <c r="H169" s="91"/>
      <c r="I169" s="32">
        <f>14+14</f>
        <v>28</v>
      </c>
      <c r="J169" s="32"/>
      <c r="N169" s="33"/>
    </row>
    <row r="170" spans="1:20" s="63" customFormat="1" x14ac:dyDescent="0.35">
      <c r="A170" s="89" t="s">
        <v>361</v>
      </c>
      <c r="B170" s="89"/>
      <c r="C170" s="90">
        <f>COUNT(F238:F243)*4+COUNT(F245:F250)*3</f>
        <v>42</v>
      </c>
      <c r="D170" s="90"/>
      <c r="E170" s="91">
        <f>SUM(F238:F243)*4+SUM(F245:F250)*3</f>
        <v>15032.571840000001</v>
      </c>
      <c r="F170" s="91"/>
      <c r="G170" s="91">
        <f>SUM(H238:H243)*4+SUM(H245:H250)*3</f>
        <v>21797.229167999998</v>
      </c>
      <c r="H170" s="91"/>
      <c r="I170" s="32">
        <f>7+21+14</f>
        <v>42</v>
      </c>
      <c r="J170" s="32"/>
      <c r="N170" s="33"/>
    </row>
    <row r="171" spans="1:20" s="63" customFormat="1" x14ac:dyDescent="0.35">
      <c r="A171" s="89" t="s">
        <v>343</v>
      </c>
      <c r="B171" s="79" t="s">
        <v>344</v>
      </c>
      <c r="C171" s="90">
        <f>COUNT(F255:F258)*3+COUNT(F260:F263)*3+COUNT(F265:F268)</f>
        <v>28</v>
      </c>
      <c r="D171" s="90"/>
      <c r="E171" s="91">
        <f>SUM(F255:F258)*3+SUM(F260:F263)*3+SUM(F265:F268)</f>
        <v>10309.759199999999</v>
      </c>
      <c r="F171" s="91"/>
      <c r="G171" s="91">
        <f>SUM(H255:H258)*3+SUM(H260:H263)*3+SUM(H265:H268)</f>
        <v>14949.15084</v>
      </c>
      <c r="H171" s="91"/>
      <c r="I171" s="32">
        <f>48+7</f>
        <v>55</v>
      </c>
      <c r="J171" s="32">
        <f>28+27</f>
        <v>55</v>
      </c>
      <c r="N171" s="33"/>
    </row>
    <row r="172" spans="1:20" x14ac:dyDescent="0.35">
      <c r="A172" s="89"/>
      <c r="B172" s="79" t="s">
        <v>345</v>
      </c>
      <c r="C172" s="90">
        <f>COUNT(F272:F275)*3+COUNT(F277:F280)*3+COUNT(F282:F284)</f>
        <v>27</v>
      </c>
      <c r="D172" s="90"/>
      <c r="E172" s="91">
        <f>SUM(F272:F275)*3+SUM(F277:F280)*3+SUM(F282:F284)</f>
        <v>10590.6996</v>
      </c>
      <c r="F172" s="91"/>
      <c r="G172" s="91">
        <f>SUM(H272:H275)*3+SUM(H277:H280)*3+SUM(H282:H284)</f>
        <v>15356.51442</v>
      </c>
      <c r="H172" s="91"/>
      <c r="I172" s="32"/>
      <c r="J172" s="32"/>
      <c r="T172" s="34"/>
    </row>
    <row r="173" spans="1:20" s="34" customFormat="1" x14ac:dyDescent="0.35">
      <c r="A173" s="146" t="s">
        <v>147</v>
      </c>
      <c r="B173" s="146"/>
      <c r="C173" s="139">
        <f>SUM(C166:D172)</f>
        <v>223</v>
      </c>
      <c r="D173" s="107"/>
      <c r="E173" s="207">
        <f t="shared" ref="E173:G173" si="0">SUM(E166:F172)</f>
        <v>85212.88308</v>
      </c>
      <c r="F173" s="106"/>
      <c r="G173" s="101">
        <f t="shared" si="0"/>
        <v>123558.68046599999</v>
      </c>
      <c r="H173" s="101"/>
      <c r="I173" s="32"/>
      <c r="J173" s="32"/>
    </row>
    <row r="174" spans="1:20" s="34" customFormat="1" ht="15.75" hidden="1" customHeight="1" thickBot="1" x14ac:dyDescent="0.4">
      <c r="A174" s="146" t="s">
        <v>164</v>
      </c>
      <c r="B174" s="146"/>
      <c r="C174" s="107">
        <f>C163+C173</f>
        <v>223</v>
      </c>
      <c r="D174" s="107"/>
      <c r="E174" s="106">
        <f>E163+E173</f>
        <v>85212.88308</v>
      </c>
      <c r="F174" s="106"/>
      <c r="G174" s="101">
        <f>G163+G173</f>
        <v>123558.68046599999</v>
      </c>
      <c r="H174" s="101"/>
      <c r="I174" s="32"/>
      <c r="J174" s="32"/>
      <c r="L174" s="178"/>
      <c r="M174" s="178"/>
      <c r="N174" s="33"/>
    </row>
    <row r="175" spans="1:20" s="34" customFormat="1" ht="15.75" customHeight="1" x14ac:dyDescent="0.35">
      <c r="A175" s="143" t="s">
        <v>53</v>
      </c>
      <c r="B175" s="143"/>
      <c r="C175" s="143"/>
      <c r="D175" s="143"/>
      <c r="E175" s="143"/>
      <c r="F175" s="143"/>
      <c r="G175" s="143"/>
      <c r="H175" s="143"/>
      <c r="I175" s="31"/>
      <c r="J175" s="31"/>
      <c r="L175" s="178"/>
      <c r="M175" s="178"/>
      <c r="N175" s="33"/>
    </row>
    <row r="176" spans="1:20" s="34" customFormat="1" ht="15.75" customHeight="1" x14ac:dyDescent="0.35">
      <c r="A176" s="100" t="s">
        <v>349</v>
      </c>
      <c r="B176" s="100"/>
      <c r="C176" s="100"/>
      <c r="D176" s="100"/>
      <c r="E176" s="100"/>
      <c r="F176" s="100"/>
      <c r="G176" s="100"/>
      <c r="H176" s="100"/>
      <c r="I176" s="18"/>
      <c r="J176" s="18"/>
      <c r="L176" s="178"/>
      <c r="M176" s="178"/>
      <c r="N176" s="33"/>
    </row>
    <row r="177" spans="1:20" s="34" customFormat="1" ht="44.25" hidden="1" customHeight="1" x14ac:dyDescent="0.35">
      <c r="A177" s="151" t="s">
        <v>117</v>
      </c>
      <c r="B177" s="151" t="s">
        <v>173</v>
      </c>
      <c r="C177" s="151" t="s">
        <v>54</v>
      </c>
      <c r="D177" s="205" t="s">
        <v>229</v>
      </c>
      <c r="E177" s="196" t="s">
        <v>153</v>
      </c>
      <c r="F177" s="151" t="s">
        <v>55</v>
      </c>
      <c r="G177" s="196" t="s">
        <v>56</v>
      </c>
      <c r="H177" s="77" t="s">
        <v>146</v>
      </c>
      <c r="I177" s="18"/>
      <c r="J177" s="18"/>
      <c r="L177" s="178"/>
      <c r="M177" s="178"/>
      <c r="N177" s="33"/>
      <c r="T177" s="18"/>
    </row>
    <row r="178" spans="1:20" s="34" customFormat="1" hidden="1" x14ac:dyDescent="0.35">
      <c r="A178" s="151"/>
      <c r="B178" s="151"/>
      <c r="C178" s="151"/>
      <c r="D178" s="205"/>
      <c r="E178" s="196"/>
      <c r="F178" s="151"/>
      <c r="G178" s="196"/>
      <c r="H178" s="78">
        <v>0.45</v>
      </c>
      <c r="L178" s="178"/>
      <c r="M178" s="178"/>
    </row>
    <row r="179" spans="1:20" s="34" customFormat="1" hidden="1" x14ac:dyDescent="0.35">
      <c r="A179" s="195" t="s">
        <v>116</v>
      </c>
      <c r="B179" s="195"/>
      <c r="C179" s="195"/>
      <c r="D179" s="195"/>
      <c r="E179" s="195"/>
      <c r="F179" s="195"/>
      <c r="G179" s="195"/>
      <c r="H179" s="195"/>
      <c r="J179" s="33"/>
      <c r="N179" s="33"/>
    </row>
    <row r="180" spans="1:20" s="34" customFormat="1" hidden="1" x14ac:dyDescent="0.35">
      <c r="A180" s="94">
        <v>1</v>
      </c>
      <c r="B180" s="94"/>
      <c r="C180" s="61"/>
      <c r="D180" s="61">
        <v>0</v>
      </c>
      <c r="E180" s="61">
        <v>0</v>
      </c>
      <c r="F180" s="61">
        <f>D180+(IF(E180&lt;201,E180,IF(E180&lt;301,E180/2,E180/3)))</f>
        <v>0</v>
      </c>
      <c r="G180" s="55">
        <v>0</v>
      </c>
      <c r="H180" s="61">
        <f>(F180+(IF(G180&lt;101,G180,IF(G180&lt;201,G180/2,IF(G180&lt;=301,G180/3,G180/4)))))*(($H$178)+1)</f>
        <v>0</v>
      </c>
      <c r="I180" s="33"/>
      <c r="N180" s="33"/>
    </row>
    <row r="181" spans="1:20" s="34" customFormat="1" hidden="1" x14ac:dyDescent="0.35">
      <c r="A181" s="94">
        <f>A180+1</f>
        <v>2</v>
      </c>
      <c r="B181" s="94"/>
      <c r="C181" s="61"/>
      <c r="D181" s="61"/>
      <c r="E181" s="61">
        <v>0</v>
      </c>
      <c r="F181" s="61">
        <f t="shared" ref="F181:F183" si="1">D181+(IF(E181&lt;201,E181,IF(E181&lt;301,E181/2,E181/3)))</f>
        <v>0</v>
      </c>
      <c r="G181" s="61">
        <v>0</v>
      </c>
      <c r="H181" s="61">
        <f t="shared" ref="H181:H183" si="2">(F181+(IF(G181&lt;101,G181,IF(G181&lt;201,G181/2,IF(G181&lt;=301,G181/3,G181/4)))))*(($H$178)+1)</f>
        <v>0</v>
      </c>
      <c r="I181" s="33"/>
      <c r="N181" s="33"/>
    </row>
    <row r="182" spans="1:20" s="34" customFormat="1" hidden="1" x14ac:dyDescent="0.35">
      <c r="A182" s="94">
        <f>A181+1</f>
        <v>3</v>
      </c>
      <c r="B182" s="94"/>
      <c r="C182" s="61"/>
      <c r="D182" s="61"/>
      <c r="E182" s="61">
        <v>0</v>
      </c>
      <c r="F182" s="61">
        <f t="shared" si="1"/>
        <v>0</v>
      </c>
      <c r="G182" s="61">
        <v>0</v>
      </c>
      <c r="H182" s="61">
        <f t="shared" si="2"/>
        <v>0</v>
      </c>
      <c r="I182" s="33"/>
      <c r="N182" s="33"/>
    </row>
    <row r="183" spans="1:20" s="34" customFormat="1" hidden="1" x14ac:dyDescent="0.35">
      <c r="A183" s="94">
        <f>A182+1</f>
        <v>4</v>
      </c>
      <c r="B183" s="94"/>
      <c r="C183" s="61"/>
      <c r="D183" s="61"/>
      <c r="E183" s="61">
        <v>0</v>
      </c>
      <c r="F183" s="61">
        <f t="shared" si="1"/>
        <v>0</v>
      </c>
      <c r="G183" s="61">
        <v>0</v>
      </c>
      <c r="H183" s="61">
        <f t="shared" si="2"/>
        <v>0</v>
      </c>
      <c r="I183" s="33"/>
      <c r="N183" s="33"/>
    </row>
    <row r="184" spans="1:20" s="34" customFormat="1" ht="15.75" customHeight="1" x14ac:dyDescent="0.35">
      <c r="A184" s="94"/>
      <c r="B184" s="94"/>
      <c r="C184" s="94"/>
      <c r="D184" s="94"/>
      <c r="E184" s="94"/>
      <c r="F184" s="94"/>
      <c r="G184" s="94"/>
      <c r="H184" s="94"/>
      <c r="I184" s="33"/>
    </row>
    <row r="185" spans="1:20" s="34" customFormat="1" ht="49.5" customHeight="1" x14ac:dyDescent="0.35">
      <c r="A185" s="144" t="s">
        <v>118</v>
      </c>
      <c r="B185" s="92" t="s">
        <v>174</v>
      </c>
      <c r="C185" s="92" t="s">
        <v>54</v>
      </c>
      <c r="D185" s="136" t="s">
        <v>229</v>
      </c>
      <c r="E185" s="92" t="s">
        <v>339</v>
      </c>
      <c r="F185" s="92" t="s">
        <v>55</v>
      </c>
      <c r="G185" s="200" t="s">
        <v>56</v>
      </c>
      <c r="H185" s="60" t="s">
        <v>146</v>
      </c>
      <c r="I185" s="33"/>
      <c r="J185" s="18"/>
    </row>
    <row r="186" spans="1:20" s="34" customFormat="1" x14ac:dyDescent="0.35">
      <c r="A186" s="145"/>
      <c r="B186" s="93"/>
      <c r="C186" s="93"/>
      <c r="D186" s="137"/>
      <c r="E186" s="93"/>
      <c r="F186" s="93"/>
      <c r="G186" s="201"/>
      <c r="H186" s="73">
        <v>0.45</v>
      </c>
      <c r="I186" s="33"/>
    </row>
    <row r="187" spans="1:20" s="34" customFormat="1" ht="15.75" customHeight="1" x14ac:dyDescent="0.35">
      <c r="A187" s="116" t="s">
        <v>330</v>
      </c>
      <c r="B187" s="117"/>
      <c r="C187" s="117"/>
      <c r="D187" s="117"/>
      <c r="E187" s="117"/>
      <c r="F187" s="117"/>
      <c r="G187" s="117"/>
      <c r="H187" s="118"/>
      <c r="I187" s="72">
        <v>10.763999999999999</v>
      </c>
      <c r="J187" s="33"/>
    </row>
    <row r="188" spans="1:20" s="34" customFormat="1" ht="15.75" customHeight="1" x14ac:dyDescent="0.35">
      <c r="A188" s="116" t="s">
        <v>331</v>
      </c>
      <c r="B188" s="117"/>
      <c r="C188" s="117"/>
      <c r="D188" s="117"/>
      <c r="E188" s="117"/>
      <c r="F188" s="117"/>
      <c r="G188" s="117"/>
      <c r="H188" s="118"/>
      <c r="I188" s="33"/>
    </row>
    <row r="189" spans="1:20" s="34" customFormat="1" ht="15.75" customHeight="1" x14ac:dyDescent="0.35">
      <c r="A189" s="116" t="s">
        <v>332</v>
      </c>
      <c r="B189" s="117"/>
      <c r="C189" s="117"/>
      <c r="D189" s="117"/>
      <c r="E189" s="117"/>
      <c r="F189" s="117"/>
      <c r="G189" s="117"/>
      <c r="H189" s="118"/>
      <c r="I189" s="33"/>
    </row>
    <row r="190" spans="1:20" s="34" customFormat="1" x14ac:dyDescent="0.35">
      <c r="A190" s="116" t="s">
        <v>336</v>
      </c>
      <c r="B190" s="117"/>
      <c r="C190" s="117"/>
      <c r="D190" s="117"/>
      <c r="E190" s="117"/>
      <c r="F190" s="117"/>
      <c r="G190" s="117"/>
      <c r="H190" s="118"/>
      <c r="I190" s="33"/>
    </row>
    <row r="191" spans="1:20" s="34" customFormat="1" ht="15.75" customHeight="1" x14ac:dyDescent="0.35">
      <c r="A191" s="98">
        <v>1</v>
      </c>
      <c r="B191" s="99"/>
      <c r="C191" s="39" t="s">
        <v>337</v>
      </c>
      <c r="D191" s="72">
        <f>(29.48)*10.764</f>
        <v>317.32272</v>
      </c>
      <c r="E191" s="72">
        <f>(2.9)*10.764</f>
        <v>31.215599999999998</v>
      </c>
      <c r="F191" s="39">
        <f>D191+E191</f>
        <v>348.53832</v>
      </c>
      <c r="G191" s="49">
        <v>0</v>
      </c>
      <c r="H191" s="49">
        <f>F191*(($H$186)+1)+(IF(G191&lt;101,G191,IF(G191&lt;201,G191/2,IF(G191&lt;=301,G191/3,G191/4))))</f>
        <v>505.38056399999999</v>
      </c>
      <c r="I191" s="70">
        <f>2.7*4.6+2.1*1.8+2.9*2.15+1*0.6+1.8*1.05+1.2*1.8+2.3</f>
        <v>29.385000000000002</v>
      </c>
      <c r="J191" s="34">
        <f>0.7*0.8</f>
        <v>0.55999999999999994</v>
      </c>
      <c r="K191" s="70">
        <f>I191+J191</f>
        <v>29.945</v>
      </c>
    </row>
    <row r="192" spans="1:20" s="34" customFormat="1" ht="15.75" customHeight="1" x14ac:dyDescent="0.35">
      <c r="A192" s="98">
        <f>A191+1</f>
        <v>2</v>
      </c>
      <c r="B192" s="99"/>
      <c r="C192" s="61" t="s">
        <v>362</v>
      </c>
      <c r="D192" s="72">
        <f>(36.6)*10.764</f>
        <v>393.9624</v>
      </c>
      <c r="E192" s="72">
        <f>(2.9)*10.764</f>
        <v>31.215599999999998</v>
      </c>
      <c r="F192" s="49">
        <f>D192+E192</f>
        <v>425.178</v>
      </c>
      <c r="G192" s="49">
        <v>0</v>
      </c>
      <c r="H192" s="49">
        <f>F192*(($H$186)+1)+(IF(G192&lt;101,G192,IF(G192&lt;201,G192/2,IF(G192&lt;=301,G192/3,G192/4))))</f>
        <v>616.50810000000001</v>
      </c>
      <c r="I192" s="70">
        <f>2.7*4.6+2.1*1.8+2.9*2.15+1*0.6+2.5*2.75+1.8*1.05+1.2*1.8+2.4*0.9+0.7*0.8</f>
        <v>36.680000000000007</v>
      </c>
    </row>
    <row r="193" spans="1:20" s="34" customFormat="1" ht="15.75" customHeight="1" x14ac:dyDescent="0.35">
      <c r="A193" s="98">
        <f>A192+1</f>
        <v>3</v>
      </c>
      <c r="B193" s="99"/>
      <c r="C193" s="61" t="s">
        <v>337</v>
      </c>
      <c r="D193" s="72">
        <f>(29.48)*10.764</f>
        <v>317.32272</v>
      </c>
      <c r="E193" s="72">
        <f>(2.9)*10.764</f>
        <v>31.215599999999998</v>
      </c>
      <c r="F193" s="49">
        <f>D193+E193</f>
        <v>348.53832</v>
      </c>
      <c r="G193" s="49">
        <v>0</v>
      </c>
      <c r="H193" s="49">
        <f>F193*(($H$186)+1)+(IF(G193&lt;101,G193,IF(G193&lt;201,G193/2,IF(G193&lt;=301,G193/3,G193/4))))</f>
        <v>505.38056399999999</v>
      </c>
      <c r="I193" s="33"/>
    </row>
    <row r="194" spans="1:20" s="34" customFormat="1" ht="15.75" customHeight="1" x14ac:dyDescent="0.35">
      <c r="A194" s="98">
        <f>A193+1</f>
        <v>4</v>
      </c>
      <c r="B194" s="99"/>
      <c r="C194" s="61" t="s">
        <v>337</v>
      </c>
      <c r="D194" s="72">
        <f>(29.48)*10.764</f>
        <v>317.32272</v>
      </c>
      <c r="E194" s="72">
        <f>(2.9)*10.764</f>
        <v>31.215599999999998</v>
      </c>
      <c r="F194" s="49">
        <f>D194+E194</f>
        <v>348.53832</v>
      </c>
      <c r="G194" s="49">
        <v>0</v>
      </c>
      <c r="H194" s="49">
        <f>F194*(($H$186)+1)+(IF(G194&lt;101,G194,IF(G194&lt;201,G194/2,IF(G194&lt;=301,G194/3,G194/4))))</f>
        <v>505.38056399999999</v>
      </c>
      <c r="I194" s="33"/>
    </row>
    <row r="195" spans="1:20" s="34" customFormat="1" ht="15.75" customHeight="1" x14ac:dyDescent="0.35">
      <c r="A195" s="116" t="s">
        <v>341</v>
      </c>
      <c r="B195" s="117"/>
      <c r="C195" s="117"/>
      <c r="D195" s="117"/>
      <c r="E195" s="117"/>
      <c r="F195" s="117"/>
      <c r="G195" s="117"/>
      <c r="H195" s="118"/>
      <c r="I195" s="33"/>
    </row>
    <row r="196" spans="1:20" s="34" customFormat="1" x14ac:dyDescent="0.35">
      <c r="A196" s="98">
        <v>1</v>
      </c>
      <c r="B196" s="99"/>
      <c r="C196" s="61" t="s">
        <v>337</v>
      </c>
      <c r="D196" s="72">
        <f>(29.48)*10.764</f>
        <v>317.32272</v>
      </c>
      <c r="E196" s="72">
        <f>(2.9+2.7)*10.764</f>
        <v>60.278399999999991</v>
      </c>
      <c r="F196" s="61">
        <f>D196+E196</f>
        <v>377.60111999999998</v>
      </c>
      <c r="G196" s="61">
        <v>0</v>
      </c>
      <c r="H196" s="61">
        <f>F196*(($H$186)+1)+(IF(G196&lt;101,G196,IF(G196&lt;201,G196/2,IF(G196&lt;=301,G196/3,G196/4))))</f>
        <v>547.52162399999997</v>
      </c>
      <c r="I196" s="70">
        <f>2.9+2.7</f>
        <v>5.6</v>
      </c>
    </row>
    <row r="197" spans="1:20" s="34" customFormat="1" ht="15.75" customHeight="1" x14ac:dyDescent="0.35">
      <c r="A197" s="98">
        <f>A196+1</f>
        <v>2</v>
      </c>
      <c r="B197" s="99"/>
      <c r="C197" s="61" t="s">
        <v>362</v>
      </c>
      <c r="D197" s="72">
        <f>(36.6)*10.764</f>
        <v>393.9624</v>
      </c>
      <c r="E197" s="72">
        <f>(2.9+2.7)*10.764</f>
        <v>60.278399999999991</v>
      </c>
      <c r="F197" s="61">
        <f>D197+E197</f>
        <v>454.24079999999998</v>
      </c>
      <c r="G197" s="61">
        <v>0</v>
      </c>
      <c r="H197" s="61">
        <f>F197*(($H$186)+1)+(IF(G197&lt;101,G197,IF(G197&lt;201,G197/2,IF(G197&lt;=301,G197/3,G197/4))))</f>
        <v>658.64915999999994</v>
      </c>
      <c r="I197" s="33"/>
    </row>
    <row r="198" spans="1:20" s="34" customFormat="1" ht="15.75" customHeight="1" x14ac:dyDescent="0.35">
      <c r="A198" s="98">
        <f>A197+1</f>
        <v>3</v>
      </c>
      <c r="B198" s="99"/>
      <c r="C198" s="61" t="s">
        <v>337</v>
      </c>
      <c r="D198" s="72">
        <f>(29.48)*10.764</f>
        <v>317.32272</v>
      </c>
      <c r="E198" s="72">
        <f>(2.9+2.7)*10.764</f>
        <v>60.278399999999991</v>
      </c>
      <c r="F198" s="61">
        <f>D198+E198</f>
        <v>377.60111999999998</v>
      </c>
      <c r="G198" s="61">
        <v>0</v>
      </c>
      <c r="H198" s="61">
        <f>F198*(($H$186)+1)+(IF(G198&lt;101,G198,IF(G198&lt;201,G198/2,IF(G198&lt;=301,G198/3,G198/4))))</f>
        <v>547.52162399999997</v>
      </c>
      <c r="I198" s="70">
        <f>2.8+2.7</f>
        <v>5.5</v>
      </c>
    </row>
    <row r="199" spans="1:20" s="34" customFormat="1" ht="15.75" customHeight="1" x14ac:dyDescent="0.35">
      <c r="A199" s="98">
        <f>A198+1</f>
        <v>4</v>
      </c>
      <c r="B199" s="99"/>
      <c r="C199" s="61" t="s">
        <v>337</v>
      </c>
      <c r="D199" s="72">
        <f>(29.48)*10.764</f>
        <v>317.32272</v>
      </c>
      <c r="E199" s="72">
        <f>(2.9+2.7)*10.764</f>
        <v>60.278399999999991</v>
      </c>
      <c r="F199" s="61">
        <f>D199+E199</f>
        <v>377.60111999999998</v>
      </c>
      <c r="G199" s="61">
        <v>0</v>
      </c>
      <c r="H199" s="61">
        <f>F199*(($H$186)+1)+(IF(G199&lt;101,G199,IF(G199&lt;201,G199/2,IF(G199&lt;=301,G199/3,G199/4))))</f>
        <v>547.52162399999997</v>
      </c>
      <c r="I199" s="33"/>
    </row>
    <row r="200" spans="1:20" s="34" customFormat="1" ht="15.75" customHeight="1" x14ac:dyDescent="0.35">
      <c r="A200" s="116" t="s">
        <v>333</v>
      </c>
      <c r="B200" s="117"/>
      <c r="C200" s="117"/>
      <c r="D200" s="117"/>
      <c r="E200" s="117"/>
      <c r="F200" s="117"/>
      <c r="G200" s="117"/>
      <c r="H200" s="118"/>
      <c r="I200" s="33"/>
    </row>
    <row r="201" spans="1:20" s="32" customFormat="1" x14ac:dyDescent="0.35">
      <c r="A201" s="116" t="s">
        <v>334</v>
      </c>
      <c r="B201" s="117"/>
      <c r="C201" s="117"/>
      <c r="D201" s="117"/>
      <c r="E201" s="117"/>
      <c r="F201" s="117"/>
      <c r="G201" s="117"/>
      <c r="H201" s="118"/>
      <c r="I201" s="33"/>
      <c r="J201" s="34"/>
      <c r="T201" s="34"/>
    </row>
    <row r="202" spans="1:20" s="32" customFormat="1" ht="15.75" customHeight="1" x14ac:dyDescent="0.35">
      <c r="A202" s="116" t="s">
        <v>336</v>
      </c>
      <c r="B202" s="117"/>
      <c r="C202" s="117"/>
      <c r="D202" s="117"/>
      <c r="E202" s="117"/>
      <c r="F202" s="117"/>
      <c r="G202" s="117"/>
      <c r="H202" s="118"/>
      <c r="I202" s="70">
        <f>2.7*4.6+2.1*1.8+2.8*3.45+2.9*2.15+1*0.6+1.8*1.05+1.2*1.8+0.7*0.8+2.4*0.9</f>
        <v>39.465000000000003</v>
      </c>
      <c r="J202" s="34"/>
      <c r="T202" s="34"/>
    </row>
    <row r="203" spans="1:20" s="32" customFormat="1" x14ac:dyDescent="0.35">
      <c r="A203" s="98">
        <v>1</v>
      </c>
      <c r="B203" s="99"/>
      <c r="C203" s="61" t="s">
        <v>338</v>
      </c>
      <c r="D203" s="72">
        <f>(39.45)*10.764</f>
        <v>424.63979999999998</v>
      </c>
      <c r="E203" s="72">
        <f>(2.7+2.8+2.9)*10.764</f>
        <v>90.417599999999993</v>
      </c>
      <c r="F203" s="49">
        <f t="shared" ref="F203:F208" si="3">D203+E203</f>
        <v>515.05739999999992</v>
      </c>
      <c r="G203" s="49">
        <v>0</v>
      </c>
      <c r="H203" s="49">
        <f t="shared" ref="H203:H208" si="4">F203*(($H$186)+1)+(IF(G203&lt;101,G203,IF(G203&lt;201,G203/2,IF(G203&lt;=301,G203/3,G203/4))))</f>
        <v>746.83322999999984</v>
      </c>
      <c r="I203" s="33"/>
      <c r="J203" s="34"/>
      <c r="T203" s="34"/>
    </row>
    <row r="204" spans="1:20" s="32" customFormat="1" x14ac:dyDescent="0.35">
      <c r="A204" s="98">
        <f>A203+1</f>
        <v>2</v>
      </c>
      <c r="B204" s="99"/>
      <c r="C204" s="61" t="s">
        <v>337</v>
      </c>
      <c r="D204" s="72">
        <f>(29.44)*10.764</f>
        <v>316.89215999999999</v>
      </c>
      <c r="E204" s="72">
        <f>(2.9)*10.764</f>
        <v>31.215599999999998</v>
      </c>
      <c r="F204" s="49">
        <f t="shared" si="3"/>
        <v>348.10775999999998</v>
      </c>
      <c r="G204" s="49">
        <v>0</v>
      </c>
      <c r="H204" s="49">
        <f t="shared" si="4"/>
        <v>504.75625199999996</v>
      </c>
      <c r="I204" s="33"/>
      <c r="J204" s="34"/>
      <c r="T204" s="34"/>
    </row>
    <row r="205" spans="1:20" s="32" customFormat="1" ht="15.75" customHeight="1" x14ac:dyDescent="0.35">
      <c r="A205" s="98">
        <f>A204+1</f>
        <v>3</v>
      </c>
      <c r="B205" s="99"/>
      <c r="C205" s="61" t="s">
        <v>337</v>
      </c>
      <c r="D205" s="72">
        <f>(29.95)*10.764</f>
        <v>322.3818</v>
      </c>
      <c r="E205" s="72">
        <f>(2.75)*10.764</f>
        <v>29.600999999999999</v>
      </c>
      <c r="F205" s="49">
        <f t="shared" si="3"/>
        <v>351.9828</v>
      </c>
      <c r="G205" s="49">
        <v>0</v>
      </c>
      <c r="H205" s="49">
        <f t="shared" si="4"/>
        <v>510.37505999999996</v>
      </c>
      <c r="I205" s="33"/>
      <c r="J205" s="34"/>
      <c r="T205" s="34"/>
    </row>
    <row r="206" spans="1:20" s="32" customFormat="1" ht="15.75" customHeight="1" x14ac:dyDescent="0.35">
      <c r="A206" s="98">
        <f>A205+1</f>
        <v>4</v>
      </c>
      <c r="B206" s="99"/>
      <c r="C206" s="61" t="s">
        <v>337</v>
      </c>
      <c r="D206" s="72">
        <f>(29.95)*10.764</f>
        <v>322.3818</v>
      </c>
      <c r="E206" s="72">
        <f>(2.75)*10.764</f>
        <v>29.600999999999999</v>
      </c>
      <c r="F206" s="49">
        <f t="shared" si="3"/>
        <v>351.9828</v>
      </c>
      <c r="G206" s="49">
        <v>0</v>
      </c>
      <c r="H206" s="49">
        <f t="shared" si="4"/>
        <v>510.37505999999996</v>
      </c>
      <c r="I206" s="33"/>
      <c r="J206" s="62"/>
      <c r="T206" s="62"/>
    </row>
    <row r="207" spans="1:20" s="32" customFormat="1" ht="15.75" customHeight="1" x14ac:dyDescent="0.35">
      <c r="A207" s="98">
        <f>A206+1</f>
        <v>5</v>
      </c>
      <c r="B207" s="99"/>
      <c r="C207" s="61" t="s">
        <v>337</v>
      </c>
      <c r="D207" s="72">
        <f>(29.44)*10.764</f>
        <v>316.89215999999999</v>
      </c>
      <c r="E207" s="72">
        <f>(2.9)*10.764</f>
        <v>31.215599999999998</v>
      </c>
      <c r="F207" s="61">
        <f t="shared" si="3"/>
        <v>348.10775999999998</v>
      </c>
      <c r="G207" s="61">
        <v>0</v>
      </c>
      <c r="H207" s="61">
        <f t="shared" si="4"/>
        <v>504.75625199999996</v>
      </c>
      <c r="I207" s="70">
        <f>2.7*4.6+2.1*1+2.8*3.45+2.5*0.6+2.9*2.15+1.8*1.05+1.2*1.8+2.4*0.9+0.7*0.8</f>
        <v>38.685000000000002</v>
      </c>
      <c r="J207" s="62"/>
      <c r="T207" s="62"/>
    </row>
    <row r="208" spans="1:20" s="32" customFormat="1" ht="15.75" customHeight="1" x14ac:dyDescent="0.35">
      <c r="A208" s="98">
        <f>A207+1</f>
        <v>6</v>
      </c>
      <c r="B208" s="99"/>
      <c r="C208" s="61" t="s">
        <v>338</v>
      </c>
      <c r="D208" s="72">
        <f>(39.42)*10.764</f>
        <v>424.31687999999997</v>
      </c>
      <c r="E208" s="72">
        <f>(2.7+2.8+2.9)*10.764</f>
        <v>90.417599999999993</v>
      </c>
      <c r="F208" s="61">
        <f t="shared" si="3"/>
        <v>514.73447999999996</v>
      </c>
      <c r="G208" s="61">
        <v>0</v>
      </c>
      <c r="H208" s="61">
        <f t="shared" si="4"/>
        <v>746.36499599999991</v>
      </c>
      <c r="I208" s="33"/>
      <c r="J208" s="62"/>
      <c r="T208" s="62"/>
    </row>
    <row r="209" spans="1:20" s="32" customFormat="1" ht="15.75" customHeight="1" x14ac:dyDescent="0.35">
      <c r="A209" s="116" t="s">
        <v>341</v>
      </c>
      <c r="B209" s="117"/>
      <c r="C209" s="117"/>
      <c r="D209" s="117"/>
      <c r="E209" s="117"/>
      <c r="F209" s="117"/>
      <c r="G209" s="117"/>
      <c r="H209" s="118"/>
      <c r="I209" s="33"/>
      <c r="J209" s="34"/>
      <c r="T209" s="34"/>
    </row>
    <row r="210" spans="1:20" s="32" customFormat="1" x14ac:dyDescent="0.35">
      <c r="A210" s="98">
        <v>1</v>
      </c>
      <c r="B210" s="99"/>
      <c r="C210" s="61" t="s">
        <v>338</v>
      </c>
      <c r="D210" s="72">
        <f>(39.45)*10.764</f>
        <v>424.63979999999998</v>
      </c>
      <c r="E210" s="72">
        <f>(2.7+2.8+2.9)*10.764</f>
        <v>90.417599999999993</v>
      </c>
      <c r="F210" s="61">
        <f t="shared" ref="F210:F215" si="5">D210+E210</f>
        <v>515.05739999999992</v>
      </c>
      <c r="G210" s="61">
        <v>0</v>
      </c>
      <c r="H210" s="61">
        <f t="shared" ref="H210:H215" si="6">F210*(($H$186)+1)+(IF(G210&lt;101,G210,IF(G210&lt;201,G210/2,IF(G210&lt;=301,G210/3,G210/4))))</f>
        <v>746.83322999999984</v>
      </c>
      <c r="I210" s="33"/>
      <c r="J210" s="34"/>
    </row>
    <row r="211" spans="1:20" s="32" customFormat="1" x14ac:dyDescent="0.35">
      <c r="A211" s="98">
        <f>A210+1</f>
        <v>2</v>
      </c>
      <c r="B211" s="99"/>
      <c r="C211" s="61" t="s">
        <v>337</v>
      </c>
      <c r="D211" s="72">
        <f>(29.44)*10.764</f>
        <v>316.89215999999999</v>
      </c>
      <c r="E211" s="72">
        <f>(2.9+2.7)*10.764</f>
        <v>60.278399999999991</v>
      </c>
      <c r="F211" s="61">
        <f t="shared" si="5"/>
        <v>377.17055999999997</v>
      </c>
      <c r="G211" s="61">
        <v>0</v>
      </c>
      <c r="H211" s="61">
        <f t="shared" si="6"/>
        <v>546.89731199999994</v>
      </c>
      <c r="I211" s="33"/>
      <c r="J211" s="34"/>
    </row>
    <row r="212" spans="1:20" s="32" customFormat="1" x14ac:dyDescent="0.35">
      <c r="A212" s="98">
        <f>A211+1</f>
        <v>3</v>
      </c>
      <c r="B212" s="99"/>
      <c r="C212" s="61" t="s">
        <v>337</v>
      </c>
      <c r="D212" s="72">
        <f>(29.95)*10.764</f>
        <v>322.3818</v>
      </c>
      <c r="E212" s="72">
        <f>(2.75)*10.764</f>
        <v>29.600999999999999</v>
      </c>
      <c r="F212" s="61">
        <f t="shared" si="5"/>
        <v>351.9828</v>
      </c>
      <c r="G212" s="61">
        <v>0</v>
      </c>
      <c r="H212" s="61">
        <f t="shared" si="6"/>
        <v>510.37505999999996</v>
      </c>
      <c r="I212" s="33"/>
      <c r="J212" s="34"/>
    </row>
    <row r="213" spans="1:20" s="32" customFormat="1" x14ac:dyDescent="0.35">
      <c r="A213" s="98">
        <f>A212+1</f>
        <v>4</v>
      </c>
      <c r="B213" s="99"/>
      <c r="C213" s="61" t="s">
        <v>337</v>
      </c>
      <c r="D213" s="72">
        <f>(29.95)*10.764</f>
        <v>322.3818</v>
      </c>
      <c r="E213" s="72">
        <f>(2.75)*10.764</f>
        <v>29.600999999999999</v>
      </c>
      <c r="F213" s="61">
        <f t="shared" si="5"/>
        <v>351.9828</v>
      </c>
      <c r="G213" s="61">
        <v>0</v>
      </c>
      <c r="H213" s="61">
        <f t="shared" si="6"/>
        <v>510.37505999999996</v>
      </c>
      <c r="I213" s="33"/>
      <c r="J213" s="34"/>
    </row>
    <row r="214" spans="1:20" s="32" customFormat="1" x14ac:dyDescent="0.35">
      <c r="A214" s="98">
        <f>A213+1</f>
        <v>5</v>
      </c>
      <c r="B214" s="99"/>
      <c r="C214" s="61" t="s">
        <v>337</v>
      </c>
      <c r="D214" s="72">
        <f>(29.44)*10.764</f>
        <v>316.89215999999999</v>
      </c>
      <c r="E214" s="72">
        <f>(2.9+2.7)*10.764</f>
        <v>60.278399999999991</v>
      </c>
      <c r="F214" s="61">
        <f t="shared" si="5"/>
        <v>377.17055999999997</v>
      </c>
      <c r="G214" s="61">
        <v>0</v>
      </c>
      <c r="H214" s="61">
        <f t="shared" si="6"/>
        <v>546.89731199999994</v>
      </c>
      <c r="I214" s="33"/>
      <c r="J214" s="34"/>
    </row>
    <row r="215" spans="1:20" s="32" customFormat="1" x14ac:dyDescent="0.35">
      <c r="A215" s="98">
        <f>A214+1</f>
        <v>6</v>
      </c>
      <c r="B215" s="99"/>
      <c r="C215" s="61" t="s">
        <v>338</v>
      </c>
      <c r="D215" s="72">
        <f>(39.42)*10.764</f>
        <v>424.31687999999997</v>
      </c>
      <c r="E215" s="72">
        <f>(2.8+2.9)*10.764</f>
        <v>61.35479999999999</v>
      </c>
      <c r="F215" s="61">
        <f t="shared" si="5"/>
        <v>485.67167999999998</v>
      </c>
      <c r="G215" s="61">
        <v>0</v>
      </c>
      <c r="H215" s="61">
        <f t="shared" si="6"/>
        <v>704.22393599999998</v>
      </c>
      <c r="I215" s="33">
        <f>2.7*4.6+2.2*2.2+1.3*1+1.2*1.2+1.2*1</f>
        <v>21.200000000000003</v>
      </c>
      <c r="J215" s="34"/>
    </row>
    <row r="216" spans="1:20" x14ac:dyDescent="0.35">
      <c r="A216" s="195" t="s">
        <v>335</v>
      </c>
      <c r="B216" s="195"/>
      <c r="C216" s="195"/>
      <c r="D216" s="195"/>
      <c r="E216" s="195"/>
      <c r="F216" s="195"/>
      <c r="G216" s="195"/>
      <c r="H216" s="195"/>
      <c r="I216" s="33"/>
      <c r="J216" s="34"/>
      <c r="T216" s="32"/>
    </row>
    <row r="217" spans="1:20" ht="15.75" customHeight="1" x14ac:dyDescent="0.35">
      <c r="A217" s="195" t="s">
        <v>334</v>
      </c>
      <c r="B217" s="195"/>
      <c r="C217" s="195"/>
      <c r="D217" s="195"/>
      <c r="E217" s="195"/>
      <c r="F217" s="195"/>
      <c r="G217" s="195"/>
      <c r="H217" s="195"/>
      <c r="I217" s="32"/>
      <c r="J217" s="32"/>
      <c r="T217" s="32"/>
    </row>
    <row r="218" spans="1:20" x14ac:dyDescent="0.35">
      <c r="A218" s="195" t="s">
        <v>336</v>
      </c>
      <c r="B218" s="195"/>
      <c r="C218" s="195"/>
      <c r="D218" s="195"/>
      <c r="E218" s="195"/>
      <c r="F218" s="195"/>
      <c r="G218" s="195"/>
      <c r="H218" s="195"/>
      <c r="I218" s="69"/>
      <c r="J218" s="32"/>
      <c r="T218" s="32"/>
    </row>
    <row r="219" spans="1:20" x14ac:dyDescent="0.35">
      <c r="A219" s="94">
        <v>1</v>
      </c>
      <c r="B219" s="94"/>
      <c r="C219" s="80" t="s">
        <v>337</v>
      </c>
      <c r="D219" s="72">
        <f>(29.48)*10.764</f>
        <v>317.32272</v>
      </c>
      <c r="E219" s="72">
        <f>(2.9)*10.764</f>
        <v>31.215599999999998</v>
      </c>
      <c r="F219" s="80">
        <f>D219+E219</f>
        <v>348.53832</v>
      </c>
      <c r="G219" s="80">
        <v>0</v>
      </c>
      <c r="H219" s="80">
        <f>F219*(($H$186)+1)+(IF(G219&lt;101,G219,IF(G219&lt;201,G219/2,IF(G219&lt;=301,G219/3,G219/4))))</f>
        <v>505.38056399999999</v>
      </c>
      <c r="I219" s="32"/>
      <c r="J219" s="32"/>
      <c r="T219" s="32"/>
    </row>
    <row r="220" spans="1:20" x14ac:dyDescent="0.35">
      <c r="A220" s="94">
        <f>A219+1</f>
        <v>2</v>
      </c>
      <c r="B220" s="94"/>
      <c r="C220" s="80" t="s">
        <v>337</v>
      </c>
      <c r="D220" s="72">
        <f>(29.46)*10.764</f>
        <v>317.10744</v>
      </c>
      <c r="E220" s="72">
        <f>(2.9)*10.764</f>
        <v>31.215599999999998</v>
      </c>
      <c r="F220" s="80">
        <f>D220+E220</f>
        <v>348.32303999999999</v>
      </c>
      <c r="G220" s="80">
        <v>0</v>
      </c>
      <c r="H220" s="80">
        <f>F220*(($H$186)+1)+(IF(G220&lt;101,G220,IF(G220&lt;201,G220/2,IF(G220&lt;=301,G220/3,G220/4))))</f>
        <v>505.06840799999998</v>
      </c>
      <c r="I220" s="32"/>
      <c r="J220" s="32"/>
      <c r="T220" s="32"/>
    </row>
    <row r="221" spans="1:20" ht="15.75" customHeight="1" x14ac:dyDescent="0.35">
      <c r="A221" s="94">
        <f>A220+1</f>
        <v>3</v>
      </c>
      <c r="B221" s="94"/>
      <c r="C221" s="80" t="s">
        <v>337</v>
      </c>
      <c r="D221" s="72">
        <f>(28.58)*10.764</f>
        <v>307.63511999999997</v>
      </c>
      <c r="E221" s="72">
        <f>(2.7)*10.764</f>
        <v>29.062799999999999</v>
      </c>
      <c r="F221" s="80">
        <f>D221+E221</f>
        <v>336.69791999999995</v>
      </c>
      <c r="G221" s="80">
        <v>0</v>
      </c>
      <c r="H221" s="80">
        <f>F221*(($H$186)+1)+(IF(G221&lt;101,G221,IF(G221&lt;201,G221/2,IF(G221&lt;=301,G221/3,G221/4))))</f>
        <v>488.21198399999992</v>
      </c>
      <c r="I221" s="32"/>
      <c r="J221" s="32"/>
    </row>
    <row r="222" spans="1:20" x14ac:dyDescent="0.35">
      <c r="A222" s="94">
        <f>A221+1</f>
        <v>4</v>
      </c>
      <c r="B222" s="94"/>
      <c r="C222" s="80" t="s">
        <v>340</v>
      </c>
      <c r="D222" s="72">
        <f>(21.78)*10.764</f>
        <v>234.43992</v>
      </c>
      <c r="E222" s="72">
        <v>0</v>
      </c>
      <c r="F222" s="80">
        <f>D222+E222</f>
        <v>234.43992</v>
      </c>
      <c r="G222" s="80">
        <v>0</v>
      </c>
      <c r="H222" s="80">
        <f>F222*(($H$186)+1)+(IF(G222&lt;101,G222,IF(G222&lt;201,G222/2,IF(G222&lt;=301,G222/3,G222/4))))</f>
        <v>339.937884</v>
      </c>
      <c r="I222" s="32"/>
      <c r="J222" s="32"/>
    </row>
    <row r="223" spans="1:20" ht="15.75" customHeight="1" x14ac:dyDescent="0.35">
      <c r="A223" s="195" t="s">
        <v>341</v>
      </c>
      <c r="B223" s="195"/>
      <c r="C223" s="195"/>
      <c r="D223" s="195"/>
      <c r="E223" s="195"/>
      <c r="F223" s="195"/>
      <c r="G223" s="195"/>
      <c r="H223" s="195"/>
      <c r="I223" s="32"/>
      <c r="J223" s="32"/>
    </row>
    <row r="224" spans="1:20" x14ac:dyDescent="0.35">
      <c r="A224" s="94">
        <v>1</v>
      </c>
      <c r="B224" s="94"/>
      <c r="C224" s="61" t="s">
        <v>337</v>
      </c>
      <c r="D224" s="72">
        <f>(29.48)*10.764</f>
        <v>317.32272</v>
      </c>
      <c r="E224" s="72">
        <f>(2.9+2.7)*10.764</f>
        <v>60.278399999999991</v>
      </c>
      <c r="F224" s="61">
        <f>D224+E224</f>
        <v>377.60111999999998</v>
      </c>
      <c r="G224" s="61">
        <v>0</v>
      </c>
      <c r="H224" s="61">
        <f>F224*(($H$186)+1)+(IF(G224&lt;101,G224,IF(G224&lt;201,G224/2,IF(G224&lt;=301,G224/3,G224/4))))</f>
        <v>547.52162399999997</v>
      </c>
      <c r="I224" s="32"/>
      <c r="J224" s="32"/>
    </row>
    <row r="225" spans="1:10" x14ac:dyDescent="0.35">
      <c r="A225" s="98">
        <f>A224+1</f>
        <v>2</v>
      </c>
      <c r="B225" s="99"/>
      <c r="C225" s="61" t="s">
        <v>337</v>
      </c>
      <c r="D225" s="72">
        <f>(29.46)*10.764</f>
        <v>317.10744</v>
      </c>
      <c r="E225" s="72">
        <f>(2.9+2.7)*10.764</f>
        <v>60.278399999999991</v>
      </c>
      <c r="F225" s="61">
        <f>D225+E225</f>
        <v>377.38583999999997</v>
      </c>
      <c r="G225" s="61">
        <v>0</v>
      </c>
      <c r="H225" s="61">
        <f>F225*(($H$186)+1)+(IF(G225&lt;101,G225,IF(G225&lt;201,G225/2,IF(G225&lt;=301,G225/3,G225/4))))</f>
        <v>547.2094679999999</v>
      </c>
      <c r="I225" s="32"/>
      <c r="J225" s="32"/>
    </row>
    <row r="226" spans="1:10" x14ac:dyDescent="0.35">
      <c r="A226" s="98">
        <f>A225+1</f>
        <v>3</v>
      </c>
      <c r="B226" s="99"/>
      <c r="C226" s="61" t="s">
        <v>337</v>
      </c>
      <c r="D226" s="72">
        <f>(28.58)*10.764</f>
        <v>307.63511999999997</v>
      </c>
      <c r="E226" s="72">
        <f>(2.7)*10.764</f>
        <v>29.062799999999999</v>
      </c>
      <c r="F226" s="61">
        <f>D226+E226</f>
        <v>336.69791999999995</v>
      </c>
      <c r="G226" s="61">
        <v>0</v>
      </c>
      <c r="H226" s="61">
        <f>F226*(($H$186)+1)+(IF(G226&lt;101,G226,IF(G226&lt;201,G226/2,IF(G226&lt;=301,G226/3,G226/4))))</f>
        <v>488.21198399999992</v>
      </c>
      <c r="I226" s="32"/>
      <c r="J226" s="32"/>
    </row>
    <row r="227" spans="1:10" x14ac:dyDescent="0.35">
      <c r="A227" s="98">
        <f>A226+1</f>
        <v>4</v>
      </c>
      <c r="B227" s="99"/>
      <c r="C227" s="61" t="s">
        <v>340</v>
      </c>
      <c r="D227" s="72">
        <f>(21.78)*10.764</f>
        <v>234.43992</v>
      </c>
      <c r="E227" s="72">
        <v>0</v>
      </c>
      <c r="F227" s="61">
        <f>D227+E227</f>
        <v>234.43992</v>
      </c>
      <c r="G227" s="61">
        <v>0</v>
      </c>
      <c r="H227" s="61">
        <f>F227*(($H$186)+1)+(IF(G227&lt;101,G227,IF(G227&lt;201,G227/2,IF(G227&lt;=301,G227/3,G227/4))))</f>
        <v>339.937884</v>
      </c>
      <c r="I227" s="32"/>
      <c r="J227" s="32"/>
    </row>
    <row r="228" spans="1:10" x14ac:dyDescent="0.35">
      <c r="A228" s="116" t="s">
        <v>358</v>
      </c>
      <c r="B228" s="117"/>
      <c r="C228" s="117"/>
      <c r="D228" s="117"/>
      <c r="E228" s="117"/>
      <c r="F228" s="117"/>
      <c r="G228" s="117"/>
      <c r="H228" s="118"/>
      <c r="I228" s="32"/>
      <c r="J228" s="32"/>
    </row>
    <row r="229" spans="1:10" x14ac:dyDescent="0.35">
      <c r="A229" s="116" t="s">
        <v>334</v>
      </c>
      <c r="B229" s="117"/>
      <c r="C229" s="117"/>
      <c r="D229" s="117"/>
      <c r="E229" s="117"/>
      <c r="F229" s="117"/>
      <c r="G229" s="117"/>
      <c r="H229" s="118"/>
    </row>
    <row r="230" spans="1:10" ht="15" customHeight="1" x14ac:dyDescent="0.35">
      <c r="A230" s="116" t="s">
        <v>342</v>
      </c>
      <c r="B230" s="117"/>
      <c r="C230" s="117"/>
      <c r="D230" s="117"/>
      <c r="E230" s="117"/>
      <c r="F230" s="117"/>
      <c r="G230" s="117"/>
      <c r="H230" s="118"/>
    </row>
    <row r="231" spans="1:10" x14ac:dyDescent="0.35">
      <c r="A231" s="98">
        <v>1</v>
      </c>
      <c r="B231" s="99"/>
      <c r="C231" s="61" t="s">
        <v>337</v>
      </c>
      <c r="D231" s="72">
        <f>(29.97)*10.764</f>
        <v>322.59707999999995</v>
      </c>
      <c r="E231" s="72">
        <f>(2.7+3.1)*10.764</f>
        <v>62.431200000000004</v>
      </c>
      <c r="F231" s="61">
        <f>D231+E231</f>
        <v>385.02827999999994</v>
      </c>
      <c r="G231" s="61">
        <v>0</v>
      </c>
      <c r="H231" s="61">
        <f>F231*(($H$186)+1)+(IF(G231&lt;101,G231,IF(G231&lt;201,G231/2,IF(G231&lt;=301,G231/3,G231/4))))</f>
        <v>558.29100599999992</v>
      </c>
    </row>
    <row r="232" spans="1:10" x14ac:dyDescent="0.35">
      <c r="A232" s="98">
        <f>A231+1</f>
        <v>2</v>
      </c>
      <c r="B232" s="99"/>
      <c r="C232" s="61" t="s">
        <v>337</v>
      </c>
      <c r="D232" s="72">
        <f>(29.97)*10.764</f>
        <v>322.59707999999995</v>
      </c>
      <c r="E232" s="72">
        <f>(2.7+3.1)*10.764</f>
        <v>62.431200000000004</v>
      </c>
      <c r="F232" s="61">
        <f>D232+E232</f>
        <v>385.02827999999994</v>
      </c>
      <c r="G232" s="61">
        <v>0</v>
      </c>
      <c r="H232" s="61">
        <f>F232*(($H$186)+1)+(IF(G232&lt;101,G232,IF(G232&lt;201,G232/2,IF(G232&lt;=301,G232/3,G232/4))))</f>
        <v>558.29100599999992</v>
      </c>
    </row>
    <row r="233" spans="1:10" x14ac:dyDescent="0.35">
      <c r="A233" s="98">
        <f>A232+1</f>
        <v>3</v>
      </c>
      <c r="B233" s="99"/>
      <c r="C233" s="61" t="s">
        <v>338</v>
      </c>
      <c r="D233" s="72">
        <f>(41.3)*10.764</f>
        <v>444.55319999999995</v>
      </c>
      <c r="E233" s="72">
        <f>(2.75+3.05)*10.764</f>
        <v>62.431199999999997</v>
      </c>
      <c r="F233" s="61">
        <f>D233+E233</f>
        <v>506.98439999999994</v>
      </c>
      <c r="G233" s="61">
        <v>0</v>
      </c>
      <c r="H233" s="61">
        <f>F233*(($H$186)+1)+(IF(G233&lt;101,G233,IF(G233&lt;201,G233/2,IF(G233&lt;=301,G233/3,G233/4))))</f>
        <v>735.1273799999999</v>
      </c>
    </row>
    <row r="234" spans="1:10" x14ac:dyDescent="0.35">
      <c r="A234" s="98">
        <f>A233+1</f>
        <v>4</v>
      </c>
      <c r="B234" s="99"/>
      <c r="C234" s="61" t="s">
        <v>338</v>
      </c>
      <c r="D234" s="72">
        <f>(41.3)*10.764</f>
        <v>444.55319999999995</v>
      </c>
      <c r="E234" s="72">
        <f>(2.75+3.05)*10.764</f>
        <v>62.431199999999997</v>
      </c>
      <c r="F234" s="61">
        <f>D234+E234</f>
        <v>506.98439999999994</v>
      </c>
      <c r="G234" s="61">
        <v>0</v>
      </c>
      <c r="H234" s="61">
        <f>F234*(($H$186)+1)+(IF(G234&lt;101,G234,IF(G234&lt;201,G234/2,IF(G234&lt;=301,G234/3,G234/4))))</f>
        <v>735.1273799999999</v>
      </c>
    </row>
    <row r="235" spans="1:10" x14ac:dyDescent="0.35">
      <c r="A235" s="116" t="s">
        <v>361</v>
      </c>
      <c r="B235" s="117"/>
      <c r="C235" s="117"/>
      <c r="D235" s="117"/>
      <c r="E235" s="117"/>
      <c r="F235" s="117"/>
      <c r="G235" s="117"/>
      <c r="H235" s="118"/>
    </row>
    <row r="236" spans="1:10" x14ac:dyDescent="0.35">
      <c r="A236" s="116" t="s">
        <v>334</v>
      </c>
      <c r="B236" s="117"/>
      <c r="C236" s="117"/>
      <c r="D236" s="117"/>
      <c r="E236" s="117"/>
      <c r="F236" s="117"/>
      <c r="G236" s="117"/>
      <c r="H236" s="118"/>
    </row>
    <row r="237" spans="1:10" ht="15.75" customHeight="1" x14ac:dyDescent="0.35">
      <c r="A237" s="116" t="s">
        <v>336</v>
      </c>
      <c r="B237" s="117"/>
      <c r="C237" s="117"/>
      <c r="D237" s="117"/>
      <c r="E237" s="117"/>
      <c r="F237" s="117"/>
      <c r="G237" s="117"/>
      <c r="H237" s="118"/>
    </row>
    <row r="238" spans="1:10" x14ac:dyDescent="0.35">
      <c r="A238" s="98">
        <v>1</v>
      </c>
      <c r="B238" s="99"/>
      <c r="C238" s="61" t="s">
        <v>337</v>
      </c>
      <c r="D238" s="72">
        <f>(29.48)*10.764</f>
        <v>317.32272</v>
      </c>
      <c r="E238" s="72">
        <f>(2.9)*10.764</f>
        <v>31.215599999999998</v>
      </c>
      <c r="F238" s="61">
        <f t="shared" ref="F238:F243" si="7">D238+E238</f>
        <v>348.53832</v>
      </c>
      <c r="G238" s="61">
        <v>0</v>
      </c>
      <c r="H238" s="61">
        <f t="shared" ref="H238:H243" si="8">F238*(($H$186)+1)+(IF(G238&lt;101,G238,IF(G238&lt;201,G238/2,IF(G238&lt;=301,G238/3,G238/4))))</f>
        <v>505.38056399999999</v>
      </c>
    </row>
    <row r="239" spans="1:10" x14ac:dyDescent="0.35">
      <c r="A239" s="98">
        <f>A238+1</f>
        <v>2</v>
      </c>
      <c r="B239" s="99"/>
      <c r="C239" s="61" t="s">
        <v>337</v>
      </c>
      <c r="D239" s="72">
        <f>(29.48)*10.764</f>
        <v>317.32272</v>
      </c>
      <c r="E239" s="72">
        <f>(2.9)*10.764</f>
        <v>31.215599999999998</v>
      </c>
      <c r="F239" s="61">
        <f t="shared" si="7"/>
        <v>348.53832</v>
      </c>
      <c r="G239" s="61">
        <v>0</v>
      </c>
      <c r="H239" s="61">
        <f t="shared" si="8"/>
        <v>505.38056399999999</v>
      </c>
    </row>
    <row r="240" spans="1:10" x14ac:dyDescent="0.35">
      <c r="A240" s="98">
        <f>A239+1</f>
        <v>3</v>
      </c>
      <c r="B240" s="99"/>
      <c r="C240" s="61" t="s">
        <v>337</v>
      </c>
      <c r="D240" s="72">
        <f>(29.95)*10.764</f>
        <v>322.3818</v>
      </c>
      <c r="E240" s="72">
        <f>(2.75)*10.764</f>
        <v>29.600999999999999</v>
      </c>
      <c r="F240" s="61">
        <f t="shared" si="7"/>
        <v>351.9828</v>
      </c>
      <c r="G240" s="61">
        <v>0</v>
      </c>
      <c r="H240" s="61">
        <f t="shared" si="8"/>
        <v>510.37505999999996</v>
      </c>
    </row>
    <row r="241" spans="1:8" x14ac:dyDescent="0.35">
      <c r="A241" s="98">
        <f>A240+1</f>
        <v>4</v>
      </c>
      <c r="B241" s="99"/>
      <c r="C241" s="61" t="s">
        <v>337</v>
      </c>
      <c r="D241" s="72">
        <f>(29.95)*10.764</f>
        <v>322.3818</v>
      </c>
      <c r="E241" s="72">
        <f>(2.75)*10.764</f>
        <v>29.600999999999999</v>
      </c>
      <c r="F241" s="61">
        <f t="shared" si="7"/>
        <v>351.9828</v>
      </c>
      <c r="G241" s="61">
        <v>0</v>
      </c>
      <c r="H241" s="61">
        <f t="shared" si="8"/>
        <v>510.37505999999996</v>
      </c>
    </row>
    <row r="242" spans="1:8" x14ac:dyDescent="0.35">
      <c r="A242" s="98">
        <f>A241+1</f>
        <v>5</v>
      </c>
      <c r="B242" s="99"/>
      <c r="C242" s="61" t="s">
        <v>337</v>
      </c>
      <c r="D242" s="72">
        <f>(29.44)*10.764</f>
        <v>316.89215999999999</v>
      </c>
      <c r="E242" s="72">
        <f>(2.9)*10.764</f>
        <v>31.215599999999998</v>
      </c>
      <c r="F242" s="61">
        <f t="shared" si="7"/>
        <v>348.10775999999998</v>
      </c>
      <c r="G242" s="61">
        <v>0</v>
      </c>
      <c r="H242" s="61">
        <f t="shared" si="8"/>
        <v>504.75625199999996</v>
      </c>
    </row>
    <row r="243" spans="1:8" x14ac:dyDescent="0.35">
      <c r="A243" s="98">
        <f>A242+1</f>
        <v>6</v>
      </c>
      <c r="B243" s="99"/>
      <c r="C243" s="61" t="s">
        <v>337</v>
      </c>
      <c r="D243" s="72">
        <f>(29.48)*10.764</f>
        <v>317.32272</v>
      </c>
      <c r="E243" s="72">
        <f>(2.9)*10.764</f>
        <v>31.215599999999998</v>
      </c>
      <c r="F243" s="61">
        <f t="shared" si="7"/>
        <v>348.53832</v>
      </c>
      <c r="G243" s="61">
        <v>0</v>
      </c>
      <c r="H243" s="61">
        <f t="shared" si="8"/>
        <v>505.38056399999999</v>
      </c>
    </row>
    <row r="244" spans="1:8" ht="15.75" customHeight="1" x14ac:dyDescent="0.35">
      <c r="A244" s="116" t="s">
        <v>341</v>
      </c>
      <c r="B244" s="117"/>
      <c r="C244" s="117"/>
      <c r="D244" s="117"/>
      <c r="E244" s="117"/>
      <c r="F244" s="117"/>
      <c r="G244" s="117"/>
      <c r="H244" s="118"/>
    </row>
    <row r="245" spans="1:8" x14ac:dyDescent="0.35">
      <c r="A245" s="98">
        <v>1</v>
      </c>
      <c r="B245" s="99"/>
      <c r="C245" s="61" t="s">
        <v>337</v>
      </c>
      <c r="D245" s="72">
        <f>(29.48)*10.764</f>
        <v>317.32272</v>
      </c>
      <c r="E245" s="72">
        <f>(2.9+2.7)*10.764</f>
        <v>60.278399999999991</v>
      </c>
      <c r="F245" s="61">
        <f t="shared" ref="F245:F250" si="9">D245+E245</f>
        <v>377.60111999999998</v>
      </c>
      <c r="G245" s="61">
        <v>0</v>
      </c>
      <c r="H245" s="61">
        <f t="shared" ref="H245:H250" si="10">F245*(($H$186)+1)+(IF(G245&lt;101,G245,IF(G245&lt;201,G245/2,IF(G245&lt;=301,G245/3,G245/4))))</f>
        <v>547.52162399999997</v>
      </c>
    </row>
    <row r="246" spans="1:8" x14ac:dyDescent="0.35">
      <c r="A246" s="98">
        <f>A245+1</f>
        <v>2</v>
      </c>
      <c r="B246" s="99"/>
      <c r="C246" s="61" t="s">
        <v>337</v>
      </c>
      <c r="D246" s="72">
        <f>(29.48)*10.764</f>
        <v>317.32272</v>
      </c>
      <c r="E246" s="72">
        <f>(2.9+2.7)*10.764</f>
        <v>60.278399999999991</v>
      </c>
      <c r="F246" s="61">
        <f t="shared" si="9"/>
        <v>377.60111999999998</v>
      </c>
      <c r="G246" s="61">
        <v>0</v>
      </c>
      <c r="H246" s="61">
        <f t="shared" si="10"/>
        <v>547.52162399999997</v>
      </c>
    </row>
    <row r="247" spans="1:8" x14ac:dyDescent="0.35">
      <c r="A247" s="98">
        <f>A246+1</f>
        <v>3</v>
      </c>
      <c r="B247" s="99"/>
      <c r="C247" s="61" t="s">
        <v>337</v>
      </c>
      <c r="D247" s="72">
        <f>(29.95)*10.764</f>
        <v>322.3818</v>
      </c>
      <c r="E247" s="72">
        <f>(2.75)*10.764</f>
        <v>29.600999999999999</v>
      </c>
      <c r="F247" s="61">
        <f t="shared" si="9"/>
        <v>351.9828</v>
      </c>
      <c r="G247" s="61">
        <v>0</v>
      </c>
      <c r="H247" s="61">
        <f t="shared" si="10"/>
        <v>510.37505999999996</v>
      </c>
    </row>
    <row r="248" spans="1:8" x14ac:dyDescent="0.35">
      <c r="A248" s="98">
        <f>A247+1</f>
        <v>4</v>
      </c>
      <c r="B248" s="99"/>
      <c r="C248" s="61" t="s">
        <v>337</v>
      </c>
      <c r="D248" s="72">
        <f>(29.95)*10.764</f>
        <v>322.3818</v>
      </c>
      <c r="E248" s="72">
        <f>(2.75)*10.764</f>
        <v>29.600999999999999</v>
      </c>
      <c r="F248" s="61">
        <f t="shared" si="9"/>
        <v>351.9828</v>
      </c>
      <c r="G248" s="61">
        <v>0</v>
      </c>
      <c r="H248" s="61">
        <f t="shared" si="10"/>
        <v>510.37505999999996</v>
      </c>
    </row>
    <row r="249" spans="1:8" x14ac:dyDescent="0.35">
      <c r="A249" s="98">
        <f>A248+1</f>
        <v>5</v>
      </c>
      <c r="B249" s="99"/>
      <c r="C249" s="61" t="s">
        <v>337</v>
      </c>
      <c r="D249" s="72">
        <f>(29.44)*10.764</f>
        <v>316.89215999999999</v>
      </c>
      <c r="E249" s="72">
        <f>(2.9+2.7)*10.764</f>
        <v>60.278399999999991</v>
      </c>
      <c r="F249" s="61">
        <f t="shared" si="9"/>
        <v>377.17055999999997</v>
      </c>
      <c r="G249" s="61">
        <v>0</v>
      </c>
      <c r="H249" s="61">
        <f t="shared" si="10"/>
        <v>546.89731199999994</v>
      </c>
    </row>
    <row r="250" spans="1:8" x14ac:dyDescent="0.35">
      <c r="A250" s="98">
        <f>A249+1</f>
        <v>6</v>
      </c>
      <c r="B250" s="99"/>
      <c r="C250" s="61" t="s">
        <v>337</v>
      </c>
      <c r="D250" s="72">
        <f>(29.48)*10.764</f>
        <v>317.32272</v>
      </c>
      <c r="E250" s="72">
        <f>(2.9+2.7)*10.764</f>
        <v>60.278399999999991</v>
      </c>
      <c r="F250" s="61">
        <f t="shared" si="9"/>
        <v>377.60111999999998</v>
      </c>
      <c r="G250" s="61">
        <v>0</v>
      </c>
      <c r="H250" s="61">
        <f t="shared" si="10"/>
        <v>547.52162399999997</v>
      </c>
    </row>
    <row r="251" spans="1:8" x14ac:dyDescent="0.35">
      <c r="A251" s="116" t="s">
        <v>343</v>
      </c>
      <c r="B251" s="117"/>
      <c r="C251" s="117"/>
      <c r="D251" s="117"/>
      <c r="E251" s="117"/>
      <c r="F251" s="117"/>
      <c r="G251" s="117"/>
      <c r="H251" s="118"/>
    </row>
    <row r="252" spans="1:8" x14ac:dyDescent="0.35">
      <c r="A252" s="116" t="s">
        <v>344</v>
      </c>
      <c r="B252" s="117"/>
      <c r="C252" s="117"/>
      <c r="D252" s="117"/>
      <c r="E252" s="117"/>
      <c r="F252" s="117"/>
      <c r="G252" s="117"/>
      <c r="H252" s="118"/>
    </row>
    <row r="253" spans="1:8" x14ac:dyDescent="0.35">
      <c r="A253" s="116" t="s">
        <v>334</v>
      </c>
      <c r="B253" s="117"/>
      <c r="C253" s="117"/>
      <c r="D253" s="117"/>
      <c r="E253" s="117"/>
      <c r="F253" s="117"/>
      <c r="G253" s="117"/>
      <c r="H253" s="118"/>
    </row>
    <row r="254" spans="1:8" ht="15.75" customHeight="1" x14ac:dyDescent="0.35">
      <c r="A254" s="116" t="s">
        <v>351</v>
      </c>
      <c r="B254" s="117"/>
      <c r="C254" s="117"/>
      <c r="D254" s="117"/>
      <c r="E254" s="117"/>
      <c r="F254" s="117"/>
      <c r="G254" s="117"/>
      <c r="H254" s="118"/>
    </row>
    <row r="255" spans="1:8" x14ac:dyDescent="0.35">
      <c r="A255" s="98">
        <v>1</v>
      </c>
      <c r="B255" s="99"/>
      <c r="C255" s="61" t="s">
        <v>337</v>
      </c>
      <c r="D255" s="72">
        <f>(29.95)*10.764</f>
        <v>322.3818</v>
      </c>
      <c r="E255" s="72">
        <f>(3.1)*10.764</f>
        <v>33.368400000000001</v>
      </c>
      <c r="F255" s="61">
        <f>D255+E255</f>
        <v>355.75020000000001</v>
      </c>
      <c r="G255" s="61">
        <v>0</v>
      </c>
      <c r="H255" s="61">
        <f>F255*(($H$186)+1)+(IF(G255&lt;101,G255,IF(G255&lt;201,G255/2,IF(G255&lt;=301,G255/3,G255/4))))</f>
        <v>515.83779000000004</v>
      </c>
    </row>
    <row r="256" spans="1:8" x14ac:dyDescent="0.35">
      <c r="A256" s="98">
        <f>A255+1</f>
        <v>2</v>
      </c>
      <c r="B256" s="99"/>
      <c r="C256" s="61" t="s">
        <v>337</v>
      </c>
      <c r="D256" s="72">
        <f>(29.95)*10.764</f>
        <v>322.3818</v>
      </c>
      <c r="E256" s="72">
        <f>(3.1)*10.764</f>
        <v>33.368400000000001</v>
      </c>
      <c r="F256" s="61">
        <f>D256+E256</f>
        <v>355.75020000000001</v>
      </c>
      <c r="G256" s="61">
        <v>0</v>
      </c>
      <c r="H256" s="61">
        <f>F256*(($H$186)+1)+(IF(G256&lt;101,G256,IF(G256&lt;201,G256/2,IF(G256&lt;=301,G256/3,G256/4))))</f>
        <v>515.83779000000004</v>
      </c>
    </row>
    <row r="257" spans="1:12" x14ac:dyDescent="0.35">
      <c r="A257" s="98">
        <f>A256+1</f>
        <v>3</v>
      </c>
      <c r="B257" s="99"/>
      <c r="C257" s="61" t="s">
        <v>337</v>
      </c>
      <c r="D257" s="72">
        <f>(29.95)*10.764</f>
        <v>322.3818</v>
      </c>
      <c r="E257" s="72">
        <f>(3.1)*10.764</f>
        <v>33.368400000000001</v>
      </c>
      <c r="F257" s="61">
        <f>D257+E257</f>
        <v>355.75020000000001</v>
      </c>
      <c r="G257" s="61">
        <v>0</v>
      </c>
      <c r="H257" s="61">
        <f>F257*(($H$186)+1)+(IF(G257&lt;101,G257,IF(G257&lt;201,G257/2,IF(G257&lt;=301,G257/3,G257/4))))</f>
        <v>515.83779000000004</v>
      </c>
    </row>
    <row r="258" spans="1:12" x14ac:dyDescent="0.35">
      <c r="A258" s="98">
        <f>A257+1</f>
        <v>4</v>
      </c>
      <c r="B258" s="99"/>
      <c r="C258" s="61" t="s">
        <v>337</v>
      </c>
      <c r="D258" s="72">
        <f>(29.95)*10.764</f>
        <v>322.3818</v>
      </c>
      <c r="E258" s="72">
        <f>(3.1)*10.764</f>
        <v>33.368400000000001</v>
      </c>
      <c r="F258" s="61">
        <f>D258+E258</f>
        <v>355.75020000000001</v>
      </c>
      <c r="G258" s="61">
        <v>0</v>
      </c>
      <c r="H258" s="61">
        <f>F258*(($H$186)+1)+(IF(G258&lt;101,G258,IF(G258&lt;201,G258/2,IF(G258&lt;=301,G258/3,G258/4))))</f>
        <v>515.83779000000004</v>
      </c>
    </row>
    <row r="259" spans="1:12" x14ac:dyDescent="0.35">
      <c r="A259" s="195" t="s">
        <v>341</v>
      </c>
      <c r="B259" s="195"/>
      <c r="C259" s="195"/>
      <c r="D259" s="195"/>
      <c r="E259" s="195"/>
      <c r="F259" s="195"/>
      <c r="G259" s="195"/>
      <c r="H259" s="195"/>
    </row>
    <row r="260" spans="1:12" x14ac:dyDescent="0.35">
      <c r="A260" s="94">
        <v>1</v>
      </c>
      <c r="B260" s="94"/>
      <c r="C260" s="80" t="s">
        <v>337</v>
      </c>
      <c r="D260" s="72">
        <f>(29.95)*10.764</f>
        <v>322.3818</v>
      </c>
      <c r="E260" s="72">
        <f>(3.1+2.7)*10.764</f>
        <v>62.431200000000004</v>
      </c>
      <c r="F260" s="80">
        <f>D260+E260</f>
        <v>384.81299999999999</v>
      </c>
      <c r="G260" s="80">
        <v>0</v>
      </c>
      <c r="H260" s="80">
        <f>F260*(($H$186)+1)+(IF(G260&lt;101,G260,IF(G260&lt;201,G260/2,IF(G260&lt;=301,G260/3,G260/4))))</f>
        <v>557.97884999999997</v>
      </c>
    </row>
    <row r="261" spans="1:12" x14ac:dyDescent="0.35">
      <c r="A261" s="94">
        <f>A260+1</f>
        <v>2</v>
      </c>
      <c r="B261" s="94"/>
      <c r="C261" s="80" t="s">
        <v>337</v>
      </c>
      <c r="D261" s="72">
        <f>(29.95)*10.764</f>
        <v>322.3818</v>
      </c>
      <c r="E261" s="72">
        <f>(3.1+2.7)*10.764</f>
        <v>62.431200000000004</v>
      </c>
      <c r="F261" s="80">
        <f>D261+E261</f>
        <v>384.81299999999999</v>
      </c>
      <c r="G261" s="80">
        <v>0</v>
      </c>
      <c r="H261" s="80">
        <f>F261*(($H$186)+1)+(IF(G261&lt;101,G261,IF(G261&lt;201,G261/2,IF(G261&lt;=301,G261/3,G261/4))))</f>
        <v>557.97884999999997</v>
      </c>
    </row>
    <row r="262" spans="1:12" x14ac:dyDescent="0.35">
      <c r="A262" s="94">
        <f>A261+1</f>
        <v>3</v>
      </c>
      <c r="B262" s="94"/>
      <c r="C262" s="80" t="s">
        <v>337</v>
      </c>
      <c r="D262" s="72">
        <f>(29.95)*10.764</f>
        <v>322.3818</v>
      </c>
      <c r="E262" s="72">
        <f>(3.1+2.7)*10.764</f>
        <v>62.431200000000004</v>
      </c>
      <c r="F262" s="80">
        <f>D262+E262</f>
        <v>384.81299999999999</v>
      </c>
      <c r="G262" s="80">
        <v>0</v>
      </c>
      <c r="H262" s="80">
        <f>F262*(($H$186)+1)+(IF(G262&lt;101,G262,IF(G262&lt;201,G262/2,IF(G262&lt;=301,G262/3,G262/4))))</f>
        <v>557.97884999999997</v>
      </c>
    </row>
    <row r="263" spans="1:12" x14ac:dyDescent="0.35">
      <c r="A263" s="94">
        <f>A262+1</f>
        <v>4</v>
      </c>
      <c r="B263" s="94"/>
      <c r="C263" s="80" t="s">
        <v>337</v>
      </c>
      <c r="D263" s="72">
        <f>(29.95)*10.764</f>
        <v>322.3818</v>
      </c>
      <c r="E263" s="72">
        <f>(3.1+2.7)*10.764</f>
        <v>62.431200000000004</v>
      </c>
      <c r="F263" s="80">
        <f>D263+E263</f>
        <v>384.81299999999999</v>
      </c>
      <c r="G263" s="80">
        <v>0</v>
      </c>
      <c r="H263" s="80">
        <f>F263*(($H$186)+1)+(IF(G263&lt;101,G263,IF(G263&lt;201,G263/2,IF(G263&lt;=301,G263/3,G263/4))))</f>
        <v>557.97884999999997</v>
      </c>
    </row>
    <row r="264" spans="1:12" x14ac:dyDescent="0.35">
      <c r="A264" s="195" t="s">
        <v>346</v>
      </c>
      <c r="B264" s="195"/>
      <c r="C264" s="195"/>
      <c r="D264" s="195"/>
      <c r="E264" s="195"/>
      <c r="F264" s="195"/>
      <c r="G264" s="195"/>
      <c r="H264" s="195"/>
    </row>
    <row r="265" spans="1:12" x14ac:dyDescent="0.35">
      <c r="A265" s="94">
        <v>1</v>
      </c>
      <c r="B265" s="94"/>
      <c r="C265" s="80" t="s">
        <v>337</v>
      </c>
      <c r="D265" s="72">
        <f>(29.95)*10.764</f>
        <v>322.3818</v>
      </c>
      <c r="E265" s="72">
        <f>(3.1)*10.764</f>
        <v>33.368400000000001</v>
      </c>
      <c r="F265" s="80">
        <f>D265+E265</f>
        <v>355.75020000000001</v>
      </c>
      <c r="G265" s="80">
        <v>0</v>
      </c>
      <c r="H265" s="80">
        <f>F265*(($H$186)+1)+(IF(G265&lt;101,G265,IF(G265&lt;201,G265/2,IF(G265&lt;=301,G265/3,G265/4))))</f>
        <v>515.83779000000004</v>
      </c>
    </row>
    <row r="266" spans="1:12" x14ac:dyDescent="0.35">
      <c r="A266" s="94">
        <f>A265+1</f>
        <v>2</v>
      </c>
      <c r="B266" s="94"/>
      <c r="C266" s="80" t="s">
        <v>337</v>
      </c>
      <c r="D266" s="72">
        <f>(29.95)*10.764</f>
        <v>322.3818</v>
      </c>
      <c r="E266" s="72">
        <f>(3.1)*10.764</f>
        <v>33.368400000000001</v>
      </c>
      <c r="F266" s="80">
        <f>D266+E266</f>
        <v>355.75020000000001</v>
      </c>
      <c r="G266" s="80">
        <v>0</v>
      </c>
      <c r="H266" s="80">
        <f>F266*(($H$186)+1)+(IF(G266&lt;101,G266,IF(G266&lt;201,G266/2,IF(G266&lt;=301,G266/3,G266/4))))</f>
        <v>515.83779000000004</v>
      </c>
    </row>
    <row r="267" spans="1:12" x14ac:dyDescent="0.35">
      <c r="A267" s="94">
        <f>A266+1</f>
        <v>3</v>
      </c>
      <c r="B267" s="94"/>
      <c r="C267" s="80" t="s">
        <v>337</v>
      </c>
      <c r="D267" s="72">
        <f>(29.95)*10.764</f>
        <v>322.3818</v>
      </c>
      <c r="E267" s="72">
        <f>(3.1)*10.764</f>
        <v>33.368400000000001</v>
      </c>
      <c r="F267" s="80">
        <f>D267+E267</f>
        <v>355.75020000000001</v>
      </c>
      <c r="G267" s="80">
        <v>0</v>
      </c>
      <c r="H267" s="80">
        <f>F267*(($H$186)+1)+(IF(G267&lt;101,G267,IF(G267&lt;201,G267/2,IF(G267&lt;=301,G267/3,G267/4))))</f>
        <v>515.83779000000004</v>
      </c>
    </row>
    <row r="268" spans="1:12" x14ac:dyDescent="0.35">
      <c r="A268" s="94">
        <f>A267+1</f>
        <v>4</v>
      </c>
      <c r="B268" s="94"/>
      <c r="C268" s="80" t="s">
        <v>337</v>
      </c>
      <c r="D268" s="72">
        <f>(29.95)*10.764</f>
        <v>322.3818</v>
      </c>
      <c r="E268" s="72">
        <f>(3.1)*10.764</f>
        <v>33.368400000000001</v>
      </c>
      <c r="F268" s="80">
        <f>D268+E268</f>
        <v>355.75020000000001</v>
      </c>
      <c r="G268" s="80">
        <v>0</v>
      </c>
      <c r="H268" s="80">
        <f>F268*(($H$186)+1)+(IF(G268&lt;101,G268,IF(G268&lt;201,G268/2,IF(G268&lt;=301,G268/3,G268/4))))</f>
        <v>515.83779000000004</v>
      </c>
      <c r="L268"/>
    </row>
    <row r="269" spans="1:12" x14ac:dyDescent="0.35">
      <c r="A269" s="195" t="s">
        <v>345</v>
      </c>
      <c r="B269" s="195"/>
      <c r="C269" s="195"/>
      <c r="D269" s="195"/>
      <c r="E269" s="195"/>
      <c r="F269" s="195"/>
      <c r="G269" s="195"/>
      <c r="H269" s="195"/>
    </row>
    <row r="270" spans="1:12" x14ac:dyDescent="0.35">
      <c r="A270" s="195" t="s">
        <v>334</v>
      </c>
      <c r="B270" s="195"/>
      <c r="C270" s="195"/>
      <c r="D270" s="195"/>
      <c r="E270" s="195"/>
      <c r="F270" s="195"/>
      <c r="G270" s="195"/>
      <c r="H270" s="195"/>
    </row>
    <row r="271" spans="1:12" x14ac:dyDescent="0.35">
      <c r="A271" s="116" t="s">
        <v>351</v>
      </c>
      <c r="B271" s="117"/>
      <c r="C271" s="117"/>
      <c r="D271" s="117"/>
      <c r="E271" s="117"/>
      <c r="F271" s="117"/>
      <c r="G271" s="117"/>
      <c r="H271" s="118"/>
    </row>
    <row r="272" spans="1:12" x14ac:dyDescent="0.35">
      <c r="A272" s="98">
        <v>1</v>
      </c>
      <c r="B272" s="99"/>
      <c r="C272" s="61" t="s">
        <v>337</v>
      </c>
      <c r="D272" s="72">
        <f>(29.95)*10.764</f>
        <v>322.3818</v>
      </c>
      <c r="E272" s="72">
        <f>(3.1)*10.764</f>
        <v>33.368400000000001</v>
      </c>
      <c r="F272" s="61">
        <f t="shared" ref="F272:F275" si="11">D272+E272</f>
        <v>355.75020000000001</v>
      </c>
      <c r="G272" s="61">
        <v>0</v>
      </c>
      <c r="H272" s="61">
        <f>F272*(($H$186)+1)+(IF(G272&lt;101,G272,IF(G272&lt;201,G272/2,IF(G272&lt;=301,G272/3,G272/4))))</f>
        <v>515.83779000000004</v>
      </c>
    </row>
    <row r="273" spans="1:8" x14ac:dyDescent="0.35">
      <c r="A273" s="98">
        <f>A272+1</f>
        <v>2</v>
      </c>
      <c r="B273" s="99"/>
      <c r="C273" s="61" t="s">
        <v>362</v>
      </c>
      <c r="D273" s="72">
        <f>(35.9)*10.764</f>
        <v>386.42759999999998</v>
      </c>
      <c r="E273" s="72">
        <f>(3.1+2.5)*10.764</f>
        <v>60.278399999999991</v>
      </c>
      <c r="F273" s="61">
        <f t="shared" si="11"/>
        <v>446.70599999999996</v>
      </c>
      <c r="G273" s="61">
        <v>0</v>
      </c>
      <c r="H273" s="61">
        <f>F273*(($H$186)+1)+(IF(G273&lt;101,G273,IF(G273&lt;201,G273/2,IF(G273&lt;=301,G273/3,G273/4))))</f>
        <v>647.72369999999989</v>
      </c>
    </row>
    <row r="274" spans="1:8" x14ac:dyDescent="0.35">
      <c r="A274" s="98">
        <f>A273+1</f>
        <v>3</v>
      </c>
      <c r="B274" s="99"/>
      <c r="C274" s="61" t="s">
        <v>337</v>
      </c>
      <c r="D274" s="72">
        <f>(29.95)*10.764</f>
        <v>322.3818</v>
      </c>
      <c r="E274" s="72">
        <f>(3.1)*10.764</f>
        <v>33.368400000000001</v>
      </c>
      <c r="F274" s="61">
        <f t="shared" si="11"/>
        <v>355.75020000000001</v>
      </c>
      <c r="G274" s="61">
        <v>0</v>
      </c>
      <c r="H274" s="61">
        <f>F274*(($H$186)+1)+(IF(G274&lt;101,G274,IF(G274&lt;201,G274/2,IF(G274&lt;=301,G274/3,G274/4))))</f>
        <v>515.83779000000004</v>
      </c>
    </row>
    <row r="275" spans="1:8" x14ac:dyDescent="0.35">
      <c r="A275" s="98">
        <f>A274+1</f>
        <v>4</v>
      </c>
      <c r="B275" s="99"/>
      <c r="C275" s="61" t="s">
        <v>337</v>
      </c>
      <c r="D275" s="72">
        <f>(29.95)*10.764</f>
        <v>322.3818</v>
      </c>
      <c r="E275" s="72">
        <f>(3.1)*10.764</f>
        <v>33.368400000000001</v>
      </c>
      <c r="F275" s="61">
        <f t="shared" si="11"/>
        <v>355.75020000000001</v>
      </c>
      <c r="G275" s="61">
        <v>0</v>
      </c>
      <c r="H275" s="61">
        <f>F275*(($H$186)+1)+(IF(G275&lt;101,G275,IF(G275&lt;201,G275/2,IF(G275&lt;=301,G275/3,G275/4))))</f>
        <v>515.83779000000004</v>
      </c>
    </row>
    <row r="276" spans="1:8" x14ac:dyDescent="0.35">
      <c r="A276" s="116" t="s">
        <v>341</v>
      </c>
      <c r="B276" s="117"/>
      <c r="C276" s="117"/>
      <c r="D276" s="117"/>
      <c r="E276" s="117"/>
      <c r="F276" s="117"/>
      <c r="G276" s="117"/>
      <c r="H276" s="118"/>
    </row>
    <row r="277" spans="1:8" x14ac:dyDescent="0.35">
      <c r="A277" s="98">
        <v>1</v>
      </c>
      <c r="B277" s="99"/>
      <c r="C277" s="61" t="s">
        <v>337</v>
      </c>
      <c r="D277" s="72">
        <f>(29.95)*10.764</f>
        <v>322.3818</v>
      </c>
      <c r="E277" s="72">
        <f>(3.1+2.7)*10.764</f>
        <v>62.431200000000004</v>
      </c>
      <c r="F277" s="61">
        <f t="shared" ref="F277:F280" si="12">D277+E277</f>
        <v>384.81299999999999</v>
      </c>
      <c r="G277" s="61">
        <v>0</v>
      </c>
      <c r="H277" s="61">
        <f>F277*(($H$186)+1)+(IF(G277&lt;101,G277,IF(G277&lt;201,G277/2,IF(G277&lt;=301,G277/3,G277/4))))</f>
        <v>557.97884999999997</v>
      </c>
    </row>
    <row r="278" spans="1:8" x14ac:dyDescent="0.35">
      <c r="A278" s="98">
        <f>A277+1</f>
        <v>2</v>
      </c>
      <c r="B278" s="99"/>
      <c r="C278" s="61" t="s">
        <v>362</v>
      </c>
      <c r="D278" s="72">
        <f>(35.9)*10.764</f>
        <v>386.42759999999998</v>
      </c>
      <c r="E278" s="72">
        <f>(3.1+2.5+2.7)*10.764</f>
        <v>89.341200000000001</v>
      </c>
      <c r="F278" s="61">
        <f t="shared" si="12"/>
        <v>475.7688</v>
      </c>
      <c r="G278" s="61">
        <v>0</v>
      </c>
      <c r="H278" s="61">
        <f>F278*(($H$186)+1)+(IF(G278&lt;101,G278,IF(G278&lt;201,G278/2,IF(G278&lt;=301,G278/3,G278/4))))</f>
        <v>689.86475999999993</v>
      </c>
    </row>
    <row r="279" spans="1:8" x14ac:dyDescent="0.35">
      <c r="A279" s="98">
        <f>A278+1</f>
        <v>3</v>
      </c>
      <c r="B279" s="99"/>
      <c r="C279" s="61" t="s">
        <v>337</v>
      </c>
      <c r="D279" s="72">
        <f>(29.95)*10.764</f>
        <v>322.3818</v>
      </c>
      <c r="E279" s="72">
        <f>(3.1+2.7)*10.764</f>
        <v>62.431200000000004</v>
      </c>
      <c r="F279" s="61">
        <f t="shared" si="12"/>
        <v>384.81299999999999</v>
      </c>
      <c r="G279" s="61">
        <v>0</v>
      </c>
      <c r="H279" s="61">
        <f>F279*(($H$186)+1)+(IF(G279&lt;101,G279,IF(G279&lt;201,G279/2,IF(G279&lt;=301,G279/3,G279/4))))</f>
        <v>557.97884999999997</v>
      </c>
    </row>
    <row r="280" spans="1:8" x14ac:dyDescent="0.35">
      <c r="A280" s="98">
        <f>A279+1</f>
        <v>4</v>
      </c>
      <c r="B280" s="99"/>
      <c r="C280" s="61" t="s">
        <v>337</v>
      </c>
      <c r="D280" s="72">
        <f>(29.95)*10.764</f>
        <v>322.3818</v>
      </c>
      <c r="E280" s="72">
        <f>(3.1+2.7)*10.764</f>
        <v>62.431200000000004</v>
      </c>
      <c r="F280" s="61">
        <f t="shared" si="12"/>
        <v>384.81299999999999</v>
      </c>
      <c r="G280" s="61">
        <v>0</v>
      </c>
      <c r="H280" s="61">
        <f>F280*(($H$186)+1)+(IF(G280&lt;101,G280,IF(G280&lt;201,G280/2,IF(G280&lt;=301,G280/3,G280/4))))</f>
        <v>557.97884999999997</v>
      </c>
    </row>
    <row r="281" spans="1:8" ht="15.75" customHeight="1" x14ac:dyDescent="0.35">
      <c r="A281" s="116" t="s">
        <v>347</v>
      </c>
      <c r="B281" s="117"/>
      <c r="C281" s="117"/>
      <c r="D281" s="117"/>
      <c r="E281" s="117"/>
      <c r="F281" s="117"/>
      <c r="G281" s="117"/>
      <c r="H281" s="118"/>
    </row>
    <row r="282" spans="1:8" x14ac:dyDescent="0.35">
      <c r="A282" s="98">
        <v>1</v>
      </c>
      <c r="B282" s="99"/>
      <c r="C282" s="61" t="s">
        <v>337</v>
      </c>
      <c r="D282" s="72">
        <f>(29.95)*10.764</f>
        <v>322.3818</v>
      </c>
      <c r="E282" s="72">
        <f>(3.1)*10.764</f>
        <v>33.368400000000001</v>
      </c>
      <c r="F282" s="61">
        <f t="shared" ref="F282:F284" si="13">D282+E282</f>
        <v>355.75020000000001</v>
      </c>
      <c r="G282" s="61">
        <v>0</v>
      </c>
      <c r="H282" s="61">
        <f>F282*(($H$186)+1)+(IF(G282&lt;101,G282,IF(G282&lt;201,G282/2,IF(G282&lt;=301,G282/3,G282/4))))</f>
        <v>515.83779000000004</v>
      </c>
    </row>
    <row r="283" spans="1:8" x14ac:dyDescent="0.35">
      <c r="A283" s="98">
        <f>A282+1</f>
        <v>2</v>
      </c>
      <c r="B283" s="99"/>
      <c r="C283" s="61" t="s">
        <v>362</v>
      </c>
      <c r="D283" s="72">
        <f>(35.9)*10.764</f>
        <v>386.42759999999998</v>
      </c>
      <c r="E283" s="72">
        <f>(3.1+2.5)*10.764</f>
        <v>60.278399999999991</v>
      </c>
      <c r="F283" s="61">
        <f t="shared" si="13"/>
        <v>446.70599999999996</v>
      </c>
      <c r="G283" s="61">
        <v>0</v>
      </c>
      <c r="H283" s="61">
        <f>F283*(($H$186)+1)+(IF(G283&lt;101,G283,IF(G283&lt;201,G283/2,IF(G283&lt;=301,G283/3,G283/4))))</f>
        <v>647.72369999999989</v>
      </c>
    </row>
    <row r="284" spans="1:8" x14ac:dyDescent="0.35">
      <c r="A284" s="98">
        <f>A283+1</f>
        <v>3</v>
      </c>
      <c r="B284" s="99"/>
      <c r="C284" s="61" t="s">
        <v>337</v>
      </c>
      <c r="D284" s="72">
        <f>(29.95)*10.764</f>
        <v>322.3818</v>
      </c>
      <c r="E284" s="72">
        <f>(3.1)*10.764</f>
        <v>33.368400000000001</v>
      </c>
      <c r="F284" s="61">
        <f t="shared" si="13"/>
        <v>355.75020000000001</v>
      </c>
      <c r="G284" s="61">
        <v>0</v>
      </c>
      <c r="H284" s="61">
        <f>F284*(($H$186)+1)+(IF(G284&lt;101,G284,IF(G284&lt;201,G284/2,IF(G284&lt;=301,G284/3,G284/4))))</f>
        <v>515.83779000000004</v>
      </c>
    </row>
    <row r="285" spans="1:8" x14ac:dyDescent="0.35">
      <c r="A285" s="98">
        <f>A284+1</f>
        <v>4</v>
      </c>
      <c r="B285" s="99"/>
      <c r="C285" s="98" t="s">
        <v>348</v>
      </c>
      <c r="D285" s="214"/>
      <c r="E285" s="214"/>
      <c r="F285" s="214"/>
      <c r="G285" s="214"/>
      <c r="H285" s="99"/>
    </row>
    <row r="286" spans="1:8" x14ac:dyDescent="0.35">
      <c r="A286" s="98"/>
      <c r="B286" s="214"/>
      <c r="C286" s="214"/>
      <c r="D286" s="214"/>
      <c r="E286" s="214"/>
      <c r="F286" s="214"/>
      <c r="G286" s="214"/>
      <c r="H286" s="99"/>
    </row>
    <row r="287" spans="1:8" x14ac:dyDescent="0.35">
      <c r="A287" s="147" t="s">
        <v>64</v>
      </c>
      <c r="B287" s="147"/>
      <c r="C287" s="147"/>
      <c r="D287" s="147"/>
      <c r="E287" s="147"/>
      <c r="F287" s="147"/>
      <c r="G287" s="147"/>
      <c r="H287" s="147"/>
    </row>
    <row r="288" spans="1:8" x14ac:dyDescent="0.35">
      <c r="A288" s="83" t="s">
        <v>150</v>
      </c>
      <c r="B288" s="216" t="s">
        <v>368</v>
      </c>
      <c r="C288" s="216"/>
      <c r="D288" s="216"/>
      <c r="E288" s="216"/>
      <c r="F288" s="216"/>
      <c r="G288" s="216"/>
      <c r="H288" s="216"/>
    </row>
    <row r="289" spans="1:8" x14ac:dyDescent="0.35">
      <c r="A289" s="83" t="s">
        <v>150</v>
      </c>
      <c r="B289" s="217" t="str">
        <f>(IF(H185="Saleable area Loading :","We have considered Saleable area of Flats as per our Calculation.","We considered Saleable area of Flat as per Builder area Sheet."))</f>
        <v>We have considered Saleable area of Flats as per our Calculation.</v>
      </c>
      <c r="C289" s="217"/>
      <c r="D289" s="217"/>
      <c r="E289" s="217"/>
      <c r="F289" s="217"/>
      <c r="G289" s="217"/>
      <c r="H289" s="217"/>
    </row>
    <row r="290" spans="1:8" hidden="1" x14ac:dyDescent="0.35">
      <c r="A290" s="83" t="s">
        <v>150</v>
      </c>
      <c r="B290" s="217" t="str">
        <f>(IF(H177="Saleable area Loading :","We have considered Saleable area of Commercial as per our Calculation.","We considered Saleable area of Commercial as per Builder area Sheet."))</f>
        <v>We have considered Saleable area of Commercial as per our Calculation.</v>
      </c>
      <c r="C290" s="217"/>
      <c r="D290" s="217"/>
      <c r="E290" s="217"/>
      <c r="F290" s="217"/>
      <c r="G290" s="217"/>
      <c r="H290" s="217"/>
    </row>
    <row r="291" spans="1:8" x14ac:dyDescent="0.35">
      <c r="A291" s="83" t="s">
        <v>150</v>
      </c>
      <c r="B291" s="218" t="s">
        <v>120</v>
      </c>
      <c r="C291" s="218"/>
      <c r="D291" s="218"/>
      <c r="E291" s="218"/>
      <c r="F291" s="218"/>
      <c r="G291" s="218"/>
      <c r="H291" s="218"/>
    </row>
    <row r="292" spans="1:8" x14ac:dyDescent="0.35">
      <c r="A292" s="83" t="s">
        <v>150</v>
      </c>
      <c r="B292" s="218" t="s">
        <v>350</v>
      </c>
      <c r="C292" s="218"/>
      <c r="D292" s="218"/>
      <c r="E292" s="218"/>
      <c r="F292" s="218"/>
      <c r="G292" s="218"/>
      <c r="H292" s="218"/>
    </row>
    <row r="293" spans="1:8" x14ac:dyDescent="0.35">
      <c r="A293" s="83" t="s">
        <v>150</v>
      </c>
      <c r="B293" s="218" t="s">
        <v>149</v>
      </c>
      <c r="C293" s="218"/>
      <c r="D293" s="218"/>
      <c r="E293" s="218"/>
      <c r="F293" s="218"/>
      <c r="G293" s="218"/>
      <c r="H293" s="218"/>
    </row>
    <row r="294" spans="1:8" x14ac:dyDescent="0.35">
      <c r="A294" s="83" t="s">
        <v>150</v>
      </c>
      <c r="B294" s="218" t="s">
        <v>121</v>
      </c>
      <c r="C294" s="218"/>
      <c r="D294" s="218"/>
      <c r="E294" s="218"/>
      <c r="F294" s="218"/>
      <c r="G294" s="218"/>
      <c r="H294" s="218"/>
    </row>
    <row r="295" spans="1:8" ht="32.25" customHeight="1" x14ac:dyDescent="0.35">
      <c r="A295" s="83" t="s">
        <v>150</v>
      </c>
      <c r="B295" s="218" t="s">
        <v>151</v>
      </c>
      <c r="C295" s="218"/>
      <c r="D295" s="218"/>
      <c r="E295" s="218"/>
      <c r="F295" s="218"/>
      <c r="G295" s="218"/>
      <c r="H295" s="218"/>
    </row>
    <row r="296" spans="1:8" x14ac:dyDescent="0.35">
      <c r="A296" s="83" t="s">
        <v>150</v>
      </c>
      <c r="B296" s="218" t="s">
        <v>122</v>
      </c>
      <c r="C296" s="218"/>
      <c r="D296" s="218"/>
      <c r="E296" s="218"/>
      <c r="F296" s="218"/>
      <c r="G296" s="218"/>
      <c r="H296" s="218"/>
    </row>
    <row r="297" spans="1:8" hidden="1" x14ac:dyDescent="0.35">
      <c r="A297" s="83" t="s">
        <v>150</v>
      </c>
      <c r="B297" s="219" t="s">
        <v>175</v>
      </c>
      <c r="C297" s="219"/>
      <c r="D297" s="219"/>
      <c r="E297" s="219"/>
      <c r="F297" s="219"/>
      <c r="G297" s="219"/>
      <c r="H297" s="219"/>
    </row>
    <row r="298" spans="1:8" hidden="1" x14ac:dyDescent="0.35">
      <c r="A298" s="83" t="s">
        <v>150</v>
      </c>
      <c r="B298" s="219" t="s">
        <v>230</v>
      </c>
      <c r="C298" s="219"/>
      <c r="D298" s="219"/>
      <c r="E298" s="219"/>
      <c r="F298" s="219"/>
      <c r="G298" s="219"/>
      <c r="H298" s="219"/>
    </row>
    <row r="299" spans="1:8" x14ac:dyDescent="0.35">
      <c r="A299" s="83" t="s">
        <v>150</v>
      </c>
      <c r="B299" s="218" t="s">
        <v>365</v>
      </c>
      <c r="C299" s="218"/>
      <c r="D299" s="218"/>
      <c r="E299" s="218"/>
      <c r="F299" s="218"/>
      <c r="G299" s="218"/>
      <c r="H299" s="218"/>
    </row>
    <row r="300" spans="1:8" x14ac:dyDescent="0.35">
      <c r="A300" s="121" t="s">
        <v>57</v>
      </c>
      <c r="B300" s="121"/>
      <c r="C300" s="121"/>
      <c r="D300" s="121"/>
      <c r="E300" s="121"/>
      <c r="F300" s="121"/>
      <c r="G300" s="121"/>
      <c r="H300" s="121"/>
    </row>
    <row r="301" spans="1:8" x14ac:dyDescent="0.35">
      <c r="A301" s="102" t="s">
        <v>58</v>
      </c>
      <c r="B301" s="102"/>
      <c r="C301" s="102"/>
      <c r="D301" s="102"/>
      <c r="E301" s="102"/>
      <c r="F301" s="102"/>
      <c r="G301" s="102"/>
      <c r="H301" s="102"/>
    </row>
    <row r="302" spans="1:8" x14ac:dyDescent="0.35">
      <c r="A302" s="135" t="s">
        <v>59</v>
      </c>
      <c r="B302" s="135"/>
      <c r="C302" s="135"/>
      <c r="D302" s="135"/>
      <c r="E302" s="135"/>
      <c r="F302" s="135"/>
      <c r="G302" s="135"/>
      <c r="H302" s="135"/>
    </row>
    <row r="303" spans="1:8" x14ac:dyDescent="0.35">
      <c r="A303" s="102" t="s">
        <v>60</v>
      </c>
      <c r="B303" s="102"/>
      <c r="C303" s="102"/>
      <c r="D303" s="102"/>
      <c r="E303" s="102"/>
      <c r="F303" s="102"/>
      <c r="G303" s="102"/>
      <c r="H303" s="102"/>
    </row>
    <row r="304" spans="1:8" x14ac:dyDescent="0.35">
      <c r="A304" s="102" t="s">
        <v>61</v>
      </c>
      <c r="B304" s="102"/>
      <c r="C304" s="102"/>
      <c r="D304" s="102"/>
      <c r="E304" s="102"/>
      <c r="F304" s="102"/>
      <c r="G304" s="102"/>
      <c r="H304" s="102"/>
    </row>
    <row r="305" spans="1:8" x14ac:dyDescent="0.35">
      <c r="A305" s="102" t="s">
        <v>123</v>
      </c>
      <c r="B305" s="102"/>
      <c r="C305" s="102"/>
      <c r="D305" s="102"/>
      <c r="E305" s="102"/>
      <c r="F305" s="102"/>
      <c r="G305" s="102"/>
      <c r="H305" s="102"/>
    </row>
    <row r="306" spans="1:8" x14ac:dyDescent="0.35">
      <c r="A306" s="108" t="s">
        <v>124</v>
      </c>
      <c r="B306" s="108"/>
      <c r="C306" s="108"/>
      <c r="D306" s="108"/>
      <c r="E306" s="108"/>
      <c r="F306" s="108"/>
      <c r="G306" s="108"/>
      <c r="H306" s="108"/>
    </row>
    <row r="307" spans="1:8" x14ac:dyDescent="0.35">
      <c r="A307" s="149" t="s">
        <v>73</v>
      </c>
      <c r="B307" s="149"/>
      <c r="C307" s="149" t="s">
        <v>328</v>
      </c>
      <c r="D307" s="149"/>
      <c r="E307" s="149" t="s">
        <v>103</v>
      </c>
      <c r="F307" s="149"/>
      <c r="G307" s="149" t="s">
        <v>363</v>
      </c>
      <c r="H307" s="149"/>
    </row>
    <row r="308" spans="1:8" x14ac:dyDescent="0.35">
      <c r="A308" s="148" t="s">
        <v>75</v>
      </c>
      <c r="B308" s="148"/>
      <c r="C308" s="148"/>
      <c r="D308" s="148"/>
      <c r="E308" s="148"/>
      <c r="F308" s="148"/>
      <c r="G308" s="148"/>
      <c r="H308" s="148"/>
    </row>
    <row r="309" spans="1:8" x14ac:dyDescent="0.35">
      <c r="A309" s="148"/>
      <c r="B309" s="148"/>
      <c r="C309" s="148"/>
      <c r="D309" s="148"/>
      <c r="E309" s="148"/>
      <c r="F309" s="148"/>
      <c r="G309" s="148"/>
      <c r="H309" s="148"/>
    </row>
    <row r="310" spans="1:8" x14ac:dyDescent="0.35">
      <c r="A310" s="148"/>
      <c r="B310" s="148"/>
      <c r="C310" s="148"/>
      <c r="D310" s="148"/>
      <c r="E310" s="148"/>
      <c r="F310" s="148"/>
      <c r="G310" s="148"/>
      <c r="H310" s="148"/>
    </row>
    <row r="311" spans="1:8" x14ac:dyDescent="0.35">
      <c r="A311" s="148"/>
      <c r="B311" s="148"/>
      <c r="C311" s="148"/>
      <c r="D311" s="148"/>
      <c r="E311" s="148"/>
      <c r="F311" s="148"/>
      <c r="G311" s="148"/>
      <c r="H311" s="148"/>
    </row>
    <row r="312" spans="1:8" x14ac:dyDescent="0.35">
      <c r="A312" s="35" t="s">
        <v>62</v>
      </c>
      <c r="B312" s="36"/>
      <c r="C312" s="36"/>
      <c r="D312" s="35" t="str">
        <f>E9</f>
        <v>The Green Sapphirre</v>
      </c>
      <c r="F312" s="36"/>
      <c r="G312" s="36"/>
      <c r="H312" s="36"/>
    </row>
    <row r="313" spans="1:8" x14ac:dyDescent="0.35">
      <c r="A313" s="36"/>
      <c r="B313" s="36"/>
      <c r="C313" s="36"/>
      <c r="D313" s="36"/>
      <c r="E313" s="36"/>
      <c r="F313" s="36"/>
      <c r="G313" s="36"/>
      <c r="H313" s="36"/>
    </row>
    <row r="314" spans="1:8" x14ac:dyDescent="0.35">
      <c r="A314" s="36"/>
      <c r="B314" s="36"/>
      <c r="C314" s="36"/>
      <c r="D314" s="36"/>
      <c r="E314" s="36"/>
      <c r="F314" s="36"/>
      <c r="G314" s="36"/>
      <c r="H314" s="36"/>
    </row>
    <row r="355" spans="1:8" x14ac:dyDescent="0.35">
      <c r="A355" s="35" t="s">
        <v>62</v>
      </c>
      <c r="B355" s="36"/>
      <c r="C355" s="36"/>
      <c r="D355" s="84" t="str">
        <f>E9</f>
        <v>The Green Sapphirre</v>
      </c>
      <c r="F355" s="36"/>
      <c r="G355" s="36"/>
      <c r="H355" s="36"/>
    </row>
    <row r="356" spans="1:8" x14ac:dyDescent="0.35">
      <c r="A356" s="36"/>
      <c r="B356" s="36"/>
      <c r="C356" s="36"/>
      <c r="D356" s="36"/>
      <c r="E356" s="36"/>
      <c r="F356" s="36"/>
      <c r="G356" s="36"/>
      <c r="H356" s="36"/>
    </row>
    <row r="357" spans="1:8" x14ac:dyDescent="0.35">
      <c r="A357" s="36"/>
      <c r="B357" s="36"/>
      <c r="C357" s="36"/>
      <c r="D357" s="36"/>
      <c r="E357" s="36"/>
      <c r="F357" s="36"/>
      <c r="G357" s="36"/>
      <c r="H357" s="36"/>
    </row>
    <row r="398" spans="1:1" x14ac:dyDescent="0.35">
      <c r="A398" s="38" t="s">
        <v>161</v>
      </c>
    </row>
    <row r="441" spans="1:1" x14ac:dyDescent="0.35">
      <c r="A441" s="38" t="s">
        <v>63</v>
      </c>
    </row>
  </sheetData>
  <mergeCells count="489">
    <mergeCell ref="B299:H299"/>
    <mergeCell ref="A285:B285"/>
    <mergeCell ref="C285:H285"/>
    <mergeCell ref="A276:H276"/>
    <mergeCell ref="A277:B277"/>
    <mergeCell ref="A278:B278"/>
    <mergeCell ref="A279:B279"/>
    <mergeCell ref="A280:B280"/>
    <mergeCell ref="A281:H281"/>
    <mergeCell ref="A282:B282"/>
    <mergeCell ref="A283:B283"/>
    <mergeCell ref="A284:B284"/>
    <mergeCell ref="B293:H293"/>
    <mergeCell ref="B298:H298"/>
    <mergeCell ref="A286:H286"/>
    <mergeCell ref="A269:H269"/>
    <mergeCell ref="A270:H270"/>
    <mergeCell ref="A271:H271"/>
    <mergeCell ref="A272:B272"/>
    <mergeCell ref="A273:B273"/>
    <mergeCell ref="A274:B274"/>
    <mergeCell ref="A275:B275"/>
    <mergeCell ref="A255:B255"/>
    <mergeCell ref="A256:B256"/>
    <mergeCell ref="A257:B257"/>
    <mergeCell ref="A258:B258"/>
    <mergeCell ref="A259:H259"/>
    <mergeCell ref="A260:B260"/>
    <mergeCell ref="A261:B261"/>
    <mergeCell ref="A262:B262"/>
    <mergeCell ref="A263:B263"/>
    <mergeCell ref="A265:B265"/>
    <mergeCell ref="A266:B266"/>
    <mergeCell ref="A267:B267"/>
    <mergeCell ref="A268:B268"/>
    <mergeCell ref="A264:H264"/>
    <mergeCell ref="A241:B241"/>
    <mergeCell ref="A242:B242"/>
    <mergeCell ref="A243:B243"/>
    <mergeCell ref="A248:B248"/>
    <mergeCell ref="A249:B249"/>
    <mergeCell ref="A251:H251"/>
    <mergeCell ref="A252:H252"/>
    <mergeCell ref="A253:H253"/>
    <mergeCell ref="A254:H254"/>
    <mergeCell ref="A232:B232"/>
    <mergeCell ref="A233:B233"/>
    <mergeCell ref="A234:B234"/>
    <mergeCell ref="A235:H235"/>
    <mergeCell ref="A236:H236"/>
    <mergeCell ref="A237:H237"/>
    <mergeCell ref="A238:B238"/>
    <mergeCell ref="A239:B239"/>
    <mergeCell ref="A240:B240"/>
    <mergeCell ref="A223:H223"/>
    <mergeCell ref="A224:B224"/>
    <mergeCell ref="A225:B225"/>
    <mergeCell ref="A226:B226"/>
    <mergeCell ref="A227:B227"/>
    <mergeCell ref="A228:H228"/>
    <mergeCell ref="A229:H229"/>
    <mergeCell ref="A230:H230"/>
    <mergeCell ref="A231:B231"/>
    <mergeCell ref="A188:H188"/>
    <mergeCell ref="A189:H189"/>
    <mergeCell ref="A201:H201"/>
    <mergeCell ref="A217:H217"/>
    <mergeCell ref="A190:H190"/>
    <mergeCell ref="A207:B207"/>
    <mergeCell ref="A208:B208"/>
    <mergeCell ref="A202:H202"/>
    <mergeCell ref="A218:H218"/>
    <mergeCell ref="A209:H209"/>
    <mergeCell ref="A210:B210"/>
    <mergeCell ref="A211:B211"/>
    <mergeCell ref="A212:B212"/>
    <mergeCell ref="A213:B213"/>
    <mergeCell ref="A214:B214"/>
    <mergeCell ref="A215:B215"/>
    <mergeCell ref="A199:B199"/>
    <mergeCell ref="A191:B191"/>
    <mergeCell ref="A216:H216"/>
    <mergeCell ref="A200:H200"/>
    <mergeCell ref="A205:B205"/>
    <mergeCell ref="A194:B194"/>
    <mergeCell ref="C120:H120"/>
    <mergeCell ref="A121:B121"/>
    <mergeCell ref="A156:E156"/>
    <mergeCell ref="G173:H173"/>
    <mergeCell ref="C162:D162"/>
    <mergeCell ref="E162:F162"/>
    <mergeCell ref="G162:H162"/>
    <mergeCell ref="A163:B163"/>
    <mergeCell ref="C163:D163"/>
    <mergeCell ref="E163:F163"/>
    <mergeCell ref="G163:H163"/>
    <mergeCell ref="F146:H146"/>
    <mergeCell ref="F151:H151"/>
    <mergeCell ref="A132:B132"/>
    <mergeCell ref="C132:H132"/>
    <mergeCell ref="A134:B134"/>
    <mergeCell ref="C134:H134"/>
    <mergeCell ref="A135:B135"/>
    <mergeCell ref="E135:F135"/>
    <mergeCell ref="G135:H135"/>
    <mergeCell ref="A136:B136"/>
    <mergeCell ref="E136:F145"/>
    <mergeCell ref="A124:B124"/>
    <mergeCell ref="G108:H117"/>
    <mergeCell ref="A109:B109"/>
    <mergeCell ref="A110:B110"/>
    <mergeCell ref="A111:B111"/>
    <mergeCell ref="F148:H148"/>
    <mergeCell ref="A148:E148"/>
    <mergeCell ref="D177:D178"/>
    <mergeCell ref="A150:E150"/>
    <mergeCell ref="A127:B127"/>
    <mergeCell ref="A129:B129"/>
    <mergeCell ref="A130:B130"/>
    <mergeCell ref="A149:E149"/>
    <mergeCell ref="A146:E146"/>
    <mergeCell ref="F150:H150"/>
    <mergeCell ref="G121:H121"/>
    <mergeCell ref="A120:B120"/>
    <mergeCell ref="G177:G178"/>
    <mergeCell ref="A138:B138"/>
    <mergeCell ref="A139:B139"/>
    <mergeCell ref="A140:B140"/>
    <mergeCell ref="A141:B141"/>
    <mergeCell ref="A142:B142"/>
    <mergeCell ref="A173:B173"/>
    <mergeCell ref="A151:E151"/>
    <mergeCell ref="A117:B117"/>
    <mergeCell ref="A122:B122"/>
    <mergeCell ref="L178:M178"/>
    <mergeCell ref="A197:B197"/>
    <mergeCell ref="A198:B198"/>
    <mergeCell ref="A40:B40"/>
    <mergeCell ref="C40:H40"/>
    <mergeCell ref="F177:F178"/>
    <mergeCell ref="C161:D161"/>
    <mergeCell ref="E161:F161"/>
    <mergeCell ref="B177:B178"/>
    <mergeCell ref="A177:A178"/>
    <mergeCell ref="C185:C186"/>
    <mergeCell ref="G185:G186"/>
    <mergeCell ref="L177:M177"/>
    <mergeCell ref="L174:M174"/>
    <mergeCell ref="A192:B192"/>
    <mergeCell ref="G174:H174"/>
    <mergeCell ref="L175:M175"/>
    <mergeCell ref="A193:B193"/>
    <mergeCell ref="L176:M176"/>
    <mergeCell ref="C55:H55"/>
    <mergeCell ref="A123:B123"/>
    <mergeCell ref="A79:B79"/>
    <mergeCell ref="A179:H179"/>
    <mergeCell ref="E177:E178"/>
    <mergeCell ref="C172:D172"/>
    <mergeCell ref="E172:F172"/>
    <mergeCell ref="G172:H172"/>
    <mergeCell ref="A147:E147"/>
    <mergeCell ref="A118:B118"/>
    <mergeCell ref="C118:H118"/>
    <mergeCell ref="A108:B108"/>
    <mergeCell ref="A171:A172"/>
    <mergeCell ref="G107:H107"/>
    <mergeCell ref="A152:E152"/>
    <mergeCell ref="F152:H152"/>
    <mergeCell ref="A154:E154"/>
    <mergeCell ref="F149:H149"/>
    <mergeCell ref="A153:E153"/>
    <mergeCell ref="A125:B125"/>
    <mergeCell ref="A126:B126"/>
    <mergeCell ref="E108:F117"/>
    <mergeCell ref="A115:B115"/>
    <mergeCell ref="A116:B116"/>
    <mergeCell ref="E121:F121"/>
    <mergeCell ref="E122:F131"/>
    <mergeCell ref="A47:D47"/>
    <mergeCell ref="A48:H48"/>
    <mergeCell ref="D64:H64"/>
    <mergeCell ref="A64:C64"/>
    <mergeCell ref="A86:B86"/>
    <mergeCell ref="C106:H106"/>
    <mergeCell ref="A78:B78"/>
    <mergeCell ref="A76:B76"/>
    <mergeCell ref="A49:B49"/>
    <mergeCell ref="C49:H49"/>
    <mergeCell ref="A82:B82"/>
    <mergeCell ref="A65:C68"/>
    <mergeCell ref="D68:H68"/>
    <mergeCell ref="C76:H76"/>
    <mergeCell ref="A84:B84"/>
    <mergeCell ref="A71:C71"/>
    <mergeCell ref="D71:H71"/>
    <mergeCell ref="A106:B106"/>
    <mergeCell ref="A90:B90"/>
    <mergeCell ref="C90:H90"/>
    <mergeCell ref="A92:B92"/>
    <mergeCell ref="C92:H92"/>
    <mergeCell ref="A93:B93"/>
    <mergeCell ref="E93:F93"/>
    <mergeCell ref="A39:B39"/>
    <mergeCell ref="C39:H39"/>
    <mergeCell ref="A46:D46"/>
    <mergeCell ref="L164:M164"/>
    <mergeCell ref="L163:M163"/>
    <mergeCell ref="L162:M162"/>
    <mergeCell ref="L161:M161"/>
    <mergeCell ref="A87:B87"/>
    <mergeCell ref="A45:D45"/>
    <mergeCell ref="C78:H78"/>
    <mergeCell ref="A81:B81"/>
    <mergeCell ref="A83:B83"/>
    <mergeCell ref="E79:F79"/>
    <mergeCell ref="A72:C72"/>
    <mergeCell ref="D72:H72"/>
    <mergeCell ref="A75:C75"/>
    <mergeCell ref="D75:H75"/>
    <mergeCell ref="A73:C73"/>
    <mergeCell ref="D74:H74"/>
    <mergeCell ref="G79:H79"/>
    <mergeCell ref="A80:B80"/>
    <mergeCell ref="G136:H145"/>
    <mergeCell ref="A137:B137"/>
    <mergeCell ref="E107:F107"/>
    <mergeCell ref="A35:B35"/>
    <mergeCell ref="A38:H38"/>
    <mergeCell ref="A37:B37"/>
    <mergeCell ref="C37:E37"/>
    <mergeCell ref="G122:H131"/>
    <mergeCell ref="A42:D42"/>
    <mergeCell ref="E42:H42"/>
    <mergeCell ref="A41:H41"/>
    <mergeCell ref="A69:C69"/>
    <mergeCell ref="A70:C70"/>
    <mergeCell ref="D69:H69"/>
    <mergeCell ref="E80:F89"/>
    <mergeCell ref="G80:H89"/>
    <mergeCell ref="A88:B88"/>
    <mergeCell ref="A89:B89"/>
    <mergeCell ref="D70:H70"/>
    <mergeCell ref="A44:D44"/>
    <mergeCell ref="E44:H44"/>
    <mergeCell ref="E45:H45"/>
    <mergeCell ref="E46:H46"/>
    <mergeCell ref="A107:B107"/>
    <mergeCell ref="E47:H47"/>
    <mergeCell ref="C57:H57"/>
    <mergeCell ref="C59:H59"/>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A23:D24"/>
    <mergeCell ref="E23:H24"/>
    <mergeCell ref="E15:H15"/>
    <mergeCell ref="A16:B16"/>
    <mergeCell ref="C16:H16"/>
    <mergeCell ref="C17:H17"/>
    <mergeCell ref="A18:B18"/>
    <mergeCell ref="C18:H18"/>
    <mergeCell ref="A13:D13"/>
    <mergeCell ref="E13:H13"/>
    <mergeCell ref="A301:H301"/>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166:A168"/>
    <mergeCell ref="A308:H311"/>
    <mergeCell ref="A307:B307"/>
    <mergeCell ref="E307:F307"/>
    <mergeCell ref="C307:D307"/>
    <mergeCell ref="G307:H307"/>
    <mergeCell ref="A159:H159"/>
    <mergeCell ref="A157:E157"/>
    <mergeCell ref="F157:H157"/>
    <mergeCell ref="A158:E158"/>
    <mergeCell ref="F158:H158"/>
    <mergeCell ref="A195:H195"/>
    <mergeCell ref="A204:B204"/>
    <mergeCell ref="A161:B161"/>
    <mergeCell ref="A303:H303"/>
    <mergeCell ref="A164:H164"/>
    <mergeCell ref="A306:H306"/>
    <mergeCell ref="A304:H304"/>
    <mergeCell ref="A300:H300"/>
    <mergeCell ref="G165:H165"/>
    <mergeCell ref="A206:B206"/>
    <mergeCell ref="C177:C178"/>
    <mergeCell ref="B185:B186"/>
    <mergeCell ref="A221:B221"/>
    <mergeCell ref="A222:B222"/>
    <mergeCell ref="A144:B144"/>
    <mergeCell ref="A145:B145"/>
    <mergeCell ref="E165:F165"/>
    <mergeCell ref="A175:H175"/>
    <mergeCell ref="A185:A186"/>
    <mergeCell ref="A180:B180"/>
    <mergeCell ref="B297:H297"/>
    <mergeCell ref="A174:B174"/>
    <mergeCell ref="C174:D174"/>
    <mergeCell ref="E174:F174"/>
    <mergeCell ref="B296:H296"/>
    <mergeCell ref="B294:H294"/>
    <mergeCell ref="B290:H290"/>
    <mergeCell ref="A247:B247"/>
    <mergeCell ref="A244:H244"/>
    <mergeCell ref="A245:B245"/>
    <mergeCell ref="A246:B246"/>
    <mergeCell ref="A250:B250"/>
    <mergeCell ref="B288:H288"/>
    <mergeCell ref="B289:H289"/>
    <mergeCell ref="B291:H291"/>
    <mergeCell ref="B292:H292"/>
    <mergeCell ref="A287:H287"/>
    <mergeCell ref="A219:B219"/>
    <mergeCell ref="B295:H295"/>
    <mergeCell ref="A220:B220"/>
    <mergeCell ref="D67:H67"/>
    <mergeCell ref="C52:E52"/>
    <mergeCell ref="D65:H65"/>
    <mergeCell ref="D66:H66"/>
    <mergeCell ref="C51:E51"/>
    <mergeCell ref="A305:H305"/>
    <mergeCell ref="A302:H302"/>
    <mergeCell ref="A196:B196"/>
    <mergeCell ref="A165:B165"/>
    <mergeCell ref="D185:D186"/>
    <mergeCell ref="E185:E186"/>
    <mergeCell ref="A112:B112"/>
    <mergeCell ref="A113:B113"/>
    <mergeCell ref="A114:B114"/>
    <mergeCell ref="A128:B128"/>
    <mergeCell ref="F147:H147"/>
    <mergeCell ref="G161:H161"/>
    <mergeCell ref="A131:B131"/>
    <mergeCell ref="F153:H153"/>
    <mergeCell ref="C160:D160"/>
    <mergeCell ref="C173:D173"/>
    <mergeCell ref="A143:B143"/>
    <mergeCell ref="A187:H187"/>
    <mergeCell ref="C50:E50"/>
    <mergeCell ref="G50:H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C166:D166"/>
    <mergeCell ref="E166:F166"/>
    <mergeCell ref="I15:P15"/>
    <mergeCell ref="F156:H156"/>
    <mergeCell ref="F154:H154"/>
    <mergeCell ref="A203:B203"/>
    <mergeCell ref="A176:H176"/>
    <mergeCell ref="G160:H160"/>
    <mergeCell ref="A155:E155"/>
    <mergeCell ref="A181:B181"/>
    <mergeCell ref="A60:B60"/>
    <mergeCell ref="C60:E60"/>
    <mergeCell ref="D62:H62"/>
    <mergeCell ref="F155:H155"/>
    <mergeCell ref="E160:F160"/>
    <mergeCell ref="A160:B160"/>
    <mergeCell ref="A162:B162"/>
    <mergeCell ref="C165:D165"/>
    <mergeCell ref="D73:H73"/>
    <mergeCell ref="A74:C74"/>
    <mergeCell ref="E43:H43"/>
    <mergeCell ref="A43:D43"/>
    <mergeCell ref="A104:B104"/>
    <mergeCell ref="C104:H104"/>
    <mergeCell ref="A85:B85"/>
    <mergeCell ref="A50:B50"/>
    <mergeCell ref="G166:H166"/>
    <mergeCell ref="C167:D167"/>
    <mergeCell ref="E167:F167"/>
    <mergeCell ref="G167:H167"/>
    <mergeCell ref="C168:D168"/>
    <mergeCell ref="E168:F168"/>
    <mergeCell ref="G168:H168"/>
    <mergeCell ref="A169:B169"/>
    <mergeCell ref="C169:D169"/>
    <mergeCell ref="E169:F169"/>
    <mergeCell ref="G169:H169"/>
    <mergeCell ref="A170:B170"/>
    <mergeCell ref="C170:D170"/>
    <mergeCell ref="E170:F170"/>
    <mergeCell ref="G170:H170"/>
    <mergeCell ref="C171:D171"/>
    <mergeCell ref="E171:F171"/>
    <mergeCell ref="F185:F186"/>
    <mergeCell ref="A184:H184"/>
    <mergeCell ref="A182:B182"/>
    <mergeCell ref="G171:H171"/>
    <mergeCell ref="A183:B183"/>
    <mergeCell ref="E173:F173"/>
    <mergeCell ref="G93:H93"/>
    <mergeCell ref="A94:B94"/>
    <mergeCell ref="E94:F103"/>
    <mergeCell ref="G94:H103"/>
    <mergeCell ref="A95:B95"/>
    <mergeCell ref="A96:B96"/>
    <mergeCell ref="A97:B97"/>
    <mergeCell ref="A98:B98"/>
    <mergeCell ref="A99:B99"/>
    <mergeCell ref="A100:B100"/>
    <mergeCell ref="A101:B101"/>
    <mergeCell ref="A102:B102"/>
    <mergeCell ref="A103:B103"/>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77:E178">
      <formula1>"Attached Loft area,Attached Otla area,Attached Mezzanine area"</formula1>
    </dataValidation>
    <dataValidation type="list" allowBlank="1" showInputMessage="1" showErrorMessage="1" sqref="G307:H307">
      <formula1>"Kunal Kadam,Pranita Mhatre,Shruti Fule,Pooja Kawale,Neha Dhokale,Shruti Tathare, Hitakshi Mhatre, Sachin Sawant"</formula1>
    </dataValidation>
    <dataValidation type="list" allowBlank="1" showInputMessage="1" showErrorMessage="1" sqref="F146:H146">
      <formula1>"On Saleable Area,On Builtup Area,On Carpet Area,On Plot Area"</formula1>
    </dataValidation>
    <dataValidation type="list" allowBlank="1" showInputMessage="1" showErrorMessage="1" sqref="F157:H157">
      <formula1>OFFSET($S$132,1,MATCH($G20,$S$132:$W$132,0)-1,15,1)</formula1>
    </dataValidation>
    <dataValidation type="list" allowBlank="1" showInputMessage="1" showErrorMessage="1" sqref="B177:B178">
      <formula1>"Shop No. (Sale Plan),Sale / Rehab,Sale / Mhada"</formula1>
    </dataValidation>
    <dataValidation type="list" allowBlank="1" showInputMessage="1" showErrorMessage="1" sqref="B185:B186">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85:E186">
      <formula1>"Fungible area,Balcony Area,Chajja Area,Cornice Area,AP Area,WS Area"</formula1>
    </dataValidation>
    <dataValidation type="list" allowBlank="1" showInputMessage="1" showErrorMessage="1" sqref="H178 H186">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5 C99">
      <formula1>0</formula1>
      <formula2>H77</formula2>
    </dataValidation>
    <dataValidation type="list" allowBlank="1" showInputMessage="1" showErrorMessage="1" sqref="H177 H185">
      <formula1>"Saleable area Loading :,Builder Saleable Area"</formula1>
    </dataValidation>
    <dataValidation type="list" allowBlank="1" showInputMessage="1" showErrorMessage="1" sqref="D177:D178 D185:D186">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5" manualBreakCount="5">
    <brk id="103" max="16383" man="1"/>
    <brk id="311" max="7" man="1"/>
    <brk id="354" max="16383" man="1"/>
    <brk id="397" max="7" man="1"/>
    <brk id="440"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15" t="s">
        <v>104</v>
      </c>
      <c r="C3" s="215"/>
      <c r="D3" s="215"/>
      <c r="E3" s="215"/>
      <c r="F3" s="215"/>
      <c r="G3" s="215"/>
      <c r="H3" s="215"/>
    </row>
    <row r="4" spans="1:9" x14ac:dyDescent="0.35">
      <c r="A4" s="2"/>
      <c r="B4" s="3" t="s">
        <v>105</v>
      </c>
      <c r="C4" s="3" t="s">
        <v>106</v>
      </c>
      <c r="D4" s="3" t="s">
        <v>65</v>
      </c>
      <c r="E4" s="3" t="s">
        <v>107</v>
      </c>
      <c r="F4" s="3" t="s">
        <v>113</v>
      </c>
      <c r="G4" s="3" t="s">
        <v>114</v>
      </c>
      <c r="H4" s="3" t="s">
        <v>108</v>
      </c>
    </row>
    <row r="5" spans="1:9" ht="15" customHeight="1" x14ac:dyDescent="0.35">
      <c r="A5" s="2"/>
      <c r="B5" s="5" t="s">
        <v>109</v>
      </c>
      <c r="C5" s="6"/>
      <c r="D5" s="5"/>
      <c r="E5" s="5"/>
      <c r="F5" s="7">
        <f>E5*1.6</f>
        <v>0</v>
      </c>
      <c r="G5" s="7" t="e">
        <f>H5/F5</f>
        <v>#DIV/0!</v>
      </c>
      <c r="H5" s="8"/>
    </row>
    <row r="6" spans="1:9" x14ac:dyDescent="0.35">
      <c r="A6" s="2"/>
      <c r="B6" s="5" t="s">
        <v>109</v>
      </c>
      <c r="C6" s="9"/>
      <c r="D6" s="5"/>
      <c r="E6" s="5"/>
      <c r="F6" s="7">
        <f t="shared" ref="F6:F11" si="0">E6*1.6</f>
        <v>0</v>
      </c>
      <c r="G6" s="7" t="e">
        <f t="shared" ref="G6:G11" si="1">H6/F6</f>
        <v>#DIV/0!</v>
      </c>
      <c r="H6" s="8"/>
    </row>
    <row r="7" spans="1:9" ht="15" customHeight="1" x14ac:dyDescent="0.35">
      <c r="A7" s="2"/>
      <c r="B7" s="5" t="s">
        <v>109</v>
      </c>
      <c r="C7" s="6"/>
      <c r="D7" s="5"/>
      <c r="E7" s="5"/>
      <c r="F7" s="7">
        <f t="shared" si="0"/>
        <v>0</v>
      </c>
      <c r="G7" s="7" t="e">
        <f t="shared" si="1"/>
        <v>#DIV/0!</v>
      </c>
      <c r="H7" s="8"/>
    </row>
    <row r="8" spans="1:9" x14ac:dyDescent="0.35">
      <c r="A8" s="2"/>
      <c r="B8" s="5" t="s">
        <v>109</v>
      </c>
      <c r="C8" s="9"/>
      <c r="D8" s="5"/>
      <c r="E8" s="5"/>
      <c r="F8" s="7">
        <f t="shared" si="0"/>
        <v>0</v>
      </c>
      <c r="G8" s="7" t="e">
        <f t="shared" si="1"/>
        <v>#DIV/0!</v>
      </c>
      <c r="H8" s="8"/>
    </row>
    <row r="9" spans="1:9" ht="15" customHeight="1" x14ac:dyDescent="0.35">
      <c r="A9" s="2"/>
      <c r="B9" s="5" t="s">
        <v>109</v>
      </c>
      <c r="C9" s="9"/>
      <c r="D9" s="5"/>
      <c r="E9" s="5"/>
      <c r="F9" s="7">
        <f t="shared" si="0"/>
        <v>0</v>
      </c>
      <c r="G9" s="7" t="e">
        <f t="shared" si="1"/>
        <v>#DIV/0!</v>
      </c>
      <c r="H9" s="8"/>
    </row>
    <row r="10" spans="1:9" ht="15" customHeight="1" x14ac:dyDescent="0.35">
      <c r="A10" s="2"/>
      <c r="B10" s="5" t="s">
        <v>110</v>
      </c>
      <c r="C10" s="6"/>
      <c r="D10" s="5"/>
      <c r="E10" s="5"/>
      <c r="F10" s="7">
        <f t="shared" si="0"/>
        <v>0</v>
      </c>
      <c r="G10" s="7" t="e">
        <f t="shared" si="1"/>
        <v>#DIV/0!</v>
      </c>
      <c r="H10" s="8"/>
    </row>
    <row r="11" spans="1:9" ht="15" customHeight="1" x14ac:dyDescent="0.35">
      <c r="A11" s="2"/>
      <c r="B11" s="5" t="s">
        <v>110</v>
      </c>
      <c r="C11" s="6"/>
      <c r="D11" s="5"/>
      <c r="E11" s="5"/>
      <c r="F11" s="7">
        <f t="shared" si="0"/>
        <v>0</v>
      </c>
      <c r="G11" s="7" t="e">
        <f t="shared" si="1"/>
        <v>#DIV/0!</v>
      </c>
      <c r="H11" s="8"/>
    </row>
    <row r="12" spans="1:9" ht="15" customHeight="1" x14ac:dyDescent="0.35">
      <c r="A12" s="2"/>
      <c r="B12" s="10" t="s">
        <v>111</v>
      </c>
      <c r="C12" s="5"/>
      <c r="D12" s="5"/>
      <c r="E12" s="5"/>
      <c r="F12" s="5"/>
      <c r="G12" s="11" t="e">
        <f>AVERAGE(G5:G11)</f>
        <v>#DIV/0!</v>
      </c>
      <c r="H12" s="5"/>
    </row>
    <row r="13" spans="1:9" ht="15" customHeight="1" x14ac:dyDescent="0.35">
      <c r="B13" s="10" t="s">
        <v>112</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7"/>
      <c r="C4" s="47" t="s">
        <v>10</v>
      </c>
      <c r="D4" s="48" t="s">
        <v>176</v>
      </c>
      <c r="E4" s="48" t="s">
        <v>186</v>
      </c>
      <c r="F4" s="48" t="s">
        <v>170</v>
      </c>
      <c r="G4" s="48" t="s">
        <v>191</v>
      </c>
      <c r="H4" s="48" t="s">
        <v>209</v>
      </c>
      <c r="J4" t="s">
        <v>191</v>
      </c>
      <c r="K4" t="s">
        <v>207</v>
      </c>
    </row>
    <row r="5" spans="2:11" x14ac:dyDescent="0.35">
      <c r="B5" s="47"/>
      <c r="C5" s="47"/>
      <c r="D5" s="48" t="s">
        <v>177</v>
      </c>
      <c r="E5" s="48" t="s">
        <v>184</v>
      </c>
      <c r="F5" s="48" t="s">
        <v>206</v>
      </c>
      <c r="G5" s="48" t="s">
        <v>192</v>
      </c>
      <c r="H5" s="48" t="s">
        <v>210</v>
      </c>
    </row>
    <row r="6" spans="2:11" x14ac:dyDescent="0.35">
      <c r="B6" s="47"/>
      <c r="C6" s="47"/>
      <c r="D6" s="48" t="s">
        <v>178</v>
      </c>
      <c r="E6" s="48" t="s">
        <v>185</v>
      </c>
      <c r="F6" s="48" t="s">
        <v>207</v>
      </c>
      <c r="G6" s="48" t="s">
        <v>193</v>
      </c>
      <c r="H6" s="48" t="s">
        <v>223</v>
      </c>
    </row>
    <row r="7" spans="2:11" x14ac:dyDescent="0.35">
      <c r="B7" s="47"/>
      <c r="C7" s="47"/>
      <c r="D7" s="48" t="s">
        <v>179</v>
      </c>
      <c r="E7" s="48" t="s">
        <v>187</v>
      </c>
      <c r="F7" s="48" t="s">
        <v>208</v>
      </c>
      <c r="G7" s="48" t="s">
        <v>194</v>
      </c>
      <c r="H7" s="48" t="s">
        <v>211</v>
      </c>
    </row>
    <row r="8" spans="2:11" x14ac:dyDescent="0.35">
      <c r="B8" s="47"/>
      <c r="C8" s="47"/>
      <c r="D8" s="48" t="s">
        <v>180</v>
      </c>
      <c r="E8" s="48" t="s">
        <v>188</v>
      </c>
      <c r="F8" s="48"/>
      <c r="G8" s="48" t="s">
        <v>195</v>
      </c>
      <c r="H8" s="48" t="s">
        <v>212</v>
      </c>
    </row>
    <row r="9" spans="2:11" x14ac:dyDescent="0.35">
      <c r="B9" s="47"/>
      <c r="C9" s="47"/>
      <c r="D9" s="48" t="s">
        <v>181</v>
      </c>
      <c r="E9" s="48" t="s">
        <v>186</v>
      </c>
      <c r="F9" s="48"/>
      <c r="G9" s="48" t="s">
        <v>196</v>
      </c>
      <c r="H9" s="48" t="s">
        <v>213</v>
      </c>
    </row>
    <row r="10" spans="2:11" x14ac:dyDescent="0.35">
      <c r="B10" s="47"/>
      <c r="C10" s="47"/>
      <c r="D10" s="48" t="s">
        <v>182</v>
      </c>
      <c r="E10" s="48" t="s">
        <v>189</v>
      </c>
      <c r="F10" s="48"/>
      <c r="G10" s="48" t="s">
        <v>197</v>
      </c>
      <c r="H10" s="48" t="s">
        <v>214</v>
      </c>
    </row>
    <row r="11" spans="2:11" x14ac:dyDescent="0.35">
      <c r="B11" s="47"/>
      <c r="C11" s="47"/>
      <c r="D11" s="48" t="s">
        <v>183</v>
      </c>
      <c r="E11" s="48" t="s">
        <v>190</v>
      </c>
      <c r="F11" s="48"/>
      <c r="G11" s="48" t="s">
        <v>198</v>
      </c>
      <c r="H11" s="48" t="s">
        <v>215</v>
      </c>
    </row>
    <row r="12" spans="2:11" x14ac:dyDescent="0.35">
      <c r="B12" s="47"/>
      <c r="C12" s="47"/>
      <c r="D12" s="48"/>
      <c r="E12" s="48"/>
      <c r="F12" s="48"/>
      <c r="G12" s="48" t="s">
        <v>199</v>
      </c>
      <c r="H12" s="48" t="s">
        <v>216</v>
      </c>
    </row>
    <row r="13" spans="2:11" x14ac:dyDescent="0.35">
      <c r="B13" s="47"/>
      <c r="C13" s="47"/>
      <c r="D13" s="48"/>
      <c r="E13" s="48"/>
      <c r="F13" s="48"/>
      <c r="G13" s="48" t="s">
        <v>200</v>
      </c>
      <c r="H13" s="48" t="s">
        <v>217</v>
      </c>
    </row>
    <row r="14" spans="2:11" x14ac:dyDescent="0.35">
      <c r="B14" s="47"/>
      <c r="C14" s="47"/>
      <c r="D14" s="48"/>
      <c r="E14" s="48"/>
      <c r="F14" s="48"/>
      <c r="G14" s="48" t="s">
        <v>201</v>
      </c>
      <c r="H14" s="48" t="s">
        <v>218</v>
      </c>
    </row>
    <row r="15" spans="2:11" x14ac:dyDescent="0.35">
      <c r="B15" s="47"/>
      <c r="C15" s="47"/>
      <c r="D15" s="48"/>
      <c r="E15" s="48"/>
      <c r="F15" s="48"/>
      <c r="G15" s="48" t="s">
        <v>202</v>
      </c>
      <c r="H15" s="48" t="s">
        <v>219</v>
      </c>
    </row>
    <row r="16" spans="2:11" x14ac:dyDescent="0.35">
      <c r="B16" s="47"/>
      <c r="C16" s="47"/>
      <c r="D16" s="48"/>
      <c r="E16" s="48"/>
      <c r="F16" s="48"/>
      <c r="G16" s="48" t="s">
        <v>203</v>
      </c>
      <c r="H16" s="48" t="s">
        <v>220</v>
      </c>
    </row>
    <row r="17" spans="2:8" x14ac:dyDescent="0.35">
      <c r="B17" s="47"/>
      <c r="C17" s="47"/>
      <c r="D17" s="48"/>
      <c r="E17" s="48"/>
      <c r="F17" s="48"/>
      <c r="G17" s="48" t="s">
        <v>204</v>
      </c>
      <c r="H17" s="48" t="s">
        <v>221</v>
      </c>
    </row>
    <row r="18" spans="2:8" x14ac:dyDescent="0.35">
      <c r="B18" s="47"/>
      <c r="C18" s="47"/>
      <c r="D18" s="48"/>
      <c r="E18" s="48"/>
      <c r="F18" s="48"/>
      <c r="G18" s="48" t="s">
        <v>205</v>
      </c>
      <c r="H18" s="48" t="s">
        <v>222</v>
      </c>
    </row>
    <row r="24" spans="2:8" x14ac:dyDescent="0.35">
      <c r="C24" t="s">
        <v>167</v>
      </c>
    </row>
    <row r="25" spans="2:8" x14ac:dyDescent="0.35">
      <c r="C25" t="s">
        <v>224</v>
      </c>
    </row>
    <row r="26" spans="2:8" x14ac:dyDescent="0.35">
      <c r="C26" t="s">
        <v>225</v>
      </c>
    </row>
    <row r="27" spans="2:8" x14ac:dyDescent="0.35">
      <c r="C27" t="s">
        <v>226</v>
      </c>
    </row>
    <row r="28" spans="2:8" x14ac:dyDescent="0.35">
      <c r="C28" t="s">
        <v>227</v>
      </c>
    </row>
    <row r="29" spans="2:8" x14ac:dyDescent="0.35">
      <c r="C29" t="s">
        <v>228</v>
      </c>
    </row>
    <row r="30" spans="2:8" x14ac:dyDescent="0.35">
      <c r="C30" t="s">
        <v>167</v>
      </c>
    </row>
    <row r="33" spans="3:11" x14ac:dyDescent="0.35">
      <c r="J33">
        <v>1</v>
      </c>
      <c r="K33">
        <v>2</v>
      </c>
    </row>
    <row r="34" spans="3:11" x14ac:dyDescent="0.35">
      <c r="C34" s="50" t="s">
        <v>234</v>
      </c>
      <c r="D34" s="48" t="s">
        <v>232</v>
      </c>
      <c r="E34" s="48" t="s">
        <v>237</v>
      </c>
      <c r="F34" s="48" t="s">
        <v>235</v>
      </c>
      <c r="G34" s="48" t="s">
        <v>236</v>
      </c>
      <c r="H34" s="48" t="s">
        <v>238</v>
      </c>
      <c r="J34" t="s">
        <v>191</v>
      </c>
      <c r="K34" t="s">
        <v>207</v>
      </c>
    </row>
    <row r="35" spans="3:11" x14ac:dyDescent="0.35">
      <c r="C35" s="47" t="s">
        <v>233</v>
      </c>
      <c r="D35" s="48" t="s">
        <v>168</v>
      </c>
      <c r="E35" s="48" t="s">
        <v>242</v>
      </c>
      <c r="F35" s="48" t="s">
        <v>244</v>
      </c>
      <c r="G35" s="48" t="s">
        <v>246</v>
      </c>
      <c r="H35" s="48"/>
    </row>
    <row r="36" spans="3:11" x14ac:dyDescent="0.35">
      <c r="C36" s="47"/>
      <c r="D36" s="48" t="s">
        <v>239</v>
      </c>
      <c r="E36" s="48" t="s">
        <v>243</v>
      </c>
      <c r="F36" s="48" t="s">
        <v>245</v>
      </c>
      <c r="G36" s="48" t="s">
        <v>247</v>
      </c>
      <c r="H36" s="48"/>
    </row>
    <row r="37" spans="3:11" x14ac:dyDescent="0.35">
      <c r="C37" s="47"/>
      <c r="D37" s="48" t="s">
        <v>240</v>
      </c>
      <c r="E37" s="48"/>
      <c r="F37" s="48"/>
      <c r="G37" s="48" t="s">
        <v>248</v>
      </c>
      <c r="H37" s="48"/>
    </row>
    <row r="38" spans="3:11" x14ac:dyDescent="0.35">
      <c r="C38" s="47"/>
      <c r="D38" s="48" t="s">
        <v>241</v>
      </c>
      <c r="E38" s="48"/>
      <c r="F38" s="48"/>
      <c r="G38" s="48" t="s">
        <v>248</v>
      </c>
      <c r="H38" s="48"/>
    </row>
    <row r="39" spans="3:11" x14ac:dyDescent="0.35">
      <c r="C39" s="47"/>
      <c r="D39" s="48"/>
      <c r="E39" s="48"/>
      <c r="F39" s="48"/>
      <c r="G39" s="48" t="s">
        <v>249</v>
      </c>
      <c r="H39" s="48"/>
    </row>
    <row r="40" spans="3:11" x14ac:dyDescent="0.35">
      <c r="C40" s="47"/>
      <c r="D40" s="48"/>
      <c r="E40" s="48"/>
      <c r="F40" s="48"/>
      <c r="G40" s="48" t="s">
        <v>250</v>
      </c>
      <c r="H40" s="48"/>
    </row>
    <row r="41" spans="3:11" x14ac:dyDescent="0.35">
      <c r="C41" s="47"/>
      <c r="D41" s="48"/>
      <c r="E41" s="48"/>
      <c r="F41" s="48"/>
      <c r="G41" s="48"/>
      <c r="H41" s="48"/>
    </row>
    <row r="43" spans="3:11" x14ac:dyDescent="0.35">
      <c r="C43" t="s">
        <v>251</v>
      </c>
    </row>
    <row r="44" spans="3:11" x14ac:dyDescent="0.35">
      <c r="C44" t="s">
        <v>170</v>
      </c>
      <c r="D44" t="s">
        <v>252</v>
      </c>
    </row>
    <row r="45" spans="3:11" x14ac:dyDescent="0.35">
      <c r="D45" t="s">
        <v>253</v>
      </c>
    </row>
    <row r="46" spans="3:11" x14ac:dyDescent="0.35">
      <c r="D46" t="s">
        <v>254</v>
      </c>
    </row>
    <row r="47" spans="3:11" x14ac:dyDescent="0.35">
      <c r="D47" t="s">
        <v>255</v>
      </c>
    </row>
    <row r="48" spans="3:11" x14ac:dyDescent="0.35">
      <c r="D48" t="s">
        <v>256</v>
      </c>
    </row>
    <row r="49" spans="3:4" x14ac:dyDescent="0.35">
      <c r="C49" t="s">
        <v>176</v>
      </c>
      <c r="D49" t="s">
        <v>257</v>
      </c>
    </row>
    <row r="50" spans="3:4" x14ac:dyDescent="0.35">
      <c r="D50" t="s">
        <v>258</v>
      </c>
    </row>
    <row r="51" spans="3:4" x14ac:dyDescent="0.35">
      <c r="D51" t="s">
        <v>259</v>
      </c>
    </row>
    <row r="52" spans="3:4" x14ac:dyDescent="0.35">
      <c r="D52" t="s">
        <v>262</v>
      </c>
    </row>
    <row r="53" spans="3:4" x14ac:dyDescent="0.35">
      <c r="D53" t="s">
        <v>260</v>
      </c>
    </row>
    <row r="54" spans="3:4" x14ac:dyDescent="0.35">
      <c r="D54" t="s">
        <v>261</v>
      </c>
    </row>
    <row r="55" spans="3:4" x14ac:dyDescent="0.35">
      <c r="D55" t="s">
        <v>263</v>
      </c>
    </row>
    <row r="56" spans="3:4" x14ac:dyDescent="0.35">
      <c r="D56" t="s">
        <v>264</v>
      </c>
    </row>
    <row r="57" spans="3:4" x14ac:dyDescent="0.35">
      <c r="D57" t="s">
        <v>265</v>
      </c>
    </row>
    <row r="58" spans="3:4" x14ac:dyDescent="0.35">
      <c r="D58" t="s">
        <v>267</v>
      </c>
    </row>
    <row r="59" spans="3:4" x14ac:dyDescent="0.35">
      <c r="D59" t="s">
        <v>276</v>
      </c>
    </row>
    <row r="60" spans="3:4" x14ac:dyDescent="0.35">
      <c r="C60" t="s">
        <v>191</v>
      </c>
      <c r="D60" t="s">
        <v>268</v>
      </c>
    </row>
    <row r="61" spans="3:4" x14ac:dyDescent="0.35">
      <c r="D61" t="s">
        <v>266</v>
      </c>
    </row>
    <row r="62" spans="3:4" x14ac:dyDescent="0.35">
      <c r="D62" t="s">
        <v>256</v>
      </c>
    </row>
    <row r="63" spans="3:4" x14ac:dyDescent="0.35">
      <c r="D63" t="s">
        <v>269</v>
      </c>
    </row>
    <row r="64" spans="3:4" x14ac:dyDescent="0.35">
      <c r="D64" t="s">
        <v>270</v>
      </c>
    </row>
    <row r="65" spans="3:4" x14ac:dyDescent="0.35">
      <c r="D65" t="s">
        <v>271</v>
      </c>
    </row>
    <row r="66" spans="3:4" x14ac:dyDescent="0.35">
      <c r="D66" t="s">
        <v>272</v>
      </c>
    </row>
    <row r="67" spans="3:4" x14ac:dyDescent="0.35">
      <c r="C67" t="s">
        <v>186</v>
      </c>
      <c r="D67" t="s">
        <v>273</v>
      </c>
    </row>
    <row r="68" spans="3:4" x14ac:dyDescent="0.35">
      <c r="D68" t="s">
        <v>274</v>
      </c>
    </row>
    <row r="69" spans="3:4" x14ac:dyDescent="0.35">
      <c r="D69" t="s">
        <v>275</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7" workbookViewId="0">
      <selection activeCell="D12" sqref="D12"/>
    </sheetView>
  </sheetViews>
  <sheetFormatPr defaultRowHeight="14.5" x14ac:dyDescent="0.35"/>
  <cols>
    <col min="2" max="2" width="3" bestFit="1" customWidth="1"/>
    <col min="3" max="3" width="130" customWidth="1"/>
  </cols>
  <sheetData>
    <row r="2" spans="2:3" ht="15" customHeight="1" x14ac:dyDescent="0.35">
      <c r="B2" s="51">
        <v>1</v>
      </c>
      <c r="C2" s="54" t="s">
        <v>282</v>
      </c>
    </row>
    <row r="3" spans="2:3" x14ac:dyDescent="0.35">
      <c r="B3" s="51">
        <v>2</v>
      </c>
      <c r="C3" s="52" t="s">
        <v>283</v>
      </c>
    </row>
    <row r="4" spans="2:3" x14ac:dyDescent="0.35">
      <c r="B4" s="51">
        <v>3</v>
      </c>
      <c r="C4" s="53" t="s">
        <v>284</v>
      </c>
    </row>
    <row r="5" spans="2:3" x14ac:dyDescent="0.35">
      <c r="B5" s="51">
        <v>4</v>
      </c>
      <c r="C5" s="52" t="s">
        <v>285</v>
      </c>
    </row>
    <row r="6" spans="2:3" x14ac:dyDescent="0.35">
      <c r="B6" s="51">
        <v>5</v>
      </c>
      <c r="C6" s="53" t="s">
        <v>286</v>
      </c>
    </row>
    <row r="7" spans="2:3" ht="29" x14ac:dyDescent="0.35">
      <c r="B7" s="51">
        <v>6</v>
      </c>
      <c r="C7" s="52" t="s">
        <v>287</v>
      </c>
    </row>
    <row r="8" spans="2:3" ht="72.5" x14ac:dyDescent="0.35">
      <c r="B8" s="51">
        <v>7</v>
      </c>
      <c r="C8" s="52" t="s">
        <v>288</v>
      </c>
    </row>
    <row r="9" spans="2:3" x14ac:dyDescent="0.35">
      <c r="B9" s="51">
        <v>8</v>
      </c>
      <c r="C9" s="53" t="s">
        <v>289</v>
      </c>
    </row>
    <row r="10" spans="2:3" x14ac:dyDescent="0.35">
      <c r="B10" s="51">
        <v>9</v>
      </c>
      <c r="C10" s="53" t="s">
        <v>290</v>
      </c>
    </row>
    <row r="11" spans="2:3" x14ac:dyDescent="0.35">
      <c r="B11" s="51">
        <v>10</v>
      </c>
      <c r="C11" s="53" t="s">
        <v>291</v>
      </c>
    </row>
    <row r="12" spans="2:3" x14ac:dyDescent="0.35">
      <c r="B12" s="51">
        <v>11</v>
      </c>
      <c r="C12" s="53" t="s">
        <v>292</v>
      </c>
    </row>
    <row r="13" spans="2:3" x14ac:dyDescent="0.35">
      <c r="B13" s="51">
        <v>12</v>
      </c>
      <c r="C13" s="53" t="s">
        <v>293</v>
      </c>
    </row>
    <row r="14" spans="2:3" x14ac:dyDescent="0.35">
      <c r="B14" s="51">
        <v>13</v>
      </c>
      <c r="C14" s="53" t="s">
        <v>294</v>
      </c>
    </row>
    <row r="15" spans="2:3" x14ac:dyDescent="0.35">
      <c r="B15" s="51">
        <v>14</v>
      </c>
      <c r="C15" s="53" t="s">
        <v>284</v>
      </c>
    </row>
    <row r="16" spans="2:3" x14ac:dyDescent="0.35">
      <c r="B16" s="51">
        <v>15</v>
      </c>
      <c r="C16" s="53" t="s">
        <v>296</v>
      </c>
    </row>
    <row r="17" spans="2:3" ht="31.5" customHeight="1" x14ac:dyDescent="0.35">
      <c r="B17" s="56">
        <v>16</v>
      </c>
      <c r="C17" s="58" t="s">
        <v>297</v>
      </c>
    </row>
    <row r="18" spans="2:3" x14ac:dyDescent="0.35">
      <c r="B18" s="57">
        <v>17</v>
      </c>
      <c r="C18" s="58" t="s">
        <v>298</v>
      </c>
    </row>
    <row r="19" spans="2:3" x14ac:dyDescent="0.35">
      <c r="B19" s="56">
        <v>18</v>
      </c>
      <c r="C19" s="51" t="s">
        <v>299</v>
      </c>
    </row>
    <row r="20" spans="2:3" x14ac:dyDescent="0.35">
      <c r="B20" s="57">
        <v>19</v>
      </c>
      <c r="C20" s="51"/>
    </row>
    <row r="21" spans="2:3" x14ac:dyDescent="0.35">
      <c r="B21" s="59">
        <v>20</v>
      </c>
      <c r="C21" s="51"/>
    </row>
    <row r="22" spans="2:3" x14ac:dyDescent="0.35">
      <c r="B22" s="51"/>
      <c r="C22" s="51"/>
    </row>
    <row r="23" spans="2:3" x14ac:dyDescent="0.35">
      <c r="B23" s="51"/>
      <c r="C23" s="51"/>
    </row>
    <row r="24" spans="2:3" x14ac:dyDescent="0.35">
      <c r="B24" s="51"/>
      <c r="C24" s="51"/>
    </row>
    <row r="25" spans="2:3" x14ac:dyDescent="0.35">
      <c r="B25" s="51"/>
      <c r="C25" s="51"/>
    </row>
    <row r="26" spans="2:3" x14ac:dyDescent="0.35">
      <c r="B26" s="51"/>
      <c r="C26" s="51"/>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2025-07-30T13:21:19Z</cp:lastPrinted>
  <dcterms:created xsi:type="dcterms:W3CDTF">2019-07-16T09:29:46Z</dcterms:created>
  <dcterms:modified xsi:type="dcterms:W3CDTF">2025-07-30T13:22:23Z</dcterms:modified>
</cp:coreProperties>
</file>