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July 2025\30-07-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Report!$A$1:$H$360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7" i="1" l="1"/>
  <c r="A87" i="1"/>
  <c r="E82" i="1"/>
  <c r="A82" i="1"/>
  <c r="C14" i="1"/>
  <c r="C86" i="1" l="1"/>
  <c r="E90" i="1" s="1"/>
  <c r="C87" i="1" s="1"/>
  <c r="C70" i="1"/>
  <c r="E3" i="1"/>
  <c r="D260" i="1"/>
  <c r="D254" i="1"/>
  <c r="D248" i="1"/>
  <c r="D242" i="1"/>
  <c r="D237" i="1"/>
  <c r="D236" i="1"/>
  <c r="D234" i="1"/>
  <c r="D233" i="1"/>
  <c r="D230" i="1"/>
  <c r="D225" i="1"/>
  <c r="D224" i="1"/>
  <c r="D218" i="1"/>
  <c r="I260" i="1"/>
  <c r="G260" i="1"/>
  <c r="D258" i="1"/>
  <c r="D257" i="1"/>
  <c r="D255" i="1"/>
  <c r="D256" i="1"/>
  <c r="F256" i="1" s="1"/>
  <c r="G254" i="1"/>
  <c r="D252" i="1"/>
  <c r="D251" i="1"/>
  <c r="D249" i="1"/>
  <c r="D250" i="1"/>
  <c r="F250" i="1" s="1"/>
  <c r="G248" i="1"/>
  <c r="D246" i="1"/>
  <c r="E245" i="1"/>
  <c r="D245" i="1"/>
  <c r="D244" i="1"/>
  <c r="F244" i="1" s="1"/>
  <c r="D243" i="1"/>
  <c r="G242" i="1"/>
  <c r="D239" i="1"/>
  <c r="D238" i="1"/>
  <c r="F238" i="1" s="1"/>
  <c r="G236" i="1"/>
  <c r="D240" i="1"/>
  <c r="D232" i="1"/>
  <c r="D231" i="1"/>
  <c r="D228" i="1"/>
  <c r="D227" i="1"/>
  <c r="D226" i="1"/>
  <c r="D222" i="1"/>
  <c r="D221" i="1"/>
  <c r="D220" i="1"/>
  <c r="D219" i="1"/>
  <c r="D216" i="1"/>
  <c r="D215" i="1"/>
  <c r="D214" i="1"/>
  <c r="D213" i="1"/>
  <c r="D212" i="1"/>
  <c r="D211" i="1"/>
  <c r="D210" i="1"/>
  <c r="D208" i="1"/>
  <c r="D209" i="1"/>
  <c r="E206" i="1"/>
  <c r="E205" i="1"/>
  <c r="E204" i="1"/>
  <c r="E203" i="1"/>
  <c r="E202" i="1"/>
  <c r="E201" i="1"/>
  <c r="E200" i="1"/>
  <c r="E199" i="1"/>
  <c r="E198" i="1"/>
  <c r="E197" i="1"/>
  <c r="D206" i="1"/>
  <c r="D205" i="1"/>
  <c r="D204" i="1"/>
  <c r="D203" i="1"/>
  <c r="D202" i="1"/>
  <c r="D201" i="1"/>
  <c r="D200" i="1"/>
  <c r="D199" i="1"/>
  <c r="D198" i="1"/>
  <c r="I197" i="1"/>
  <c r="D197" i="1"/>
  <c r="G47" i="1"/>
  <c r="H69" i="1"/>
  <c r="H101" i="1"/>
  <c r="H85" i="1"/>
  <c r="C134" i="1" l="1"/>
  <c r="C141" i="1"/>
  <c r="C133" i="1"/>
  <c r="D134" i="1"/>
  <c r="D133" i="1"/>
  <c r="D141" i="1"/>
  <c r="D112" i="1"/>
  <c r="K110" i="1"/>
  <c r="K107" i="1"/>
  <c r="C104" i="1" s="1"/>
  <c r="D104" i="1" s="1"/>
  <c r="D113" i="1"/>
  <c r="K111" i="1"/>
  <c r="D109" i="1"/>
  <c r="D106" i="1"/>
  <c r="K112" i="1"/>
  <c r="D110" i="1"/>
  <c r="D107" i="1"/>
  <c r="D111" i="1"/>
  <c r="K109" i="1"/>
  <c r="D108" i="1"/>
  <c r="K106" i="1"/>
  <c r="C99" i="1"/>
  <c r="D99" i="1" s="1"/>
  <c r="K97" i="1"/>
  <c r="C95" i="1"/>
  <c r="D95" i="1" s="1"/>
  <c r="C92" i="1"/>
  <c r="D92" i="1" s="1"/>
  <c r="K98" i="1"/>
  <c r="C91" i="1" s="1"/>
  <c r="D91" i="1" s="1"/>
  <c r="C96" i="1"/>
  <c r="D96" i="1" s="1"/>
  <c r="C93" i="1"/>
  <c r="D93" i="1" s="1"/>
  <c r="C97" i="1"/>
  <c r="D97" i="1" s="1"/>
  <c r="K95" i="1"/>
  <c r="C94" i="1"/>
  <c r="D94" i="1" s="1"/>
  <c r="K92" i="1"/>
  <c r="C98" i="1"/>
  <c r="D98" i="1" s="1"/>
  <c r="K96" i="1"/>
  <c r="K93" i="1"/>
  <c r="C90" i="1" s="1"/>
  <c r="D90" i="1" s="1"/>
  <c r="C80" i="1"/>
  <c r="D80" i="1" s="1"/>
  <c r="K78" i="1"/>
  <c r="K75" i="1"/>
  <c r="C72" i="1" s="1"/>
  <c r="D72" i="1" s="1"/>
  <c r="C79" i="1"/>
  <c r="D79" i="1" s="1"/>
  <c r="C76" i="1"/>
  <c r="D76" i="1" s="1"/>
  <c r="C81" i="1"/>
  <c r="D81" i="1" s="1"/>
  <c r="K79" i="1"/>
  <c r="C77" i="1"/>
  <c r="D77" i="1" s="1"/>
  <c r="C74" i="1"/>
  <c r="D74" i="1" s="1"/>
  <c r="K80" i="1"/>
  <c r="C73" i="1" s="1"/>
  <c r="D73" i="1" s="1"/>
  <c r="C78" i="1"/>
  <c r="D78" i="1" s="1"/>
  <c r="C75" i="1"/>
  <c r="D75" i="1" s="1"/>
  <c r="K77" i="1"/>
  <c r="K74" i="1"/>
  <c r="I222" i="1"/>
  <c r="I220" i="1"/>
  <c r="I219" i="1"/>
  <c r="I221" i="1"/>
  <c r="I218" i="1"/>
  <c r="D194" i="1"/>
  <c r="F194" i="1" s="1"/>
  <c r="D193" i="1"/>
  <c r="F193" i="1" s="1"/>
  <c r="D192" i="1"/>
  <c r="F192" i="1" s="1"/>
  <c r="D191" i="1"/>
  <c r="F191" i="1" s="1"/>
  <c r="D189" i="1"/>
  <c r="F189" i="1" s="1"/>
  <c r="D188" i="1"/>
  <c r="F188" i="1" s="1"/>
  <c r="D187" i="1"/>
  <c r="F187" i="1" s="1"/>
  <c r="D186" i="1"/>
  <c r="F186" i="1" s="1"/>
  <c r="G191" i="1"/>
  <c r="G186" i="1"/>
  <c r="D174" i="1"/>
  <c r="F174" i="1" s="1"/>
  <c r="D173" i="1"/>
  <c r="F173" i="1" s="1"/>
  <c r="D172" i="1"/>
  <c r="F172" i="1" s="1"/>
  <c r="G171" i="1"/>
  <c r="D171" i="1"/>
  <c r="F171" i="1" s="1"/>
  <c r="D167" i="1"/>
  <c r="F167" i="1" s="1"/>
  <c r="D166" i="1"/>
  <c r="F166" i="1" s="1"/>
  <c r="D169" i="1"/>
  <c r="F169" i="1" s="1"/>
  <c r="D168" i="1"/>
  <c r="F168" i="1" s="1"/>
  <c r="G166" i="1"/>
  <c r="D157" i="1"/>
  <c r="F157" i="1" s="1"/>
  <c r="D160" i="1"/>
  <c r="F160" i="1" s="1"/>
  <c r="D162" i="1"/>
  <c r="F162" i="1" s="1"/>
  <c r="D161" i="1"/>
  <c r="F161" i="1" s="1"/>
  <c r="D159" i="1"/>
  <c r="F159" i="1" s="1"/>
  <c r="D158" i="1"/>
  <c r="F158" i="1" s="1"/>
  <c r="G157" i="1"/>
  <c r="D155" i="1"/>
  <c r="F155" i="1" s="1"/>
  <c r="D154" i="1"/>
  <c r="F154" i="1" s="1"/>
  <c r="D152" i="1"/>
  <c r="F152" i="1" s="1"/>
  <c r="D151" i="1"/>
  <c r="F151" i="1" s="1"/>
  <c r="D153" i="1"/>
  <c r="F153" i="1" s="1"/>
  <c r="D150" i="1"/>
  <c r="F150" i="1" s="1"/>
  <c r="G150" i="1"/>
  <c r="D182" i="1"/>
  <c r="F182" i="1" s="1"/>
  <c r="D181" i="1"/>
  <c r="F181" i="1" s="1"/>
  <c r="G180" i="1"/>
  <c r="D180" i="1"/>
  <c r="F180" i="1" s="1"/>
  <c r="D178" i="1"/>
  <c r="F178" i="1" s="1"/>
  <c r="D177" i="1"/>
  <c r="F177" i="1" s="1"/>
  <c r="D176" i="1"/>
  <c r="E176" i="1"/>
  <c r="G176" i="1"/>
  <c r="C135" i="1" l="1"/>
  <c r="D135" i="1"/>
  <c r="C105" i="1"/>
  <c r="D105" i="1" s="1"/>
  <c r="I100" i="1" s="1"/>
  <c r="C102" i="1" s="1"/>
  <c r="E104" i="1" s="1"/>
  <c r="I84" i="1"/>
  <c r="G90" i="1"/>
  <c r="G87" i="1" s="1"/>
  <c r="G72" i="1"/>
  <c r="G82" i="1" s="1"/>
  <c r="I68" i="1"/>
  <c r="E72" i="1" s="1"/>
  <c r="C82" i="1" s="1"/>
  <c r="F176" i="1"/>
  <c r="F139" i="1" s="1"/>
  <c r="D140" i="1"/>
  <c r="C140" i="1"/>
  <c r="F138" i="1"/>
  <c r="F140" i="1"/>
  <c r="D138" i="1"/>
  <c r="D139" i="1"/>
  <c r="C138" i="1"/>
  <c r="C139" i="1"/>
  <c r="C142" i="1" l="1"/>
  <c r="D142" i="1"/>
  <c r="G104" i="1"/>
  <c r="F232" i="1"/>
  <c r="F141" i="1" s="1"/>
  <c r="F142" i="1" s="1"/>
  <c r="G230" i="1"/>
  <c r="G224" i="1"/>
  <c r="E222" i="1"/>
  <c r="E221" i="1"/>
  <c r="F216" i="1"/>
  <c r="F215" i="1"/>
  <c r="F214" i="1"/>
  <c r="F210" i="1"/>
  <c r="F211" i="1"/>
  <c r="F212" i="1"/>
  <c r="F213" i="1"/>
  <c r="F209" i="1"/>
  <c r="F208" i="1"/>
  <c r="F206" i="1"/>
  <c r="F205" i="1"/>
  <c r="F204" i="1"/>
  <c r="F203" i="1"/>
  <c r="F202" i="1"/>
  <c r="F201" i="1"/>
  <c r="F200" i="1"/>
  <c r="F199" i="1"/>
  <c r="F198" i="1"/>
  <c r="F197" i="1"/>
  <c r="F134" i="1" l="1"/>
  <c r="F133" i="1"/>
  <c r="E7" i="1"/>
  <c r="F135" i="1" l="1"/>
  <c r="F6" i="5"/>
  <c r="G6" i="5" s="1"/>
  <c r="F7" i="5"/>
  <c r="G7" i="5" s="1"/>
  <c r="F8" i="5"/>
  <c r="G8" i="5" s="1"/>
  <c r="F9" i="5"/>
  <c r="G9" i="5" s="1"/>
  <c r="F10" i="5"/>
  <c r="G10" i="5" s="1"/>
  <c r="F11" i="5"/>
  <c r="G11" i="5" s="1"/>
  <c r="G5" i="5"/>
  <c r="G12" i="5" l="1"/>
  <c r="E41" i="1" l="1"/>
  <c r="D275" i="1" l="1"/>
  <c r="F130" i="1"/>
  <c r="E42"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<sst xmlns="http://schemas.openxmlformats.org/spreadsheetml/2006/main" count="507" uniqueCount="275">
  <si>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</si>
  <si>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</si>
  <si>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</si>
  <si>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</si>
  <si>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</si>
  <si>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</si>
  <si>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</si>
  <si>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</si>
  <si>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</si>
  <si>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</si>
  <si>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</si>
  <si>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</si>
  <si>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</si>
  <si>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</si>
  <si>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</si>
  <si>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</si>
  <si>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</si>
  <si>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</si>
  <si>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</si>
  <si>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</si>
  <si>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</si>
  <si>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</si>
  <si>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</si>
  <si>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</si>
  <si>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</si>
  <si>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</si>
  <si>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</si>
  <si>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</si>
  <si>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</si>
  <si>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</si>
  <si>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</si>
  <si>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</si>
  <si>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</si>
  <si>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</si>
  <si>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</si>
  <si>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</si>
  <si>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</si>
  <si>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</si>
  <si>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</si>
  <si>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</si>
  <si>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</si>
  <si>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</si>
  <si>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</si>
  <si>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</si>
  <si>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</si>
  <si>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</si>
  <si>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</si>
  <si>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</si>
  <si>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</si>
  <si>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</si>
  <si>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</si>
  <si>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</si>
  <si>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</si>
  <si>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</si>
  <si>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</si>
  <si>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</si>
  <si>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</si>
  <si>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</si>
  <si>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</si>
  <si>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</si>
  <si>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</si>
  <si>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</si>
  <si>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</si>
  <si>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</si>
  <si>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</si>
  <si>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</si>
  <si>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</si>
  <si>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</si>
  <si>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</si>
  <si>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</si>
  <si>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</si>
  <si>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</si>
  <si>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</si>
  <si>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</si>
  <si>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</si>
  <si>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</si>
  <si>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</si>
  <si>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</si>
  <si>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</si>
  <si>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</si>
  <si>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</si>
  <si>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</si>
  <si>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</si>
  <si>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</si>
  <si>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</si>
  <si>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</si>
  <si>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</si>
  <si>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</si>
  <si>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</si>
  <si>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</si>
  <si>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</si>
  <si>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</si>
  <si>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</si>
  <si>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</si>
  <si>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</si>
  <si>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</si>
  <si>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</si>
  <si>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</si>
  <si>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</si>
  <si>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</si>
  <si>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</si>
  <si>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</si>
  <si>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</si>
  <si>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</si>
  <si>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</si>
  <si>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</si>
  <si>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</si>
  <si>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Commercial Area Details :</t>
  </si>
  <si>
    <t>Flat/Shop No.</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</si>
  <si>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</si>
  <si>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</si>
  <si>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</si>
  <si>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</si>
  <si>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</si>
  <si>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</si>
  <si>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</si>
  <si>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</si>
  <si>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</si>
  <si>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</si>
  <si>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</si>
  <si>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</si>
  <si>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</si>
  <si>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</si>
  <si>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</si>
  <si>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</si>
  <si>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 xml:space="preserve">Valid upto date: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</si>
  <si>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</si>
  <si>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</si>
  <si>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</si>
  <si>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</si>
  <si>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</si>
  <si>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</si>
  <si>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</si>
  <si>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</si>
  <si>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</si>
  <si>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</si>
  <si>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</si>
  <si>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</si>
  <si>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</si>
  <si>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</si>
  <si>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</si>
  <si>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</si>
  <si>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</si>
  <si>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</si>
  <si>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Wait For OC.</t>
  </si>
  <si>
    <t>All work Completed. OC Received.</t>
  </si>
  <si>
    <t>Approved Plans, CC, Sale Plans, Builder Saleable Area, Cost Sheet</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</si>
  <si>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</si>
  <si>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</si>
  <si>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</si>
  <si>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</si>
  <si>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</si>
  <si>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</si>
  <si>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</si>
  <si>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</si>
  <si>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</si>
  <si>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</si>
  <si>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</si>
  <si>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</si>
  <si>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All work Completed. Provide OC.</t>
  </si>
  <si>
    <t>Contact Details ( Name &amp; Contect No.)</t>
  </si>
  <si>
    <t>Axis Sanpada</t>
  </si>
  <si>
    <t>Middle Class</t>
  </si>
  <si>
    <t>Developing</t>
  </si>
  <si>
    <t xml:space="preserve">Residential </t>
  </si>
  <si>
    <t>M/s. Padmadisha Paradise</t>
  </si>
  <si>
    <t>Temghar</t>
  </si>
  <si>
    <t>Thane</t>
  </si>
  <si>
    <t>Bhiwandi</t>
  </si>
  <si>
    <t>Bhiwandi-Murbad Road</t>
  </si>
  <si>
    <t>Sai Panach Apartment</t>
  </si>
  <si>
    <t>6.6Km from Bhiwandi Road Railway Station</t>
  </si>
  <si>
    <t>Open Plot</t>
  </si>
  <si>
    <t>Kalyan-Bhiwandi Road</t>
  </si>
  <si>
    <t>Building 2 (Metro Skyline)</t>
  </si>
  <si>
    <t>B.P.NO.(26)2020-21/NRV-8909</t>
  </si>
  <si>
    <t>B.P.NO./37/2019-2020/NRV/6884</t>
  </si>
  <si>
    <t>27/11/2020.</t>
  </si>
  <si>
    <t>12/03/2020.</t>
  </si>
  <si>
    <t>1 Year from Date of Issue.</t>
  </si>
  <si>
    <t xml:space="preserve">Cement, Aggregate, Steel, etc </t>
  </si>
  <si>
    <t>Wheather the construction is as per approved Building plan : Under Construction</t>
  </si>
  <si>
    <t>Ground Floor for Commercial</t>
  </si>
  <si>
    <t>Shop</t>
  </si>
  <si>
    <t>Ground Floor</t>
  </si>
  <si>
    <t>1st &amp; 2nd Floor for Commercial</t>
  </si>
  <si>
    <t>Office</t>
  </si>
  <si>
    <t>1st &amp; 2nd Floor</t>
  </si>
  <si>
    <t>3rd Floor for Residential</t>
  </si>
  <si>
    <t>1BHK</t>
  </si>
  <si>
    <t>2BHK</t>
  </si>
  <si>
    <t>3rd Floor</t>
  </si>
  <si>
    <t>4th to 7th, 9th to 12th &amp; 14th to 16th Floor</t>
  </si>
  <si>
    <t>1RK</t>
  </si>
  <si>
    <t>Room</t>
  </si>
  <si>
    <t>250000/-</t>
  </si>
  <si>
    <t>200000/-</t>
  </si>
  <si>
    <t>Other Charges(Metro Skyline)</t>
  </si>
  <si>
    <t>Development Charges(Metro Skyline)</t>
  </si>
  <si>
    <t>100000/-</t>
  </si>
  <si>
    <t>Survey No</t>
  </si>
  <si>
    <t>133/H.no.1, S.no.133/H.no.2/A/1, S.no.133/H.no.2/3, S.no.134/H.no.12, S.no.135/H.no.6/A</t>
  </si>
  <si>
    <t>Padmadisha Paradise</t>
  </si>
  <si>
    <t>Building No.1 (Wing A, B &amp; C) &amp; Building No.2</t>
  </si>
  <si>
    <t xml:space="preserve">Building No.1 (Wing A, B &amp; C) - P51700003857
Building No.2 - P51700025271
</t>
  </si>
  <si>
    <t>4 Wings</t>
  </si>
  <si>
    <t>Building No.1</t>
  </si>
  <si>
    <t>A Wing</t>
  </si>
  <si>
    <t>B Wing</t>
  </si>
  <si>
    <t>9th Floor</t>
  </si>
  <si>
    <t>10th to 12th Floor</t>
  </si>
  <si>
    <t>Ground Floor for Parking</t>
  </si>
  <si>
    <t>1st to 7th, 9th to 12th Floor</t>
  </si>
  <si>
    <t>8th Floor</t>
  </si>
  <si>
    <t>06/05/2013.</t>
  </si>
  <si>
    <t>Building No.2</t>
  </si>
  <si>
    <t>C Wing</t>
  </si>
  <si>
    <t>1st to 7th Floor</t>
  </si>
  <si>
    <t>Building No.1-A Wing</t>
  </si>
  <si>
    <t>Building No.1-C Wing</t>
  </si>
  <si>
    <t>Building No.1-B Wing</t>
  </si>
  <si>
    <t>Saleable area</t>
  </si>
  <si>
    <t>B.P.NO.(150)2012-13/NRV-370</t>
  </si>
  <si>
    <t>Valid Up to: 
Building No.1-B Wing = G+12th Floor
Building No.1-C Wing = G+8th Floor</t>
  </si>
  <si>
    <t>B.P.NO.(150)2012-13/NRV-370
Approved Floor : 
Building No.1-B Wing = G+12th Floor
Building No.1-C Wing = G+8th Floor</t>
  </si>
  <si>
    <t xml:space="preserve">Valid Up to: Revised CC
Building No.1-A Wing = G+12th Floor
Building No.1-B Wing = 9th to 12th FloorBuliding No.2 = Gr + 4th Floor
</t>
  </si>
  <si>
    <t>B.P.NO.(26)2020-21/NRV-8909
Approved Floor : Revised Plan 
Building No.1-A Wing = G+12th Floor
Building No.1-B Wing = 9th to 12th Floor
Building No.2 = G + 17th Floor</t>
  </si>
  <si>
    <t>Recommended rate of the flat Per Sq. Ft. ( on Saleable area)</t>
  </si>
  <si>
    <t>Slab/Floor</t>
  </si>
  <si>
    <t>Excavation</t>
  </si>
  <si>
    <t>Plinth</t>
  </si>
  <si>
    <t>RCC (Including podiums)</t>
  </si>
  <si>
    <t>Brickwork</t>
  </si>
  <si>
    <t>Brickwork &amp; Internal Plaster</t>
  </si>
  <si>
    <t>Internal Plaster</t>
  </si>
  <si>
    <t>Ext. Plaster &amp; Plumbing</t>
  </si>
  <si>
    <t>External Plaster &amp; Plumbing</t>
  </si>
  <si>
    <t>Flooring &amp; Fitting</t>
  </si>
  <si>
    <t>Painting &amp; Wooden</t>
  </si>
  <si>
    <t>Building Common Amenities</t>
  </si>
  <si>
    <t>Possession</t>
  </si>
  <si>
    <t>Construction details:</t>
  </si>
  <si>
    <t>nobroker</t>
  </si>
  <si>
    <t>Building No. 1(A &amp; B Wing) = Gr + 1st to 12th Floor</t>
  </si>
  <si>
    <t>Building No. 1(C Wing) = Gr + 1st to 8th Floor</t>
  </si>
  <si>
    <t>B.P.NO.(104)202-22/NRV-3852</t>
  </si>
  <si>
    <t>B.P.NO.(104)202-22/NRV-3852
Approved Floor : Revised Plan 
Building No.1-A Wing = G+12th Floor
Building No.1-B Wing = 9th to 12th Floor
Building No.2 = Gr/Stilt + 25th Floor</t>
  </si>
  <si>
    <t>B.P.NO./104/2021-22/NRV/3852</t>
  </si>
  <si>
    <t>As per RERA - 30/12/2026</t>
  </si>
  <si>
    <t>Attached Terrace / Otla area</t>
  </si>
  <si>
    <t>8th &amp; 13th Floor (Part Refuge Area)</t>
  </si>
  <si>
    <t xml:space="preserve">17th Floor </t>
  </si>
  <si>
    <t>18th Floor (Part Refuge Area)</t>
  </si>
  <si>
    <t>19th to 22nd &amp; 24th Floor</t>
  </si>
  <si>
    <t>23rd Floor (Part Refuge Area)</t>
  </si>
  <si>
    <t>25th Floor (Part Terrace Area)</t>
  </si>
  <si>
    <t>Building No.02</t>
  </si>
  <si>
    <t>Flats - 259, Shops - 10, Offices - 18</t>
  </si>
  <si>
    <t>Building No. 1(A &amp; B Wing) = Gr + 12th Floor
Building No. 1(C Wing) = Gr + 8th Floor
Building No.2 - Gr + 24 + Part 25th Floor</t>
  </si>
  <si>
    <t xml:space="preserve">Valid Up to: Revised CC
Building No.1-A Wing = G+12th Floor
Building No.1-B Wing = 9th to 12th 
Buliding No.2 = Gr + 25th Floor
</t>
  </si>
  <si>
    <t>J.K./N.R.V./3104
Building No. 1 (Wing A &amp; B)= Gr + 1st to 12th Floor</t>
  </si>
  <si>
    <t>J.K./N.R.V./2916
Building No. 1 (Wing  C) = Gr + 1st to 8th Floor</t>
  </si>
  <si>
    <t>Location Link :</t>
  </si>
  <si>
    <t>https://goo.gl/maps/BPitcoYEs7fPhStX9</t>
  </si>
  <si>
    <t>Office No. 1031, Wing J, Akshar Business Park, Plot No. 03 Sector 25, Near APMC Market, 
Vashi, Navi Mumbai, Maharashtra 400703 TEL: 022-46090378/79/8
E mail : vsjcapf@gmail.com. Web site : www.vsjadon.com</t>
  </si>
  <si>
    <t>Site Meet Person Contact Details ( Name &amp; Contect No.)</t>
  </si>
  <si>
    <t>Ms. Archana Shukla 9604368000</t>
  </si>
  <si>
    <t>Ganesh 7972892811</t>
  </si>
  <si>
    <t>1. Building No.1 = All work completed. OC Received.
    Building No.2 = Construction work is in process at the time of Visit.
2. Building No.2 = We considered Saleable area for Flat as per Builder area sheet &amp; for shops as per our calculations.
    Building No.1 = We considered Saleable area as per our calculations.
3. We considered Carpet area as per Approved Plan.
4. We considered Gross carpet area = Net carpet + Enclose balcony + C.B Area + O.P.
5. We have considered rate by verifying it from market inquire.
6. Car parking is subjected to authentic documentation.
7. We have updated latest approved floor plans &amp; CC of Building No.02 on date 27/08/2022.
8. We have updated OC of Building No. 1 Wing A &amp; B from RERA site on 08/04/2023.
7. On Site, we meet Ms. Archana - 9604368000.</t>
  </si>
  <si>
    <t>Building No. 2(Metro Skyline) = Gr + 1st to 24th + Part 25th Floor</t>
  </si>
  <si>
    <t>Latitude, Longitude</t>
  </si>
  <si>
    <t>19.273220366,73.0798932</t>
  </si>
  <si>
    <t>Mr. Mangesh Bapardekar</t>
  </si>
  <si>
    <t>Building No. 1(A &amp; B Wing) = Gr + 12th Floor
Building No. 1(C Wing) = Gr + 8th Floor
Building No.2 = Gr + 24 + Part 25th Floor</t>
  </si>
  <si>
    <t>Pooja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</si>
</sst>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00_);_(* \(#,##0.00\);_(* &quot;-&quot;??_);_(@_)"/>
    <numFmt numFmtId="166" formatCode="_(* #,##0_);_(* \(#,##0\);_(* &quot;-&quot;??_);_(@_)"/>
    <numFmt numFmtId="167" formatCode="0.0000"/>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9">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1" fillId="0" borderId="0"/>
    <xf numFmtId="0" fontId="22" fillId="0" borderId="0" applyNumberFormat="0" applyFill="0" applyBorder="0" applyAlignment="0" applyProtection="0"/>
  </cellStyleXfs>
  <cellXfs count="194">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2"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8" fillId="0" borderId="0" xfId="0" applyFont="1"/>
    <xf numFmtId="0" fontId="13" fillId="0" borderId="0" xfId="1" applyFont="1"/>
    <xf numFmtId="0" fontId="16" fillId="0" borderId="0" xfId="1" applyFont="1"/>
    <xf numFmtId="0" fontId="17" fillId="0" borderId="0" xfId="1" applyFont="1"/>
    <xf numFmtId="1" fontId="5" fillId="0" borderId="1" xfId="1" applyNumberFormat="1" applyFont="1" applyBorder="1" applyAlignment="1" applyProtection="1">
      <alignment horizontal="center" vertical="top" wrapText="1"/>
      <protection locked="0"/>
    </xf>
    <xf numFmtId="0" fontId="8" fillId="0" borderId="0" xfId="1" applyFont="1" applyProtection="1">
      <protection locked="0"/>
    </xf>
    <xf numFmtId="0" fontId="8" fillId="0" borderId="0" xfId="1" applyFont="1" applyProtection="1">
      <protection hidden="1"/>
    </xf>
    <xf numFmtId="0" fontId="8" fillId="0" borderId="15" xfId="1" applyFont="1" applyBorder="1" applyProtection="1">
      <protection hidden="1"/>
    </xf>
    <xf numFmtId="0" fontId="8" fillId="0" borderId="16" xfId="1" applyFont="1" applyBorder="1" applyProtection="1">
      <protection hidden="1"/>
    </xf>
    <xf numFmtId="0" fontId="8" fillId="0" borderId="17" xfId="1" applyFont="1" applyBorder="1" applyProtection="1">
      <protection hidden="1"/>
    </xf>
    <xf numFmtId="0" fontId="8" fillId="0" borderId="17" xfId="1" applyFont="1" applyBorder="1"/>
    <xf numFmtId="9" fontId="18" fillId="0" borderId="0" xfId="0" applyNumberFormat="1" applyFont="1" applyProtection="1">
      <protection hidden="1"/>
    </xf>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13" fillId="0" borderId="9" xfId="1" applyFont="1" applyBorder="1" applyAlignment="1" applyProtection="1">
      <alignment horizontal="center" vertical="top"/>
      <protection locked="0"/>
    </xf>
    <xf numFmtId="167" fontId="8" fillId="0" borderId="0" xfId="1" applyNumberFormat="1" applyFont="1" applyAlignment="1">
      <alignment horizontal="center" vertical="center"/>
    </xf>
    <xf numFmtId="2" fontId="8" fillId="0" borderId="0" xfId="1" applyNumberFormat="1" applyFont="1" applyAlignment="1">
      <alignment horizontal="center" vertical="center"/>
    </xf>
    <xf numFmtId="1" fontId="13" fillId="0" borderId="1" xfId="1" applyNumberFormat="1" applyFont="1" applyBorder="1" applyAlignment="1" applyProtection="1">
      <alignment horizontal="center" vertical="center" wrapText="1"/>
      <protection locked="0"/>
    </xf>
    <xf numFmtId="1" fontId="8" fillId="0" borderId="0" xfId="1" applyNumberFormat="1" applyFont="1" applyAlignment="1">
      <alignment horizontal="center" vertical="center"/>
    </xf>
    <xf numFmtId="0" fontId="18" fillId="0" borderId="0" xfId="0" applyFont="1" applyProtection="1">
      <protection hidden="1"/>
    </xf>
    <xf numFmtId="0" fontId="18" fillId="0" borderId="17" xfId="0" applyFont="1" applyBorder="1" applyProtection="1">
      <protection hidden="1"/>
    </xf>
    <xf numFmtId="0" fontId="0" fillId="0" borderId="18" xfId="0" applyBorder="1"/>
    <xf numFmtId="0" fontId="0" fillId="0" borderId="19" xfId="0" applyBorder="1"/>
    <xf numFmtId="0" fontId="1" fillId="0" borderId="1" xfId="5" applyFont="1" applyBorder="1" applyAlignment="1">
      <alignment horizontal="left" vertical="center"/>
    </xf>
    <xf numFmtId="0" fontId="1" fillId="0" borderId="1" xfId="5" applyFont="1" applyBorder="1" applyAlignment="1">
      <alignment horizontal="center" vertical="center"/>
    </xf>
    <xf numFmtId="0" fontId="15"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1" fontId="9" fillId="0" borderId="1" xfId="1" applyNumberFormat="1" applyFont="1" applyBorder="1" applyAlignment="1" applyProtection="1">
      <alignment horizontal="center" vertical="top" wrapText="1"/>
      <protection locked="0"/>
    </xf>
    <xf numFmtId="0" fontId="13" fillId="0" borderId="6" xfId="1" applyFont="1" applyBorder="1" applyAlignment="1" applyProtection="1">
      <alignment horizontal="left" vertical="top"/>
      <protection locked="0"/>
    </xf>
    <xf numFmtId="0" fontId="13" fillId="0" borderId="1" xfId="1" applyFont="1" applyBorder="1" applyAlignment="1" applyProtection="1">
      <alignment vertical="top"/>
      <protection locked="0"/>
    </xf>
    <xf numFmtId="0" fontId="13" fillId="0" borderId="11" xfId="1" applyFont="1" applyBorder="1" applyAlignment="1" applyProtection="1">
      <alignment vertical="top" wrapText="1"/>
      <protection locked="0"/>
    </xf>
    <xf numFmtId="0" fontId="14" fillId="0" borderId="4" xfId="1" applyFont="1" applyBorder="1" applyAlignment="1" applyProtection="1">
      <alignment horizontal="left" vertical="top"/>
      <protection locked="0"/>
    </xf>
    <xf numFmtId="0" fontId="13" fillId="0" borderId="1" xfId="1" applyFont="1" applyBorder="1" applyAlignment="1" applyProtection="1">
      <alignment horizontal="center" wrapText="1"/>
      <protection locked="0"/>
    </xf>
    <xf numFmtId="9" fontId="13" fillId="0" borderId="1" xfId="1" applyNumberFormat="1" applyFont="1" applyBorder="1" applyAlignment="1" applyProtection="1">
      <alignment horizontal="center" vertical="center" wrapText="1"/>
      <protection hidden="1"/>
    </xf>
    <xf numFmtId="1" fontId="13" fillId="0" borderId="1" xfId="1" applyNumberFormat="1" applyFont="1" applyBorder="1" applyAlignment="1" applyProtection="1">
      <alignment horizontal="center" wrapText="1"/>
      <protection locked="0"/>
    </xf>
    <xf numFmtId="0" fontId="13" fillId="0" borderId="11" xfId="1" applyFont="1" applyBorder="1" applyAlignment="1" applyProtection="1">
      <alignment horizontal="center" wrapText="1"/>
      <protection locked="0"/>
    </xf>
    <xf numFmtId="9" fontId="13" fillId="0" borderId="11" xfId="1" applyNumberFormat="1" applyFont="1" applyBorder="1" applyAlignment="1" applyProtection="1">
      <alignment horizontal="center" vertical="center" wrapText="1"/>
      <protection hidden="1"/>
    </xf>
    <xf numFmtId="0" fontId="11"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11" fillId="0" borderId="0" xfId="1" applyFont="1" applyProtection="1">
      <protection locked="0"/>
    </xf>
    <xf numFmtId="1" fontId="7" fillId="0" borderId="1" xfId="0" applyNumberFormat="1" applyFont="1" applyBorder="1" applyAlignment="1" applyProtection="1">
      <alignment horizontal="center" vertical="center" wrapText="1"/>
      <protection locked="0"/>
    </xf>
    <xf numFmtId="164" fontId="8" fillId="0" borderId="0" xfId="1" applyNumberFormat="1" applyFont="1" applyAlignment="1">
      <alignment horizontal="center" vertical="center"/>
    </xf>
    <xf numFmtId="1" fontId="8" fillId="0" borderId="1" xfId="1" applyNumberFormat="1" applyFont="1" applyBorder="1" applyAlignment="1">
      <alignment horizontal="center" vertical="center"/>
    </xf>
    <xf numFmtId="1" fontId="13" fillId="0" borderId="1" xfId="1" applyNumberFormat="1" applyFont="1" applyBorder="1" applyAlignment="1">
      <alignment horizontal="center" vertical="center"/>
    </xf>
    <xf numFmtId="1" fontId="13" fillId="0" borderId="1" xfId="0" applyNumberFormat="1" applyFont="1" applyBorder="1" applyAlignment="1" applyProtection="1">
      <alignment horizontal="center" vertical="center"/>
      <protection locked="0"/>
    </xf>
    <xf numFmtId="1" fontId="14" fillId="0" borderId="1" xfId="0" applyNumberFormat="1" applyFont="1" applyBorder="1" applyAlignment="1" applyProtection="1">
      <alignment horizontal="center" vertical="center"/>
      <protection locked="0"/>
    </xf>
    <xf numFmtId="0" fontId="14" fillId="0" borderId="1" xfId="1" applyFont="1" applyBorder="1" applyAlignment="1" applyProtection="1">
      <alignment horizontal="left" vertical="top"/>
      <protection locked="0"/>
    </xf>
    <xf numFmtId="0" fontId="13" fillId="0" borderId="1" xfId="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wrapText="1"/>
      <protection locked="0"/>
    </xf>
    <xf numFmtId="1" fontId="8" fillId="0" borderId="13" xfId="0" applyNumberFormat="1" applyFont="1" applyBorder="1" applyAlignment="1" applyProtection="1">
      <alignment horizontal="center" vertical="top" wrapText="1"/>
      <protection locked="0"/>
    </xf>
    <xf numFmtId="1" fontId="8" fillId="0" borderId="14" xfId="0" applyNumberFormat="1" applyFont="1" applyBorder="1" applyAlignment="1" applyProtection="1">
      <alignment horizontal="center" vertical="top" wrapText="1"/>
      <protection locked="0"/>
    </xf>
    <xf numFmtId="1" fontId="8" fillId="0" borderId="26"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top" wrapText="1"/>
      <protection locked="0"/>
    </xf>
    <xf numFmtId="1" fontId="14" fillId="0" borderId="13" xfId="0" applyNumberFormat="1" applyFont="1" applyBorder="1" applyAlignment="1" applyProtection="1">
      <alignment horizontal="center" vertical="top" wrapText="1"/>
      <protection locked="0"/>
    </xf>
    <xf numFmtId="1" fontId="14" fillId="0" borderId="26" xfId="0" applyNumberFormat="1" applyFont="1" applyBorder="1" applyAlignment="1" applyProtection="1">
      <alignment horizontal="center" vertical="top" wrapText="1"/>
      <protection locked="0"/>
    </xf>
    <xf numFmtId="1" fontId="14" fillId="0" borderId="14"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protection locked="0"/>
    </xf>
    <xf numFmtId="0" fontId="9" fillId="0" borderId="1" xfId="1" applyFont="1" applyBorder="1" applyAlignment="1" applyProtection="1">
      <alignment horizontal="center" vertical="top"/>
      <protection locked="0"/>
    </xf>
    <xf numFmtId="0" fontId="13" fillId="0" borderId="10" xfId="1" applyFont="1" applyBorder="1" applyAlignment="1" applyProtection="1">
      <alignment horizontal="center" vertical="top" wrapText="1"/>
      <protection locked="0"/>
    </xf>
    <xf numFmtId="0" fontId="13" fillId="0" borderId="11" xfId="1" applyFont="1" applyBorder="1" applyAlignment="1" applyProtection="1">
      <alignment horizontal="center" vertical="top" wrapText="1"/>
      <protection locked="0"/>
    </xf>
    <xf numFmtId="14" fontId="13" fillId="0" borderId="1" xfId="1" applyNumberFormat="1" applyFont="1" applyBorder="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wrapText="1"/>
      <protection locked="0"/>
    </xf>
    <xf numFmtId="0" fontId="13" fillId="0" borderId="10" xfId="1" applyFont="1" applyBorder="1" applyAlignment="1" applyProtection="1">
      <alignment horizontal="left" vertical="top" wrapText="1"/>
      <protection locked="0"/>
    </xf>
    <xf numFmtId="0" fontId="13" fillId="0" borderId="11" xfId="1" applyFont="1" applyBorder="1" applyAlignment="1" applyProtection="1">
      <alignment horizontal="left" vertical="top" wrapText="1"/>
      <protection locked="0"/>
    </xf>
    <xf numFmtId="14" fontId="13" fillId="0" borderId="6" xfId="1" applyNumberFormat="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9" fontId="13" fillId="0" borderId="1" xfId="1" applyNumberFormat="1" applyFont="1" applyBorder="1" applyAlignment="1" applyProtection="1">
      <alignment horizontal="center" vertical="center" wrapText="1"/>
      <protection hidden="1"/>
    </xf>
    <xf numFmtId="9" fontId="13" fillId="0" borderId="11" xfId="1" applyNumberFormat="1" applyFont="1" applyBorder="1" applyAlignment="1" applyProtection="1">
      <alignment horizontal="center" vertical="center" wrapText="1"/>
      <protection hidden="1"/>
    </xf>
    <xf numFmtId="0" fontId="13" fillId="0" borderId="8"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center" wrapText="1"/>
      <protection locked="0"/>
    </xf>
    <xf numFmtId="0" fontId="14" fillId="0" borderId="28" xfId="1" applyFont="1" applyBorder="1" applyAlignment="1" applyProtection="1">
      <alignment horizontal="left" vertical="top" wrapText="1"/>
      <protection locked="0"/>
    </xf>
    <xf numFmtId="0" fontId="14" fillId="0" borderId="29" xfId="1" applyFont="1" applyBorder="1" applyAlignment="1" applyProtection="1">
      <alignment horizontal="left" vertical="top" wrapText="1"/>
      <protection locked="0"/>
    </xf>
    <xf numFmtId="0" fontId="14" fillId="0" borderId="32" xfId="1" applyFont="1" applyBorder="1" applyAlignment="1" applyProtection="1">
      <alignment horizontal="left" vertical="top" wrapText="1"/>
      <protection locked="0"/>
    </xf>
    <xf numFmtId="0" fontId="14" fillId="0" borderId="30" xfId="1" applyFont="1" applyBorder="1" applyAlignment="1" applyProtection="1">
      <alignment horizontal="left" vertical="top" wrapText="1"/>
      <protection locked="0"/>
    </xf>
    <xf numFmtId="0" fontId="14" fillId="0" borderId="31" xfId="1" applyFont="1" applyBorder="1" applyAlignment="1" applyProtection="1">
      <alignment horizontal="left" vertical="top" wrapText="1"/>
      <protection locked="0"/>
    </xf>
    <xf numFmtId="0" fontId="14" fillId="0" borderId="8"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1" fontId="13" fillId="0" borderId="1" xfId="0" applyNumberFormat="1" applyFont="1" applyBorder="1" applyAlignment="1" applyProtection="1">
      <alignment horizontal="center" vertical="center" wrapText="1"/>
      <protection locked="0"/>
    </xf>
    <xf numFmtId="1" fontId="13" fillId="0" borderId="13" xfId="0" applyNumberFormat="1" applyFont="1" applyBorder="1" applyAlignment="1" applyProtection="1">
      <alignment horizontal="center" vertical="center" wrapText="1"/>
      <protection locked="0"/>
    </xf>
    <xf numFmtId="1" fontId="13" fillId="0" borderId="26" xfId="0" applyNumberFormat="1" applyFont="1" applyBorder="1" applyAlignment="1" applyProtection="1">
      <alignment horizontal="center" vertical="center" wrapText="1"/>
      <protection locked="0"/>
    </xf>
    <xf numFmtId="1" fontId="13" fillId="0" borderId="14" xfId="0" applyNumberFormat="1" applyFont="1" applyBorder="1" applyAlignment="1" applyProtection="1">
      <alignment horizontal="center" vertical="center" wrapText="1"/>
      <protection locked="0"/>
    </xf>
    <xf numFmtId="0" fontId="9" fillId="0" borderId="1" xfId="1" applyFont="1" applyBorder="1" applyAlignment="1" applyProtection="1">
      <alignment horizontal="left" vertical="top"/>
      <protection locked="0"/>
    </xf>
    <xf numFmtId="0" fontId="13" fillId="0" borderId="9" xfId="1" applyFont="1" applyBorder="1" applyAlignment="1" applyProtection="1">
      <alignment horizontal="center" vertical="top" wrapText="1"/>
      <protection locked="0"/>
    </xf>
    <xf numFmtId="1" fontId="7" fillId="0" borderId="20"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22" xfId="1" applyNumberFormat="1" applyFont="1" applyBorder="1" applyAlignment="1" applyProtection="1">
      <alignment horizontal="center" vertical="center" wrapText="1"/>
      <protection locked="0"/>
    </xf>
    <xf numFmtId="1" fontId="7" fillId="0" borderId="23"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25"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center" wrapText="1"/>
      <protection locked="0"/>
    </xf>
    <xf numFmtId="1" fontId="14" fillId="0" borderId="1"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left" vertical="top" wrapText="1"/>
      <protection locked="0"/>
    </xf>
    <xf numFmtId="0" fontId="11" fillId="0" borderId="1" xfId="2"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2" fillId="0" borderId="1" xfId="1" applyFont="1" applyBorder="1" applyAlignment="1" applyProtection="1">
      <alignment horizontal="center" vertical="top" wrapText="1"/>
      <protection locked="0"/>
    </xf>
    <xf numFmtId="1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center" wrapText="1"/>
      <protection locked="0"/>
    </xf>
    <xf numFmtId="0" fontId="8" fillId="0" borderId="1" xfId="1" applyFont="1" applyBorder="1" applyAlignment="1" applyProtection="1">
      <alignment horizontal="left" vertical="top" wrapText="1"/>
      <protection locked="0"/>
    </xf>
    <xf numFmtId="16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2" fontId="7" fillId="0" borderId="1" xfId="1" applyNumberFormat="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13" fillId="0" borderId="13" xfId="0" applyNumberFormat="1" applyFont="1" applyBorder="1" applyAlignment="1" applyProtection="1">
      <alignment horizontal="center" vertical="top" wrapText="1"/>
      <protection locked="0"/>
    </xf>
    <xf numFmtId="1" fontId="13" fillId="0" borderId="14" xfId="0" applyNumberFormat="1" applyFont="1" applyBorder="1" applyAlignment="1" applyProtection="1">
      <alignment horizontal="center" vertical="top" wrapText="1"/>
      <protection locked="0"/>
    </xf>
    <xf numFmtId="1" fontId="13" fillId="0" borderId="26" xfId="0"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14" fillId="0" borderId="1" xfId="1" applyFont="1" applyBorder="1" applyAlignment="1" applyProtection="1">
      <alignment horizontal="center"/>
      <protection locked="0"/>
    </xf>
    <xf numFmtId="14" fontId="14" fillId="0" borderId="24" xfId="1" applyNumberFormat="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14" fillId="0" borderId="4" xfId="1" applyFont="1" applyBorder="1" applyAlignment="1" applyProtection="1">
      <alignment horizontal="left" vertical="top" wrapText="1"/>
      <protection locked="0"/>
    </xf>
    <xf numFmtId="0" fontId="14" fillId="0" borderId="4" xfId="1" applyFont="1" applyBorder="1" applyAlignment="1" applyProtection="1">
      <alignment horizontal="left" vertical="top"/>
      <protection locked="0"/>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9" fillId="0" borderId="3" xfId="1" applyFont="1" applyBorder="1" applyAlignment="1" applyProtection="1">
      <alignment horizontal="left" vertical="top"/>
      <protection locked="0"/>
    </xf>
    <xf numFmtId="0" fontId="13" fillId="0" borderId="12" xfId="1" applyFont="1" applyBorder="1" applyAlignment="1" applyProtection="1">
      <alignment horizontal="left" vertical="top" wrapText="1"/>
      <protection locked="0"/>
    </xf>
    <xf numFmtId="0" fontId="13" fillId="0" borderId="9" xfId="1" applyFont="1" applyBorder="1" applyAlignment="1" applyProtection="1">
      <alignment horizontal="left" vertical="top"/>
      <protection locked="0"/>
    </xf>
    <xf numFmtId="0" fontId="13" fillId="0" borderId="11" xfId="1" applyFont="1" applyBorder="1" applyAlignment="1" applyProtection="1">
      <alignment horizontal="left" vertical="top"/>
      <protection locked="0"/>
    </xf>
    <xf numFmtId="0" fontId="9" fillId="0" borderId="1" xfId="1" applyFont="1" applyBorder="1" applyAlignment="1" applyProtection="1">
      <alignment vertical="top"/>
      <protection locked="0"/>
    </xf>
    <xf numFmtId="0" fontId="9" fillId="0" borderId="1" xfId="1" applyFont="1" applyBorder="1" applyAlignment="1" applyProtection="1">
      <alignment horizontal="left" vertical="top" wrapText="1"/>
      <protection locked="0"/>
    </xf>
    <xf numFmtId="14" fontId="14" fillId="0" borderId="1" xfId="1" applyNumberFormat="1" applyFont="1" applyBorder="1" applyAlignment="1" applyProtection="1">
      <alignment horizontal="left" vertical="top" wrapText="1"/>
      <protection locked="0"/>
    </xf>
    <xf numFmtId="0" fontId="11" fillId="0" borderId="1" xfId="0" applyFont="1" applyBorder="1" applyAlignment="1" applyProtection="1">
      <alignment horizontal="center" vertical="top" wrapText="1"/>
      <protection locked="0"/>
    </xf>
    <xf numFmtId="9" fontId="13" fillId="0" borderId="9" xfId="1" applyNumberFormat="1" applyFont="1" applyBorder="1" applyAlignment="1" applyProtection="1">
      <alignment horizontal="center" vertical="center" wrapText="1"/>
      <protection hidden="1"/>
    </xf>
    <xf numFmtId="9" fontId="13" fillId="0" borderId="12" xfId="1" applyNumberFormat="1" applyFont="1" applyBorder="1" applyAlignment="1" applyProtection="1">
      <alignment horizontal="center" vertical="center" wrapText="1"/>
      <protection hidden="1"/>
    </xf>
    <xf numFmtId="0" fontId="13" fillId="3" borderId="36" xfId="1" applyFont="1" applyFill="1" applyBorder="1" applyAlignment="1" applyProtection="1">
      <alignment horizontal="center" vertical="center"/>
      <protection locked="0"/>
    </xf>
    <xf numFmtId="0" fontId="13" fillId="3" borderId="21" xfId="1" applyFont="1" applyFill="1" applyBorder="1" applyAlignment="1" applyProtection="1">
      <alignment horizontal="center" vertical="center"/>
      <protection locked="0"/>
    </xf>
    <xf numFmtId="0" fontId="13" fillId="3" borderId="37" xfId="1" applyFont="1" applyFill="1" applyBorder="1" applyAlignment="1" applyProtection="1">
      <alignment horizontal="center" vertical="center"/>
      <protection locked="0"/>
    </xf>
    <xf numFmtId="0" fontId="13" fillId="3" borderId="25" xfId="1" applyFont="1" applyFill="1" applyBorder="1" applyAlignment="1" applyProtection="1">
      <alignment horizontal="center" vertical="center"/>
      <protection locked="0"/>
    </xf>
    <xf numFmtId="9" fontId="13" fillId="3" borderId="20" xfId="1" applyNumberFormat="1" applyFont="1" applyFill="1" applyBorder="1" applyAlignment="1" applyProtection="1">
      <alignment horizontal="center" vertical="center"/>
      <protection locked="0"/>
    </xf>
    <xf numFmtId="0" fontId="13" fillId="3" borderId="24" xfId="1" applyFont="1" applyFill="1" applyBorder="1" applyAlignment="1" applyProtection="1">
      <alignment horizontal="center" vertical="center"/>
      <protection locked="0"/>
    </xf>
    <xf numFmtId="0" fontId="13" fillId="3" borderId="20" xfId="1" applyFont="1" applyFill="1" applyBorder="1" applyAlignment="1" applyProtection="1">
      <alignment horizontal="center" vertical="center"/>
      <protection locked="0"/>
    </xf>
    <xf numFmtId="0" fontId="13" fillId="3" borderId="38" xfId="1" applyFont="1" applyFill="1" applyBorder="1" applyAlignment="1" applyProtection="1">
      <alignment horizontal="center" vertical="center"/>
      <protection locked="0"/>
    </xf>
    <xf numFmtId="0" fontId="13" fillId="3" borderId="39" xfId="1" applyFont="1" applyFill="1" applyBorder="1" applyAlignment="1" applyProtection="1">
      <alignment horizontal="center" vertical="center"/>
      <protection locked="0"/>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11" fillId="0" borderId="13" xfId="1" applyFont="1" applyBorder="1" applyAlignment="1" applyProtection="1">
      <alignment horizontal="left"/>
      <protection locked="0"/>
    </xf>
    <xf numFmtId="0" fontId="11" fillId="0" borderId="26" xfId="1" applyFont="1" applyBorder="1" applyAlignment="1" applyProtection="1">
      <alignment horizontal="left"/>
      <protection locked="0"/>
    </xf>
    <xf numFmtId="0" fontId="11" fillId="0" borderId="14" xfId="1" applyFont="1" applyBorder="1" applyAlignment="1" applyProtection="1">
      <alignment horizontal="left"/>
      <protection locked="0"/>
    </xf>
    <xf numFmtId="0" fontId="22" fillId="0" borderId="13" xfId="8" applyBorder="1" applyAlignment="1" applyProtection="1">
      <alignment horizontal="left"/>
      <protection locked="0"/>
    </xf>
    <xf numFmtId="0" fontId="8" fillId="0" borderId="26" xfId="1" applyFont="1" applyBorder="1" applyAlignment="1" applyProtection="1">
      <alignment horizontal="left"/>
      <protection locked="0"/>
    </xf>
    <xf numFmtId="0" fontId="8" fillId="0" borderId="14" xfId="1" applyFont="1" applyBorder="1" applyAlignment="1" applyProtection="1">
      <alignment horizontal="left"/>
      <protection locked="0"/>
    </xf>
    <xf numFmtId="0" fontId="13" fillId="0" borderId="5"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7" fillId="0" borderId="27"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13" fillId="0" borderId="33" xfId="1" applyFont="1" applyBorder="1" applyAlignment="1" applyProtection="1">
      <alignment horizontal="left" vertical="top" wrapText="1"/>
      <protection locked="0"/>
    </xf>
    <xf numFmtId="0" fontId="13" fillId="0" borderId="34" xfId="1" applyFont="1" applyBorder="1" applyAlignment="1" applyProtection="1">
      <alignment horizontal="left" vertical="top" wrapText="1"/>
      <protection locked="0"/>
    </xf>
    <xf numFmtId="0" fontId="13" fillId="0" borderId="35" xfId="1" applyFont="1" applyBorder="1" applyAlignment="1" applyProtection="1">
      <alignment horizontal="left" vertical="top" wrapText="1"/>
      <protection locked="0"/>
    </xf>
    <xf numFmtId="0" fontId="0" fillId="2"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0</xdr:col>
      <xdr:colOff>574073</xdr:colOff>
      <xdr:row>338</xdr:row>
      <xdr:rowOff>9524</xdr:rowOff>
    </xdr:from>
    <xdr:to>
      <xdr:col>7</xdr:col>
      <xdr:colOff>208119</xdr:colOff>
      <xdr:row>356</xdr:row>
      <xdr:rowOff>24660</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74073" y="75664001"/>
          <a:ext cx="5184523" cy="3600000"/>
        </a:xfrm>
        <a:prstGeom prst="rect">
          <a:avLst/>
        </a:prstGeom>
        <a:ln>
          <a:solidFill>
            <a:schemeClr val="tx1"/>
          </a:solidFill>
        </a:ln>
      </xdr:spPr>
    </xdr:pic>
    <xdr:clientData/>
  </xdr:twoCellAnchor>
  <xdr:twoCellAnchor editAs="oneCell">
    <xdr:from>
      <xdr:col>0</xdr:col>
      <xdr:colOff>545525</xdr:colOff>
      <xdr:row>319</xdr:row>
      <xdr:rowOff>0</xdr:rowOff>
    </xdr:from>
    <xdr:to>
      <xdr:col>7</xdr:col>
      <xdr:colOff>214219</xdr:colOff>
      <xdr:row>337</xdr:row>
      <xdr:rowOff>9075</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45525" y="71870455"/>
          <a:ext cx="5219171" cy="3593939"/>
        </a:xfrm>
        <a:prstGeom prst="rect">
          <a:avLst/>
        </a:prstGeom>
        <a:ln>
          <a:solidFill>
            <a:schemeClr val="tx1"/>
          </a:solidFill>
        </a:ln>
      </xdr:spPr>
    </xdr:pic>
    <xdr:clientData/>
  </xdr:twoCellAnchor>
  <xdr:twoCellAnchor>
    <xdr:from>
      <xdr:col>19</xdr:col>
      <xdr:colOff>84004</xdr:colOff>
      <xdr:row>287</xdr:row>
      <xdr:rowOff>52768</xdr:rowOff>
    </xdr:from>
    <xdr:to>
      <xdr:col>21</xdr:col>
      <xdr:colOff>442480</xdr:colOff>
      <xdr:row>289</xdr:row>
      <xdr:rowOff>22050</xdr:rowOff>
    </xdr:to>
    <xdr:sp macro="" textlink="">
      <xdr:nvSpPr>
        <xdr:cNvPr id="26" name="TextBox 14">
          <a:extLst>
            <a:ext uri="{FF2B5EF4-FFF2-40B4-BE49-F238E27FC236}">
              <a16:creationId xmlns:a16="http://schemas.microsoft.com/office/drawing/2014/main" id="{00000000-0008-0000-0000-00001A000000}"/>
            </a:ext>
          </a:extLst>
        </xdr:cNvPr>
        <xdr:cNvSpPr txBox="1"/>
      </xdr:nvSpPr>
      <xdr:spPr>
        <a:xfrm>
          <a:off x="13971454" y="62908243"/>
          <a:ext cx="1577676"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2</a:t>
          </a:r>
          <a:endParaRPr lang="en-IN" b="1">
            <a:solidFill>
              <a:srgbClr val="FF0000"/>
            </a:solidFill>
          </a:endParaRPr>
        </a:p>
      </xdr:txBody>
    </xdr:sp>
    <xdr:clientData/>
  </xdr:twoCellAnchor>
  <xdr:twoCellAnchor>
    <xdr:from>
      <xdr:col>14</xdr:col>
      <xdr:colOff>389115</xdr:colOff>
      <xdr:row>292</xdr:row>
      <xdr:rowOff>81257</xdr:rowOff>
    </xdr:from>
    <xdr:to>
      <xdr:col>16</xdr:col>
      <xdr:colOff>117610</xdr:colOff>
      <xdr:row>293</xdr:row>
      <xdr:rowOff>189009</xdr:rowOff>
    </xdr:to>
    <xdr:sp macro="" textlink="">
      <xdr:nvSpPr>
        <xdr:cNvPr id="28" name="TextBox 16">
          <a:extLst>
            <a:ext uri="{FF2B5EF4-FFF2-40B4-BE49-F238E27FC236}">
              <a16:creationId xmlns:a16="http://schemas.microsoft.com/office/drawing/2014/main" id="{00000000-0008-0000-0000-00001C000000}"/>
            </a:ext>
          </a:extLst>
        </xdr:cNvPr>
        <xdr:cNvSpPr txBox="1"/>
      </xdr:nvSpPr>
      <xdr:spPr>
        <a:xfrm>
          <a:off x="11228565" y="63936857"/>
          <a:ext cx="947695" cy="30777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B1 Wing B</a:t>
          </a:r>
          <a:endParaRPr lang="en-IN" sz="1400" b="1"/>
        </a:p>
      </xdr:txBody>
    </xdr:sp>
    <xdr:clientData/>
  </xdr:twoCellAnchor>
  <xdr:twoCellAnchor>
    <xdr:from>
      <xdr:col>11</xdr:col>
      <xdr:colOff>59874</xdr:colOff>
      <xdr:row>293</xdr:row>
      <xdr:rowOff>109805</xdr:rowOff>
    </xdr:from>
    <xdr:to>
      <xdr:col>12</xdr:col>
      <xdr:colOff>391557</xdr:colOff>
      <xdr:row>295</xdr:row>
      <xdr:rowOff>17532</xdr:rowOff>
    </xdr:to>
    <xdr:sp macro="" textlink="">
      <xdr:nvSpPr>
        <xdr:cNvPr id="29" name="TextBox 17">
          <a:extLst>
            <a:ext uri="{FF2B5EF4-FFF2-40B4-BE49-F238E27FC236}">
              <a16:creationId xmlns:a16="http://schemas.microsoft.com/office/drawing/2014/main" id="{00000000-0008-0000-0000-00001D000000}"/>
            </a:ext>
          </a:extLst>
        </xdr:cNvPr>
        <xdr:cNvSpPr txBox="1"/>
      </xdr:nvSpPr>
      <xdr:spPr>
        <a:xfrm>
          <a:off x="9070524" y="64165430"/>
          <a:ext cx="941283" cy="30777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B1 Wing C</a:t>
          </a:r>
          <a:endParaRPr lang="en-IN" sz="1400" b="1"/>
        </a:p>
      </xdr:txBody>
    </xdr:sp>
    <xdr:clientData/>
  </xdr:twoCellAnchor>
  <xdr:twoCellAnchor editAs="oneCell">
    <xdr:from>
      <xdr:col>8</xdr:col>
      <xdr:colOff>1119094</xdr:colOff>
      <xdr:row>275</xdr:row>
      <xdr:rowOff>92075</xdr:rowOff>
    </xdr:from>
    <xdr:to>
      <xdr:col>11</xdr:col>
      <xdr:colOff>463857</xdr:colOff>
      <xdr:row>289</xdr:row>
      <xdr:rowOff>78525</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500844" y="60766325"/>
          <a:ext cx="1973663" cy="2777275"/>
        </a:xfrm>
        <a:prstGeom prst="rect">
          <a:avLst/>
        </a:prstGeom>
        <a:ln>
          <a:solidFill>
            <a:schemeClr val="tx1"/>
          </a:solidFill>
        </a:ln>
      </xdr:spPr>
    </xdr:pic>
    <xdr:clientData/>
  </xdr:twoCellAnchor>
  <xdr:twoCellAnchor editAs="oneCell">
    <xdr:from>
      <xdr:col>11</xdr:col>
      <xdr:colOff>591664</xdr:colOff>
      <xdr:row>275</xdr:row>
      <xdr:rowOff>92075</xdr:rowOff>
    </xdr:from>
    <xdr:to>
      <xdr:col>15</xdr:col>
      <xdr:colOff>85652</xdr:colOff>
      <xdr:row>289</xdr:row>
      <xdr:rowOff>78525</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602314" y="60766325"/>
          <a:ext cx="1932388" cy="2777275"/>
        </a:xfrm>
        <a:prstGeom prst="rect">
          <a:avLst/>
        </a:prstGeom>
        <a:ln>
          <a:solidFill>
            <a:schemeClr val="tx1"/>
          </a:solidFill>
        </a:ln>
      </xdr:spPr>
    </xdr:pic>
    <xdr:clientData/>
  </xdr:twoCellAnchor>
  <xdr:twoCellAnchor editAs="oneCell">
    <xdr:from>
      <xdr:col>16</xdr:col>
      <xdr:colOff>248753</xdr:colOff>
      <xdr:row>290</xdr:row>
      <xdr:rowOff>13664</xdr:rowOff>
    </xdr:from>
    <xdr:to>
      <xdr:col>18</xdr:col>
      <xdr:colOff>546297</xdr:colOff>
      <xdr:row>300</xdr:row>
      <xdr:rowOff>133164</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2307403" y="63678764"/>
          <a:ext cx="1516744" cy="2119750"/>
        </a:xfrm>
        <a:prstGeom prst="rect">
          <a:avLst/>
        </a:prstGeom>
        <a:ln>
          <a:solidFill>
            <a:schemeClr val="tx1"/>
          </a:solidFill>
        </a:ln>
      </xdr:spPr>
    </xdr:pic>
    <xdr:clientData/>
  </xdr:twoCellAnchor>
  <xdr:twoCellAnchor editAs="oneCell">
    <xdr:from>
      <xdr:col>13</xdr:col>
      <xdr:colOff>287942</xdr:colOff>
      <xdr:row>301</xdr:row>
      <xdr:rowOff>68303</xdr:rowOff>
    </xdr:from>
    <xdr:to>
      <xdr:col>15</xdr:col>
      <xdr:colOff>556911</xdr:colOff>
      <xdr:row>311</xdr:row>
      <xdr:rowOff>187803</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517792" y="65933678"/>
          <a:ext cx="1488169" cy="2119750"/>
        </a:xfrm>
        <a:prstGeom prst="rect">
          <a:avLst/>
        </a:prstGeom>
        <a:ln>
          <a:solidFill>
            <a:schemeClr val="tx1"/>
          </a:solidFill>
        </a:ln>
      </xdr:spPr>
    </xdr:pic>
    <xdr:clientData/>
  </xdr:twoCellAnchor>
  <xdr:twoCellAnchor editAs="oneCell">
    <xdr:from>
      <xdr:col>16</xdr:col>
      <xdr:colOff>89353</xdr:colOff>
      <xdr:row>301</xdr:row>
      <xdr:rowOff>68303</xdr:rowOff>
    </xdr:from>
    <xdr:to>
      <xdr:col>18</xdr:col>
      <xdr:colOff>358322</xdr:colOff>
      <xdr:row>311</xdr:row>
      <xdr:rowOff>187803</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2148003" y="65933678"/>
          <a:ext cx="1488169" cy="2119750"/>
        </a:xfrm>
        <a:prstGeom prst="rect">
          <a:avLst/>
        </a:prstGeom>
        <a:ln>
          <a:solidFill>
            <a:schemeClr val="tx1"/>
          </a:solidFill>
        </a:ln>
      </xdr:spPr>
    </xdr:pic>
    <xdr:clientData/>
  </xdr:twoCellAnchor>
  <xdr:twoCellAnchor editAs="oneCell">
    <xdr:from>
      <xdr:col>8</xdr:col>
      <xdr:colOff>1095375</xdr:colOff>
      <xdr:row>290</xdr:row>
      <xdr:rowOff>13664</xdr:rowOff>
    </xdr:from>
    <xdr:to>
      <xdr:col>10</xdr:col>
      <xdr:colOff>564244</xdr:colOff>
      <xdr:row>300</xdr:row>
      <xdr:rowOff>133164</xdr:rowOff>
    </xdr:to>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7477125" y="63678764"/>
          <a:ext cx="1488169" cy="2119750"/>
        </a:xfrm>
        <a:prstGeom prst="rect">
          <a:avLst/>
        </a:prstGeom>
        <a:ln>
          <a:solidFill>
            <a:schemeClr val="tx1"/>
          </a:solidFill>
        </a:ln>
      </xdr:spPr>
    </xdr:pic>
    <xdr:clientData/>
  </xdr:twoCellAnchor>
  <xdr:twoCellAnchor editAs="oneCell">
    <xdr:from>
      <xdr:col>11</xdr:col>
      <xdr:colOff>83976</xdr:colOff>
      <xdr:row>290</xdr:row>
      <xdr:rowOff>13664</xdr:rowOff>
    </xdr:from>
    <xdr:to>
      <xdr:col>13</xdr:col>
      <xdr:colOff>387870</xdr:colOff>
      <xdr:row>300</xdr:row>
      <xdr:rowOff>133164</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094626" y="63678764"/>
          <a:ext cx="1523094" cy="2119750"/>
        </a:xfrm>
        <a:prstGeom prst="rect">
          <a:avLst/>
        </a:prstGeom>
        <a:ln>
          <a:solidFill>
            <a:schemeClr val="tx1"/>
          </a:solidFill>
        </a:ln>
      </xdr:spPr>
    </xdr:pic>
    <xdr:clientData/>
  </xdr:twoCellAnchor>
  <xdr:twoCellAnchor editAs="oneCell">
    <xdr:from>
      <xdr:col>13</xdr:col>
      <xdr:colOff>479102</xdr:colOff>
      <xdr:row>290</xdr:row>
      <xdr:rowOff>13664</xdr:rowOff>
    </xdr:from>
    <xdr:to>
      <xdr:col>16</xdr:col>
      <xdr:colOff>147996</xdr:colOff>
      <xdr:row>300</xdr:row>
      <xdr:rowOff>133164</xdr:rowOff>
    </xdr:to>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708952" y="63678764"/>
          <a:ext cx="1497694" cy="2119750"/>
        </a:xfrm>
        <a:prstGeom prst="rect">
          <a:avLst/>
        </a:prstGeom>
        <a:ln>
          <a:solidFill>
            <a:schemeClr val="tx1"/>
          </a:solidFill>
        </a:ln>
      </xdr:spPr>
    </xdr:pic>
    <xdr:clientData/>
  </xdr:twoCellAnchor>
  <xdr:twoCellAnchor editAs="oneCell">
    <xdr:from>
      <xdr:col>15</xdr:col>
      <xdr:colOff>213459</xdr:colOff>
      <xdr:row>275</xdr:row>
      <xdr:rowOff>92075</xdr:rowOff>
    </xdr:from>
    <xdr:to>
      <xdr:col>18</xdr:col>
      <xdr:colOff>358322</xdr:colOff>
      <xdr:row>289</xdr:row>
      <xdr:rowOff>78525</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1662509" y="60766325"/>
          <a:ext cx="1973663" cy="2777275"/>
        </a:xfrm>
        <a:prstGeom prst="rect">
          <a:avLst/>
        </a:prstGeom>
        <a:ln>
          <a:solidFill>
            <a:schemeClr val="tx1"/>
          </a:solidFill>
        </a:ln>
      </xdr:spPr>
    </xdr:pic>
    <xdr:clientData/>
  </xdr:twoCellAnchor>
  <xdr:twoCellAnchor editAs="oneCell">
    <xdr:from>
      <xdr:col>8</xdr:col>
      <xdr:colOff>1329685</xdr:colOff>
      <xdr:row>301</xdr:row>
      <xdr:rowOff>68303</xdr:rowOff>
    </xdr:from>
    <xdr:to>
      <xdr:col>13</xdr:col>
      <xdr:colOff>145900</xdr:colOff>
      <xdr:row>311</xdr:row>
      <xdr:rowOff>187803</xdr:rowOff>
    </xdr:to>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7711435" y="65933678"/>
          <a:ext cx="2664315" cy="2119750"/>
        </a:xfrm>
        <a:prstGeom prst="rect">
          <a:avLst/>
        </a:prstGeom>
        <a:ln>
          <a:solidFill>
            <a:schemeClr val="tx1"/>
          </a:solidFill>
        </a:ln>
      </xdr:spPr>
    </xdr:pic>
    <xdr:clientData/>
  </xdr:twoCellAnchor>
  <xdr:twoCellAnchor>
    <xdr:from>
      <xdr:col>8</xdr:col>
      <xdr:colOff>1354044</xdr:colOff>
      <xdr:row>275</xdr:row>
      <xdr:rowOff>73025</xdr:rowOff>
    </xdr:from>
    <xdr:to>
      <xdr:col>10</xdr:col>
      <xdr:colOff>280930</xdr:colOff>
      <xdr:row>276</xdr:row>
      <xdr:rowOff>177602</xdr:rowOff>
    </xdr:to>
    <xdr:sp macro="" textlink="">
      <xdr:nvSpPr>
        <xdr:cNvPr id="54" name="TextBox 18">
          <a:extLst>
            <a:ext uri="{FF2B5EF4-FFF2-40B4-BE49-F238E27FC236}">
              <a16:creationId xmlns:a16="http://schemas.microsoft.com/office/drawing/2014/main" id="{00000000-0008-0000-0000-000036000000}"/>
            </a:ext>
          </a:extLst>
        </xdr:cNvPr>
        <xdr:cNvSpPr txBox="1"/>
      </xdr:nvSpPr>
      <xdr:spPr>
        <a:xfrm>
          <a:off x="7735794" y="60747275"/>
          <a:ext cx="946186" cy="30460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Bldg</a:t>
          </a:r>
          <a:r>
            <a:rPr lang="en-US" sz="1400" b="0" cap="none" spc="0" baseline="0">
              <a:ln w="0"/>
              <a:solidFill>
                <a:srgbClr val="FFFF00"/>
              </a:solidFill>
              <a:effectLst>
                <a:outerShdw blurRad="38100" dist="25400" dir="5400000" algn="ctr" rotWithShape="0">
                  <a:srgbClr val="6E747A">
                    <a:alpha val="43000"/>
                  </a:srgbClr>
                </a:outerShdw>
              </a:effectLst>
            </a:rPr>
            <a:t> No.2</a:t>
          </a:r>
          <a:endParaRPr lang="en-IN" sz="1400" b="0" cap="none" spc="0">
            <a:ln w="0"/>
            <a:solidFill>
              <a:srgbClr val="FFFF00"/>
            </a:solidFill>
            <a:effectLst>
              <a:outerShdw blurRad="38100" dist="25400" dir="5400000" algn="ctr" rotWithShape="0">
                <a:srgbClr val="6E747A">
                  <a:alpha val="43000"/>
                </a:srgbClr>
              </a:outerShdw>
            </a:effectLst>
          </a:endParaRPr>
        </a:p>
      </xdr:txBody>
    </xdr:sp>
    <xdr:clientData/>
  </xdr:twoCellAnchor>
  <xdr:twoCellAnchor>
    <xdr:from>
      <xdr:col>11</xdr:col>
      <xdr:colOff>591664</xdr:colOff>
      <xdr:row>275</xdr:row>
      <xdr:rowOff>92075</xdr:rowOff>
    </xdr:from>
    <xdr:to>
      <xdr:col>13</xdr:col>
      <xdr:colOff>315475</xdr:colOff>
      <xdr:row>276</xdr:row>
      <xdr:rowOff>196652</xdr:rowOff>
    </xdr:to>
    <xdr:sp macro="" textlink="">
      <xdr:nvSpPr>
        <xdr:cNvPr id="56" name="TextBox 18">
          <a:extLst>
            <a:ext uri="{FF2B5EF4-FFF2-40B4-BE49-F238E27FC236}">
              <a16:creationId xmlns:a16="http://schemas.microsoft.com/office/drawing/2014/main" id="{00000000-0008-0000-0000-000038000000}"/>
            </a:ext>
          </a:extLst>
        </xdr:cNvPr>
        <xdr:cNvSpPr txBox="1"/>
      </xdr:nvSpPr>
      <xdr:spPr>
        <a:xfrm>
          <a:off x="9602314" y="60766325"/>
          <a:ext cx="943011" cy="30460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Bldg No.2</a:t>
          </a:r>
          <a:endParaRPr lang="en-IN" sz="1400" b="1"/>
        </a:p>
      </xdr:txBody>
    </xdr:sp>
    <xdr:clientData/>
  </xdr:twoCellAnchor>
  <xdr:twoCellAnchor>
    <xdr:from>
      <xdr:col>15</xdr:col>
      <xdr:colOff>213459</xdr:colOff>
      <xdr:row>275</xdr:row>
      <xdr:rowOff>92075</xdr:rowOff>
    </xdr:from>
    <xdr:to>
      <xdr:col>16</xdr:col>
      <xdr:colOff>550045</xdr:colOff>
      <xdr:row>276</xdr:row>
      <xdr:rowOff>196652</xdr:rowOff>
    </xdr:to>
    <xdr:sp macro="" textlink="">
      <xdr:nvSpPr>
        <xdr:cNvPr id="57" name="TextBox 18">
          <a:extLst>
            <a:ext uri="{FF2B5EF4-FFF2-40B4-BE49-F238E27FC236}">
              <a16:creationId xmlns:a16="http://schemas.microsoft.com/office/drawing/2014/main" id="{00000000-0008-0000-0000-000039000000}"/>
            </a:ext>
          </a:extLst>
        </xdr:cNvPr>
        <xdr:cNvSpPr txBox="1"/>
      </xdr:nvSpPr>
      <xdr:spPr>
        <a:xfrm>
          <a:off x="11662509" y="60766325"/>
          <a:ext cx="946186" cy="30460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Bldg No.2</a:t>
          </a:r>
          <a:endParaRPr lang="en-IN" sz="1400" b="1"/>
        </a:p>
      </xdr:txBody>
    </xdr:sp>
    <xdr:clientData/>
  </xdr:twoCellAnchor>
  <xdr:twoCellAnchor>
    <xdr:from>
      <xdr:col>0</xdr:col>
      <xdr:colOff>127000</xdr:colOff>
      <xdr:row>275</xdr:row>
      <xdr:rowOff>57150</xdr:rowOff>
    </xdr:from>
    <xdr:to>
      <xdr:col>7</xdr:col>
      <xdr:colOff>744570</xdr:colOff>
      <xdr:row>316</xdr:row>
      <xdr:rowOff>101600</xdr:rowOff>
    </xdr:to>
    <xdr:grpSp>
      <xdr:nvGrpSpPr>
        <xdr:cNvPr id="2" name="Group 1"/>
        <xdr:cNvGrpSpPr/>
      </xdr:nvGrpSpPr>
      <xdr:grpSpPr>
        <a:xfrm>
          <a:off x="127000" y="59899550"/>
          <a:ext cx="6440520" cy="8108950"/>
          <a:chOff x="127000" y="59899550"/>
          <a:chExt cx="6440520" cy="8108950"/>
        </a:xfrm>
      </xdr:grpSpPr>
      <xdr:pic>
        <xdr:nvPicPr>
          <xdr:cNvPr id="42" name="Picture 4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301879" y="66305518"/>
            <a:ext cx="1510425" cy="1702982"/>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27000" y="59905900"/>
            <a:ext cx="1510425" cy="2016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658516" y="66305518"/>
            <a:ext cx="1510425" cy="1702982"/>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770364" y="64172312"/>
            <a:ext cx="1510425" cy="2016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27000" y="64172312"/>
            <a:ext cx="1510425" cy="2016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5057094" y="62039106"/>
            <a:ext cx="1510425" cy="2016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770365" y="59905900"/>
            <a:ext cx="1510425" cy="2016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413728" y="64172312"/>
            <a:ext cx="1510425" cy="2016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413730" y="62039106"/>
            <a:ext cx="1510425" cy="2016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1770365" y="62039106"/>
            <a:ext cx="1510425" cy="2016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5057095" y="59905900"/>
            <a:ext cx="1510425" cy="2016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127000" y="62039106"/>
            <a:ext cx="1510425" cy="2016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413730" y="59905900"/>
            <a:ext cx="1510425" cy="2016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5057092" y="64172312"/>
            <a:ext cx="1510425" cy="2016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1015152" y="66305518"/>
            <a:ext cx="1510425" cy="1702982"/>
          </a:xfrm>
          <a:prstGeom prst="rect">
            <a:avLst/>
          </a:prstGeom>
          <a:ln>
            <a:solidFill>
              <a:schemeClr val="tx1"/>
            </a:solidFill>
          </a:ln>
        </xdr:spPr>
      </xdr:pic>
      <xdr:sp macro="" textlink="">
        <xdr:nvSpPr>
          <xdr:cNvPr id="70" name="TextBox 18">
            <a:extLst>
              <a:ext uri="{FF2B5EF4-FFF2-40B4-BE49-F238E27FC236}">
                <a16:creationId xmlns:a16="http://schemas.microsoft.com/office/drawing/2014/main" id="{00000000-0008-0000-0000-000036000000}"/>
              </a:ext>
            </a:extLst>
          </xdr:cNvPr>
          <xdr:cNvSpPr txBox="1"/>
        </xdr:nvSpPr>
        <xdr:spPr>
          <a:xfrm>
            <a:off x="1009650" y="60115450"/>
            <a:ext cx="584200" cy="30142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Bldg</a:t>
            </a:r>
            <a:r>
              <a:rPr lang="en-US" sz="1400" b="0" cap="none" spc="0" baseline="0">
                <a:ln w="0"/>
                <a:solidFill>
                  <a:sysClr val="windowText" lastClr="000000"/>
                </a:solidFill>
                <a:effectLst>
                  <a:outerShdw blurRad="38100" dist="25400" dir="5400000" algn="ctr" rotWithShape="0">
                    <a:srgbClr val="6E747A">
                      <a:alpha val="43000"/>
                    </a:srgbClr>
                  </a:outerShdw>
                </a:effectLst>
              </a:rPr>
              <a:t> No.2</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71" name="TextBox 18">
            <a:extLst>
              <a:ext uri="{FF2B5EF4-FFF2-40B4-BE49-F238E27FC236}">
                <a16:creationId xmlns:a16="http://schemas.microsoft.com/office/drawing/2014/main" id="{00000000-0008-0000-0000-000036000000}"/>
              </a:ext>
            </a:extLst>
          </xdr:cNvPr>
          <xdr:cNvSpPr txBox="1"/>
        </xdr:nvSpPr>
        <xdr:spPr>
          <a:xfrm>
            <a:off x="1732264" y="59899550"/>
            <a:ext cx="991885" cy="30142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Bldg</a:t>
            </a:r>
            <a:r>
              <a:rPr lang="en-US" sz="1400" b="0" cap="none" spc="0" baseline="0">
                <a:ln w="0"/>
                <a:solidFill>
                  <a:sysClr val="windowText" lastClr="000000"/>
                </a:solidFill>
                <a:effectLst>
                  <a:outerShdw blurRad="38100" dist="25400" dir="5400000" algn="ctr" rotWithShape="0">
                    <a:srgbClr val="6E747A">
                      <a:alpha val="43000"/>
                    </a:srgbClr>
                  </a:outerShdw>
                </a:effectLst>
              </a:rPr>
              <a:t> No.2</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669</xdr:colOff>
      <xdr:row>32</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79783" y="2675283"/>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BPitcoYEs7fPhStX9"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8"/>
  <sheetViews>
    <sheetView tabSelected="1" view="pageBreakPreview" zoomScaleNormal="100" zoomScaleSheetLayoutView="100" zoomScalePageLayoutView="85" workbookViewId="0">
      <selection activeCell="E9" sqref="E9:H9"/>
    </sheetView>
  </sheetViews>
  <sheetFormatPr defaultColWidth="9.1796875" defaultRowHeight="15.5" x14ac:dyDescent="0.35"/>
  <cols>
    <col min="1" max="1" width="11.453125" style="15" customWidth="1"/>
    <col min="2" max="2" width="11.1796875" style="15" customWidth="1"/>
    <col min="3" max="3" width="12.7265625" style="15" customWidth="1"/>
    <col min="4" max="4" width="12.81640625" style="15" customWidth="1"/>
    <col min="5" max="7" width="11.7265625" style="15" customWidth="1"/>
    <col min="8" max="8" width="12.453125" style="15" customWidth="1"/>
    <col min="9" max="9" width="20.453125" style="8" customWidth="1"/>
    <col min="10" max="10" width="9.81640625" style="8" bestFit="1" customWidth="1"/>
    <col min="11"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8" ht="46.5" customHeight="1" x14ac:dyDescent="0.35">
      <c r="A1" s="131" t="s">
        <v>264</v>
      </c>
      <c r="B1" s="131"/>
      <c r="C1" s="131"/>
      <c r="D1" s="131"/>
      <c r="E1" s="131"/>
      <c r="F1" s="131"/>
      <c r="G1" s="131"/>
      <c r="H1" s="131"/>
    </row>
    <row r="2" spans="1:8" ht="16.5" customHeight="1" x14ac:dyDescent="0.35">
      <c r="A2" s="87" t="s">
        <v>0</v>
      </c>
      <c r="B2" s="87"/>
      <c r="C2" s="87"/>
      <c r="D2" s="87"/>
      <c r="E2" s="87"/>
      <c r="F2" s="87"/>
      <c r="G2" s="87"/>
      <c r="H2" s="87"/>
    </row>
    <row r="3" spans="1:8" x14ac:dyDescent="0.35">
      <c r="A3" s="73" t="s">
        <v>1</v>
      </c>
      <c r="B3" s="73"/>
      <c r="C3" s="73"/>
      <c r="D3" s="73"/>
      <c r="E3" s="132" t="str">
        <f ca="1">TEXT(TODAY(),"DD/MM/YYYY")</f>
        <v>30/07/2025</v>
      </c>
      <c r="F3" s="132"/>
      <c r="G3" s="132"/>
      <c r="H3" s="132"/>
    </row>
    <row r="4" spans="1:8" ht="15" customHeight="1" x14ac:dyDescent="0.35">
      <c r="A4" s="73" t="s">
        <v>2</v>
      </c>
      <c r="B4" s="73"/>
      <c r="C4" s="73"/>
      <c r="D4" s="73"/>
      <c r="E4" s="133" t="s">
        <v>161</v>
      </c>
      <c r="F4" s="133"/>
      <c r="G4" s="133"/>
      <c r="H4" s="133"/>
    </row>
    <row r="5" spans="1:8" x14ac:dyDescent="0.35">
      <c r="A5" s="73" t="s">
        <v>3</v>
      </c>
      <c r="B5" s="73"/>
      <c r="C5" s="73"/>
      <c r="D5" s="73"/>
      <c r="E5" s="132">
        <v>45868</v>
      </c>
      <c r="F5" s="132"/>
      <c r="G5" s="132"/>
      <c r="H5" s="132"/>
    </row>
    <row r="6" spans="1:8" ht="16.5" customHeight="1" x14ac:dyDescent="0.35">
      <c r="A6" s="73" t="s">
        <v>4</v>
      </c>
      <c r="B6" s="73"/>
      <c r="C6" s="73"/>
      <c r="D6" s="73"/>
      <c r="E6" s="84" t="s">
        <v>165</v>
      </c>
      <c r="F6" s="84"/>
      <c r="G6" s="84"/>
      <c r="H6" s="84"/>
    </row>
    <row r="7" spans="1:8" ht="15" customHeight="1" x14ac:dyDescent="0.35">
      <c r="A7" s="73" t="s">
        <v>5</v>
      </c>
      <c r="B7" s="73"/>
      <c r="C7" s="73"/>
      <c r="D7" s="73"/>
      <c r="E7" s="84" t="str">
        <f>E6</f>
        <v>M/s. Padmadisha Paradise</v>
      </c>
      <c r="F7" s="84"/>
      <c r="G7" s="84"/>
      <c r="H7" s="84"/>
    </row>
    <row r="8" spans="1:8" x14ac:dyDescent="0.35">
      <c r="A8" s="73" t="s">
        <v>6</v>
      </c>
      <c r="B8" s="73"/>
      <c r="C8" s="73"/>
      <c r="D8" s="73"/>
      <c r="E8" s="118" t="s">
        <v>202</v>
      </c>
      <c r="F8" s="118"/>
      <c r="G8" s="118"/>
      <c r="H8" s="118"/>
    </row>
    <row r="9" spans="1:8" x14ac:dyDescent="0.35">
      <c r="A9" s="73" t="s">
        <v>160</v>
      </c>
      <c r="B9" s="73"/>
      <c r="C9" s="73"/>
      <c r="D9" s="73"/>
      <c r="E9" s="73" t="s">
        <v>267</v>
      </c>
      <c r="F9" s="73"/>
      <c r="G9" s="73"/>
      <c r="H9" s="73"/>
    </row>
    <row r="10" spans="1:8" x14ac:dyDescent="0.35">
      <c r="A10" s="73" t="s">
        <v>265</v>
      </c>
      <c r="B10" s="73"/>
      <c r="C10" s="73"/>
      <c r="D10" s="73"/>
      <c r="E10" s="73" t="s">
        <v>266</v>
      </c>
      <c r="F10" s="73"/>
      <c r="G10" s="73"/>
      <c r="H10" s="73"/>
    </row>
    <row r="11" spans="1:8" x14ac:dyDescent="0.35">
      <c r="A11" s="85" t="s">
        <v>7</v>
      </c>
      <c r="B11" s="85"/>
      <c r="C11" s="85"/>
      <c r="D11" s="85"/>
      <c r="E11" s="74" t="s">
        <v>203</v>
      </c>
      <c r="F11" s="85"/>
      <c r="G11" s="85"/>
      <c r="H11" s="85"/>
    </row>
    <row r="12" spans="1:8" ht="32.25" customHeight="1" x14ac:dyDescent="0.35">
      <c r="A12" s="73" t="s">
        <v>8</v>
      </c>
      <c r="B12" s="73"/>
      <c r="C12" s="73"/>
      <c r="D12" s="73"/>
      <c r="E12" s="134" t="s">
        <v>146</v>
      </c>
      <c r="F12" s="134"/>
      <c r="G12" s="134"/>
      <c r="H12" s="134"/>
    </row>
    <row r="13" spans="1:8" ht="34.5" customHeight="1" x14ac:dyDescent="0.35">
      <c r="A13" s="73" t="s">
        <v>9</v>
      </c>
      <c r="B13" s="73"/>
      <c r="C13" s="73"/>
      <c r="D13" s="73"/>
      <c r="E13" s="74" t="s">
        <v>204</v>
      </c>
      <c r="F13" s="85"/>
      <c r="G13" s="85"/>
      <c r="H13" s="85"/>
    </row>
    <row r="14" spans="1:8" ht="48.75" customHeight="1" x14ac:dyDescent="0.35">
      <c r="A14" s="84" t="s">
        <v>10</v>
      </c>
      <c r="B14" s="84"/>
      <c r="C14" s="84" t="str">
        <f>CONCATENATE((IF(OR(E8="",E8="NA"),"",E8)),", ",(IF(OR(A15="",A15="NA"),"",A15)),".",(IF(OR(C15="",C15="NA"),"",C15)),", ",(IF(OR(C16="",C16="NA"),"",C16)),", ",(IF(OR(G16="",G16="NA"),"",G16)),", ",(IF(OR(C17="",C17="NA"),"",C17)),", ",(IF(OR(C18="",C18="NA"),"",C18)),", ",(IF(OR(G17="",G17="NA"),"",G17)),", ",(IF(OR(G18="",G18="NA"),"",G18)),".")</f>
        <v>Padmadisha Paradise, Survey No.133/H.no.1, S.no.133/H.no.2/A/1, S.no.133/H.no.2/3, S.no.134/H.no.12, S.no.135/H.no.6/A, Bhiwandi-Murbad Road, Temghar, Bhiwandi, Bhiwandi, Thane, 421302.</v>
      </c>
      <c r="D14" s="84"/>
      <c r="E14" s="84"/>
      <c r="F14" s="84"/>
      <c r="G14" s="84"/>
      <c r="H14" s="84"/>
    </row>
    <row r="15" spans="1:8" ht="33.75" customHeight="1" x14ac:dyDescent="0.35">
      <c r="A15" s="74" t="s">
        <v>200</v>
      </c>
      <c r="B15" s="74"/>
      <c r="C15" s="74" t="s">
        <v>201</v>
      </c>
      <c r="D15" s="74"/>
      <c r="E15" s="74"/>
      <c r="F15" s="74"/>
      <c r="G15" s="74"/>
      <c r="H15" s="74"/>
    </row>
    <row r="16" spans="1:8" ht="15.75" customHeight="1" x14ac:dyDescent="0.35">
      <c r="A16" s="84" t="s">
        <v>11</v>
      </c>
      <c r="B16" s="84"/>
      <c r="C16" s="85" t="s">
        <v>169</v>
      </c>
      <c r="D16" s="85"/>
      <c r="E16" s="84" t="s">
        <v>103</v>
      </c>
      <c r="F16" s="84"/>
      <c r="G16" s="74" t="s">
        <v>166</v>
      </c>
      <c r="H16" s="74"/>
    </row>
    <row r="17" spans="1:8" x14ac:dyDescent="0.35">
      <c r="A17" s="73" t="s">
        <v>13</v>
      </c>
      <c r="B17" s="73"/>
      <c r="C17" s="85" t="s">
        <v>168</v>
      </c>
      <c r="D17" s="85"/>
      <c r="E17" s="84" t="s">
        <v>12</v>
      </c>
      <c r="F17" s="84"/>
      <c r="G17" s="86" t="s">
        <v>167</v>
      </c>
      <c r="H17" s="86"/>
    </row>
    <row r="18" spans="1:8" x14ac:dyDescent="0.35">
      <c r="A18" s="73" t="s">
        <v>104</v>
      </c>
      <c r="B18" s="73"/>
      <c r="C18" s="74" t="s">
        <v>168</v>
      </c>
      <c r="D18" s="74"/>
      <c r="E18" s="84" t="s">
        <v>14</v>
      </c>
      <c r="F18" s="84"/>
      <c r="G18" s="74">
        <v>421302</v>
      </c>
      <c r="H18" s="74"/>
    </row>
    <row r="19" spans="1:8" ht="35.25" customHeight="1" x14ac:dyDescent="0.35">
      <c r="A19" s="73" t="s">
        <v>15</v>
      </c>
      <c r="B19" s="73"/>
      <c r="C19" s="84" t="s">
        <v>170</v>
      </c>
      <c r="D19" s="84"/>
      <c r="E19" s="84" t="s">
        <v>16</v>
      </c>
      <c r="F19" s="84"/>
      <c r="G19" s="74" t="s">
        <v>171</v>
      </c>
      <c r="H19" s="74"/>
    </row>
    <row r="20" spans="1:8" ht="15" customHeight="1" x14ac:dyDescent="0.35">
      <c r="A20" s="84" t="s">
        <v>109</v>
      </c>
      <c r="B20" s="84"/>
      <c r="C20" s="84"/>
      <c r="D20" s="84"/>
      <c r="E20" s="85" t="s">
        <v>17</v>
      </c>
      <c r="F20" s="85"/>
      <c r="G20" s="85"/>
      <c r="H20" s="85"/>
    </row>
    <row r="21" spans="1:8" ht="18.75" customHeight="1" x14ac:dyDescent="0.35">
      <c r="A21" s="84"/>
      <c r="B21" s="84"/>
      <c r="C21" s="84"/>
      <c r="D21" s="84"/>
      <c r="E21" s="85"/>
      <c r="F21" s="85"/>
      <c r="G21" s="85"/>
      <c r="H21" s="85"/>
    </row>
    <row r="22" spans="1:8" ht="15" customHeight="1" x14ac:dyDescent="0.35">
      <c r="A22" s="84" t="s">
        <v>18</v>
      </c>
      <c r="B22" s="84"/>
      <c r="C22" s="84"/>
      <c r="D22" s="84"/>
      <c r="E22" s="74" t="s">
        <v>19</v>
      </c>
      <c r="F22" s="74"/>
      <c r="G22" s="74"/>
      <c r="H22" s="74"/>
    </row>
    <row r="23" spans="1:8" ht="15" customHeight="1" x14ac:dyDescent="0.35">
      <c r="A23" s="73" t="s">
        <v>20</v>
      </c>
      <c r="B23" s="73"/>
      <c r="C23" s="73"/>
      <c r="D23" s="73"/>
      <c r="E23" s="74" t="s">
        <v>162</v>
      </c>
      <c r="F23" s="74"/>
      <c r="G23" s="74"/>
      <c r="H23" s="74"/>
    </row>
    <row r="24" spans="1:8" x14ac:dyDescent="0.35">
      <c r="A24" s="73" t="s">
        <v>21</v>
      </c>
      <c r="B24" s="73"/>
      <c r="C24" s="73"/>
      <c r="D24" s="73"/>
      <c r="E24" s="74" t="s">
        <v>22</v>
      </c>
      <c r="F24" s="74"/>
      <c r="G24" s="74"/>
      <c r="H24" s="74"/>
    </row>
    <row r="25" spans="1:8" x14ac:dyDescent="0.35">
      <c r="A25" s="73" t="s">
        <v>23</v>
      </c>
      <c r="B25" s="73"/>
      <c r="C25" s="73"/>
      <c r="D25" s="73"/>
      <c r="E25" s="74" t="s">
        <v>163</v>
      </c>
      <c r="F25" s="74"/>
      <c r="G25" s="74"/>
      <c r="H25" s="74"/>
    </row>
    <row r="26" spans="1:8" x14ac:dyDescent="0.35">
      <c r="A26" s="73" t="s">
        <v>24</v>
      </c>
      <c r="B26" s="73"/>
      <c r="C26" s="73"/>
      <c r="D26" s="73"/>
      <c r="E26" s="74" t="s">
        <v>25</v>
      </c>
      <c r="F26" s="74"/>
      <c r="G26" s="74"/>
      <c r="H26" s="74"/>
    </row>
    <row r="27" spans="1:8" x14ac:dyDescent="0.35">
      <c r="A27" s="73" t="s">
        <v>116</v>
      </c>
      <c r="B27" s="73"/>
      <c r="C27" s="73"/>
      <c r="D27" s="73"/>
      <c r="E27" s="74" t="s">
        <v>117</v>
      </c>
      <c r="F27" s="74"/>
      <c r="G27" s="74"/>
      <c r="H27" s="74"/>
    </row>
    <row r="28" spans="1:8" ht="15" customHeight="1" x14ac:dyDescent="0.35">
      <c r="A28" s="84" t="s">
        <v>34</v>
      </c>
      <c r="B28" s="84"/>
      <c r="C28" s="84"/>
      <c r="D28" s="84"/>
      <c r="E28" s="133" t="s">
        <v>164</v>
      </c>
      <c r="F28" s="133"/>
      <c r="G28" s="133"/>
      <c r="H28" s="133"/>
    </row>
    <row r="29" spans="1:8" x14ac:dyDescent="0.35">
      <c r="A29" s="84" t="s">
        <v>130</v>
      </c>
      <c r="B29" s="84"/>
      <c r="C29" s="84"/>
      <c r="D29" s="84"/>
      <c r="E29" s="74" t="s">
        <v>35</v>
      </c>
      <c r="F29" s="74"/>
      <c r="G29" s="74"/>
      <c r="H29" s="74"/>
    </row>
    <row r="30" spans="1:8" s="12" customFormat="1" x14ac:dyDescent="0.35">
      <c r="A30" s="146" t="s">
        <v>131</v>
      </c>
      <c r="B30" s="146"/>
      <c r="C30" s="138" t="s">
        <v>30</v>
      </c>
      <c r="D30" s="138"/>
      <c r="E30" s="138"/>
      <c r="F30" s="138" t="s">
        <v>32</v>
      </c>
      <c r="G30" s="138"/>
      <c r="H30" s="138"/>
    </row>
    <row r="31" spans="1:8" s="12" customFormat="1" x14ac:dyDescent="0.35">
      <c r="A31" s="136" t="s">
        <v>26</v>
      </c>
      <c r="B31" s="136" t="s">
        <v>31</v>
      </c>
      <c r="C31" s="103" t="s">
        <v>31</v>
      </c>
      <c r="D31" s="103"/>
      <c r="E31" s="103"/>
      <c r="F31" s="103" t="s">
        <v>172</v>
      </c>
      <c r="G31" s="103"/>
      <c r="H31" s="103"/>
    </row>
    <row r="32" spans="1:8" x14ac:dyDescent="0.35">
      <c r="A32" s="136" t="s">
        <v>27</v>
      </c>
      <c r="B32" s="136" t="s">
        <v>31</v>
      </c>
      <c r="C32" s="103" t="s">
        <v>31</v>
      </c>
      <c r="D32" s="103"/>
      <c r="E32" s="103"/>
      <c r="F32" s="103" t="s">
        <v>173</v>
      </c>
      <c r="G32" s="103"/>
      <c r="H32" s="103"/>
    </row>
    <row r="33" spans="1:8" s="12" customFormat="1" x14ac:dyDescent="0.35">
      <c r="A33" s="136" t="s">
        <v>29</v>
      </c>
      <c r="B33" s="136" t="s">
        <v>31</v>
      </c>
      <c r="C33" s="103" t="s">
        <v>31</v>
      </c>
      <c r="D33" s="103"/>
      <c r="E33" s="103"/>
      <c r="F33" s="103" t="s">
        <v>170</v>
      </c>
      <c r="G33" s="103"/>
      <c r="H33" s="103"/>
    </row>
    <row r="34" spans="1:8" x14ac:dyDescent="0.35">
      <c r="A34" s="136" t="s">
        <v>28</v>
      </c>
      <c r="B34" s="136" t="s">
        <v>31</v>
      </c>
      <c r="C34" s="103" t="s">
        <v>31</v>
      </c>
      <c r="D34" s="103"/>
      <c r="E34" s="103"/>
      <c r="F34" s="103" t="s">
        <v>172</v>
      </c>
      <c r="G34" s="103"/>
      <c r="H34" s="103"/>
    </row>
    <row r="35" spans="1:8" x14ac:dyDescent="0.35">
      <c r="A35" s="73" t="s">
        <v>33</v>
      </c>
      <c r="B35" s="73"/>
      <c r="C35" s="73"/>
      <c r="D35" s="73"/>
      <c r="E35" s="73"/>
      <c r="F35" s="73"/>
      <c r="G35" s="73"/>
      <c r="H35" s="73"/>
    </row>
    <row r="36" spans="1:8" ht="15.75" customHeight="1" x14ac:dyDescent="0.35">
      <c r="A36" s="73" t="s">
        <v>270</v>
      </c>
      <c r="B36" s="73"/>
      <c r="C36" s="177" t="s">
        <v>271</v>
      </c>
      <c r="D36" s="178"/>
      <c r="E36" s="178"/>
      <c r="F36" s="178"/>
      <c r="G36" s="178"/>
      <c r="H36" s="179"/>
    </row>
    <row r="37" spans="1:8" ht="15.75" customHeight="1" x14ac:dyDescent="0.35">
      <c r="A37" s="73" t="s">
        <v>262</v>
      </c>
      <c r="B37" s="73"/>
      <c r="C37" s="180" t="s">
        <v>263</v>
      </c>
      <c r="D37" s="181"/>
      <c r="E37" s="181"/>
      <c r="F37" s="181"/>
      <c r="G37" s="181"/>
      <c r="H37" s="182"/>
    </row>
    <row r="38" spans="1:8" x14ac:dyDescent="0.35">
      <c r="A38" s="118" t="s">
        <v>36</v>
      </c>
      <c r="B38" s="118"/>
      <c r="C38" s="118"/>
      <c r="D38" s="118"/>
      <c r="E38" s="118"/>
      <c r="F38" s="118"/>
      <c r="G38" s="118"/>
      <c r="H38" s="118"/>
    </row>
    <row r="39" spans="1:8" x14ac:dyDescent="0.35">
      <c r="A39" s="73" t="s">
        <v>37</v>
      </c>
      <c r="B39" s="73"/>
      <c r="C39" s="73"/>
      <c r="D39" s="73"/>
      <c r="E39" s="137">
        <v>6336.08</v>
      </c>
      <c r="F39" s="137"/>
      <c r="G39" s="137"/>
      <c r="H39" s="137"/>
    </row>
    <row r="40" spans="1:8" x14ac:dyDescent="0.35">
      <c r="A40" s="73" t="s">
        <v>38</v>
      </c>
      <c r="B40" s="73"/>
      <c r="C40" s="73"/>
      <c r="D40" s="73"/>
      <c r="E40" s="135">
        <v>1</v>
      </c>
      <c r="F40" s="135"/>
      <c r="G40" s="135"/>
      <c r="H40" s="135"/>
    </row>
    <row r="41" spans="1:8" x14ac:dyDescent="0.35">
      <c r="A41" s="73" t="s">
        <v>39</v>
      </c>
      <c r="B41" s="73"/>
      <c r="C41" s="73"/>
      <c r="D41" s="73"/>
      <c r="E41" s="135">
        <f>E43/E39-E40</f>
        <v>1.2196689435739447</v>
      </c>
      <c r="F41" s="135"/>
      <c r="G41" s="135"/>
      <c r="H41" s="135"/>
    </row>
    <row r="42" spans="1:8" x14ac:dyDescent="0.35">
      <c r="A42" s="73" t="s">
        <v>40</v>
      </c>
      <c r="B42" s="73"/>
      <c r="C42" s="73"/>
      <c r="D42" s="73"/>
      <c r="E42" s="135">
        <f>E40+E41</f>
        <v>2.2196689435739447</v>
      </c>
      <c r="F42" s="135"/>
      <c r="G42" s="135"/>
      <c r="H42" s="135"/>
    </row>
    <row r="43" spans="1:8" x14ac:dyDescent="0.35">
      <c r="A43" s="73" t="s">
        <v>129</v>
      </c>
      <c r="B43" s="73"/>
      <c r="C43" s="73"/>
      <c r="D43" s="73"/>
      <c r="E43" s="155">
        <v>14064</v>
      </c>
      <c r="F43" s="155"/>
      <c r="G43" s="155"/>
      <c r="H43" s="155"/>
    </row>
    <row r="44" spans="1:8" x14ac:dyDescent="0.35">
      <c r="A44" s="85" t="s">
        <v>41</v>
      </c>
      <c r="B44" s="85"/>
      <c r="C44" s="85"/>
      <c r="D44" s="85"/>
      <c r="E44" s="85" t="s">
        <v>205</v>
      </c>
      <c r="F44" s="85"/>
      <c r="G44" s="85"/>
      <c r="H44" s="85"/>
    </row>
    <row r="45" spans="1:8" ht="16" thickBot="1" x14ac:dyDescent="0.4">
      <c r="A45" s="156" t="s">
        <v>42</v>
      </c>
      <c r="B45" s="156"/>
      <c r="C45" s="156"/>
      <c r="D45" s="156"/>
      <c r="E45" s="156"/>
      <c r="F45" s="156"/>
      <c r="G45" s="156"/>
      <c r="H45" s="156"/>
    </row>
    <row r="46" spans="1:8" x14ac:dyDescent="0.35">
      <c r="A46" s="183" t="s">
        <v>43</v>
      </c>
      <c r="B46" s="154"/>
      <c r="C46" s="154" t="s">
        <v>245</v>
      </c>
      <c r="D46" s="154"/>
      <c r="E46" s="154"/>
      <c r="F46" s="50" t="s">
        <v>44</v>
      </c>
      <c r="G46" s="95">
        <v>44530</v>
      </c>
      <c r="H46" s="96"/>
    </row>
    <row r="47" spans="1:8" ht="81" customHeight="1" thickBot="1" x14ac:dyDescent="0.4">
      <c r="A47" s="184" t="s">
        <v>45</v>
      </c>
      <c r="B47" s="185"/>
      <c r="C47" s="74" t="s">
        <v>246</v>
      </c>
      <c r="D47" s="74"/>
      <c r="E47" s="74"/>
      <c r="F47" s="48" t="s">
        <v>44</v>
      </c>
      <c r="G47" s="90">
        <f>G46</f>
        <v>44530</v>
      </c>
      <c r="H47" s="91"/>
    </row>
    <row r="48" spans="1:8" s="11" customFormat="1" x14ac:dyDescent="0.35">
      <c r="A48" s="92" t="s">
        <v>46</v>
      </c>
      <c r="B48" s="74"/>
      <c r="C48" s="74" t="s">
        <v>247</v>
      </c>
      <c r="D48" s="85"/>
      <c r="E48" s="85"/>
      <c r="F48" s="51" t="s">
        <v>44</v>
      </c>
      <c r="G48" s="95">
        <v>44530</v>
      </c>
      <c r="H48" s="96"/>
    </row>
    <row r="49" spans="1:8" s="11" customFormat="1" ht="64.5" customHeight="1" thickBot="1" x14ac:dyDescent="0.4">
      <c r="A49" s="93"/>
      <c r="B49" s="94"/>
      <c r="C49" s="188" t="s">
        <v>259</v>
      </c>
      <c r="D49" s="189"/>
      <c r="E49" s="189"/>
      <c r="F49" s="189"/>
      <c r="G49" s="189"/>
      <c r="H49" s="190"/>
    </row>
    <row r="50" spans="1:8" x14ac:dyDescent="0.35">
      <c r="A50" s="152" t="s">
        <v>43</v>
      </c>
      <c r="B50" s="153"/>
      <c r="C50" s="154" t="s">
        <v>175</v>
      </c>
      <c r="D50" s="154"/>
      <c r="E50" s="154"/>
      <c r="F50" s="50" t="s">
        <v>44</v>
      </c>
      <c r="G50" s="154" t="s">
        <v>177</v>
      </c>
      <c r="H50" s="96"/>
    </row>
    <row r="51" spans="1:8" ht="84" customHeight="1" x14ac:dyDescent="0.35">
      <c r="A51" s="186" t="s">
        <v>45</v>
      </c>
      <c r="B51" s="187"/>
      <c r="C51" s="74" t="s">
        <v>226</v>
      </c>
      <c r="D51" s="74"/>
      <c r="E51" s="74"/>
      <c r="F51" s="48" t="s">
        <v>44</v>
      </c>
      <c r="G51" s="74" t="s">
        <v>177</v>
      </c>
      <c r="H51" s="91"/>
    </row>
    <row r="52" spans="1:8" s="11" customFormat="1" x14ac:dyDescent="0.35">
      <c r="A52" s="92" t="s">
        <v>46</v>
      </c>
      <c r="B52" s="74"/>
      <c r="C52" s="74" t="s">
        <v>176</v>
      </c>
      <c r="D52" s="85"/>
      <c r="E52" s="85"/>
      <c r="F52" s="51" t="s">
        <v>44</v>
      </c>
      <c r="G52" s="85" t="s">
        <v>178</v>
      </c>
      <c r="H52" s="158"/>
    </row>
    <row r="53" spans="1:8" s="11" customFormat="1" ht="69.75" customHeight="1" thickBot="1" x14ac:dyDescent="0.4">
      <c r="A53" s="93"/>
      <c r="B53" s="94"/>
      <c r="C53" s="94" t="s">
        <v>225</v>
      </c>
      <c r="D53" s="94"/>
      <c r="E53" s="94"/>
      <c r="F53" s="52" t="s">
        <v>125</v>
      </c>
      <c r="G53" s="94" t="s">
        <v>179</v>
      </c>
      <c r="H53" s="157"/>
    </row>
    <row r="54" spans="1:8" ht="66.75" customHeight="1" x14ac:dyDescent="0.35">
      <c r="A54" s="152" t="s">
        <v>45</v>
      </c>
      <c r="B54" s="153"/>
      <c r="C54" s="154" t="s">
        <v>224</v>
      </c>
      <c r="D54" s="154"/>
      <c r="E54" s="154"/>
      <c r="F54" s="50" t="s">
        <v>44</v>
      </c>
      <c r="G54" s="154" t="s">
        <v>214</v>
      </c>
      <c r="H54" s="96"/>
    </row>
    <row r="55" spans="1:8" s="11" customFormat="1" x14ac:dyDescent="0.35">
      <c r="A55" s="74" t="s">
        <v>46</v>
      </c>
      <c r="B55" s="74"/>
      <c r="C55" s="74" t="s">
        <v>222</v>
      </c>
      <c r="D55" s="85"/>
      <c r="E55" s="85"/>
      <c r="F55" s="51" t="s">
        <v>44</v>
      </c>
      <c r="G55" s="85" t="s">
        <v>214</v>
      </c>
      <c r="H55" s="85"/>
    </row>
    <row r="56" spans="1:8" s="11" customFormat="1" ht="49.5" customHeight="1" x14ac:dyDescent="0.35">
      <c r="A56" s="74"/>
      <c r="B56" s="74"/>
      <c r="C56" s="74" t="s">
        <v>223</v>
      </c>
      <c r="D56" s="74"/>
      <c r="E56" s="74"/>
      <c r="F56" s="71" t="s">
        <v>125</v>
      </c>
      <c r="G56" s="74" t="s">
        <v>179</v>
      </c>
      <c r="H56" s="74"/>
    </row>
    <row r="57" spans="1:8" ht="51" customHeight="1" x14ac:dyDescent="0.35">
      <c r="A57" s="161" t="s">
        <v>47</v>
      </c>
      <c r="B57" s="161"/>
      <c r="C57" s="112" t="s">
        <v>261</v>
      </c>
      <c r="D57" s="111"/>
      <c r="E57" s="111" t="s">
        <v>48</v>
      </c>
      <c r="F57" s="70" t="s">
        <v>44</v>
      </c>
      <c r="G57" s="162">
        <v>43381</v>
      </c>
      <c r="H57" s="112"/>
    </row>
    <row r="58" spans="1:8" ht="48" customHeight="1" x14ac:dyDescent="0.35">
      <c r="A58" s="149" t="s">
        <v>47</v>
      </c>
      <c r="B58" s="149"/>
      <c r="C58" s="150" t="s">
        <v>260</v>
      </c>
      <c r="D58" s="151"/>
      <c r="E58" s="151" t="s">
        <v>48</v>
      </c>
      <c r="F58" s="53" t="s">
        <v>44</v>
      </c>
      <c r="G58" s="147">
        <v>44515</v>
      </c>
      <c r="H58" s="148"/>
    </row>
    <row r="59" spans="1:8" x14ac:dyDescent="0.35">
      <c r="A59" s="160" t="s">
        <v>50</v>
      </c>
      <c r="B59" s="160"/>
      <c r="C59" s="160"/>
      <c r="D59" s="160"/>
      <c r="E59" s="160"/>
      <c r="F59" s="160"/>
      <c r="G59" s="160"/>
      <c r="H59" s="160"/>
    </row>
    <row r="60" spans="1:8" x14ac:dyDescent="0.35">
      <c r="A60" s="84" t="s">
        <v>128</v>
      </c>
      <c r="B60" s="84"/>
      <c r="C60" s="84"/>
      <c r="D60" s="73">
        <v>1230.45</v>
      </c>
      <c r="E60" s="73"/>
      <c r="F60" s="73"/>
      <c r="G60" s="73"/>
      <c r="H60" s="73"/>
    </row>
    <row r="61" spans="1:8" x14ac:dyDescent="0.35">
      <c r="A61" s="74" t="s">
        <v>51</v>
      </c>
      <c r="B61" s="85"/>
      <c r="C61" s="85"/>
      <c r="D61" s="85" t="s">
        <v>257</v>
      </c>
      <c r="E61" s="85"/>
      <c r="F61" s="85"/>
      <c r="G61" s="85"/>
      <c r="H61" s="85"/>
    </row>
    <row r="62" spans="1:8" ht="48" customHeight="1" x14ac:dyDescent="0.35">
      <c r="A62" s="74" t="s">
        <v>52</v>
      </c>
      <c r="B62" s="85"/>
      <c r="C62" s="85"/>
      <c r="D62" s="74" t="s">
        <v>258</v>
      </c>
      <c r="E62" s="85"/>
      <c r="F62" s="85"/>
      <c r="G62" s="85"/>
      <c r="H62" s="85"/>
    </row>
    <row r="63" spans="1:8" ht="47.25" customHeight="1" x14ac:dyDescent="0.35">
      <c r="A63" s="74" t="s">
        <v>126</v>
      </c>
      <c r="B63" s="85"/>
      <c r="C63" s="85"/>
      <c r="D63" s="74" t="s">
        <v>273</v>
      </c>
      <c r="E63" s="85"/>
      <c r="F63" s="85"/>
      <c r="G63" s="85"/>
      <c r="H63" s="85"/>
    </row>
    <row r="64" spans="1:8" ht="15.75" customHeight="1" x14ac:dyDescent="0.35">
      <c r="A64" s="85" t="s">
        <v>49</v>
      </c>
      <c r="B64" s="85"/>
      <c r="C64" s="85"/>
      <c r="D64" s="74" t="s">
        <v>248</v>
      </c>
      <c r="E64" s="74"/>
      <c r="F64" s="74"/>
      <c r="G64" s="74"/>
      <c r="H64" s="74"/>
    </row>
    <row r="65" spans="1:11" ht="15.75" customHeight="1" x14ac:dyDescent="0.35">
      <c r="A65" s="85" t="s">
        <v>122</v>
      </c>
      <c r="B65" s="85"/>
      <c r="C65" s="85"/>
      <c r="D65" s="74" t="s">
        <v>123</v>
      </c>
      <c r="E65" s="74"/>
      <c r="F65" s="74"/>
      <c r="G65" s="74"/>
      <c r="H65" s="74"/>
    </row>
    <row r="66" spans="1:11" ht="15.75" customHeight="1" x14ac:dyDescent="0.35">
      <c r="A66" s="85" t="s">
        <v>124</v>
      </c>
      <c r="B66" s="85"/>
      <c r="C66" s="85"/>
      <c r="D66" s="74" t="s">
        <v>25</v>
      </c>
      <c r="E66" s="74"/>
      <c r="F66" s="74"/>
      <c r="G66" s="74"/>
      <c r="H66" s="74"/>
      <c r="J66" s="16"/>
      <c r="K66" s="16"/>
    </row>
    <row r="67" spans="1:11" ht="15.75" customHeight="1" thickBot="1" x14ac:dyDescent="0.4">
      <c r="A67" s="159" t="s">
        <v>121</v>
      </c>
      <c r="B67" s="159"/>
      <c r="C67" s="159"/>
      <c r="D67" s="94" t="s">
        <v>180</v>
      </c>
      <c r="E67" s="94"/>
      <c r="F67" s="94"/>
      <c r="G67" s="94"/>
      <c r="H67" s="94"/>
      <c r="J67" s="16"/>
      <c r="K67" s="16"/>
    </row>
    <row r="68" spans="1:11" ht="15.75" customHeight="1" x14ac:dyDescent="0.35">
      <c r="A68" s="105" t="s">
        <v>241</v>
      </c>
      <c r="B68" s="106"/>
      <c r="C68" s="107" t="s">
        <v>243</v>
      </c>
      <c r="D68" s="108"/>
      <c r="E68" s="108"/>
      <c r="F68" s="108"/>
      <c r="G68" s="108"/>
      <c r="H68" s="109"/>
      <c r="I68" s="17" t="str">
        <f ca="1">(IF(C72=0,"Work not yet Started.",IF(D72=50%,"Excavation work in process",IF(D72=100%,"Excavation work completed, ","0")))&amp;(IF(C73=0%,"",IF(D73=25%,"Footing work is process",IF(D73=50%,"Footing work Completed",IF(D73=75%,"Plinth work is process",IF(D73=100%,"Plinth work completed","0"))))))&amp;(IF(C74&gt;0,", RCC upto "&amp;C74&amp;" Slab completed",""))&amp;(IF(C75&gt;0,", Brickwork upto "&amp;C75&amp;" Floor completed"," "))&amp;(IF(C76&gt;0,", Internal Plaster upto "&amp;C76&amp;" Floor completed"," "))&amp;(IF(C77&gt;0,", External Plaster upto "&amp;C77&amp;" Floor completed"," "))&amp;(IF(C78&gt;0,", Flooring upto "&amp;C78&amp;" Floor completed"," "))&amp;(IF(C79&gt;0,", Painting upto "&amp;C79&amp;" Floor completed"," "))&amp;(IF(C80&gt;0,", Finishing upto "&amp;C80&amp;" Floor completed"," ")))</f>
        <v>Excavation work completed, Plinth work completed, RCC upto 13 Slab completed, Brickwork upto 12 Floor completed, Internal Plaster upto 12 Floor completed, External Plaster upto 12 Floor completed, Flooring upto 12 Floor completed, Painting upto 12 Floor completed, Finishing upto 12 Floor completed</v>
      </c>
      <c r="J68" s="17"/>
      <c r="K68" s="18"/>
    </row>
    <row r="69" spans="1:11" x14ac:dyDescent="0.35">
      <c r="A69" s="102" t="s">
        <v>102</v>
      </c>
      <c r="B69" s="103"/>
      <c r="C69" s="103">
        <v>1</v>
      </c>
      <c r="D69" s="103"/>
      <c r="E69" s="46" t="s">
        <v>101</v>
      </c>
      <c r="F69" s="46">
        <v>0</v>
      </c>
      <c r="G69" s="46" t="s">
        <v>115</v>
      </c>
      <c r="H69" s="33">
        <f ca="1">--TRIM(RIGHT(SUBSTITUTE(LEFT(C68,_xlfn.AGGREGATE(16,6,FIND({0,1,2,3,4,5,6,7,8,9},C68,ROW(INDIRECT("1:"&amp;LEN(C68)))),1))," ",REPT(" ",LEN(C68))),LEN(C68)))</f>
        <v>12</v>
      </c>
      <c r="I69" s="16" t="s">
        <v>144</v>
      </c>
      <c r="J69" s="16"/>
      <c r="K69" s="19"/>
    </row>
    <row r="70" spans="1:11" x14ac:dyDescent="0.35">
      <c r="A70" s="110" t="s">
        <v>127</v>
      </c>
      <c r="B70" s="111"/>
      <c r="C70" s="112" t="str">
        <f>I71</f>
        <v>All work Completed. OC Received.</v>
      </c>
      <c r="D70" s="112"/>
      <c r="E70" s="112"/>
      <c r="F70" s="112"/>
      <c r="G70" s="112"/>
      <c r="H70" s="113"/>
      <c r="I70" s="16" t="s">
        <v>159</v>
      </c>
      <c r="J70" s="16"/>
      <c r="K70" s="19"/>
    </row>
    <row r="71" spans="1:11" hidden="1" x14ac:dyDescent="0.35">
      <c r="A71" s="100" t="s">
        <v>53</v>
      </c>
      <c r="B71" s="101"/>
      <c r="C71" s="45" t="s">
        <v>228</v>
      </c>
      <c r="D71" s="44" t="s">
        <v>118</v>
      </c>
      <c r="E71" s="101" t="s">
        <v>120</v>
      </c>
      <c r="F71" s="101"/>
      <c r="G71" s="101" t="s">
        <v>119</v>
      </c>
      <c r="H71" s="119"/>
      <c r="I71" s="16" t="s">
        <v>145</v>
      </c>
      <c r="K71" s="20"/>
    </row>
    <row r="72" spans="1:11" ht="15.75" hidden="1" customHeight="1" x14ac:dyDescent="0.35">
      <c r="A72" s="100" t="s">
        <v>229</v>
      </c>
      <c r="B72" s="101"/>
      <c r="C72" s="54">
        <f ca="1">K75</f>
        <v>12</v>
      </c>
      <c r="D72" s="55">
        <f ca="1">((100/H69)*C72)/100</f>
        <v>1</v>
      </c>
      <c r="E72" s="98" t="str">
        <f>(IF(C70=I70,"100%",IF(C70=I71,"100%",(((C73/H69*10)+(40/(C69+F69+H69)*C74)+(7.5/(H69)*C75)+(7.5/(H69)*C76)+(10/H69*C77)+(10/H69*C78)+(5/H69*C79)+(5/H69*C80)+(5/H69*C81))/100))))</f>
        <v>100%</v>
      </c>
      <c r="F72" s="98"/>
      <c r="G72" s="98">
        <f ca="1">((((C72/H69)*20)+((C73/H69)*25)+(30/(H69+F69+C69)*C74)+(5/H69*C75)+(5/H69*C76)+(5/H69*C77)+(5/H69*C78)+(0/H69*C79)+(0/H69*C80)+(5/H69*C81))/100)</f>
        <v>1</v>
      </c>
      <c r="H72" s="164"/>
      <c r="I72" s="16"/>
      <c r="K72" s="20"/>
    </row>
    <row r="73" spans="1:11" hidden="1" x14ac:dyDescent="0.35">
      <c r="A73" s="100" t="s">
        <v>230</v>
      </c>
      <c r="B73" s="101"/>
      <c r="C73" s="54">
        <f ca="1">K80</f>
        <v>12</v>
      </c>
      <c r="D73" s="55">
        <f ca="1">((100/H69)*C73)/100</f>
        <v>1</v>
      </c>
      <c r="E73" s="98"/>
      <c r="F73" s="98"/>
      <c r="G73" s="98"/>
      <c r="H73" s="164"/>
      <c r="K73" s="20"/>
    </row>
    <row r="74" spans="1:11" ht="15.75" hidden="1" customHeight="1" x14ac:dyDescent="0.35">
      <c r="A74" s="100" t="s">
        <v>231</v>
      </c>
      <c r="B74" s="101"/>
      <c r="C74" s="56">
        <f ca="1">C69+F69+H69</f>
        <v>13</v>
      </c>
      <c r="D74" s="55">
        <f ca="1">((100/(C69+F69+H69))*C74)/100</f>
        <v>1</v>
      </c>
      <c r="E74" s="98"/>
      <c r="F74" s="98"/>
      <c r="G74" s="98"/>
      <c r="H74" s="164"/>
      <c r="I74" s="38" t="s">
        <v>138</v>
      </c>
      <c r="J74" s="21"/>
      <c r="K74" s="39">
        <f ca="1">H69*50%</f>
        <v>6</v>
      </c>
    </row>
    <row r="75" spans="1:11" ht="15.75" hidden="1" customHeight="1" x14ac:dyDescent="0.35">
      <c r="A75" s="100" t="s">
        <v>232</v>
      </c>
      <c r="B75" s="101" t="s">
        <v>233</v>
      </c>
      <c r="C75" s="54">
        <f ca="1">H69</f>
        <v>12</v>
      </c>
      <c r="D75" s="55">
        <f ca="1">((100/H69)*C75)/100</f>
        <v>1</v>
      </c>
      <c r="E75" s="98"/>
      <c r="F75" s="98"/>
      <c r="G75" s="98"/>
      <c r="H75" s="164"/>
      <c r="I75" s="38" t="s">
        <v>139</v>
      </c>
      <c r="J75" s="21"/>
      <c r="K75" s="39">
        <f ca="1">H69</f>
        <v>12</v>
      </c>
    </row>
    <row r="76" spans="1:11" ht="15.75" hidden="1" customHeight="1" x14ac:dyDescent="0.35">
      <c r="A76" s="100" t="s">
        <v>234</v>
      </c>
      <c r="B76" s="101" t="s">
        <v>233</v>
      </c>
      <c r="C76" s="54">
        <f ca="1">H69</f>
        <v>12</v>
      </c>
      <c r="D76" s="55">
        <f ca="1">((100/H69)*C76)/100</f>
        <v>1</v>
      </c>
      <c r="E76" s="98"/>
      <c r="F76" s="98"/>
      <c r="G76" s="98"/>
      <c r="H76" s="164"/>
      <c r="I76" s="38"/>
      <c r="J76" s="21"/>
      <c r="K76" s="39"/>
    </row>
    <row r="77" spans="1:11" ht="15" hidden="1" customHeight="1" x14ac:dyDescent="0.35">
      <c r="A77" s="100" t="s">
        <v>235</v>
      </c>
      <c r="B77" s="101" t="s">
        <v>236</v>
      </c>
      <c r="C77" s="54">
        <f ca="1">H69</f>
        <v>12</v>
      </c>
      <c r="D77" s="55">
        <f ca="1">((100/(H69))*C77)/100</f>
        <v>1</v>
      </c>
      <c r="E77" s="98"/>
      <c r="F77" s="98"/>
      <c r="G77" s="98"/>
      <c r="H77" s="164"/>
      <c r="I77" s="38" t="s">
        <v>140</v>
      </c>
      <c r="J77" s="21"/>
      <c r="K77" s="39">
        <f ca="1">H69*25%</f>
        <v>3</v>
      </c>
    </row>
    <row r="78" spans="1:11" ht="15.75" hidden="1" customHeight="1" x14ac:dyDescent="0.35">
      <c r="A78" s="100" t="s">
        <v>237</v>
      </c>
      <c r="B78" s="101" t="s">
        <v>237</v>
      </c>
      <c r="C78" s="54">
        <f ca="1">H69</f>
        <v>12</v>
      </c>
      <c r="D78" s="55">
        <f ca="1">((100/H69)*C78)/100</f>
        <v>1</v>
      </c>
      <c r="E78" s="98"/>
      <c r="F78" s="98"/>
      <c r="G78" s="98"/>
      <c r="H78" s="164"/>
      <c r="I78" s="38" t="s">
        <v>141</v>
      </c>
      <c r="J78" s="21"/>
      <c r="K78" s="39">
        <f ca="1">H69*50%</f>
        <v>6</v>
      </c>
    </row>
    <row r="79" spans="1:11" ht="15.75" hidden="1" customHeight="1" x14ac:dyDescent="0.35">
      <c r="A79" s="100" t="s">
        <v>238</v>
      </c>
      <c r="B79" s="101"/>
      <c r="C79" s="54">
        <f ca="1">H69</f>
        <v>12</v>
      </c>
      <c r="D79" s="55">
        <f ca="1">((100/H69)*C79)/100</f>
        <v>1</v>
      </c>
      <c r="E79" s="98"/>
      <c r="F79" s="98"/>
      <c r="G79" s="98"/>
      <c r="H79" s="164"/>
      <c r="I79" s="38" t="s">
        <v>142</v>
      </c>
      <c r="J79" s="21"/>
      <c r="K79" s="39">
        <f ca="1">H69*75%</f>
        <v>9</v>
      </c>
    </row>
    <row r="80" spans="1:11" ht="15" hidden="1" customHeight="1" x14ac:dyDescent="0.35">
      <c r="A80" s="100" t="s">
        <v>239</v>
      </c>
      <c r="B80" s="101" t="s">
        <v>239</v>
      </c>
      <c r="C80" s="54">
        <f ca="1">H69</f>
        <v>12</v>
      </c>
      <c r="D80" s="55">
        <f ca="1">((100/(H69))*C80)/100</f>
        <v>1</v>
      </c>
      <c r="E80" s="98"/>
      <c r="F80" s="98"/>
      <c r="G80" s="98"/>
      <c r="H80" s="164"/>
      <c r="I80" s="38" t="s">
        <v>143</v>
      </c>
      <c r="J80" s="21"/>
      <c r="K80" s="39">
        <f ca="1">H69</f>
        <v>12</v>
      </c>
    </row>
    <row r="81" spans="1:11" ht="16" hidden="1" thickBot="1" x14ac:dyDescent="0.4">
      <c r="A81" s="88" t="s">
        <v>240</v>
      </c>
      <c r="B81" s="89"/>
      <c r="C81" s="57">
        <f ca="1">H69</f>
        <v>12</v>
      </c>
      <c r="D81" s="58">
        <f ca="1">((100/(H69))*C81)/100</f>
        <v>1</v>
      </c>
      <c r="E81" s="99"/>
      <c r="F81" s="99"/>
      <c r="G81" s="99"/>
      <c r="H81" s="165"/>
      <c r="I81" s="40"/>
      <c r="J81" s="40"/>
      <c r="K81" s="41"/>
    </row>
    <row r="82" spans="1:11" x14ac:dyDescent="0.35">
      <c r="A82" s="166" t="str">
        <f>E71</f>
        <v>Progress %</v>
      </c>
      <c r="B82" s="167"/>
      <c r="C82" s="170" t="str">
        <f>E72</f>
        <v>100%</v>
      </c>
      <c r="D82" s="167"/>
      <c r="E82" s="172" t="str">
        <f>G71</f>
        <v>Disbursement %</v>
      </c>
      <c r="F82" s="167"/>
      <c r="G82" s="170">
        <f ca="1">G72</f>
        <v>1</v>
      </c>
      <c r="H82" s="173"/>
      <c r="I82" s="16"/>
      <c r="J82" s="16"/>
      <c r="K82" s="19"/>
    </row>
    <row r="83" spans="1:11" ht="16" thickBot="1" x14ac:dyDescent="0.4">
      <c r="A83" s="168"/>
      <c r="B83" s="169"/>
      <c r="C83" s="171"/>
      <c r="D83" s="169"/>
      <c r="E83" s="171"/>
      <c r="F83" s="169"/>
      <c r="G83" s="171"/>
      <c r="H83" s="174"/>
      <c r="I83" s="16"/>
      <c r="J83" s="16"/>
      <c r="K83" s="19"/>
    </row>
    <row r="84" spans="1:11" ht="15.75" customHeight="1" x14ac:dyDescent="0.35">
      <c r="A84" s="105" t="s">
        <v>241</v>
      </c>
      <c r="B84" s="106"/>
      <c r="C84" s="107" t="s">
        <v>244</v>
      </c>
      <c r="D84" s="108"/>
      <c r="E84" s="108"/>
      <c r="F84" s="108"/>
      <c r="G84" s="108"/>
      <c r="H84" s="109"/>
      <c r="I84" s="17" t="str">
        <f ca="1">(IF(C90=0,"Work not yet Started.",IF(D90=50%,"Excavation work in process",IF(D90=100%,"Excavation work completed, ","0")))&amp;(IF(C91=0%,"",IF(D91=25%,"Footing work is process",IF(D91=50%,"Footing work Completed",IF(D91=75%,"Plinth work is process",IF(D91=100%,"Plinth work completed","0"))))))&amp;(IF(C92&gt;0,", RCC upto "&amp;C92&amp;" Slab completed",""))&amp;(IF(C93&gt;0,", Brickwork upto "&amp;C93&amp;" Floor completed"," "))&amp;(IF(C94&gt;0,", Internal Plaster upto "&amp;C94&amp;" Floor completed"," "))&amp;(IF(C95&gt;0,", External Plaster upto "&amp;C95&amp;" Floor completed"," "))&amp;(IF(C96&gt;0,", Flooring upto "&amp;C96&amp;" Floor completed"," "))&amp;(IF(C97&gt;0,", Painting upto "&amp;C97&amp;" Floor completed"," "))&amp;(IF(C98&gt;0,", Finishing upto "&amp;C98&amp;" Floor completed"," ")))</f>
        <v>Excavation work completed, Plinth work completed, RCC upto 9 Slab completed, Brickwork upto 8 Floor completed, Internal Plaster upto 8 Floor completed, External Plaster upto 8 Floor completed, Flooring upto 8 Floor completed, Painting upto 8 Floor completed, Finishing upto 8 Floor completed</v>
      </c>
      <c r="J84" s="17"/>
      <c r="K84" s="18"/>
    </row>
    <row r="85" spans="1:11" x14ac:dyDescent="0.35">
      <c r="A85" s="102" t="s">
        <v>102</v>
      </c>
      <c r="B85" s="103"/>
      <c r="C85" s="103">
        <v>1</v>
      </c>
      <c r="D85" s="103"/>
      <c r="E85" s="46" t="s">
        <v>101</v>
      </c>
      <c r="F85" s="46">
        <v>0</v>
      </c>
      <c r="G85" s="46" t="s">
        <v>115</v>
      </c>
      <c r="H85" s="33">
        <f ca="1">--TRIM(RIGHT(SUBSTITUTE(LEFT(C84,_xlfn.AGGREGATE(16,6,FIND({0,1,2,3,4,5,6,7,8,9},C84,ROW(INDIRECT("1:"&amp;LEN(C84)))),1))," ",REPT(" ",LEN(C84))),LEN(C84)))</f>
        <v>8</v>
      </c>
      <c r="I85" s="16" t="s">
        <v>144</v>
      </c>
      <c r="J85" s="16"/>
      <c r="K85" s="19"/>
    </row>
    <row r="86" spans="1:11" x14ac:dyDescent="0.35">
      <c r="A86" s="110" t="s">
        <v>127</v>
      </c>
      <c r="B86" s="111"/>
      <c r="C86" s="112" t="str">
        <f>I89</f>
        <v>All work Completed. OC Received.</v>
      </c>
      <c r="D86" s="112"/>
      <c r="E86" s="112"/>
      <c r="F86" s="112"/>
      <c r="G86" s="112"/>
      <c r="H86" s="113"/>
      <c r="I86" s="16" t="s">
        <v>159</v>
      </c>
      <c r="J86" s="16"/>
      <c r="K86" s="19"/>
    </row>
    <row r="87" spans="1:11" x14ac:dyDescent="0.35">
      <c r="A87" s="166" t="str">
        <f>E89</f>
        <v>Progress %</v>
      </c>
      <c r="B87" s="167"/>
      <c r="C87" s="170" t="str">
        <f>E90</f>
        <v>100%</v>
      </c>
      <c r="D87" s="167"/>
      <c r="E87" s="172" t="str">
        <f>G89</f>
        <v>Disbursement %</v>
      </c>
      <c r="F87" s="167"/>
      <c r="G87" s="170">
        <f ca="1">G90</f>
        <v>1</v>
      </c>
      <c r="H87" s="173"/>
      <c r="I87" s="16"/>
      <c r="J87" s="16"/>
      <c r="K87" s="19"/>
    </row>
    <row r="88" spans="1:11" ht="16" thickBot="1" x14ac:dyDescent="0.4">
      <c r="A88" s="168"/>
      <c r="B88" s="169"/>
      <c r="C88" s="171"/>
      <c r="D88" s="169"/>
      <c r="E88" s="171"/>
      <c r="F88" s="169"/>
      <c r="G88" s="171"/>
      <c r="H88" s="174"/>
      <c r="I88" s="16"/>
      <c r="J88" s="16"/>
      <c r="K88" s="19"/>
    </row>
    <row r="89" spans="1:11" hidden="1" x14ac:dyDescent="0.35">
      <c r="A89" s="100" t="s">
        <v>53</v>
      </c>
      <c r="B89" s="101"/>
      <c r="C89" s="45" t="s">
        <v>228</v>
      </c>
      <c r="D89" s="44" t="s">
        <v>118</v>
      </c>
      <c r="E89" s="101" t="s">
        <v>120</v>
      </c>
      <c r="F89" s="101"/>
      <c r="G89" s="101" t="s">
        <v>119</v>
      </c>
      <c r="H89" s="119"/>
      <c r="I89" s="16" t="s">
        <v>145</v>
      </c>
      <c r="K89" s="20"/>
    </row>
    <row r="90" spans="1:11" ht="15.75" hidden="1" customHeight="1" x14ac:dyDescent="0.35">
      <c r="A90" s="100" t="s">
        <v>229</v>
      </c>
      <c r="B90" s="101"/>
      <c r="C90" s="54">
        <f ca="1">K93</f>
        <v>8</v>
      </c>
      <c r="D90" s="55">
        <f ca="1">((100/H85)*C90)/100</f>
        <v>1</v>
      </c>
      <c r="E90" s="98" t="str">
        <f>(IF(C86=I86,"100%",IF(C86=I89,"100%",(((C91/H85*10)+(40/(C85+F85+H85)*C92)+(7.5/(H85)*C93)+(7.5/(H85)*C94)+(10/H85*C95)+(10/H85*C96)+(5/H85*C97)+(5/H85*C98)+(5/H85*C99))/100))))</f>
        <v>100%</v>
      </c>
      <c r="F90" s="98"/>
      <c r="G90" s="98">
        <f ca="1">((((C90/H85)*20)+((C91/H85)*25)+(30/(H85+F85+C85)*C92)+(5/H85*C93)+(5/H85*C94)+(5/H85*C95)+(5/H85*C96)+(0/H85*C97)+(0/H85*C98)+(5/H85*C99))/100)</f>
        <v>1</v>
      </c>
      <c r="H90" s="164"/>
      <c r="I90" s="16"/>
      <c r="K90" s="20"/>
    </row>
    <row r="91" spans="1:11" hidden="1" x14ac:dyDescent="0.35">
      <c r="A91" s="100" t="s">
        <v>230</v>
      </c>
      <c r="B91" s="101"/>
      <c r="C91" s="54">
        <f ca="1">K98</f>
        <v>8</v>
      </c>
      <c r="D91" s="55">
        <f ca="1">((100/H85)*C91)/100</f>
        <v>1</v>
      </c>
      <c r="E91" s="98"/>
      <c r="F91" s="98"/>
      <c r="G91" s="98"/>
      <c r="H91" s="164"/>
      <c r="K91" s="20"/>
    </row>
    <row r="92" spans="1:11" ht="15.75" hidden="1" customHeight="1" x14ac:dyDescent="0.35">
      <c r="A92" s="100" t="s">
        <v>231</v>
      </c>
      <c r="B92" s="101"/>
      <c r="C92" s="56">
        <f ca="1">C85+F85+H85</f>
        <v>9</v>
      </c>
      <c r="D92" s="55">
        <f ca="1">((100/(C85+F85+H85))*C92)/100</f>
        <v>1</v>
      </c>
      <c r="E92" s="98"/>
      <c r="F92" s="98"/>
      <c r="G92" s="98"/>
      <c r="H92" s="164"/>
      <c r="I92" s="38" t="s">
        <v>138</v>
      </c>
      <c r="J92" s="21"/>
      <c r="K92" s="39">
        <f ca="1">H85*50%</f>
        <v>4</v>
      </c>
    </row>
    <row r="93" spans="1:11" ht="15.75" hidden="1" customHeight="1" x14ac:dyDescent="0.35">
      <c r="A93" s="100" t="s">
        <v>232</v>
      </c>
      <c r="B93" s="101" t="s">
        <v>233</v>
      </c>
      <c r="C93" s="54">
        <f ca="1">H85</f>
        <v>8</v>
      </c>
      <c r="D93" s="55">
        <f ca="1">((100/H85)*C93)/100</f>
        <v>1</v>
      </c>
      <c r="E93" s="98"/>
      <c r="F93" s="98"/>
      <c r="G93" s="98"/>
      <c r="H93" s="164"/>
      <c r="I93" s="38" t="s">
        <v>139</v>
      </c>
      <c r="J93" s="21"/>
      <c r="K93" s="39">
        <f ca="1">H85</f>
        <v>8</v>
      </c>
    </row>
    <row r="94" spans="1:11" ht="15.75" hidden="1" customHeight="1" x14ac:dyDescent="0.35">
      <c r="A94" s="100" t="s">
        <v>234</v>
      </c>
      <c r="B94" s="101" t="s">
        <v>233</v>
      </c>
      <c r="C94" s="54">
        <f ca="1">H85</f>
        <v>8</v>
      </c>
      <c r="D94" s="55">
        <f ca="1">((100/H85)*C94)/100</f>
        <v>1</v>
      </c>
      <c r="E94" s="98"/>
      <c r="F94" s="98"/>
      <c r="G94" s="98"/>
      <c r="H94" s="164"/>
      <c r="I94" s="38"/>
      <c r="J94" s="21"/>
      <c r="K94" s="39"/>
    </row>
    <row r="95" spans="1:11" ht="15" hidden="1" customHeight="1" x14ac:dyDescent="0.35">
      <c r="A95" s="100" t="s">
        <v>235</v>
      </c>
      <c r="B95" s="101" t="s">
        <v>236</v>
      </c>
      <c r="C95" s="54">
        <f ca="1">H85</f>
        <v>8</v>
      </c>
      <c r="D95" s="55">
        <f ca="1">((100/(H85))*C95)/100</f>
        <v>1</v>
      </c>
      <c r="E95" s="98"/>
      <c r="F95" s="98"/>
      <c r="G95" s="98"/>
      <c r="H95" s="164"/>
      <c r="I95" s="38" t="s">
        <v>140</v>
      </c>
      <c r="J95" s="21"/>
      <c r="K95" s="39">
        <f ca="1">H85*25%</f>
        <v>2</v>
      </c>
    </row>
    <row r="96" spans="1:11" ht="15.75" hidden="1" customHeight="1" x14ac:dyDescent="0.35">
      <c r="A96" s="100" t="s">
        <v>237</v>
      </c>
      <c r="B96" s="101" t="s">
        <v>237</v>
      </c>
      <c r="C96" s="54">
        <f ca="1">H85</f>
        <v>8</v>
      </c>
      <c r="D96" s="55">
        <f ca="1">((100/H85)*C96)/100</f>
        <v>1</v>
      </c>
      <c r="E96" s="98"/>
      <c r="F96" s="98"/>
      <c r="G96" s="98"/>
      <c r="H96" s="164"/>
      <c r="I96" s="38" t="s">
        <v>141</v>
      </c>
      <c r="J96" s="21"/>
      <c r="K96" s="39">
        <f ca="1">H85*50%</f>
        <v>4</v>
      </c>
    </row>
    <row r="97" spans="1:11" ht="15.75" hidden="1" customHeight="1" x14ac:dyDescent="0.35">
      <c r="A97" s="100" t="s">
        <v>238</v>
      </c>
      <c r="B97" s="101"/>
      <c r="C97" s="54">
        <f ca="1">H85</f>
        <v>8</v>
      </c>
      <c r="D97" s="55">
        <f ca="1">((100/H85)*C97)/100</f>
        <v>1</v>
      </c>
      <c r="E97" s="98"/>
      <c r="F97" s="98"/>
      <c r="G97" s="98"/>
      <c r="H97" s="164"/>
      <c r="I97" s="38" t="s">
        <v>142</v>
      </c>
      <c r="J97" s="21"/>
      <c r="K97" s="39">
        <f ca="1">H85*75%</f>
        <v>6</v>
      </c>
    </row>
    <row r="98" spans="1:11" ht="15" hidden="1" customHeight="1" x14ac:dyDescent="0.35">
      <c r="A98" s="100" t="s">
        <v>239</v>
      </c>
      <c r="B98" s="101" t="s">
        <v>239</v>
      </c>
      <c r="C98" s="54">
        <f ca="1">H85</f>
        <v>8</v>
      </c>
      <c r="D98" s="55">
        <f ca="1">((100/(H85))*C98)/100</f>
        <v>1</v>
      </c>
      <c r="E98" s="98"/>
      <c r="F98" s="98"/>
      <c r="G98" s="98"/>
      <c r="H98" s="164"/>
      <c r="I98" s="38" t="s">
        <v>143</v>
      </c>
      <c r="J98" s="21"/>
      <c r="K98" s="39">
        <f ca="1">H85</f>
        <v>8</v>
      </c>
    </row>
    <row r="99" spans="1:11" ht="16" hidden="1" thickBot="1" x14ac:dyDescent="0.4">
      <c r="A99" s="88" t="s">
        <v>240</v>
      </c>
      <c r="B99" s="89"/>
      <c r="C99" s="57">
        <f ca="1">H85</f>
        <v>8</v>
      </c>
      <c r="D99" s="58">
        <f ca="1">((100/(H85))*C99)/100</f>
        <v>1</v>
      </c>
      <c r="E99" s="99"/>
      <c r="F99" s="99"/>
      <c r="G99" s="99"/>
      <c r="H99" s="165"/>
      <c r="I99" s="40"/>
      <c r="J99" s="40"/>
      <c r="K99" s="41"/>
    </row>
    <row r="100" spans="1:11" ht="15.75" customHeight="1" x14ac:dyDescent="0.35">
      <c r="A100" s="105" t="s">
        <v>241</v>
      </c>
      <c r="B100" s="106"/>
      <c r="C100" s="107" t="s">
        <v>269</v>
      </c>
      <c r="D100" s="108"/>
      <c r="E100" s="108"/>
      <c r="F100" s="108"/>
      <c r="G100" s="108"/>
      <c r="H100" s="109"/>
      <c r="I100" s="17" t="str">
        <f ca="1">(IF(C104=0,"Work not yet Started.",IF(D104=50%,"Excavation work in process",IF(D104=100%,"Excavation work completed, ","0")))&amp;(IF(C105=0%,"",IF(D105=25%,"Footing work is process",IF(D105=50%,"Footing work Completed",IF(D105=75%,"Plinth work is process",IF(D105=100%,"Plinth work completed","0"))))))&amp;(IF(C106&gt;0,", RCC upto "&amp;C106&amp;" Slab completed",""))&amp;(IF(C107&gt;0,", Brickwork upto "&amp;C107&amp;" Floor completed"," "))&amp;(IF(C108&gt;0,", Internal Plaster upto "&amp;C108&amp;" Floor completed"," "))&amp;(IF(C109&gt;0,", External Plaster upto "&amp;C109&amp;" Floor completed"," "))&amp;(IF(C110&gt;0,", Flooring upto "&amp;C110&amp;" Floor completed"," "))&amp;(IF(C111&gt;0,", Painting upto "&amp;C111&amp;" Floor completed"," "))&amp;(IF(C112&gt;0,", Finishing upto "&amp;C112&amp;" Floor completed"," ")))</f>
        <v xml:space="preserve">Excavation work completed, Plinth work completed, RCC upto 26 Slab completed, Brickwork upto 25 Floor completed, Internal Plaster upto 25 Floor completed, External Plaster upto 23 Floor completed, Flooring upto 15 Floor completed, Painting upto 12 Floor completed </v>
      </c>
      <c r="J100" s="17"/>
      <c r="K100" s="18"/>
    </row>
    <row r="101" spans="1:11" x14ac:dyDescent="0.35">
      <c r="A101" s="102" t="s">
        <v>102</v>
      </c>
      <c r="B101" s="103"/>
      <c r="C101" s="103">
        <v>1</v>
      </c>
      <c r="D101" s="103"/>
      <c r="E101" s="46" t="s">
        <v>101</v>
      </c>
      <c r="F101" s="46">
        <v>0</v>
      </c>
      <c r="G101" s="46" t="s">
        <v>115</v>
      </c>
      <c r="H101" s="33">
        <f ca="1">--TRIM(RIGHT(SUBSTITUTE(LEFT(C100,_xlfn.AGGREGATE(16,6,FIND({0,1,2,3,4,5,6,7,8,9},C100,ROW(INDIRECT("1:"&amp;LEN(C100)))),1))," ",REPT(" ",LEN(C100))),LEN(C100)))</f>
        <v>25</v>
      </c>
      <c r="I101" s="16" t="s">
        <v>144</v>
      </c>
      <c r="J101" s="16"/>
      <c r="K101" s="19"/>
    </row>
    <row r="102" spans="1:11" ht="68.25" customHeight="1" x14ac:dyDescent="0.35">
      <c r="A102" s="110" t="s">
        <v>127</v>
      </c>
      <c r="B102" s="111"/>
      <c r="C102" s="112" t="str">
        <f ca="1">I100</f>
        <v xml:space="preserve">Excavation work completed, Plinth work completed, RCC upto 26 Slab completed, Brickwork upto 25 Floor completed, Internal Plaster upto 25 Floor completed, External Plaster upto 23 Floor completed, Flooring upto 15 Floor completed, Painting upto 12 Floor completed </v>
      </c>
      <c r="D102" s="112"/>
      <c r="E102" s="112"/>
      <c r="F102" s="112"/>
      <c r="G102" s="112"/>
      <c r="H102" s="113"/>
      <c r="I102" s="16" t="s">
        <v>159</v>
      </c>
      <c r="J102" s="16"/>
      <c r="K102" s="19"/>
    </row>
    <row r="103" spans="1:11" x14ac:dyDescent="0.35">
      <c r="A103" s="100" t="s">
        <v>53</v>
      </c>
      <c r="B103" s="101"/>
      <c r="C103" s="45" t="s">
        <v>228</v>
      </c>
      <c r="D103" s="44" t="s">
        <v>118</v>
      </c>
      <c r="E103" s="101" t="s">
        <v>120</v>
      </c>
      <c r="F103" s="101"/>
      <c r="G103" s="101" t="s">
        <v>119</v>
      </c>
      <c r="H103" s="119"/>
      <c r="I103" s="16" t="s">
        <v>145</v>
      </c>
      <c r="K103" s="20"/>
    </row>
    <row r="104" spans="1:11" ht="15.75" customHeight="1" x14ac:dyDescent="0.35">
      <c r="A104" s="100" t="s">
        <v>229</v>
      </c>
      <c r="B104" s="101"/>
      <c r="C104" s="54">
        <f ca="1">K107</f>
        <v>25</v>
      </c>
      <c r="D104" s="55">
        <f ca="1">((100/H101)*C104)/100</f>
        <v>1</v>
      </c>
      <c r="E104" s="98">
        <f ca="1">(IF(C102=I102,"100%",IF(C102=I103,"100%",(((C105/H101*10)+(40/(C101+F101+H101)*C106)+(7.5/(H101)*C107)+(7.5/(H101)*C108)+(10/H101*C109)+(10/H101*C110)+(5/H101*C111)+(5/H101*C112)+(5/H101*C113))/100))))</f>
        <v>0.82600000000000007</v>
      </c>
      <c r="F104" s="98"/>
      <c r="G104" s="98">
        <f ca="1">((((C104/H101)*20)+((C105/H101)*25)+(30/(H101+F101+C101)*C106)+(5/H101*C107)+(5/H101*C108)+(5/H101*C109)+(5/H101*C110)+(0/H101*C111)+(0/H101*C112)+(5/H101*C113))/100)</f>
        <v>0.92599999999999993</v>
      </c>
      <c r="H104" s="164"/>
      <c r="I104" s="16"/>
      <c r="K104" s="20"/>
    </row>
    <row r="105" spans="1:11" x14ac:dyDescent="0.35">
      <c r="A105" s="100" t="s">
        <v>230</v>
      </c>
      <c r="B105" s="101"/>
      <c r="C105" s="54">
        <f ca="1">K112</f>
        <v>25</v>
      </c>
      <c r="D105" s="55">
        <f ca="1">((100/H101)*C105)/100</f>
        <v>1</v>
      </c>
      <c r="E105" s="98"/>
      <c r="F105" s="98"/>
      <c r="G105" s="98"/>
      <c r="H105" s="164"/>
      <c r="K105" s="20"/>
    </row>
    <row r="106" spans="1:11" ht="15.75" customHeight="1" x14ac:dyDescent="0.35">
      <c r="A106" s="102" t="s">
        <v>231</v>
      </c>
      <c r="B106" s="103"/>
      <c r="C106" s="56">
        <v>26</v>
      </c>
      <c r="D106" s="55">
        <f ca="1">((100/(C101+F101+H101))*C106)/100</f>
        <v>1</v>
      </c>
      <c r="E106" s="98"/>
      <c r="F106" s="98"/>
      <c r="G106" s="98"/>
      <c r="H106" s="164"/>
      <c r="I106" s="38" t="s">
        <v>138</v>
      </c>
      <c r="J106" s="21"/>
      <c r="K106" s="39">
        <f ca="1">H101*50%</f>
        <v>12.5</v>
      </c>
    </row>
    <row r="107" spans="1:11" ht="15.75" customHeight="1" x14ac:dyDescent="0.35">
      <c r="A107" s="100" t="s">
        <v>232</v>
      </c>
      <c r="B107" s="101" t="s">
        <v>233</v>
      </c>
      <c r="C107" s="54">
        <v>25</v>
      </c>
      <c r="D107" s="55">
        <f ca="1">((100/H101)*C107)/100</f>
        <v>1</v>
      </c>
      <c r="E107" s="98"/>
      <c r="F107" s="98"/>
      <c r="G107" s="98"/>
      <c r="H107" s="164"/>
      <c r="I107" s="38" t="s">
        <v>139</v>
      </c>
      <c r="J107" s="21"/>
      <c r="K107" s="39">
        <f ca="1">H101</f>
        <v>25</v>
      </c>
    </row>
    <row r="108" spans="1:11" ht="15.75" customHeight="1" x14ac:dyDescent="0.35">
      <c r="A108" s="100" t="s">
        <v>234</v>
      </c>
      <c r="B108" s="101" t="s">
        <v>233</v>
      </c>
      <c r="C108" s="54">
        <v>25</v>
      </c>
      <c r="D108" s="55">
        <f ca="1">((100/H101)*C108)/100</f>
        <v>1</v>
      </c>
      <c r="E108" s="98"/>
      <c r="F108" s="98"/>
      <c r="G108" s="98"/>
      <c r="H108" s="164"/>
      <c r="I108" s="38"/>
      <c r="J108" s="21"/>
      <c r="K108" s="39"/>
    </row>
    <row r="109" spans="1:11" ht="15" customHeight="1" x14ac:dyDescent="0.35">
      <c r="A109" s="100" t="s">
        <v>235</v>
      </c>
      <c r="B109" s="101" t="s">
        <v>236</v>
      </c>
      <c r="C109" s="54">
        <v>23</v>
      </c>
      <c r="D109" s="55">
        <f ca="1">((100/(H101))*C109)/100</f>
        <v>0.92</v>
      </c>
      <c r="E109" s="98"/>
      <c r="F109" s="98"/>
      <c r="G109" s="98"/>
      <c r="H109" s="164"/>
      <c r="I109" s="38" t="s">
        <v>140</v>
      </c>
      <c r="J109" s="21"/>
      <c r="K109" s="39">
        <f ca="1">H101*25%</f>
        <v>6.25</v>
      </c>
    </row>
    <row r="110" spans="1:11" ht="15.75" customHeight="1" x14ac:dyDescent="0.35">
      <c r="A110" s="100" t="s">
        <v>237</v>
      </c>
      <c r="B110" s="101" t="s">
        <v>237</v>
      </c>
      <c r="C110" s="54">
        <v>15</v>
      </c>
      <c r="D110" s="55">
        <f ca="1">((100/H101)*C110)/100</f>
        <v>0.6</v>
      </c>
      <c r="E110" s="98"/>
      <c r="F110" s="98"/>
      <c r="G110" s="98"/>
      <c r="H110" s="164"/>
      <c r="I110" s="38" t="s">
        <v>141</v>
      </c>
      <c r="J110" s="21"/>
      <c r="K110" s="39">
        <f ca="1">H101*50%</f>
        <v>12.5</v>
      </c>
    </row>
    <row r="111" spans="1:11" ht="15.75" customHeight="1" x14ac:dyDescent="0.35">
      <c r="A111" s="100" t="s">
        <v>238</v>
      </c>
      <c r="B111" s="101"/>
      <c r="C111" s="54">
        <v>12</v>
      </c>
      <c r="D111" s="55">
        <f ca="1">((100/H101)*C111)/100</f>
        <v>0.48</v>
      </c>
      <c r="E111" s="98"/>
      <c r="F111" s="98"/>
      <c r="G111" s="98"/>
      <c r="H111" s="164"/>
      <c r="I111" s="38" t="s">
        <v>142</v>
      </c>
      <c r="J111" s="21"/>
      <c r="K111" s="39">
        <f ca="1">H101*75%</f>
        <v>18.75</v>
      </c>
    </row>
    <row r="112" spans="1:11" ht="15" customHeight="1" x14ac:dyDescent="0.35">
      <c r="A112" s="100" t="s">
        <v>239</v>
      </c>
      <c r="B112" s="101" t="s">
        <v>239</v>
      </c>
      <c r="C112" s="54">
        <v>0</v>
      </c>
      <c r="D112" s="55">
        <f ca="1">((100/(H101))*C112)/100</f>
        <v>0</v>
      </c>
      <c r="E112" s="98"/>
      <c r="F112" s="98"/>
      <c r="G112" s="98"/>
      <c r="H112" s="164"/>
      <c r="I112" s="38" t="s">
        <v>143</v>
      </c>
      <c r="J112" s="21"/>
      <c r="K112" s="39">
        <f ca="1">H101</f>
        <v>25</v>
      </c>
    </row>
    <row r="113" spans="1:11" ht="16" thickBot="1" x14ac:dyDescent="0.4">
      <c r="A113" s="88" t="s">
        <v>240</v>
      </c>
      <c r="B113" s="89"/>
      <c r="C113" s="57">
        <v>0</v>
      </c>
      <c r="D113" s="58">
        <f ca="1">((100/(H101))*C113)/100</f>
        <v>0</v>
      </c>
      <c r="E113" s="99"/>
      <c r="F113" s="99"/>
      <c r="G113" s="99"/>
      <c r="H113" s="165"/>
      <c r="I113" s="40"/>
      <c r="J113" s="40"/>
      <c r="K113" s="41"/>
    </row>
    <row r="114" spans="1:11" x14ac:dyDescent="0.35">
      <c r="A114" s="97" t="s">
        <v>181</v>
      </c>
      <c r="B114" s="97"/>
      <c r="C114" s="97"/>
      <c r="D114" s="97"/>
      <c r="E114" s="97"/>
      <c r="F114" s="97"/>
      <c r="G114" s="97"/>
      <c r="H114" s="97"/>
    </row>
    <row r="115" spans="1:11" x14ac:dyDescent="0.35">
      <c r="A115" s="73" t="s">
        <v>54</v>
      </c>
      <c r="B115" s="73"/>
      <c r="C115" s="73"/>
      <c r="D115" s="73"/>
      <c r="E115" s="73"/>
      <c r="F115" s="73"/>
      <c r="G115" s="73"/>
      <c r="H115" s="73"/>
    </row>
    <row r="116" spans="1:11" ht="15" customHeight="1" x14ac:dyDescent="0.35">
      <c r="A116" s="111" t="s">
        <v>105</v>
      </c>
      <c r="B116" s="111"/>
      <c r="C116" s="112" t="s">
        <v>106</v>
      </c>
      <c r="D116" s="112"/>
      <c r="E116" s="112"/>
      <c r="F116" s="112"/>
      <c r="G116" s="112"/>
      <c r="H116" s="112"/>
    </row>
    <row r="117" spans="1:11" x14ac:dyDescent="0.35">
      <c r="A117" s="118" t="s">
        <v>55</v>
      </c>
      <c r="B117" s="118"/>
      <c r="C117" s="118"/>
      <c r="D117" s="118"/>
      <c r="E117" s="118"/>
      <c r="F117" s="118"/>
      <c r="G117" s="118"/>
      <c r="H117" s="118"/>
    </row>
    <row r="118" spans="1:11" x14ac:dyDescent="0.35">
      <c r="A118" s="84" t="s">
        <v>227</v>
      </c>
      <c r="B118" s="73"/>
      <c r="C118" s="73"/>
      <c r="D118" s="73"/>
      <c r="E118" s="73"/>
      <c r="F118" s="111">
        <v>4500</v>
      </c>
      <c r="G118" s="111"/>
      <c r="H118" s="111"/>
    </row>
    <row r="119" spans="1:11" x14ac:dyDescent="0.35">
      <c r="A119" s="73" t="s">
        <v>113</v>
      </c>
      <c r="B119" s="73"/>
      <c r="C119" s="73"/>
      <c r="D119" s="73"/>
      <c r="E119" s="73"/>
      <c r="F119" s="85">
        <v>8000</v>
      </c>
      <c r="G119" s="85"/>
      <c r="H119" s="85"/>
    </row>
    <row r="120" spans="1:11" x14ac:dyDescent="0.35">
      <c r="A120" s="73" t="s">
        <v>114</v>
      </c>
      <c r="B120" s="73"/>
      <c r="C120" s="73"/>
      <c r="D120" s="73"/>
      <c r="E120" s="73"/>
      <c r="F120" s="85">
        <v>6000</v>
      </c>
      <c r="G120" s="85"/>
      <c r="H120" s="85"/>
    </row>
    <row r="121" spans="1:11" s="13" customFormat="1" hidden="1" x14ac:dyDescent="0.3">
      <c r="A121" s="73" t="s">
        <v>132</v>
      </c>
      <c r="B121" s="73"/>
      <c r="C121" s="73"/>
      <c r="D121" s="73"/>
      <c r="E121" s="73"/>
      <c r="F121" s="85" t="s">
        <v>31</v>
      </c>
      <c r="G121" s="85"/>
      <c r="H121" s="85"/>
    </row>
    <row r="122" spans="1:11" s="13" customFormat="1" x14ac:dyDescent="0.3">
      <c r="A122" s="73" t="s">
        <v>198</v>
      </c>
      <c r="B122" s="73"/>
      <c r="C122" s="73"/>
      <c r="D122" s="73"/>
      <c r="E122" s="73"/>
      <c r="F122" s="85" t="s">
        <v>195</v>
      </c>
      <c r="G122" s="85"/>
      <c r="H122" s="85"/>
    </row>
    <row r="123" spans="1:11" s="13" customFormat="1" x14ac:dyDescent="0.3">
      <c r="A123" s="73" t="s">
        <v>197</v>
      </c>
      <c r="B123" s="73"/>
      <c r="C123" s="73"/>
      <c r="D123" s="73"/>
      <c r="E123" s="73"/>
      <c r="F123" s="85" t="s">
        <v>196</v>
      </c>
      <c r="G123" s="85"/>
      <c r="H123" s="85"/>
    </row>
    <row r="124" spans="1:11" s="13" customFormat="1" hidden="1" x14ac:dyDescent="0.3">
      <c r="A124" s="73" t="s">
        <v>133</v>
      </c>
      <c r="B124" s="73"/>
      <c r="C124" s="73"/>
      <c r="D124" s="73"/>
      <c r="E124" s="73"/>
      <c r="F124" s="85" t="s">
        <v>31</v>
      </c>
      <c r="G124" s="85"/>
      <c r="H124" s="85"/>
    </row>
    <row r="125" spans="1:11" s="13" customFormat="1" hidden="1" x14ac:dyDescent="0.3">
      <c r="A125" s="73" t="s">
        <v>134</v>
      </c>
      <c r="B125" s="73"/>
      <c r="C125" s="73"/>
      <c r="D125" s="73"/>
      <c r="E125" s="73"/>
      <c r="F125" s="85" t="s">
        <v>31</v>
      </c>
      <c r="G125" s="85"/>
      <c r="H125" s="85"/>
    </row>
    <row r="126" spans="1:11" s="13" customFormat="1" hidden="1" x14ac:dyDescent="0.3">
      <c r="A126" s="73" t="s">
        <v>135</v>
      </c>
      <c r="B126" s="73"/>
      <c r="C126" s="73"/>
      <c r="D126" s="73"/>
      <c r="E126" s="73"/>
      <c r="F126" s="85" t="s">
        <v>31</v>
      </c>
      <c r="G126" s="85"/>
      <c r="H126" s="85"/>
    </row>
    <row r="127" spans="1:11" s="13" customFormat="1" hidden="1" x14ac:dyDescent="0.3">
      <c r="A127" s="73" t="s">
        <v>136</v>
      </c>
      <c r="B127" s="73"/>
      <c r="C127" s="73"/>
      <c r="D127" s="73"/>
      <c r="E127" s="73"/>
      <c r="F127" s="85" t="s">
        <v>31</v>
      </c>
      <c r="G127" s="85"/>
      <c r="H127" s="85"/>
    </row>
    <row r="128" spans="1:11" s="13" customFormat="1" hidden="1" x14ac:dyDescent="0.3">
      <c r="A128" s="73" t="s">
        <v>137</v>
      </c>
      <c r="B128" s="73"/>
      <c r="C128" s="73"/>
      <c r="D128" s="73"/>
      <c r="E128" s="73"/>
      <c r="F128" s="85" t="s">
        <v>31</v>
      </c>
      <c r="G128" s="85"/>
      <c r="H128" s="85"/>
    </row>
    <row r="129" spans="1:8" x14ac:dyDescent="0.35">
      <c r="A129" s="73" t="s">
        <v>56</v>
      </c>
      <c r="B129" s="73"/>
      <c r="C129" s="73"/>
      <c r="D129" s="73"/>
      <c r="E129" s="73"/>
      <c r="F129" s="74" t="s">
        <v>199</v>
      </c>
      <c r="G129" s="74"/>
      <c r="H129" s="74"/>
    </row>
    <row r="130" spans="1:8" s="9" customFormat="1" x14ac:dyDescent="0.35">
      <c r="A130" s="118" t="s">
        <v>57</v>
      </c>
      <c r="B130" s="118"/>
      <c r="C130" s="118"/>
      <c r="D130" s="118"/>
      <c r="E130" s="118"/>
      <c r="F130" s="85">
        <f>F118*0.8</f>
        <v>3600</v>
      </c>
      <c r="G130" s="85"/>
      <c r="H130" s="85"/>
    </row>
    <row r="131" spans="1:8" s="1" customFormat="1" ht="15.75" customHeight="1" x14ac:dyDescent="0.35">
      <c r="A131" s="79" t="s">
        <v>107</v>
      </c>
      <c r="B131" s="79"/>
      <c r="C131" s="79"/>
      <c r="D131" s="79"/>
      <c r="E131" s="79"/>
      <c r="F131" s="79"/>
      <c r="G131" s="79"/>
      <c r="H131" s="79"/>
    </row>
    <row r="132" spans="1:8" s="1" customFormat="1" ht="15.75" customHeight="1" x14ac:dyDescent="0.35">
      <c r="A132" s="145" t="s">
        <v>58</v>
      </c>
      <c r="B132" s="145"/>
      <c r="C132" s="59" t="s">
        <v>111</v>
      </c>
      <c r="D132" s="163" t="s">
        <v>59</v>
      </c>
      <c r="E132" s="163"/>
      <c r="F132" s="145" t="s">
        <v>60</v>
      </c>
      <c r="G132" s="145"/>
      <c r="H132" s="145"/>
    </row>
    <row r="133" spans="1:8" s="1" customFormat="1" x14ac:dyDescent="0.35">
      <c r="A133" s="175" t="s">
        <v>256</v>
      </c>
      <c r="B133" s="64" t="s">
        <v>183</v>
      </c>
      <c r="C133" s="68">
        <f>COUNT(D197:D206)</f>
        <v>10</v>
      </c>
      <c r="D133" s="114">
        <f>SUM(D197:D206)</f>
        <v>2340.30888</v>
      </c>
      <c r="E133" s="114"/>
      <c r="F133" s="115">
        <f>SUM(F197:F206)</f>
        <v>4143.8816639999995</v>
      </c>
      <c r="G133" s="116"/>
      <c r="H133" s="117"/>
    </row>
    <row r="134" spans="1:8" s="1" customFormat="1" x14ac:dyDescent="0.35">
      <c r="A134" s="176"/>
      <c r="B134" s="64" t="s">
        <v>186</v>
      </c>
      <c r="C134" s="68">
        <f>COUNT(D209:D210,D212:D216,D208,D211)*2</f>
        <v>18</v>
      </c>
      <c r="D134" s="114">
        <f>SUM(D209:D210,D212:D216,D208,D211)*2</f>
        <v>5139.8530559999999</v>
      </c>
      <c r="E134" s="114"/>
      <c r="F134" s="115">
        <f>SUM(F209:F210,F212:F216,F208,F211)*2</f>
        <v>8223.7648895999992</v>
      </c>
      <c r="G134" s="116"/>
      <c r="H134" s="117"/>
    </row>
    <row r="135" spans="1:8" s="1" customFormat="1" x14ac:dyDescent="0.35">
      <c r="A135" s="79" t="s">
        <v>62</v>
      </c>
      <c r="B135" s="79"/>
      <c r="C135" s="69">
        <f>SUM(C133:C134)</f>
        <v>28</v>
      </c>
      <c r="D135" s="80">
        <f>SUM(D133:E134)</f>
        <v>7480.1619360000004</v>
      </c>
      <c r="E135" s="80"/>
      <c r="F135" s="81">
        <f>SUM(F133:H134)</f>
        <v>12367.6465536</v>
      </c>
      <c r="G135" s="82"/>
      <c r="H135" s="83"/>
    </row>
    <row r="136" spans="1:8" s="1" customFormat="1" x14ac:dyDescent="0.35">
      <c r="A136" s="79" t="s">
        <v>100</v>
      </c>
      <c r="B136" s="79"/>
      <c r="C136" s="79"/>
      <c r="D136" s="79"/>
      <c r="E136" s="79"/>
      <c r="F136" s="79"/>
      <c r="G136" s="79"/>
      <c r="H136" s="79"/>
    </row>
    <row r="137" spans="1:8" s="1" customFormat="1" x14ac:dyDescent="0.35">
      <c r="A137" s="145" t="s">
        <v>58</v>
      </c>
      <c r="B137" s="145"/>
      <c r="C137" s="59" t="s">
        <v>111</v>
      </c>
      <c r="D137" s="163" t="s">
        <v>59</v>
      </c>
      <c r="E137" s="163"/>
      <c r="F137" s="145" t="s">
        <v>60</v>
      </c>
      <c r="G137" s="145"/>
      <c r="H137" s="145"/>
    </row>
    <row r="138" spans="1:8" s="1" customFormat="1" x14ac:dyDescent="0.35">
      <c r="A138" s="75" t="s">
        <v>218</v>
      </c>
      <c r="B138" s="75"/>
      <c r="C138" s="60">
        <f>COUNT(D150:D155)*11+COUNT(D157:D162)</f>
        <v>72</v>
      </c>
      <c r="D138" s="76">
        <f>SUM(D150:D155)*11+SUM(D157:D162)</f>
        <v>47848.580582399991</v>
      </c>
      <c r="E138" s="77"/>
      <c r="F138" s="76">
        <f>SUM(F150:F155)*11+SUM(F157:F162)</f>
        <v>71772.870873599997</v>
      </c>
      <c r="G138" s="78"/>
      <c r="H138" s="77"/>
    </row>
    <row r="139" spans="1:8" s="1" customFormat="1" x14ac:dyDescent="0.35">
      <c r="A139" s="75" t="s">
        <v>220</v>
      </c>
      <c r="B139" s="75"/>
      <c r="C139" s="60">
        <f>COUNT(D166:D169)*7+COUNT(D171:D174)+COUNT(D176:D178)+COUNT(D180:D182)*3</f>
        <v>44</v>
      </c>
      <c r="D139" s="76">
        <f>SUM(D166:D169)*7+SUM(D171:D174)+SUM(D176:D178)+SUM(D180:D182)*3</f>
        <v>27871.022836799995</v>
      </c>
      <c r="E139" s="77"/>
      <c r="F139" s="76">
        <f>SUM(F166:F169)*7+SUM(F171:F174)+SUM(F176:F178)+SUM(F180:F182)*3</f>
        <v>41891.623675199982</v>
      </c>
      <c r="G139" s="78"/>
      <c r="H139" s="77"/>
    </row>
    <row r="140" spans="1:8" s="1" customFormat="1" x14ac:dyDescent="0.35">
      <c r="A140" s="75" t="s">
        <v>219</v>
      </c>
      <c r="B140" s="75"/>
      <c r="C140" s="60">
        <f>COUNT(D186:D189)*7+COUNT(D191:D194)</f>
        <v>32</v>
      </c>
      <c r="D140" s="76">
        <f>SUM(D186:D189)*7+SUM(D191:D194)</f>
        <v>16784.778816000002</v>
      </c>
      <c r="E140" s="77"/>
      <c r="F140" s="76">
        <f>SUM(F186:F189)*7+SUM(F191:F194)</f>
        <v>25177.168223999994</v>
      </c>
      <c r="G140" s="78"/>
      <c r="H140" s="77"/>
    </row>
    <row r="141" spans="1:8" s="1" customFormat="1" x14ac:dyDescent="0.35">
      <c r="A141" s="75" t="s">
        <v>215</v>
      </c>
      <c r="B141" s="75"/>
      <c r="C141" s="68">
        <f>COUNT(D218:D222)+COUNT(D224:D228)*11+COUNT(D230:D234)*2+COUNT(D236:D240)+COUNT(D242:D246)+COUNT(D248:D252)*5+COUNT(D254:D258)+COUNT(D260)</f>
        <v>111</v>
      </c>
      <c r="D141" s="141">
        <f>SUM(D218:D222)+SUM(D224:D228)*11+SUM(D230:D234)*2+SUM(D236:D240)+SUM(D242:D246)+SUM(D248:D252)*5+SUM(D254:D258)+SUM(D260)</f>
        <v>70740.534383999999</v>
      </c>
      <c r="E141" s="142"/>
      <c r="F141" s="141">
        <f>SUM(F218:F222)+SUM(F224:F228)*11+SUM(F230:F234)*2+SUM(F236:F240)+SUM(F242:F246)+SUM(F248:F252)*5+SUM(F254:F258)+SUM(F260)</f>
        <v>108744.908528</v>
      </c>
      <c r="G141" s="143"/>
      <c r="H141" s="142"/>
    </row>
    <row r="142" spans="1:8" s="1" customFormat="1" x14ac:dyDescent="0.35">
      <c r="A142" s="79" t="s">
        <v>62</v>
      </c>
      <c r="B142" s="79"/>
      <c r="C142" s="69">
        <f>SUM(C138:C141)</f>
        <v>259</v>
      </c>
      <c r="D142" s="80">
        <f>SUM(D138:E141)</f>
        <v>163244.9166192</v>
      </c>
      <c r="E142" s="80"/>
      <c r="F142" s="81">
        <f>SUM(F138:H141)</f>
        <v>247586.57130079996</v>
      </c>
      <c r="G142" s="82"/>
      <c r="H142" s="83"/>
    </row>
    <row r="143" spans="1:8" s="9" customFormat="1" x14ac:dyDescent="0.35">
      <c r="A143" s="87" t="s">
        <v>63</v>
      </c>
      <c r="B143" s="87"/>
      <c r="C143" s="87"/>
      <c r="D143" s="87"/>
      <c r="E143" s="87"/>
      <c r="F143" s="87"/>
      <c r="G143" s="87"/>
      <c r="H143" s="87"/>
    </row>
    <row r="144" spans="1:8" x14ac:dyDescent="0.35">
      <c r="A144" s="87" t="s">
        <v>64</v>
      </c>
      <c r="B144" s="87"/>
      <c r="C144" s="87"/>
      <c r="D144" s="87"/>
      <c r="E144" s="87"/>
      <c r="F144" s="87"/>
      <c r="G144" s="87"/>
      <c r="H144" s="87"/>
    </row>
    <row r="145" spans="1:9" ht="47.25" customHeight="1" x14ac:dyDescent="0.35">
      <c r="A145" s="144" t="s">
        <v>108</v>
      </c>
      <c r="B145" s="144"/>
      <c r="C145" s="49" t="s">
        <v>65</v>
      </c>
      <c r="D145" s="49" t="s">
        <v>66</v>
      </c>
      <c r="E145" s="14" t="s">
        <v>249</v>
      </c>
      <c r="F145" s="49" t="s">
        <v>221</v>
      </c>
      <c r="G145" s="144" t="s">
        <v>67</v>
      </c>
      <c r="H145" s="144"/>
    </row>
    <row r="146" spans="1:9" ht="18.75" customHeight="1" x14ac:dyDescent="0.35">
      <c r="A146" s="126" t="s">
        <v>206</v>
      </c>
      <c r="B146" s="126"/>
      <c r="C146" s="126"/>
      <c r="D146" s="126"/>
      <c r="E146" s="126"/>
      <c r="F146" s="126"/>
      <c r="G146" s="126"/>
      <c r="H146" s="126"/>
    </row>
    <row r="147" spans="1:9" ht="18.75" customHeight="1" x14ac:dyDescent="0.35">
      <c r="A147" s="126" t="s">
        <v>207</v>
      </c>
      <c r="B147" s="126"/>
      <c r="C147" s="126"/>
      <c r="D147" s="126"/>
      <c r="E147" s="126"/>
      <c r="F147" s="126"/>
      <c r="G147" s="126"/>
      <c r="H147" s="126"/>
    </row>
    <row r="148" spans="1:9" s="2" customFormat="1" x14ac:dyDescent="0.35">
      <c r="A148" s="126" t="s">
        <v>211</v>
      </c>
      <c r="B148" s="126"/>
      <c r="C148" s="126"/>
      <c r="D148" s="126"/>
      <c r="E148" s="126"/>
      <c r="F148" s="126"/>
      <c r="G148" s="126"/>
      <c r="H148" s="126"/>
    </row>
    <row r="149" spans="1:9" s="2" customFormat="1" x14ac:dyDescent="0.35">
      <c r="A149" s="126" t="s">
        <v>212</v>
      </c>
      <c r="B149" s="126"/>
      <c r="C149" s="126"/>
      <c r="D149" s="126"/>
      <c r="E149" s="126"/>
      <c r="F149" s="126"/>
      <c r="G149" s="126"/>
      <c r="H149" s="126"/>
    </row>
    <row r="150" spans="1:9" s="2" customFormat="1" ht="15.75" customHeight="1" x14ac:dyDescent="0.35">
      <c r="A150" s="104">
        <v>1</v>
      </c>
      <c r="B150" s="104"/>
      <c r="C150" s="47" t="s">
        <v>190</v>
      </c>
      <c r="D150" s="47">
        <f>(51.5+(0.91+0.6)*4.5+3.35*1.2)*10.764</f>
        <v>670.75865999999996</v>
      </c>
      <c r="E150" s="47">
        <v>0</v>
      </c>
      <c r="F150" s="47">
        <f>D150*1.5+E150</f>
        <v>1006.1379899999999</v>
      </c>
      <c r="G150" s="120" t="str">
        <f>A149</f>
        <v>1st to 7th, 9th to 12th Floor</v>
      </c>
      <c r="H150" s="121"/>
      <c r="I150" s="34"/>
    </row>
    <row r="151" spans="1:9" s="2" customFormat="1" x14ac:dyDescent="0.35">
      <c r="A151" s="104">
        <v>2</v>
      </c>
      <c r="B151" s="104"/>
      <c r="C151" s="47" t="s">
        <v>190</v>
      </c>
      <c r="D151" s="47">
        <f>(51.5+(0.91+0.6)*2.97+3.35*1.2)*10.764</f>
        <v>645.89059079999993</v>
      </c>
      <c r="E151" s="47">
        <v>0</v>
      </c>
      <c r="F151" s="47">
        <f t="shared" ref="F151:F162" si="0">D151*1.5+E151</f>
        <v>968.83588619999989</v>
      </c>
      <c r="G151" s="122"/>
      <c r="H151" s="123"/>
    </row>
    <row r="152" spans="1:9" s="2" customFormat="1" x14ac:dyDescent="0.35">
      <c r="A152" s="104">
        <v>3</v>
      </c>
      <c r="B152" s="104"/>
      <c r="C152" s="47" t="s">
        <v>190</v>
      </c>
      <c r="D152" s="47">
        <f>(51.5+(0.91+0.6)*2.97+3.35*1.2)*10.764</f>
        <v>645.89059079999993</v>
      </c>
      <c r="E152" s="47">
        <v>0</v>
      </c>
      <c r="F152" s="47">
        <f t="shared" si="0"/>
        <v>968.83588619999989</v>
      </c>
      <c r="G152" s="122"/>
      <c r="H152" s="123"/>
    </row>
    <row r="153" spans="1:9" s="2" customFormat="1" x14ac:dyDescent="0.35">
      <c r="A153" s="104">
        <v>4</v>
      </c>
      <c r="B153" s="104"/>
      <c r="C153" s="47" t="s">
        <v>190</v>
      </c>
      <c r="D153" s="47">
        <f>(51.5+(0.91+0.6)*4.5+3.35*1.2)*10.764</f>
        <v>670.75865999999996</v>
      </c>
      <c r="E153" s="47">
        <v>0</v>
      </c>
      <c r="F153" s="47">
        <f t="shared" si="0"/>
        <v>1006.1379899999999</v>
      </c>
      <c r="G153" s="122"/>
      <c r="H153" s="123"/>
      <c r="I153" s="34"/>
    </row>
    <row r="154" spans="1:9" s="2" customFormat="1" x14ac:dyDescent="0.35">
      <c r="A154" s="104">
        <v>5</v>
      </c>
      <c r="B154" s="104"/>
      <c r="C154" s="47" t="s">
        <v>190</v>
      </c>
      <c r="D154" s="47">
        <f>(52.9+(0.91+0.6)*3.12+4.5*1.2)*10.764</f>
        <v>678.25255679999987</v>
      </c>
      <c r="E154" s="47">
        <v>0</v>
      </c>
      <c r="F154" s="47">
        <f>D154*1.5+E154</f>
        <v>1017.3788351999998</v>
      </c>
      <c r="G154" s="122"/>
      <c r="H154" s="123"/>
    </row>
    <row r="155" spans="1:9" s="2" customFormat="1" x14ac:dyDescent="0.35">
      <c r="A155" s="104">
        <v>6</v>
      </c>
      <c r="B155" s="104"/>
      <c r="C155" s="47" t="s">
        <v>190</v>
      </c>
      <c r="D155" s="47">
        <f>(52.9+(0.91+0.6)*3.12+4.5*1.2)*10.764</f>
        <v>678.25255679999987</v>
      </c>
      <c r="E155" s="47">
        <v>0</v>
      </c>
      <c r="F155" s="47">
        <f t="shared" si="0"/>
        <v>1017.3788351999998</v>
      </c>
      <c r="G155" s="124"/>
      <c r="H155" s="125"/>
    </row>
    <row r="156" spans="1:9" s="2" customFormat="1" x14ac:dyDescent="0.35">
      <c r="A156" s="126" t="s">
        <v>213</v>
      </c>
      <c r="B156" s="126"/>
      <c r="C156" s="126"/>
      <c r="D156" s="126"/>
      <c r="E156" s="126"/>
      <c r="F156" s="126"/>
      <c r="G156" s="126"/>
      <c r="H156" s="126"/>
    </row>
    <row r="157" spans="1:9" s="2" customFormat="1" ht="15.75" customHeight="1" x14ac:dyDescent="0.35">
      <c r="A157" s="104">
        <v>1</v>
      </c>
      <c r="B157" s="104"/>
      <c r="C157" s="47" t="s">
        <v>190</v>
      </c>
      <c r="D157" s="47">
        <f>(51.5+(0.91+0.6)*4.5+3.35*1.2)*10.764</f>
        <v>670.75865999999996</v>
      </c>
      <c r="E157" s="47">
        <v>0</v>
      </c>
      <c r="F157" s="47">
        <f t="shared" si="0"/>
        <v>1006.1379899999999</v>
      </c>
      <c r="G157" s="120" t="str">
        <f>A156</f>
        <v>8th Floor</v>
      </c>
      <c r="H157" s="121"/>
      <c r="I157" s="34"/>
    </row>
    <row r="158" spans="1:9" s="2" customFormat="1" x14ac:dyDescent="0.35">
      <c r="A158" s="104">
        <v>2</v>
      </c>
      <c r="B158" s="104"/>
      <c r="C158" s="47" t="s">
        <v>190</v>
      </c>
      <c r="D158" s="47">
        <f>(51.5+(0.91+0.6)*2.97+3.35*1.2)*10.764</f>
        <v>645.89059079999993</v>
      </c>
      <c r="E158" s="47">
        <v>0</v>
      </c>
      <c r="F158" s="47">
        <f t="shared" si="0"/>
        <v>968.83588619999989</v>
      </c>
      <c r="G158" s="122"/>
      <c r="H158" s="123"/>
    </row>
    <row r="159" spans="1:9" s="2" customFormat="1" x14ac:dyDescent="0.35">
      <c r="A159" s="104">
        <v>3</v>
      </c>
      <c r="B159" s="104"/>
      <c r="C159" s="47" t="s">
        <v>190</v>
      </c>
      <c r="D159" s="47">
        <f>(51.5+(0.91+0.6)*2.97+3.35*1.2)*10.764</f>
        <v>645.89059079999993</v>
      </c>
      <c r="E159" s="47">
        <v>0</v>
      </c>
      <c r="F159" s="47">
        <f t="shared" si="0"/>
        <v>968.83588619999989</v>
      </c>
      <c r="G159" s="122"/>
      <c r="H159" s="123"/>
    </row>
    <row r="160" spans="1:9" s="2" customFormat="1" x14ac:dyDescent="0.35">
      <c r="A160" s="104">
        <v>4</v>
      </c>
      <c r="B160" s="104"/>
      <c r="C160" s="47" t="s">
        <v>190</v>
      </c>
      <c r="D160" s="47">
        <f>(51.5+(0.91)*4.5+3.35*1.2)*10.764</f>
        <v>641.69585999999993</v>
      </c>
      <c r="E160" s="47">
        <v>0</v>
      </c>
      <c r="F160" s="47">
        <f t="shared" si="0"/>
        <v>962.54378999999994</v>
      </c>
      <c r="G160" s="122"/>
      <c r="H160" s="123"/>
      <c r="I160" s="34"/>
    </row>
    <row r="161" spans="1:9" s="2" customFormat="1" x14ac:dyDescent="0.35">
      <c r="A161" s="104">
        <v>5</v>
      </c>
      <c r="B161" s="104"/>
      <c r="C161" s="47" t="s">
        <v>190</v>
      </c>
      <c r="D161" s="47">
        <f>(52.9+(0.91+0.6)*3.12+4.5*1.2)*10.764</f>
        <v>678.25255679999987</v>
      </c>
      <c r="E161" s="47">
        <v>0</v>
      </c>
      <c r="F161" s="47">
        <f t="shared" si="0"/>
        <v>1017.3788351999998</v>
      </c>
      <c r="G161" s="122"/>
      <c r="H161" s="123"/>
    </row>
    <row r="162" spans="1:9" s="2" customFormat="1" x14ac:dyDescent="0.35">
      <c r="A162" s="104">
        <v>6</v>
      </c>
      <c r="B162" s="104"/>
      <c r="C162" s="47" t="s">
        <v>190</v>
      </c>
      <c r="D162" s="47">
        <f>(52.9+(0.91+0.6)*3.12+4.5*1.2)*10.764</f>
        <v>678.25255679999987</v>
      </c>
      <c r="E162" s="47">
        <v>0</v>
      </c>
      <c r="F162" s="47">
        <f t="shared" si="0"/>
        <v>1017.3788351999998</v>
      </c>
      <c r="G162" s="124"/>
      <c r="H162" s="125"/>
    </row>
    <row r="163" spans="1:9" ht="18.75" customHeight="1" x14ac:dyDescent="0.35">
      <c r="A163" s="126" t="s">
        <v>208</v>
      </c>
      <c r="B163" s="126"/>
      <c r="C163" s="126"/>
      <c r="D163" s="126"/>
      <c r="E163" s="126"/>
      <c r="F163" s="126"/>
      <c r="G163" s="126"/>
      <c r="H163" s="126"/>
    </row>
    <row r="164" spans="1:9" s="2" customFormat="1" x14ac:dyDescent="0.35">
      <c r="A164" s="126" t="s">
        <v>211</v>
      </c>
      <c r="B164" s="126"/>
      <c r="C164" s="126"/>
      <c r="D164" s="126"/>
      <c r="E164" s="126"/>
      <c r="F164" s="126"/>
      <c r="G164" s="126"/>
      <c r="H164" s="126"/>
    </row>
    <row r="165" spans="1:9" s="2" customFormat="1" x14ac:dyDescent="0.35">
      <c r="A165" s="126" t="s">
        <v>217</v>
      </c>
      <c r="B165" s="126"/>
      <c r="C165" s="126"/>
      <c r="D165" s="126"/>
      <c r="E165" s="126"/>
      <c r="F165" s="126"/>
      <c r="G165" s="126"/>
      <c r="H165" s="126"/>
    </row>
    <row r="166" spans="1:9" s="2" customFormat="1" ht="15.75" customHeight="1" x14ac:dyDescent="0.35">
      <c r="A166" s="104">
        <v>1</v>
      </c>
      <c r="B166" s="104"/>
      <c r="C166" s="47" t="s">
        <v>189</v>
      </c>
      <c r="D166" s="47">
        <f>(37.2+(1.22+0.6+0.91+0.6)*3.05)*10.764</f>
        <v>509.74536599999999</v>
      </c>
      <c r="E166" s="47">
        <v>0</v>
      </c>
      <c r="F166" s="47">
        <f t="shared" ref="F166:F169" si="1">D166*1.5+E166</f>
        <v>764.61804899999993</v>
      </c>
      <c r="G166" s="120" t="str">
        <f>A165</f>
        <v>1st to 7th Floor</v>
      </c>
      <c r="H166" s="121"/>
      <c r="I166" s="34"/>
    </row>
    <row r="167" spans="1:9" s="2" customFormat="1" x14ac:dyDescent="0.35">
      <c r="A167" s="104">
        <v>2</v>
      </c>
      <c r="B167" s="104"/>
      <c r="C167" s="47" t="s">
        <v>189</v>
      </c>
      <c r="D167" s="47">
        <f>(38.4+(1.22+0.6+0.91+0.6)*3.05)*10.764</f>
        <v>522.66216599999996</v>
      </c>
      <c r="E167" s="47">
        <v>0</v>
      </c>
      <c r="F167" s="47">
        <f t="shared" si="1"/>
        <v>783.99324899999988</v>
      </c>
      <c r="G167" s="122"/>
      <c r="H167" s="123"/>
    </row>
    <row r="168" spans="1:9" s="2" customFormat="1" x14ac:dyDescent="0.35">
      <c r="A168" s="104">
        <v>3</v>
      </c>
      <c r="B168" s="104"/>
      <c r="C168" s="47" t="s">
        <v>190</v>
      </c>
      <c r="D168" s="47">
        <f>(48.3+(1.22+0.91+0.6)*3.05+3.35*1.22+2.74*1.22)*10.764</f>
        <v>689.50201319999985</v>
      </c>
      <c r="E168" s="47">
        <v>0</v>
      </c>
      <c r="F168" s="47">
        <f t="shared" si="1"/>
        <v>1034.2530197999997</v>
      </c>
      <c r="G168" s="122"/>
      <c r="H168" s="123"/>
    </row>
    <row r="169" spans="1:9" s="2" customFormat="1" x14ac:dyDescent="0.35">
      <c r="A169" s="104">
        <v>4</v>
      </c>
      <c r="B169" s="104"/>
      <c r="C169" s="47" t="s">
        <v>190</v>
      </c>
      <c r="D169" s="47">
        <f>(48.3+(1.22+0.91+0.6)*3.05+3.35*1.22+2.74*1.22)*10.764</f>
        <v>689.50201319999985</v>
      </c>
      <c r="E169" s="47">
        <v>0</v>
      </c>
      <c r="F169" s="47">
        <f t="shared" si="1"/>
        <v>1034.2530197999997</v>
      </c>
      <c r="G169" s="124"/>
      <c r="H169" s="125"/>
      <c r="I169" s="34"/>
    </row>
    <row r="170" spans="1:9" s="2" customFormat="1" x14ac:dyDescent="0.35">
      <c r="A170" s="126" t="s">
        <v>213</v>
      </c>
      <c r="B170" s="126"/>
      <c r="C170" s="126"/>
      <c r="D170" s="126"/>
      <c r="E170" s="126"/>
      <c r="F170" s="126"/>
      <c r="G170" s="126"/>
      <c r="H170" s="126"/>
    </row>
    <row r="171" spans="1:9" s="2" customFormat="1" ht="15.75" customHeight="1" x14ac:dyDescent="0.35">
      <c r="A171" s="104">
        <v>1</v>
      </c>
      <c r="B171" s="104"/>
      <c r="C171" s="47" t="s">
        <v>189</v>
      </c>
      <c r="D171" s="47">
        <f>(37.2+(1.22+0.6+0.91+0.6)*3.05)*10.764</f>
        <v>509.74536599999999</v>
      </c>
      <c r="E171" s="47">
        <v>0</v>
      </c>
      <c r="F171" s="47">
        <f t="shared" ref="F171:F174" si="2">D171*1.5+E171</f>
        <v>764.61804899999993</v>
      </c>
      <c r="G171" s="120" t="str">
        <f>A170</f>
        <v>8th Floor</v>
      </c>
      <c r="H171" s="121"/>
      <c r="I171" s="34"/>
    </row>
    <row r="172" spans="1:9" s="2" customFormat="1" x14ac:dyDescent="0.35">
      <c r="A172" s="104">
        <v>2</v>
      </c>
      <c r="B172" s="104"/>
      <c r="C172" s="47" t="s">
        <v>189</v>
      </c>
      <c r="D172" s="47">
        <f>(38.4+(1.22+0.6+0.91+0.6)*3.05)*10.764</f>
        <v>522.66216599999996</v>
      </c>
      <c r="E172" s="47">
        <v>0</v>
      </c>
      <c r="F172" s="47">
        <f t="shared" si="2"/>
        <v>783.99324899999988</v>
      </c>
      <c r="G172" s="122"/>
      <c r="H172" s="123"/>
    </row>
    <row r="173" spans="1:9" s="2" customFormat="1" x14ac:dyDescent="0.35">
      <c r="A173" s="104">
        <v>3</v>
      </c>
      <c r="B173" s="104"/>
      <c r="C173" s="47" t="s">
        <v>190</v>
      </c>
      <c r="D173" s="47">
        <f>(48.3+(1.22+0.91+0.6)*3.05+3.35*1.22+2.74*1.22)*10.764</f>
        <v>689.50201319999985</v>
      </c>
      <c r="E173" s="47">
        <v>0</v>
      </c>
      <c r="F173" s="47">
        <f t="shared" si="2"/>
        <v>1034.2530197999997</v>
      </c>
      <c r="G173" s="122"/>
      <c r="H173" s="123"/>
    </row>
    <row r="174" spans="1:9" s="2" customFormat="1" x14ac:dyDescent="0.35">
      <c r="A174" s="104">
        <v>4</v>
      </c>
      <c r="B174" s="104"/>
      <c r="C174" s="47" t="s">
        <v>190</v>
      </c>
      <c r="D174" s="47">
        <f>(48.3+(1.22+0.91+0.6)*3.05+3.35*1.22+2.74*1.22)*10.764</f>
        <v>689.50201319999985</v>
      </c>
      <c r="E174" s="47">
        <v>0</v>
      </c>
      <c r="F174" s="47">
        <f t="shared" si="2"/>
        <v>1034.2530197999997</v>
      </c>
      <c r="G174" s="124"/>
      <c r="H174" s="125"/>
      <c r="I174" s="34"/>
    </row>
    <row r="175" spans="1:9" s="2" customFormat="1" x14ac:dyDescent="0.35">
      <c r="A175" s="126" t="s">
        <v>209</v>
      </c>
      <c r="B175" s="126"/>
      <c r="C175" s="126"/>
      <c r="D175" s="126"/>
      <c r="E175" s="126"/>
      <c r="F175" s="126"/>
      <c r="G175" s="126"/>
      <c r="H175" s="126"/>
    </row>
    <row r="176" spans="1:9" s="2" customFormat="1" x14ac:dyDescent="0.35">
      <c r="A176" s="104">
        <v>2</v>
      </c>
      <c r="B176" s="104"/>
      <c r="C176" s="47" t="s">
        <v>189</v>
      </c>
      <c r="D176" s="47">
        <f>(61+(1.22+0.6+0.91+0.6)*3.05)*10.764</f>
        <v>765.92856599999993</v>
      </c>
      <c r="E176" s="47">
        <f>3.1*5.1*10.764</f>
        <v>170.17883999999998</v>
      </c>
      <c r="F176" s="47">
        <f>D176*1.5+E176/2</f>
        <v>1233.9822689999999</v>
      </c>
      <c r="G176" s="120" t="str">
        <f>A175</f>
        <v>9th Floor</v>
      </c>
      <c r="H176" s="121"/>
      <c r="I176" s="34"/>
    </row>
    <row r="177" spans="1:9" s="2" customFormat="1" x14ac:dyDescent="0.35">
      <c r="A177" s="104">
        <v>3</v>
      </c>
      <c r="B177" s="104"/>
      <c r="C177" s="47" t="s">
        <v>190</v>
      </c>
      <c r="D177" s="47">
        <f>(48.3+(1.22+0.91+0.6)*3.05+3.35*1.22+2.74*1.22)*10.764</f>
        <v>689.50201319999985</v>
      </c>
      <c r="E177" s="47">
        <v>0</v>
      </c>
      <c r="F177" s="47">
        <f t="shared" ref="F177:F178" si="3">D177*1.5+E177</f>
        <v>1034.2530197999997</v>
      </c>
      <c r="G177" s="122"/>
      <c r="H177" s="123"/>
    </row>
    <row r="178" spans="1:9" s="2" customFormat="1" x14ac:dyDescent="0.35">
      <c r="A178" s="104">
        <v>4</v>
      </c>
      <c r="B178" s="104"/>
      <c r="C178" s="47" t="s">
        <v>190</v>
      </c>
      <c r="D178" s="47">
        <f>(48.3+(1.22+0.91+0.6)*3.05+3.35*1.22+2.74*1.22)*10.764</f>
        <v>689.50201319999985</v>
      </c>
      <c r="E178" s="47">
        <v>0</v>
      </c>
      <c r="F178" s="47">
        <f t="shared" si="3"/>
        <v>1034.2530197999997</v>
      </c>
      <c r="G178" s="122"/>
      <c r="H178" s="123"/>
    </row>
    <row r="179" spans="1:9" s="2" customFormat="1" x14ac:dyDescent="0.35">
      <c r="A179" s="126" t="s">
        <v>210</v>
      </c>
      <c r="B179" s="126"/>
      <c r="C179" s="126"/>
      <c r="D179" s="126"/>
      <c r="E179" s="126"/>
      <c r="F179" s="126"/>
      <c r="G179" s="126"/>
      <c r="H179" s="126"/>
    </row>
    <row r="180" spans="1:9" s="2" customFormat="1" x14ac:dyDescent="0.35">
      <c r="A180" s="104">
        <v>2</v>
      </c>
      <c r="B180" s="104"/>
      <c r="C180" s="47" t="s">
        <v>189</v>
      </c>
      <c r="D180" s="47">
        <f>(61+(1.22+0.6+0.91+0.6)*3.05)*10.764</f>
        <v>765.92856599999993</v>
      </c>
      <c r="E180" s="47">
        <v>0</v>
      </c>
      <c r="F180" s="47">
        <f t="shared" ref="F180:F182" si="4">D180*1.5+E180</f>
        <v>1148.8928489999998</v>
      </c>
      <c r="G180" s="120" t="str">
        <f>A179</f>
        <v>10th to 12th Floor</v>
      </c>
      <c r="H180" s="121"/>
      <c r="I180" s="34"/>
    </row>
    <row r="181" spans="1:9" s="2" customFormat="1" x14ac:dyDescent="0.35">
      <c r="A181" s="104">
        <v>3</v>
      </c>
      <c r="B181" s="104"/>
      <c r="C181" s="47" t="s">
        <v>190</v>
      </c>
      <c r="D181" s="47">
        <f>(48.3+(1.22+0.91+0.6)*3.05+3.35*1.22+2.74*1.22)*10.764</f>
        <v>689.50201319999985</v>
      </c>
      <c r="E181" s="47">
        <v>0</v>
      </c>
      <c r="F181" s="47">
        <f t="shared" si="4"/>
        <v>1034.2530197999997</v>
      </c>
      <c r="G181" s="122"/>
      <c r="H181" s="123"/>
    </row>
    <row r="182" spans="1:9" s="2" customFormat="1" x14ac:dyDescent="0.35">
      <c r="A182" s="104">
        <v>4</v>
      </c>
      <c r="B182" s="104"/>
      <c r="C182" s="47" t="s">
        <v>190</v>
      </c>
      <c r="D182" s="47">
        <f>(48.3+(1.22+0.91+0.6)*3.05+3.35*1.22+2.74*1.22)*10.764</f>
        <v>689.50201319999985</v>
      </c>
      <c r="E182" s="47">
        <v>0</v>
      </c>
      <c r="F182" s="47">
        <f t="shared" si="4"/>
        <v>1034.2530197999997</v>
      </c>
      <c r="G182" s="122"/>
      <c r="H182" s="123"/>
    </row>
    <row r="183" spans="1:9" ht="18.75" customHeight="1" x14ac:dyDescent="0.35">
      <c r="A183" s="126" t="s">
        <v>216</v>
      </c>
      <c r="B183" s="126"/>
      <c r="C183" s="126"/>
      <c r="D183" s="126"/>
      <c r="E183" s="126"/>
      <c r="F183" s="126"/>
      <c r="G183" s="126"/>
      <c r="H183" s="126"/>
    </row>
    <row r="184" spans="1:9" s="2" customFormat="1" x14ac:dyDescent="0.35">
      <c r="A184" s="126" t="s">
        <v>211</v>
      </c>
      <c r="B184" s="126"/>
      <c r="C184" s="126"/>
      <c r="D184" s="126"/>
      <c r="E184" s="126"/>
      <c r="F184" s="126"/>
      <c r="G184" s="126"/>
      <c r="H184" s="126"/>
    </row>
    <row r="185" spans="1:9" s="2" customFormat="1" x14ac:dyDescent="0.35">
      <c r="A185" s="126" t="s">
        <v>217</v>
      </c>
      <c r="B185" s="126"/>
      <c r="C185" s="126"/>
      <c r="D185" s="126"/>
      <c r="E185" s="126"/>
      <c r="F185" s="126"/>
      <c r="G185" s="126"/>
      <c r="H185" s="126"/>
    </row>
    <row r="186" spans="1:9" s="2" customFormat="1" ht="15.75" customHeight="1" x14ac:dyDescent="0.35">
      <c r="A186" s="104">
        <v>1</v>
      </c>
      <c r="B186" s="104"/>
      <c r="C186" s="47" t="s">
        <v>189</v>
      </c>
      <c r="D186" s="47">
        <f>(38+(0.91+0.6)*3.05+3.35*(1.22+0.6))*10.764</f>
        <v>524.23370999999997</v>
      </c>
      <c r="E186" s="47">
        <v>0</v>
      </c>
      <c r="F186" s="47">
        <f t="shared" ref="F186:F189" si="5">D186*1.5+E186</f>
        <v>786.35056499999996</v>
      </c>
      <c r="G186" s="120" t="str">
        <f>A185</f>
        <v>1st to 7th Floor</v>
      </c>
      <c r="H186" s="121"/>
      <c r="I186" s="34"/>
    </row>
    <row r="187" spans="1:9" s="2" customFormat="1" x14ac:dyDescent="0.35">
      <c r="A187" s="104">
        <v>2</v>
      </c>
      <c r="B187" s="104"/>
      <c r="C187" s="47" t="s">
        <v>189</v>
      </c>
      <c r="D187" s="47">
        <f>(39.6+(0.91+0.6)*3.05+3.35*(1.22+0.6))*10.764</f>
        <v>541.45610999999997</v>
      </c>
      <c r="E187" s="47">
        <v>0</v>
      </c>
      <c r="F187" s="47">
        <f t="shared" si="5"/>
        <v>812.18416499999989</v>
      </c>
      <c r="G187" s="122"/>
      <c r="H187" s="123"/>
    </row>
    <row r="188" spans="1:9" s="2" customFormat="1" x14ac:dyDescent="0.35">
      <c r="A188" s="104">
        <v>3</v>
      </c>
      <c r="B188" s="104"/>
      <c r="C188" s="47" t="s">
        <v>189</v>
      </c>
      <c r="D188" s="47">
        <f>(38.4+(1.22+0.6+0.91+0.6)*3.05)*10.764</f>
        <v>522.66216599999996</v>
      </c>
      <c r="E188" s="47">
        <v>0</v>
      </c>
      <c r="F188" s="47">
        <f t="shared" si="5"/>
        <v>783.99324899999988</v>
      </c>
      <c r="G188" s="122"/>
      <c r="H188" s="123"/>
    </row>
    <row r="189" spans="1:9" s="2" customFormat="1" x14ac:dyDescent="0.35">
      <c r="A189" s="104">
        <v>4</v>
      </c>
      <c r="B189" s="104"/>
      <c r="C189" s="47" t="s">
        <v>189</v>
      </c>
      <c r="D189" s="47">
        <f>(37.2+(1.22+0.6+0.91+0.6)*3.05)*10.764</f>
        <v>509.74536599999999</v>
      </c>
      <c r="E189" s="47">
        <v>0</v>
      </c>
      <c r="F189" s="47">
        <f t="shared" si="5"/>
        <v>764.61804899999993</v>
      </c>
      <c r="G189" s="124"/>
      <c r="H189" s="125"/>
      <c r="I189" s="34"/>
    </row>
    <row r="190" spans="1:9" s="2" customFormat="1" x14ac:dyDescent="0.35">
      <c r="A190" s="126" t="s">
        <v>213</v>
      </c>
      <c r="B190" s="126"/>
      <c r="C190" s="126"/>
      <c r="D190" s="126"/>
      <c r="E190" s="126"/>
      <c r="F190" s="126"/>
      <c r="G190" s="126"/>
      <c r="H190" s="126"/>
    </row>
    <row r="191" spans="1:9" s="2" customFormat="1" ht="15.75" customHeight="1" x14ac:dyDescent="0.35">
      <c r="A191" s="104">
        <v>1</v>
      </c>
      <c r="B191" s="104"/>
      <c r="C191" s="47" t="s">
        <v>189</v>
      </c>
      <c r="D191" s="47">
        <f>(38+(0.91+0.6)*3.05+3.35*(1.22+0.6))*10.764</f>
        <v>524.23370999999997</v>
      </c>
      <c r="E191" s="47">
        <v>0</v>
      </c>
      <c r="F191" s="47">
        <f t="shared" ref="F191:F194" si="6">D191*1.5+E191</f>
        <v>786.35056499999996</v>
      </c>
      <c r="G191" s="120" t="str">
        <f>A190</f>
        <v>8th Floor</v>
      </c>
      <c r="H191" s="121"/>
      <c r="I191" s="34"/>
    </row>
    <row r="192" spans="1:9" s="2" customFormat="1" x14ac:dyDescent="0.35">
      <c r="A192" s="104">
        <v>2</v>
      </c>
      <c r="B192" s="104"/>
      <c r="C192" s="47" t="s">
        <v>189</v>
      </c>
      <c r="D192" s="47">
        <f>(39.6+(0.91+0.6)*3.05+3.35*(1.22+0.6))*10.764</f>
        <v>541.45610999999997</v>
      </c>
      <c r="E192" s="47">
        <v>0</v>
      </c>
      <c r="F192" s="47">
        <f t="shared" si="6"/>
        <v>812.18416499999989</v>
      </c>
      <c r="G192" s="122"/>
      <c r="H192" s="123"/>
    </row>
    <row r="193" spans="1:10" s="2" customFormat="1" x14ac:dyDescent="0.35">
      <c r="A193" s="104">
        <v>3</v>
      </c>
      <c r="B193" s="104"/>
      <c r="C193" s="47" t="s">
        <v>189</v>
      </c>
      <c r="D193" s="47">
        <f>(38.4+(1.22+0.6+0.91+0.6)*3.05)*10.764</f>
        <v>522.66216599999996</v>
      </c>
      <c r="E193" s="47">
        <v>0</v>
      </c>
      <c r="F193" s="47">
        <f t="shared" si="6"/>
        <v>783.99324899999988</v>
      </c>
      <c r="G193" s="122"/>
      <c r="H193" s="123"/>
    </row>
    <row r="194" spans="1:10" s="2" customFormat="1" x14ac:dyDescent="0.35">
      <c r="A194" s="104">
        <v>4</v>
      </c>
      <c r="B194" s="104"/>
      <c r="C194" s="47" t="s">
        <v>189</v>
      </c>
      <c r="D194" s="47">
        <f>(37.2+(1.22+0.6+0.91+0.6)*3.05)*10.764</f>
        <v>509.74536599999999</v>
      </c>
      <c r="E194" s="47">
        <v>0</v>
      </c>
      <c r="F194" s="47">
        <f t="shared" si="6"/>
        <v>764.61804899999993</v>
      </c>
      <c r="G194" s="124"/>
      <c r="H194" s="125"/>
      <c r="I194" s="34"/>
    </row>
    <row r="195" spans="1:10" ht="18.75" customHeight="1" x14ac:dyDescent="0.35">
      <c r="A195" s="127" t="s">
        <v>174</v>
      </c>
      <c r="B195" s="127"/>
      <c r="C195" s="127"/>
      <c r="D195" s="127"/>
      <c r="E195" s="127"/>
      <c r="F195" s="127"/>
      <c r="G195" s="127"/>
      <c r="H195" s="127"/>
    </row>
    <row r="196" spans="1:10" s="2" customFormat="1" x14ac:dyDescent="0.35">
      <c r="A196" s="126" t="s">
        <v>182</v>
      </c>
      <c r="B196" s="126"/>
      <c r="C196" s="126"/>
      <c r="D196" s="126"/>
      <c r="E196" s="126"/>
      <c r="F196" s="126"/>
      <c r="G196" s="126"/>
      <c r="H196" s="126"/>
    </row>
    <row r="197" spans="1:10" s="2" customFormat="1" x14ac:dyDescent="0.35">
      <c r="A197" s="104">
        <v>1</v>
      </c>
      <c r="B197" s="104"/>
      <c r="C197" s="47" t="s">
        <v>183</v>
      </c>
      <c r="D197" s="36">
        <f>(30.5)*10.764</f>
        <v>328.30199999999996</v>
      </c>
      <c r="E197" s="67">
        <f>(3.35*1.2)*10.764</f>
        <v>43.27127999999999</v>
      </c>
      <c r="F197" s="47">
        <f>D197*1.6+E197</f>
        <v>568.55448000000001</v>
      </c>
      <c r="G197" s="120" t="s">
        <v>184</v>
      </c>
      <c r="H197" s="121"/>
      <c r="I197" s="65">
        <f>3.35*5.94+1.3*1.07+3.35*0.38+3.73*2.13</f>
        <v>30.507900000000003</v>
      </c>
      <c r="J197" s="66">
        <v>10.763999999999999</v>
      </c>
    </row>
    <row r="198" spans="1:10" s="2" customFormat="1" x14ac:dyDescent="0.35">
      <c r="A198" s="104">
        <v>2</v>
      </c>
      <c r="B198" s="104"/>
      <c r="C198" s="47" t="s">
        <v>183</v>
      </c>
      <c r="D198" s="36">
        <f>(28)*10.764</f>
        <v>301.392</v>
      </c>
      <c r="E198" s="67">
        <f>(2.74*1.2)*10.764</f>
        <v>35.392032</v>
      </c>
      <c r="F198" s="47">
        <f t="shared" ref="F198:F216" si="7">D198*1.6+E198</f>
        <v>517.61923200000001</v>
      </c>
      <c r="G198" s="122"/>
      <c r="H198" s="123"/>
    </row>
    <row r="199" spans="1:10" s="2" customFormat="1" x14ac:dyDescent="0.35">
      <c r="A199" s="104">
        <v>3</v>
      </c>
      <c r="B199" s="104"/>
      <c r="C199" s="47" t="s">
        <v>183</v>
      </c>
      <c r="D199" s="36">
        <f>(28.34)*10.764</f>
        <v>305.05176</v>
      </c>
      <c r="E199" s="67">
        <f>(4.42*1.2)*10.764</f>
        <v>57.092255999999992</v>
      </c>
      <c r="F199" s="47">
        <f t="shared" si="7"/>
        <v>545.175072</v>
      </c>
      <c r="G199" s="122"/>
      <c r="H199" s="123"/>
    </row>
    <row r="200" spans="1:10" s="2" customFormat="1" x14ac:dyDescent="0.35">
      <c r="A200" s="104">
        <v>4</v>
      </c>
      <c r="B200" s="104"/>
      <c r="C200" s="47" t="s">
        <v>183</v>
      </c>
      <c r="D200" s="36">
        <f>(21.43)*10.764</f>
        <v>230.67251999999999</v>
      </c>
      <c r="E200" s="67">
        <f>(3.43*1.2)*10.764</f>
        <v>44.304623999999997</v>
      </c>
      <c r="F200" s="47">
        <f t="shared" si="7"/>
        <v>413.38065599999999</v>
      </c>
      <c r="G200" s="122"/>
      <c r="H200" s="123"/>
    </row>
    <row r="201" spans="1:10" s="2" customFormat="1" x14ac:dyDescent="0.35">
      <c r="A201" s="104">
        <v>5</v>
      </c>
      <c r="B201" s="104"/>
      <c r="C201" s="47" t="s">
        <v>183</v>
      </c>
      <c r="D201" s="36">
        <f>(13.32)*10.764</f>
        <v>143.37647999999999</v>
      </c>
      <c r="E201" s="67">
        <f>(2.82*1.2)*10.764</f>
        <v>36.425376</v>
      </c>
      <c r="F201" s="47">
        <f t="shared" si="7"/>
        <v>265.827744</v>
      </c>
      <c r="G201" s="122"/>
      <c r="H201" s="123"/>
    </row>
    <row r="202" spans="1:10" s="2" customFormat="1" x14ac:dyDescent="0.35">
      <c r="A202" s="104">
        <v>6</v>
      </c>
      <c r="B202" s="104"/>
      <c r="C202" s="47" t="s">
        <v>183</v>
      </c>
      <c r="D202" s="36">
        <f>(10.08)*10.764</f>
        <v>108.50112</v>
      </c>
      <c r="E202" s="67">
        <f>(2.13*1.2)*10.764</f>
        <v>27.512783999999993</v>
      </c>
      <c r="F202" s="47">
        <f t="shared" si="7"/>
        <v>201.114576</v>
      </c>
      <c r="G202" s="122"/>
      <c r="H202" s="123"/>
    </row>
    <row r="203" spans="1:10" s="2" customFormat="1" x14ac:dyDescent="0.35">
      <c r="A203" s="104">
        <v>7</v>
      </c>
      <c r="B203" s="104"/>
      <c r="C203" s="47" t="s">
        <v>183</v>
      </c>
      <c r="D203" s="36">
        <f>(14.03)*10.764</f>
        <v>151.01891999999998</v>
      </c>
      <c r="E203" s="67">
        <f>(2.74*1.2)*10.764</f>
        <v>35.392032</v>
      </c>
      <c r="F203" s="47">
        <f t="shared" si="7"/>
        <v>277.02230399999996</v>
      </c>
      <c r="G203" s="122"/>
      <c r="H203" s="123"/>
    </row>
    <row r="204" spans="1:10" s="2" customFormat="1" x14ac:dyDescent="0.35">
      <c r="A204" s="104">
        <v>8</v>
      </c>
      <c r="B204" s="104"/>
      <c r="C204" s="47" t="s">
        <v>183</v>
      </c>
      <c r="D204" s="36">
        <f>(21)*10.764</f>
        <v>226.04399999999998</v>
      </c>
      <c r="E204" s="67">
        <f>(2.74*1.2)*10.764</f>
        <v>35.392032</v>
      </c>
      <c r="F204" s="47">
        <f t="shared" si="7"/>
        <v>397.06243199999994</v>
      </c>
      <c r="G204" s="122"/>
      <c r="H204" s="123"/>
    </row>
    <row r="205" spans="1:10" s="2" customFormat="1" x14ac:dyDescent="0.35">
      <c r="A205" s="104">
        <v>9</v>
      </c>
      <c r="B205" s="104"/>
      <c r="C205" s="47" t="s">
        <v>183</v>
      </c>
      <c r="D205" s="36">
        <f>(23.31)*10.764</f>
        <v>250.90883999999997</v>
      </c>
      <c r="E205" s="67">
        <f>(2.74*1.2)*10.764</f>
        <v>35.392032</v>
      </c>
      <c r="F205" s="47">
        <f t="shared" si="7"/>
        <v>436.84617600000001</v>
      </c>
      <c r="G205" s="122"/>
      <c r="H205" s="123"/>
    </row>
    <row r="206" spans="1:10" s="2" customFormat="1" x14ac:dyDescent="0.35">
      <c r="A206" s="104">
        <v>10</v>
      </c>
      <c r="B206" s="104"/>
      <c r="C206" s="47" t="s">
        <v>183</v>
      </c>
      <c r="D206" s="36">
        <f>(27.41)*10.764</f>
        <v>295.04123999999996</v>
      </c>
      <c r="E206" s="67">
        <f>(1.2*3.81)*10.764</f>
        <v>49.213007999999995</v>
      </c>
      <c r="F206" s="47">
        <f t="shared" si="7"/>
        <v>521.2789919999999</v>
      </c>
      <c r="G206" s="124"/>
      <c r="H206" s="125"/>
    </row>
    <row r="207" spans="1:10" s="2" customFormat="1" x14ac:dyDescent="0.35">
      <c r="A207" s="126" t="s">
        <v>185</v>
      </c>
      <c r="B207" s="126"/>
      <c r="C207" s="126"/>
      <c r="D207" s="126"/>
      <c r="E207" s="126"/>
      <c r="F207" s="126"/>
      <c r="G207" s="126"/>
      <c r="H207" s="126"/>
    </row>
    <row r="208" spans="1:10" s="2" customFormat="1" x14ac:dyDescent="0.35">
      <c r="A208" s="104">
        <v>1</v>
      </c>
      <c r="B208" s="104"/>
      <c r="C208" s="36" t="s">
        <v>186</v>
      </c>
      <c r="D208" s="36">
        <f>(31.53+3.73*1.2)*10.764</f>
        <v>387.56858399999999</v>
      </c>
      <c r="E208" s="47">
        <v>0</v>
      </c>
      <c r="F208" s="47">
        <f t="shared" si="7"/>
        <v>620.10973439999998</v>
      </c>
      <c r="G208" s="120" t="s">
        <v>187</v>
      </c>
      <c r="H208" s="121"/>
    </row>
    <row r="209" spans="1:9" s="2" customFormat="1" x14ac:dyDescent="0.35">
      <c r="A209" s="104">
        <v>2</v>
      </c>
      <c r="B209" s="104"/>
      <c r="C209" s="36" t="s">
        <v>186</v>
      </c>
      <c r="D209" s="36">
        <f>(27.75+2.2*1.2)*10.764</f>
        <v>327.11795999999998</v>
      </c>
      <c r="E209" s="47">
        <v>0</v>
      </c>
      <c r="F209" s="47">
        <f t="shared" si="7"/>
        <v>523.38873599999999</v>
      </c>
      <c r="G209" s="122"/>
      <c r="H209" s="123"/>
    </row>
    <row r="210" spans="1:9" s="2" customFormat="1" x14ac:dyDescent="0.35">
      <c r="A210" s="104">
        <v>3</v>
      </c>
      <c r="B210" s="104"/>
      <c r="C210" s="36" t="s">
        <v>186</v>
      </c>
      <c r="D210" s="36">
        <f>(33.51+2.74*1.2)*10.764</f>
        <v>396.09367199999997</v>
      </c>
      <c r="E210" s="47">
        <v>0</v>
      </c>
      <c r="F210" s="47">
        <f t="shared" si="7"/>
        <v>633.74987520000002</v>
      </c>
      <c r="G210" s="122"/>
      <c r="H210" s="123"/>
    </row>
    <row r="211" spans="1:9" s="2" customFormat="1" x14ac:dyDescent="0.35">
      <c r="A211" s="104">
        <v>4</v>
      </c>
      <c r="B211" s="104"/>
      <c r="C211" s="36" t="s">
        <v>186</v>
      </c>
      <c r="D211" s="36">
        <f>(17.14*10.764)</f>
        <v>184.49495999999999</v>
      </c>
      <c r="E211" s="47">
        <v>0</v>
      </c>
      <c r="F211" s="47">
        <f t="shared" si="7"/>
        <v>295.191936</v>
      </c>
      <c r="G211" s="122"/>
      <c r="H211" s="123"/>
    </row>
    <row r="212" spans="1:9" s="2" customFormat="1" x14ac:dyDescent="0.35">
      <c r="A212" s="104">
        <v>5</v>
      </c>
      <c r="B212" s="104"/>
      <c r="C212" s="36" t="s">
        <v>186</v>
      </c>
      <c r="D212" s="36">
        <f>13.31*10.764</f>
        <v>143.26883999999998</v>
      </c>
      <c r="E212" s="47">
        <v>0</v>
      </c>
      <c r="F212" s="47">
        <f t="shared" si="7"/>
        <v>229.230144</v>
      </c>
      <c r="G212" s="122"/>
      <c r="H212" s="123"/>
    </row>
    <row r="213" spans="1:9" s="2" customFormat="1" x14ac:dyDescent="0.35">
      <c r="A213" s="104">
        <v>6</v>
      </c>
      <c r="B213" s="104"/>
      <c r="C213" s="36" t="s">
        <v>186</v>
      </c>
      <c r="D213" s="36">
        <f>10.05*10.764</f>
        <v>108.1782</v>
      </c>
      <c r="E213" s="47">
        <v>0</v>
      </c>
      <c r="F213" s="47">
        <f t="shared" si="7"/>
        <v>173.08512000000002</v>
      </c>
      <c r="G213" s="122"/>
      <c r="H213" s="123"/>
    </row>
    <row r="214" spans="1:9" s="2" customFormat="1" x14ac:dyDescent="0.35">
      <c r="A214" s="104">
        <v>7</v>
      </c>
      <c r="B214" s="104"/>
      <c r="C214" s="36" t="s">
        <v>186</v>
      </c>
      <c r="D214" s="36">
        <f>(12.95)*10.764</f>
        <v>139.39379999999997</v>
      </c>
      <c r="E214" s="47">
        <v>0</v>
      </c>
      <c r="F214" s="47">
        <f t="shared" si="7"/>
        <v>223.03007999999997</v>
      </c>
      <c r="G214" s="122"/>
      <c r="H214" s="123"/>
    </row>
    <row r="215" spans="1:9" s="2" customFormat="1" x14ac:dyDescent="0.35">
      <c r="A215" s="104">
        <v>8</v>
      </c>
      <c r="B215" s="104"/>
      <c r="C215" s="36" t="s">
        <v>186</v>
      </c>
      <c r="D215" s="36">
        <f>(21.75+1.2*2.74)*10.764</f>
        <v>269.50903199999999</v>
      </c>
      <c r="E215" s="47">
        <v>0</v>
      </c>
      <c r="F215" s="47">
        <f t="shared" si="7"/>
        <v>431.21445119999998</v>
      </c>
      <c r="G215" s="122"/>
      <c r="H215" s="123"/>
    </row>
    <row r="216" spans="1:9" s="2" customFormat="1" x14ac:dyDescent="0.35">
      <c r="A216" s="104">
        <v>9</v>
      </c>
      <c r="B216" s="104"/>
      <c r="C216" s="36" t="s">
        <v>186</v>
      </c>
      <c r="D216" s="36">
        <f>(43.75+(3.05+2.2+2.75+3.1)*1.2)*10.764</f>
        <v>614.30147999999997</v>
      </c>
      <c r="E216" s="47">
        <v>0</v>
      </c>
      <c r="F216" s="47">
        <f t="shared" si="7"/>
        <v>982.88236800000004</v>
      </c>
      <c r="G216" s="124"/>
      <c r="H216" s="125"/>
    </row>
    <row r="217" spans="1:9" s="2" customFormat="1" x14ac:dyDescent="0.35">
      <c r="A217" s="126" t="s">
        <v>188</v>
      </c>
      <c r="B217" s="126"/>
      <c r="C217" s="126"/>
      <c r="D217" s="126"/>
      <c r="E217" s="126"/>
      <c r="F217" s="126"/>
      <c r="G217" s="126"/>
      <c r="H217" s="126"/>
    </row>
    <row r="218" spans="1:9" s="2" customFormat="1" x14ac:dyDescent="0.35">
      <c r="A218" s="104">
        <v>1</v>
      </c>
      <c r="B218" s="104"/>
      <c r="C218" s="47" t="s">
        <v>190</v>
      </c>
      <c r="D218" s="36">
        <f>(59+(2.74+2.13+3.05+4.25+2.74)*1.2)*10.764</f>
        <v>827.66548799999987</v>
      </c>
      <c r="E218" s="36">
        <v>0</v>
      </c>
      <c r="F218" s="47">
        <v>1218</v>
      </c>
      <c r="G218" s="120" t="s">
        <v>191</v>
      </c>
      <c r="H218" s="121"/>
      <c r="I218" s="37">
        <f>5600000/F218</f>
        <v>4597.7011494252874</v>
      </c>
    </row>
    <row r="219" spans="1:9" s="2" customFormat="1" x14ac:dyDescent="0.35">
      <c r="A219" s="104">
        <v>2</v>
      </c>
      <c r="B219" s="104"/>
      <c r="C219" s="47" t="s">
        <v>189</v>
      </c>
      <c r="D219" s="36">
        <f>(45.5+(2.74+4.85+3+2.13)*1.2)*10.764</f>
        <v>654.06369599999994</v>
      </c>
      <c r="E219" s="36">
        <v>0</v>
      </c>
      <c r="F219" s="47">
        <v>1003</v>
      </c>
      <c r="G219" s="122"/>
      <c r="H219" s="123"/>
      <c r="I219" s="35">
        <f>4200000/F219</f>
        <v>4187.4376869391826</v>
      </c>
    </row>
    <row r="220" spans="1:9" s="2" customFormat="1" x14ac:dyDescent="0.35">
      <c r="A220" s="104">
        <v>3</v>
      </c>
      <c r="B220" s="104"/>
      <c r="C220" s="47" t="s">
        <v>189</v>
      </c>
      <c r="D220" s="36">
        <f>(40+(2.74+2.13+2.74)*1.2)*10.764</f>
        <v>528.8568479999999</v>
      </c>
      <c r="E220" s="36">
        <v>0</v>
      </c>
      <c r="F220" s="47">
        <v>832</v>
      </c>
      <c r="G220" s="122"/>
      <c r="H220" s="123"/>
      <c r="I220" s="35">
        <f>4200000/F220</f>
        <v>5048.0769230769229</v>
      </c>
    </row>
    <row r="221" spans="1:9" s="2" customFormat="1" x14ac:dyDescent="0.35">
      <c r="A221" s="104">
        <v>4</v>
      </c>
      <c r="B221" s="104"/>
      <c r="C221" s="47" t="s">
        <v>190</v>
      </c>
      <c r="D221" s="36">
        <f>(55.5+(2.74+2.13+2.74+2.74)*1.2)*10.764</f>
        <v>731.09087999999997</v>
      </c>
      <c r="E221" s="36">
        <f>(3.6*1+1.4*1)*10.764</f>
        <v>53.819999999999993</v>
      </c>
      <c r="F221" s="47">
        <v>1111</v>
      </c>
      <c r="G221" s="122"/>
      <c r="H221" s="123"/>
      <c r="I221" s="37">
        <f>6500000/F221</f>
        <v>5850.5850585058506</v>
      </c>
    </row>
    <row r="222" spans="1:9" s="2" customFormat="1" x14ac:dyDescent="0.35">
      <c r="A222" s="104">
        <v>5</v>
      </c>
      <c r="B222" s="104"/>
      <c r="C222" s="47" t="s">
        <v>189</v>
      </c>
      <c r="D222" s="36">
        <f>(39.5+(2.74+2.13+2.74)*1.2)*10.764</f>
        <v>523.47484799999995</v>
      </c>
      <c r="E222" s="36">
        <f>(3.66*1)*10.764</f>
        <v>39.396239999999999</v>
      </c>
      <c r="F222" s="47">
        <v>789</v>
      </c>
      <c r="G222" s="124"/>
      <c r="H222" s="125"/>
      <c r="I222" s="35">
        <f>4200000/F222</f>
        <v>5323.19391634981</v>
      </c>
    </row>
    <row r="223" spans="1:9" s="2" customFormat="1" x14ac:dyDescent="0.35">
      <c r="A223" s="126" t="s">
        <v>192</v>
      </c>
      <c r="B223" s="126"/>
      <c r="C223" s="126"/>
      <c r="D223" s="126"/>
      <c r="E223" s="126"/>
      <c r="F223" s="126"/>
      <c r="G223" s="126"/>
      <c r="H223" s="126"/>
    </row>
    <row r="224" spans="1:9" s="2" customFormat="1" x14ac:dyDescent="0.35">
      <c r="A224" s="104">
        <v>1</v>
      </c>
      <c r="B224" s="104"/>
      <c r="C224" s="47" t="s">
        <v>190</v>
      </c>
      <c r="D224" s="36">
        <f>(59+(2.74+2.13+3.05+4.25+2.74)*1.2)*10.764</f>
        <v>827.66548799999987</v>
      </c>
      <c r="E224" s="47">
        <v>0</v>
      </c>
      <c r="F224" s="47">
        <v>1218</v>
      </c>
      <c r="G224" s="120" t="str">
        <f>A223</f>
        <v>4th to 7th, 9th to 12th &amp; 14th to 16th Floor</v>
      </c>
      <c r="H224" s="121"/>
      <c r="I224" s="35"/>
    </row>
    <row r="225" spans="1:9" s="2" customFormat="1" x14ac:dyDescent="0.35">
      <c r="A225" s="104">
        <v>2</v>
      </c>
      <c r="B225" s="104"/>
      <c r="C225" s="47" t="s">
        <v>189</v>
      </c>
      <c r="D225" s="36">
        <f>(45.5+(2.74+4.85+3+2.13)*1.2)*10.764</f>
        <v>654.06369599999994</v>
      </c>
      <c r="E225" s="47">
        <v>0</v>
      </c>
      <c r="F225" s="47">
        <v>1003</v>
      </c>
      <c r="G225" s="122"/>
      <c r="H225" s="123"/>
      <c r="I225" s="35"/>
    </row>
    <row r="226" spans="1:9" s="2" customFormat="1" x14ac:dyDescent="0.35">
      <c r="A226" s="104">
        <v>3</v>
      </c>
      <c r="B226" s="104"/>
      <c r="C226" s="47" t="s">
        <v>189</v>
      </c>
      <c r="D226" s="47">
        <f>(40+(2.74+2.13+2.74)*1.2)*10.764</f>
        <v>528.8568479999999</v>
      </c>
      <c r="E226" s="47">
        <v>0</v>
      </c>
      <c r="F226" s="47">
        <v>832</v>
      </c>
      <c r="G226" s="122"/>
      <c r="H226" s="123"/>
      <c r="I226" s="35"/>
    </row>
    <row r="227" spans="1:9" s="2" customFormat="1" x14ac:dyDescent="0.35">
      <c r="A227" s="104">
        <v>4</v>
      </c>
      <c r="B227" s="104"/>
      <c r="C227" s="47" t="s">
        <v>190</v>
      </c>
      <c r="D227" s="47">
        <f>(55.5+(2.74+2.13+2.74+2.74)*1.2)*10.764</f>
        <v>731.09087999999997</v>
      </c>
      <c r="E227" s="47">
        <v>0</v>
      </c>
      <c r="F227" s="47">
        <v>1111</v>
      </c>
      <c r="G227" s="122"/>
      <c r="H227" s="123"/>
      <c r="I227" s="35"/>
    </row>
    <row r="228" spans="1:9" s="2" customFormat="1" x14ac:dyDescent="0.35">
      <c r="A228" s="104">
        <v>5</v>
      </c>
      <c r="B228" s="104"/>
      <c r="C228" s="47" t="s">
        <v>189</v>
      </c>
      <c r="D228" s="47">
        <f>(39.5+(2.74+2.13+2.74)*1.2)*10.764</f>
        <v>523.47484799999995</v>
      </c>
      <c r="E228" s="47">
        <v>0</v>
      </c>
      <c r="F228" s="47">
        <v>789</v>
      </c>
      <c r="G228" s="124"/>
      <c r="H228" s="125"/>
      <c r="I228" s="35"/>
    </row>
    <row r="229" spans="1:9" s="2" customFormat="1" x14ac:dyDescent="0.35">
      <c r="A229" s="126" t="s">
        <v>250</v>
      </c>
      <c r="B229" s="126"/>
      <c r="C229" s="126"/>
      <c r="D229" s="126"/>
      <c r="E229" s="126"/>
      <c r="F229" s="126"/>
      <c r="G229" s="126"/>
      <c r="H229" s="126"/>
    </row>
    <row r="230" spans="1:9" s="2" customFormat="1" x14ac:dyDescent="0.35">
      <c r="A230" s="104">
        <v>1</v>
      </c>
      <c r="B230" s="104"/>
      <c r="C230" s="36" t="s">
        <v>190</v>
      </c>
      <c r="D230" s="36">
        <f>(59+(2.74+2.13+3.05+4.25+2.74)*1.2)*10.764</f>
        <v>827.66548799999987</v>
      </c>
      <c r="E230" s="47">
        <v>0</v>
      </c>
      <c r="F230" s="47">
        <v>1218</v>
      </c>
      <c r="G230" s="120" t="str">
        <f>A229</f>
        <v>8th &amp; 13th Floor (Part Refuge Area)</v>
      </c>
      <c r="H230" s="121"/>
      <c r="I230" s="35"/>
    </row>
    <row r="231" spans="1:9" s="2" customFormat="1" x14ac:dyDescent="0.35">
      <c r="A231" s="104">
        <v>2</v>
      </c>
      <c r="B231" s="104"/>
      <c r="C231" s="47" t="s">
        <v>189</v>
      </c>
      <c r="D231" s="47">
        <f>(45.5+(2.74+4.85+3+2.13)*1.2)*10.764</f>
        <v>654.06369599999994</v>
      </c>
      <c r="E231" s="47">
        <v>0</v>
      </c>
      <c r="F231" s="47">
        <v>1003</v>
      </c>
      <c r="G231" s="122"/>
      <c r="H231" s="123"/>
      <c r="I231" s="35"/>
    </row>
    <row r="232" spans="1:9" s="2" customFormat="1" x14ac:dyDescent="0.35">
      <c r="A232" s="104">
        <v>3</v>
      </c>
      <c r="B232" s="104"/>
      <c r="C232" s="47" t="s">
        <v>193</v>
      </c>
      <c r="D232" s="36">
        <f>(27+(2.74+2.13)*1.2)*10.764</f>
        <v>353.53281599999997</v>
      </c>
      <c r="E232" s="47">
        <v>0</v>
      </c>
      <c r="F232" s="36">
        <f>D232*1.5+E232</f>
        <v>530.29922399999998</v>
      </c>
      <c r="G232" s="122"/>
      <c r="H232" s="123"/>
      <c r="I232" s="35"/>
    </row>
    <row r="233" spans="1:9" s="2" customFormat="1" x14ac:dyDescent="0.35">
      <c r="A233" s="104">
        <v>4</v>
      </c>
      <c r="B233" s="104"/>
      <c r="C233" s="47" t="s">
        <v>190</v>
      </c>
      <c r="D233" s="47">
        <f>(55.5+(2.74+2.13+2.74+2.74)*1.2)*10.764</f>
        <v>731.09087999999997</v>
      </c>
      <c r="E233" s="47">
        <v>0</v>
      </c>
      <c r="F233" s="47">
        <v>1111</v>
      </c>
      <c r="G233" s="122"/>
      <c r="H233" s="123"/>
      <c r="I233" s="35"/>
    </row>
    <row r="234" spans="1:9" s="2" customFormat="1" x14ac:dyDescent="0.35">
      <c r="A234" s="104">
        <v>5</v>
      </c>
      <c r="B234" s="104"/>
      <c r="C234" s="47" t="s">
        <v>189</v>
      </c>
      <c r="D234" s="47">
        <f>(39.5+(2.74+2.13+2.74)*1.2)*10.764</f>
        <v>523.47484799999995</v>
      </c>
      <c r="E234" s="47">
        <v>0</v>
      </c>
      <c r="F234" s="47">
        <v>789</v>
      </c>
      <c r="G234" s="124"/>
      <c r="H234" s="125"/>
      <c r="I234" s="35"/>
    </row>
    <row r="235" spans="1:9" s="2" customFormat="1" ht="16.5" customHeight="1" x14ac:dyDescent="0.35">
      <c r="A235" s="126" t="s">
        <v>251</v>
      </c>
      <c r="B235" s="126"/>
      <c r="C235" s="126"/>
      <c r="D235" s="126"/>
      <c r="E235" s="126"/>
      <c r="F235" s="126"/>
      <c r="G235" s="126"/>
      <c r="H235" s="126"/>
    </row>
    <row r="236" spans="1:9" s="2" customFormat="1" x14ac:dyDescent="0.35">
      <c r="A236" s="104">
        <v>1</v>
      </c>
      <c r="B236" s="104"/>
      <c r="C236" s="36" t="s">
        <v>190</v>
      </c>
      <c r="D236" s="36">
        <f>(59+(2.74+2.13+3.05+4.25+2.74)*1.2)*10.764</f>
        <v>827.66548799999987</v>
      </c>
      <c r="E236" s="47">
        <v>0</v>
      </c>
      <c r="F236" s="47">
        <v>1218</v>
      </c>
      <c r="G236" s="120" t="str">
        <f>A235</f>
        <v xml:space="preserve">17th Floor </v>
      </c>
      <c r="H236" s="121"/>
      <c r="I236" s="35"/>
    </row>
    <row r="237" spans="1:9" s="2" customFormat="1" x14ac:dyDescent="0.35">
      <c r="A237" s="104">
        <v>2</v>
      </c>
      <c r="B237" s="104"/>
      <c r="C237" s="36" t="s">
        <v>189</v>
      </c>
      <c r="D237" s="47">
        <f>(45.5+(2.74+4.85+3+2.13)*1.2)*10.764</f>
        <v>654.06369599999994</v>
      </c>
      <c r="E237" s="47">
        <v>0</v>
      </c>
      <c r="F237" s="47">
        <v>1003</v>
      </c>
      <c r="G237" s="122"/>
      <c r="H237" s="123"/>
      <c r="I237" s="35"/>
    </row>
    <row r="238" spans="1:9" s="2" customFormat="1" x14ac:dyDescent="0.35">
      <c r="A238" s="104">
        <v>3</v>
      </c>
      <c r="B238" s="104"/>
      <c r="C238" s="36" t="s">
        <v>189</v>
      </c>
      <c r="D238" s="36">
        <f>(40+(2.74+2.13+2.74)*1.2)*10.764</f>
        <v>528.8568479999999</v>
      </c>
      <c r="E238" s="47">
        <v>0</v>
      </c>
      <c r="F238" s="36">
        <f>D238*1.5+E238</f>
        <v>793.28527199999985</v>
      </c>
      <c r="G238" s="122"/>
      <c r="H238" s="123"/>
      <c r="I238" s="35"/>
    </row>
    <row r="239" spans="1:9" s="2" customFormat="1" x14ac:dyDescent="0.35">
      <c r="A239" s="104">
        <v>4</v>
      </c>
      <c r="B239" s="104"/>
      <c r="C239" s="36" t="s">
        <v>190</v>
      </c>
      <c r="D239" s="36">
        <f>(55.5+(2.74+2.13+2.74+2.74)*1.2)*10.764</f>
        <v>731.09087999999997</v>
      </c>
      <c r="E239" s="47">
        <v>0</v>
      </c>
      <c r="F239" s="47">
        <v>1111</v>
      </c>
      <c r="G239" s="122"/>
      <c r="H239" s="123"/>
      <c r="I239" s="35"/>
    </row>
    <row r="240" spans="1:9" s="2" customFormat="1" x14ac:dyDescent="0.35">
      <c r="A240" s="104">
        <v>5</v>
      </c>
      <c r="B240" s="104"/>
      <c r="C240" s="36" t="s">
        <v>189</v>
      </c>
      <c r="D240" s="36">
        <f>(39.5+(2.74+2.13+2.74)*1.2)*10.764</f>
        <v>523.47484799999995</v>
      </c>
      <c r="E240" s="47">
        <v>0</v>
      </c>
      <c r="F240" s="47">
        <v>789</v>
      </c>
      <c r="G240" s="124"/>
      <c r="H240" s="125"/>
      <c r="I240" s="35"/>
    </row>
    <row r="241" spans="1:9" s="2" customFormat="1" ht="16.5" customHeight="1" x14ac:dyDescent="0.35">
      <c r="A241" s="126" t="s">
        <v>252</v>
      </c>
      <c r="B241" s="126"/>
      <c r="C241" s="126"/>
      <c r="D241" s="126"/>
      <c r="E241" s="126"/>
      <c r="F241" s="126"/>
      <c r="G241" s="126"/>
      <c r="H241" s="126"/>
    </row>
    <row r="242" spans="1:9" s="2" customFormat="1" x14ac:dyDescent="0.35">
      <c r="A242" s="104">
        <v>1</v>
      </c>
      <c r="B242" s="104"/>
      <c r="C242" s="36" t="s">
        <v>190</v>
      </c>
      <c r="D242" s="36">
        <f>(59+(2.74+2.13+3.05+4.25+2.74)*1.2)*10.764</f>
        <v>827.66548799999987</v>
      </c>
      <c r="E242" s="47">
        <v>0</v>
      </c>
      <c r="F242" s="47">
        <v>1218</v>
      </c>
      <c r="G242" s="120" t="str">
        <f>A241</f>
        <v>18th Floor (Part Refuge Area)</v>
      </c>
      <c r="H242" s="121"/>
      <c r="I242" s="35"/>
    </row>
    <row r="243" spans="1:9" s="2" customFormat="1" x14ac:dyDescent="0.35">
      <c r="A243" s="104">
        <v>2</v>
      </c>
      <c r="B243" s="104"/>
      <c r="C243" s="36" t="s">
        <v>189</v>
      </c>
      <c r="D243" s="36">
        <f>(45.5+(2.74+4.85+3+2.13)*1.2)*10.764</f>
        <v>654.06369599999994</v>
      </c>
      <c r="E243" s="47">
        <v>0</v>
      </c>
      <c r="F243" s="47">
        <v>1003</v>
      </c>
      <c r="G243" s="122"/>
      <c r="H243" s="123"/>
      <c r="I243" s="35"/>
    </row>
    <row r="244" spans="1:9" s="2" customFormat="1" x14ac:dyDescent="0.35">
      <c r="A244" s="104">
        <v>3</v>
      </c>
      <c r="B244" s="104"/>
      <c r="C244" s="36" t="s">
        <v>193</v>
      </c>
      <c r="D244" s="36">
        <f>(27+(2.74+2.13)*1.2)*10.764</f>
        <v>353.53281599999997</v>
      </c>
      <c r="E244" s="47">
        <v>0</v>
      </c>
      <c r="F244" s="36">
        <f>D244*1.5+E244</f>
        <v>530.29922399999998</v>
      </c>
      <c r="G244" s="122"/>
      <c r="H244" s="123"/>
      <c r="I244" s="35"/>
    </row>
    <row r="245" spans="1:9" s="2" customFormat="1" x14ac:dyDescent="0.35">
      <c r="A245" s="104">
        <v>4</v>
      </c>
      <c r="B245" s="104"/>
      <c r="C245" s="36" t="s">
        <v>189</v>
      </c>
      <c r="D245" s="36">
        <f>(42+(2.74+2.13+2.74)*1.2)*10.764</f>
        <v>550.38484799999992</v>
      </c>
      <c r="E245" s="36">
        <f>(2.75*4.85+2.75*1.25)*10.764</f>
        <v>180.56609999999998</v>
      </c>
      <c r="F245" s="47">
        <v>1111</v>
      </c>
      <c r="G245" s="122"/>
      <c r="H245" s="123"/>
      <c r="I245" s="35"/>
    </row>
    <row r="246" spans="1:9" s="2" customFormat="1" x14ac:dyDescent="0.35">
      <c r="A246" s="104">
        <v>5</v>
      </c>
      <c r="B246" s="104"/>
      <c r="C246" s="36" t="s">
        <v>189</v>
      </c>
      <c r="D246" s="36">
        <f>(39.5+(2.74+2.13+2.74)*1.2)*10.764</f>
        <v>523.47484799999995</v>
      </c>
      <c r="E246" s="36">
        <v>0</v>
      </c>
      <c r="F246" s="47">
        <v>789</v>
      </c>
      <c r="G246" s="124"/>
      <c r="H246" s="125"/>
      <c r="I246" s="35"/>
    </row>
    <row r="247" spans="1:9" s="2" customFormat="1" ht="16.5" customHeight="1" x14ac:dyDescent="0.35">
      <c r="A247" s="126" t="s">
        <v>253</v>
      </c>
      <c r="B247" s="126"/>
      <c r="C247" s="126"/>
      <c r="D247" s="126"/>
      <c r="E247" s="126"/>
      <c r="F247" s="126"/>
      <c r="G247" s="126"/>
      <c r="H247" s="126"/>
    </row>
    <row r="248" spans="1:9" s="2" customFormat="1" x14ac:dyDescent="0.35">
      <c r="A248" s="104">
        <v>1</v>
      </c>
      <c r="B248" s="104"/>
      <c r="C248" s="36" t="s">
        <v>190</v>
      </c>
      <c r="D248" s="36">
        <f>(59+(2.74+2.13+3.05+4.25+2.74)*1.2)*10.764</f>
        <v>827.66548799999987</v>
      </c>
      <c r="E248" s="47">
        <v>0</v>
      </c>
      <c r="F248" s="47">
        <v>1218</v>
      </c>
      <c r="G248" s="120" t="str">
        <f>A247</f>
        <v>19th to 22nd &amp; 24th Floor</v>
      </c>
      <c r="H248" s="121"/>
      <c r="I248" s="35"/>
    </row>
    <row r="249" spans="1:9" s="2" customFormat="1" x14ac:dyDescent="0.35">
      <c r="A249" s="104">
        <v>2</v>
      </c>
      <c r="B249" s="104"/>
      <c r="C249" s="36" t="s">
        <v>189</v>
      </c>
      <c r="D249" s="36">
        <f>(45.5+(2.74+4.85+3+2.13)*1.2)*10.764</f>
        <v>654.06369599999994</v>
      </c>
      <c r="E249" s="47">
        <v>0</v>
      </c>
      <c r="F249" s="47">
        <v>1003</v>
      </c>
      <c r="G249" s="122"/>
      <c r="H249" s="123"/>
      <c r="I249" s="35"/>
    </row>
    <row r="250" spans="1:9" s="2" customFormat="1" x14ac:dyDescent="0.35">
      <c r="A250" s="104">
        <v>3</v>
      </c>
      <c r="B250" s="104"/>
      <c r="C250" s="36" t="s">
        <v>189</v>
      </c>
      <c r="D250" s="36">
        <f>(40+(2.74+2.13+2.74)*1.2)*10.764</f>
        <v>528.8568479999999</v>
      </c>
      <c r="E250" s="47">
        <v>0</v>
      </c>
      <c r="F250" s="36">
        <f>D250*1.5+E250</f>
        <v>793.28527199999985</v>
      </c>
      <c r="G250" s="122"/>
      <c r="H250" s="123"/>
      <c r="I250" s="35"/>
    </row>
    <row r="251" spans="1:9" s="2" customFormat="1" x14ac:dyDescent="0.35">
      <c r="A251" s="104">
        <v>4</v>
      </c>
      <c r="B251" s="104"/>
      <c r="C251" s="36" t="s">
        <v>189</v>
      </c>
      <c r="D251" s="36">
        <f>(42+(2.74+2.13+2.74)*1.2)*10.764</f>
        <v>550.38484799999992</v>
      </c>
      <c r="E251" s="47">
        <v>0</v>
      </c>
      <c r="F251" s="47">
        <v>1111</v>
      </c>
      <c r="G251" s="122"/>
      <c r="H251" s="123"/>
      <c r="I251" s="35"/>
    </row>
    <row r="252" spans="1:9" s="2" customFormat="1" x14ac:dyDescent="0.35">
      <c r="A252" s="104">
        <v>5</v>
      </c>
      <c r="B252" s="104"/>
      <c r="C252" s="36" t="s">
        <v>189</v>
      </c>
      <c r="D252" s="36">
        <f>(39.5+(2.74+2.13+2.74)*1.2)*10.764</f>
        <v>523.47484799999995</v>
      </c>
      <c r="E252" s="47">
        <v>0</v>
      </c>
      <c r="F252" s="47">
        <v>789</v>
      </c>
      <c r="G252" s="124"/>
      <c r="H252" s="125"/>
      <c r="I252" s="35"/>
    </row>
    <row r="253" spans="1:9" s="2" customFormat="1" x14ac:dyDescent="0.35">
      <c r="A253" s="126" t="s">
        <v>254</v>
      </c>
      <c r="B253" s="126"/>
      <c r="C253" s="126"/>
      <c r="D253" s="126"/>
      <c r="E253" s="126"/>
      <c r="F253" s="126"/>
      <c r="G253" s="126"/>
      <c r="H253" s="126"/>
    </row>
    <row r="254" spans="1:9" s="2" customFormat="1" x14ac:dyDescent="0.35">
      <c r="A254" s="104">
        <v>1</v>
      </c>
      <c r="B254" s="104"/>
      <c r="C254" s="36" t="s">
        <v>190</v>
      </c>
      <c r="D254" s="36">
        <f>(59+(2.74+2.13+3.05+4.25+2.74)*1.2)*10.764</f>
        <v>827.66548799999987</v>
      </c>
      <c r="E254" s="47">
        <v>0</v>
      </c>
      <c r="F254" s="47">
        <v>1218</v>
      </c>
      <c r="G254" s="120" t="str">
        <f>A253</f>
        <v>23rd Floor (Part Refuge Area)</v>
      </c>
      <c r="H254" s="121"/>
      <c r="I254" s="35"/>
    </row>
    <row r="255" spans="1:9" s="2" customFormat="1" x14ac:dyDescent="0.35">
      <c r="A255" s="104">
        <v>2</v>
      </c>
      <c r="B255" s="104"/>
      <c r="C255" s="36" t="s">
        <v>189</v>
      </c>
      <c r="D255" s="36">
        <f>(45.5+(2.74+4.85+3+2.13)*1.2)*10.764</f>
        <v>654.06369599999994</v>
      </c>
      <c r="E255" s="47">
        <v>0</v>
      </c>
      <c r="F255" s="47">
        <v>1003</v>
      </c>
      <c r="G255" s="122"/>
      <c r="H255" s="123"/>
      <c r="I255" s="35"/>
    </row>
    <row r="256" spans="1:9" s="2" customFormat="1" x14ac:dyDescent="0.35">
      <c r="A256" s="104">
        <v>3</v>
      </c>
      <c r="B256" s="104"/>
      <c r="C256" s="36" t="s">
        <v>193</v>
      </c>
      <c r="D256" s="36">
        <f>(27+(2.74+2.13)*1.2)*10.764</f>
        <v>353.53281599999997</v>
      </c>
      <c r="E256" s="47">
        <v>0</v>
      </c>
      <c r="F256" s="36">
        <f>D256*1.5+E256</f>
        <v>530.29922399999998</v>
      </c>
      <c r="G256" s="122"/>
      <c r="H256" s="123"/>
      <c r="I256" s="35"/>
    </row>
    <row r="257" spans="1:9" s="2" customFormat="1" x14ac:dyDescent="0.35">
      <c r="A257" s="104">
        <v>4</v>
      </c>
      <c r="B257" s="104"/>
      <c r="C257" s="36" t="s">
        <v>189</v>
      </c>
      <c r="D257" s="36">
        <f>(42+(2.74+2.13+2.74)*1.2)*10.764</f>
        <v>550.38484799999992</v>
      </c>
      <c r="E257" s="47">
        <v>0</v>
      </c>
      <c r="F257" s="47">
        <v>1111</v>
      </c>
      <c r="G257" s="122"/>
      <c r="H257" s="123"/>
      <c r="I257" s="35"/>
    </row>
    <row r="258" spans="1:9" s="2" customFormat="1" x14ac:dyDescent="0.35">
      <c r="A258" s="104">
        <v>5</v>
      </c>
      <c r="B258" s="104"/>
      <c r="C258" s="36" t="s">
        <v>189</v>
      </c>
      <c r="D258" s="36">
        <f>(39.5+(2.74+2.13+2.74)*1.2)*10.764</f>
        <v>523.47484799999995</v>
      </c>
      <c r="E258" s="47">
        <v>0</v>
      </c>
      <c r="F258" s="47">
        <v>789</v>
      </c>
      <c r="G258" s="124"/>
      <c r="H258" s="125"/>
      <c r="I258" s="35"/>
    </row>
    <row r="259" spans="1:9" s="2" customFormat="1" x14ac:dyDescent="0.35">
      <c r="A259" s="126" t="s">
        <v>255</v>
      </c>
      <c r="B259" s="126"/>
      <c r="C259" s="126"/>
      <c r="D259" s="126"/>
      <c r="E259" s="126"/>
      <c r="F259" s="126"/>
      <c r="G259" s="126"/>
      <c r="H259" s="126"/>
    </row>
    <row r="260" spans="1:9" s="2" customFormat="1" ht="32.25" customHeight="1" x14ac:dyDescent="0.35">
      <c r="A260" s="104">
        <v>1</v>
      </c>
      <c r="B260" s="104"/>
      <c r="C260" s="36" t="s">
        <v>194</v>
      </c>
      <c r="D260" s="36">
        <f>(66+1.2*5+1.2*2.74+1.2*2.13+1.2*2.75)*10.764</f>
        <v>873.43401599999981</v>
      </c>
      <c r="E260" s="36">
        <v>0</v>
      </c>
      <c r="F260" s="72">
        <v>1218</v>
      </c>
      <c r="G260" s="104" t="str">
        <f>A259</f>
        <v>25th Floor (Part Terrace Area)</v>
      </c>
      <c r="H260" s="104"/>
      <c r="I260" s="35">
        <f>(6.4*4.57+3.43*1.37+3.51*5.03+2.9*3.35+2.74*0.76+2.13*1.07)</f>
        <v>65.678900000000013</v>
      </c>
    </row>
    <row r="261" spans="1:9" s="1" customFormat="1" x14ac:dyDescent="0.35">
      <c r="A261" s="128" t="s">
        <v>77</v>
      </c>
      <c r="B261" s="128"/>
      <c r="C261" s="128"/>
      <c r="D261" s="128"/>
      <c r="E261" s="128"/>
      <c r="F261" s="128"/>
      <c r="G261" s="128"/>
      <c r="H261" s="128"/>
    </row>
    <row r="262" spans="1:9" s="10" customFormat="1" ht="167.5" customHeight="1" x14ac:dyDescent="0.35">
      <c r="A262" s="129" t="s">
        <v>268</v>
      </c>
      <c r="B262" s="129"/>
      <c r="C262" s="129"/>
      <c r="D262" s="129"/>
      <c r="E262" s="129"/>
      <c r="F262" s="129"/>
      <c r="G262" s="129"/>
      <c r="H262" s="129"/>
    </row>
    <row r="263" spans="1:9" x14ac:dyDescent="0.35">
      <c r="A263" s="130" t="s">
        <v>68</v>
      </c>
      <c r="B263" s="130"/>
      <c r="C263" s="130"/>
      <c r="D263" s="130"/>
      <c r="E263" s="130"/>
      <c r="F263" s="130"/>
      <c r="G263" s="130"/>
      <c r="H263" s="130"/>
    </row>
    <row r="264" spans="1:9" x14ac:dyDescent="0.35">
      <c r="A264" s="73" t="s">
        <v>69</v>
      </c>
      <c r="B264" s="73"/>
      <c r="C264" s="73"/>
      <c r="D264" s="73"/>
      <c r="E264" s="73"/>
      <c r="F264" s="73"/>
      <c r="G264" s="73"/>
      <c r="H264" s="73"/>
    </row>
    <row r="265" spans="1:9" ht="15.75" customHeight="1" x14ac:dyDescent="0.35">
      <c r="A265" s="130" t="s">
        <v>70</v>
      </c>
      <c r="B265" s="130"/>
      <c r="C265" s="130"/>
      <c r="D265" s="130"/>
      <c r="E265" s="130"/>
      <c r="F265" s="130"/>
      <c r="G265" s="130"/>
      <c r="H265" s="130"/>
    </row>
    <row r="266" spans="1:9" x14ac:dyDescent="0.35">
      <c r="A266" s="73" t="s">
        <v>71</v>
      </c>
      <c r="B266" s="73"/>
      <c r="C266" s="73"/>
      <c r="D266" s="73"/>
      <c r="E266" s="73"/>
      <c r="F266" s="73"/>
      <c r="G266" s="73"/>
      <c r="H266" s="73"/>
    </row>
    <row r="267" spans="1:9" x14ac:dyDescent="0.35">
      <c r="A267" s="73" t="s">
        <v>72</v>
      </c>
      <c r="B267" s="73"/>
      <c r="C267" s="73"/>
      <c r="D267" s="73"/>
      <c r="E267" s="73"/>
      <c r="F267" s="73"/>
      <c r="G267" s="73"/>
      <c r="H267" s="73"/>
    </row>
    <row r="268" spans="1:9" x14ac:dyDescent="0.35">
      <c r="A268" s="73" t="s">
        <v>73</v>
      </c>
      <c r="B268" s="73"/>
      <c r="C268" s="73"/>
      <c r="D268" s="73"/>
      <c r="E268" s="73"/>
      <c r="F268" s="73"/>
      <c r="G268" s="73"/>
      <c r="H268" s="73"/>
    </row>
    <row r="269" spans="1:9" ht="35.25" customHeight="1" x14ac:dyDescent="0.35">
      <c r="A269" s="84" t="s">
        <v>74</v>
      </c>
      <c r="B269" s="84"/>
      <c r="C269" s="84"/>
      <c r="D269" s="84"/>
      <c r="E269" s="84"/>
      <c r="F269" s="84"/>
      <c r="G269" s="84"/>
      <c r="H269" s="84"/>
    </row>
    <row r="270" spans="1:9" x14ac:dyDescent="0.35">
      <c r="A270" s="140" t="s">
        <v>110</v>
      </c>
      <c r="B270" s="140"/>
      <c r="C270" s="140" t="s">
        <v>272</v>
      </c>
      <c r="D270" s="140"/>
      <c r="E270" s="140" t="s">
        <v>147</v>
      </c>
      <c r="F270" s="140"/>
      <c r="G270" s="140" t="s">
        <v>274</v>
      </c>
      <c r="H270" s="140"/>
    </row>
    <row r="271" spans="1:9" x14ac:dyDescent="0.35">
      <c r="A271" s="139" t="s">
        <v>112</v>
      </c>
      <c r="B271" s="139"/>
      <c r="C271" s="139"/>
      <c r="D271" s="139"/>
      <c r="E271" s="139"/>
      <c r="F271" s="139"/>
      <c r="G271" s="139"/>
      <c r="H271" s="139"/>
    </row>
    <row r="272" spans="1:9" x14ac:dyDescent="0.35">
      <c r="A272" s="139"/>
      <c r="B272" s="139"/>
      <c r="C272" s="139"/>
      <c r="D272" s="139"/>
      <c r="E272" s="139"/>
      <c r="F272" s="139"/>
      <c r="G272" s="139"/>
      <c r="H272" s="139"/>
    </row>
    <row r="273" spans="1:8" x14ac:dyDescent="0.35">
      <c r="A273" s="139"/>
      <c r="B273" s="139"/>
      <c r="C273" s="139"/>
      <c r="D273" s="139"/>
      <c r="E273" s="139"/>
      <c r="F273" s="139"/>
      <c r="G273" s="139"/>
      <c r="H273" s="139"/>
    </row>
    <row r="274" spans="1:8" x14ac:dyDescent="0.35">
      <c r="A274" s="139"/>
      <c r="B274" s="139"/>
      <c r="C274" s="139"/>
      <c r="D274" s="139"/>
      <c r="E274" s="139"/>
      <c r="F274" s="139"/>
      <c r="G274" s="139"/>
      <c r="H274" s="139"/>
    </row>
    <row r="275" spans="1:8" x14ac:dyDescent="0.35">
      <c r="A275" s="61" t="s">
        <v>75</v>
      </c>
      <c r="B275" s="62"/>
      <c r="C275" s="62"/>
      <c r="D275" s="61" t="str">
        <f>E8</f>
        <v>Padmadisha Paradise</v>
      </c>
      <c r="F275" s="62"/>
      <c r="G275" s="62"/>
      <c r="H275" s="62"/>
    </row>
    <row r="276" spans="1:8" x14ac:dyDescent="0.35">
      <c r="A276" s="62"/>
      <c r="B276" s="62"/>
      <c r="C276" s="62"/>
      <c r="D276" s="62"/>
      <c r="E276" s="62"/>
      <c r="F276" s="62"/>
      <c r="G276" s="62"/>
      <c r="H276" s="62"/>
    </row>
    <row r="277" spans="1:8" x14ac:dyDescent="0.35">
      <c r="A277" s="62"/>
      <c r="B277" s="62"/>
      <c r="C277" s="62"/>
      <c r="D277" s="62"/>
      <c r="E277" s="62"/>
      <c r="F277" s="62"/>
      <c r="G277" s="62"/>
      <c r="H277" s="62"/>
    </row>
    <row r="278" spans="1:8" ht="15" customHeight="1" x14ac:dyDescent="0.35"/>
    <row r="286" spans="1:8" x14ac:dyDescent="0.35">
      <c r="F286"/>
    </row>
    <row r="318" spans="1:1" x14ac:dyDescent="0.35">
      <c r="A318" s="63" t="s">
        <v>76</v>
      </c>
    </row>
  </sheetData>
  <mergeCells count="432">
    <mergeCell ref="C36:H36"/>
    <mergeCell ref="A82:B83"/>
    <mergeCell ref="E82:F83"/>
    <mergeCell ref="C82:D83"/>
    <mergeCell ref="G82:H83"/>
    <mergeCell ref="A36:B36"/>
    <mergeCell ref="C37:H37"/>
    <mergeCell ref="A68:B68"/>
    <mergeCell ref="C68:H68"/>
    <mergeCell ref="C69:D69"/>
    <mergeCell ref="A46:B46"/>
    <mergeCell ref="C46:E46"/>
    <mergeCell ref="G46:H46"/>
    <mergeCell ref="A47:B47"/>
    <mergeCell ref="C47:E47"/>
    <mergeCell ref="A52:B53"/>
    <mergeCell ref="D62:H62"/>
    <mergeCell ref="A62:C62"/>
    <mergeCell ref="G51:H51"/>
    <mergeCell ref="A51:B51"/>
    <mergeCell ref="C49:H49"/>
    <mergeCell ref="E72:F81"/>
    <mergeCell ref="G72:H81"/>
    <mergeCell ref="A69:B69"/>
    <mergeCell ref="A236:B236"/>
    <mergeCell ref="G236:H240"/>
    <mergeCell ref="A237:B237"/>
    <mergeCell ref="A238:B238"/>
    <mergeCell ref="A239:B239"/>
    <mergeCell ref="A240:B240"/>
    <mergeCell ref="A241:H241"/>
    <mergeCell ref="A133:A134"/>
    <mergeCell ref="A135:B135"/>
    <mergeCell ref="D135:E135"/>
    <mergeCell ref="F135:H135"/>
    <mergeCell ref="A227:B227"/>
    <mergeCell ref="G191:H194"/>
    <mergeCell ref="A192:B192"/>
    <mergeCell ref="A193:B193"/>
    <mergeCell ref="A146:H146"/>
    <mergeCell ref="A175:H175"/>
    <mergeCell ref="A176:B176"/>
    <mergeCell ref="G176:H178"/>
    <mergeCell ref="A177:B177"/>
    <mergeCell ref="A178:B178"/>
    <mergeCell ref="A180:B180"/>
    <mergeCell ref="A181:B181"/>
    <mergeCell ref="A182:B182"/>
    <mergeCell ref="A125:E125"/>
    <mergeCell ref="F125:H125"/>
    <mergeCell ref="A91:B91"/>
    <mergeCell ref="A92:B92"/>
    <mergeCell ref="A87:B88"/>
    <mergeCell ref="C87:D88"/>
    <mergeCell ref="E87:F88"/>
    <mergeCell ref="G87:H88"/>
    <mergeCell ref="A93:B93"/>
    <mergeCell ref="A94:B94"/>
    <mergeCell ref="A95:B95"/>
    <mergeCell ref="A96:B96"/>
    <mergeCell ref="A97:B97"/>
    <mergeCell ref="A98:B98"/>
    <mergeCell ref="A99:B99"/>
    <mergeCell ref="A100:B100"/>
    <mergeCell ref="C100:H100"/>
    <mergeCell ref="A122:E122"/>
    <mergeCell ref="F122:H122"/>
    <mergeCell ref="F119:H119"/>
    <mergeCell ref="A119:E119"/>
    <mergeCell ref="F120:H120"/>
    <mergeCell ref="A259:H259"/>
    <mergeCell ref="A260:B260"/>
    <mergeCell ref="G260:H260"/>
    <mergeCell ref="G242:H246"/>
    <mergeCell ref="A243:B243"/>
    <mergeCell ref="A244:B244"/>
    <mergeCell ref="A245:B245"/>
    <mergeCell ref="A246:B246"/>
    <mergeCell ref="A247:H247"/>
    <mergeCell ref="A248:B248"/>
    <mergeCell ref="G248:H252"/>
    <mergeCell ref="A249:B249"/>
    <mergeCell ref="A250:B250"/>
    <mergeCell ref="A251:B251"/>
    <mergeCell ref="A252:B252"/>
    <mergeCell ref="A253:H253"/>
    <mergeCell ref="A254:B254"/>
    <mergeCell ref="G254:H258"/>
    <mergeCell ref="A255:B255"/>
    <mergeCell ref="A256:B256"/>
    <mergeCell ref="A257:B257"/>
    <mergeCell ref="A258:B258"/>
    <mergeCell ref="A242:B242"/>
    <mergeCell ref="A188:B188"/>
    <mergeCell ref="A189:B189"/>
    <mergeCell ref="A190:H190"/>
    <mergeCell ref="A174:B174"/>
    <mergeCell ref="A185:H185"/>
    <mergeCell ref="A221:B221"/>
    <mergeCell ref="F123:H123"/>
    <mergeCell ref="A128:E128"/>
    <mergeCell ref="F128:H128"/>
    <mergeCell ref="A126:E126"/>
    <mergeCell ref="F126:H126"/>
    <mergeCell ref="A127:E127"/>
    <mergeCell ref="F127:H127"/>
    <mergeCell ref="A123:E123"/>
    <mergeCell ref="A124:E124"/>
    <mergeCell ref="G218:H222"/>
    <mergeCell ref="A222:B222"/>
    <mergeCell ref="A220:B220"/>
    <mergeCell ref="A149:H149"/>
    <mergeCell ref="A150:B150"/>
    <mergeCell ref="A151:B151"/>
    <mergeCell ref="A152:B152"/>
    <mergeCell ref="A148:H148"/>
    <mergeCell ref="F124:H124"/>
    <mergeCell ref="A75:B75"/>
    <mergeCell ref="E90:F99"/>
    <mergeCell ref="G90:H99"/>
    <mergeCell ref="A118:E118"/>
    <mergeCell ref="F118:H118"/>
    <mergeCell ref="A115:H115"/>
    <mergeCell ref="A116:B116"/>
    <mergeCell ref="C116:H116"/>
    <mergeCell ref="A109:B109"/>
    <mergeCell ref="A110:B110"/>
    <mergeCell ref="A111:B111"/>
    <mergeCell ref="A112:B112"/>
    <mergeCell ref="A101:B101"/>
    <mergeCell ref="C101:D101"/>
    <mergeCell ref="A102:B102"/>
    <mergeCell ref="C102:H102"/>
    <mergeCell ref="A103:B103"/>
    <mergeCell ref="E103:F103"/>
    <mergeCell ref="G103:H103"/>
    <mergeCell ref="A104:B104"/>
    <mergeCell ref="G104:H113"/>
    <mergeCell ref="A235:H235"/>
    <mergeCell ref="A228:B228"/>
    <mergeCell ref="D132:E132"/>
    <mergeCell ref="F132:H132"/>
    <mergeCell ref="D133:E133"/>
    <mergeCell ref="F133:H133"/>
    <mergeCell ref="A136:H136"/>
    <mergeCell ref="A165:H165"/>
    <mergeCell ref="A166:B166"/>
    <mergeCell ref="A167:B167"/>
    <mergeCell ref="F137:H137"/>
    <mergeCell ref="A137:B137"/>
    <mergeCell ref="D137:E137"/>
    <mergeCell ref="A231:B231"/>
    <mergeCell ref="A232:B232"/>
    <mergeCell ref="A224:B224"/>
    <mergeCell ref="A225:B225"/>
    <mergeCell ref="A186:B186"/>
    <mergeCell ref="G186:H189"/>
    <mergeCell ref="A163:H163"/>
    <mergeCell ref="A179:H179"/>
    <mergeCell ref="A187:B187"/>
    <mergeCell ref="A147:H147"/>
    <mergeCell ref="A217:H217"/>
    <mergeCell ref="A59:H59"/>
    <mergeCell ref="A54:B54"/>
    <mergeCell ref="C54:E54"/>
    <mergeCell ref="G54:H54"/>
    <mergeCell ref="A55:B56"/>
    <mergeCell ref="C55:E55"/>
    <mergeCell ref="G55:H55"/>
    <mergeCell ref="C56:E56"/>
    <mergeCell ref="G56:H56"/>
    <mergeCell ref="A57:B57"/>
    <mergeCell ref="C57:E57"/>
    <mergeCell ref="G57:H57"/>
    <mergeCell ref="A63:C63"/>
    <mergeCell ref="D63:H63"/>
    <mergeCell ref="A61:C61"/>
    <mergeCell ref="D61:H61"/>
    <mergeCell ref="D60:H60"/>
    <mergeCell ref="A67:C67"/>
    <mergeCell ref="D67:H67"/>
    <mergeCell ref="A121:E121"/>
    <mergeCell ref="F121:H121"/>
    <mergeCell ref="A64:C64"/>
    <mergeCell ref="A65:C65"/>
    <mergeCell ref="D64:H64"/>
    <mergeCell ref="D65:H65"/>
    <mergeCell ref="A60:C60"/>
    <mergeCell ref="A66:C66"/>
    <mergeCell ref="D66:H66"/>
    <mergeCell ref="A70:B70"/>
    <mergeCell ref="C70:H70"/>
    <mergeCell ref="A71:B71"/>
    <mergeCell ref="E71:F71"/>
    <mergeCell ref="G71:H71"/>
    <mergeCell ref="A72:B72"/>
    <mergeCell ref="A73:B73"/>
    <mergeCell ref="A74:B74"/>
    <mergeCell ref="C33:E33"/>
    <mergeCell ref="C34:E34"/>
    <mergeCell ref="A30:B30"/>
    <mergeCell ref="G58:H58"/>
    <mergeCell ref="A58:B58"/>
    <mergeCell ref="C58:E58"/>
    <mergeCell ref="C51:E51"/>
    <mergeCell ref="C52:E52"/>
    <mergeCell ref="A50:B50"/>
    <mergeCell ref="C50:E50"/>
    <mergeCell ref="A41:D41"/>
    <mergeCell ref="E41:H41"/>
    <mergeCell ref="E42:H42"/>
    <mergeCell ref="E43:H43"/>
    <mergeCell ref="E44:H44"/>
    <mergeCell ref="A42:D42"/>
    <mergeCell ref="A43:D43"/>
    <mergeCell ref="A44:D44"/>
    <mergeCell ref="A45:H45"/>
    <mergeCell ref="G50:H50"/>
    <mergeCell ref="A37:B37"/>
    <mergeCell ref="C53:E53"/>
    <mergeCell ref="G53:H53"/>
    <mergeCell ref="G52:H52"/>
    <mergeCell ref="A271:H274"/>
    <mergeCell ref="A270:B270"/>
    <mergeCell ref="E270:F270"/>
    <mergeCell ref="C270:D270"/>
    <mergeCell ref="G270:H270"/>
    <mergeCell ref="A131:H131"/>
    <mergeCell ref="A129:E129"/>
    <mergeCell ref="F129:H129"/>
    <mergeCell ref="A130:E130"/>
    <mergeCell ref="F130:H130"/>
    <mergeCell ref="D141:E141"/>
    <mergeCell ref="F141:H141"/>
    <mergeCell ref="A145:B145"/>
    <mergeCell ref="A196:H196"/>
    <mergeCell ref="A141:B141"/>
    <mergeCell ref="A206:B206"/>
    <mergeCell ref="A132:B132"/>
    <mergeCell ref="A265:H265"/>
    <mergeCell ref="A266:H266"/>
    <mergeCell ref="A267:H267"/>
    <mergeCell ref="A268:H268"/>
    <mergeCell ref="A269:H269"/>
    <mergeCell ref="G145:H145"/>
    <mergeCell ref="G208:H216"/>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C31:E31"/>
    <mergeCell ref="A32:B32"/>
    <mergeCell ref="C32:E32"/>
    <mergeCell ref="A33:B33"/>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1:H1"/>
    <mergeCell ref="A2:H2"/>
    <mergeCell ref="A3:D3"/>
    <mergeCell ref="E3:H3"/>
    <mergeCell ref="A4:D4"/>
    <mergeCell ref="A8:D8"/>
    <mergeCell ref="E8:H8"/>
    <mergeCell ref="A9:D9"/>
    <mergeCell ref="E9:H9"/>
    <mergeCell ref="E4:H4"/>
    <mergeCell ref="C16:D16"/>
    <mergeCell ref="E16:F16"/>
    <mergeCell ref="G16:H16"/>
    <mergeCell ref="A16:B16"/>
    <mergeCell ref="A261:H261"/>
    <mergeCell ref="A262:H262"/>
    <mergeCell ref="A263:H263"/>
    <mergeCell ref="A213:B213"/>
    <mergeCell ref="A218:B218"/>
    <mergeCell ref="A158:B158"/>
    <mergeCell ref="A159:B159"/>
    <mergeCell ref="A160:B160"/>
    <mergeCell ref="A214:B214"/>
    <mergeCell ref="A215:B215"/>
    <mergeCell ref="A216:B216"/>
    <mergeCell ref="A200:B200"/>
    <mergeCell ref="A191:B191"/>
    <mergeCell ref="A161:B161"/>
    <mergeCell ref="A162:B162"/>
    <mergeCell ref="A164:H164"/>
    <mergeCell ref="A183:H183"/>
    <mergeCell ref="A184:H184"/>
    <mergeCell ref="G197:H206"/>
    <mergeCell ref="A207:H207"/>
    <mergeCell ref="A230:B230"/>
    <mergeCell ref="A226:B226"/>
    <mergeCell ref="A264:H264"/>
    <mergeCell ref="A233:B233"/>
    <mergeCell ref="A234:B234"/>
    <mergeCell ref="A197:B197"/>
    <mergeCell ref="A198:B198"/>
    <mergeCell ref="A199:B199"/>
    <mergeCell ref="A194:B194"/>
    <mergeCell ref="A195:H195"/>
    <mergeCell ref="A223:H223"/>
    <mergeCell ref="G224:H228"/>
    <mergeCell ref="A229:H229"/>
    <mergeCell ref="G230:H234"/>
    <mergeCell ref="A211:B211"/>
    <mergeCell ref="A208:B208"/>
    <mergeCell ref="A209:B209"/>
    <mergeCell ref="A210:B210"/>
    <mergeCell ref="A201:B201"/>
    <mergeCell ref="A202:B202"/>
    <mergeCell ref="A203:B203"/>
    <mergeCell ref="A204:B204"/>
    <mergeCell ref="A205:B205"/>
    <mergeCell ref="A212:B212"/>
    <mergeCell ref="A153:B153"/>
    <mergeCell ref="A154:B154"/>
    <mergeCell ref="A155:B155"/>
    <mergeCell ref="G150:H155"/>
    <mergeCell ref="A156:H156"/>
    <mergeCell ref="G157:H162"/>
    <mergeCell ref="A168:B168"/>
    <mergeCell ref="A169:B169"/>
    <mergeCell ref="G180:H182"/>
    <mergeCell ref="G171:H174"/>
    <mergeCell ref="A172:B172"/>
    <mergeCell ref="A173:B173"/>
    <mergeCell ref="G166:H169"/>
    <mergeCell ref="A170:H170"/>
    <mergeCell ref="A171:B171"/>
    <mergeCell ref="A157:B157"/>
    <mergeCell ref="A219:B219"/>
    <mergeCell ref="A139:B139"/>
    <mergeCell ref="D139:E139"/>
    <mergeCell ref="F139:H139"/>
    <mergeCell ref="A138:B138"/>
    <mergeCell ref="A76:B76"/>
    <mergeCell ref="A77:B77"/>
    <mergeCell ref="A78:B78"/>
    <mergeCell ref="A79:B79"/>
    <mergeCell ref="A80:B80"/>
    <mergeCell ref="A81:B81"/>
    <mergeCell ref="A84:B84"/>
    <mergeCell ref="C84:H84"/>
    <mergeCell ref="A85:B85"/>
    <mergeCell ref="C85:D85"/>
    <mergeCell ref="A86:B86"/>
    <mergeCell ref="C86:H86"/>
    <mergeCell ref="F138:H138"/>
    <mergeCell ref="D134:E134"/>
    <mergeCell ref="F134:H134"/>
    <mergeCell ref="A117:H117"/>
    <mergeCell ref="A89:B89"/>
    <mergeCell ref="E89:F89"/>
    <mergeCell ref="G89:H89"/>
    <mergeCell ref="A143:H143"/>
    <mergeCell ref="A144:H144"/>
    <mergeCell ref="A10:D10"/>
    <mergeCell ref="E10:H10"/>
    <mergeCell ref="A113:B113"/>
    <mergeCell ref="G47:H47"/>
    <mergeCell ref="A48:B49"/>
    <mergeCell ref="C48:E48"/>
    <mergeCell ref="G48:H48"/>
    <mergeCell ref="D138:E138"/>
    <mergeCell ref="A114:H114"/>
    <mergeCell ref="A120:E120"/>
    <mergeCell ref="E104:F113"/>
    <mergeCell ref="A90:B90"/>
    <mergeCell ref="A105:B105"/>
    <mergeCell ref="A106:B106"/>
    <mergeCell ref="A107:B107"/>
    <mergeCell ref="A108:B108"/>
    <mergeCell ref="E24:H24"/>
    <mergeCell ref="A26:D26"/>
    <mergeCell ref="E26:H26"/>
    <mergeCell ref="A23:D23"/>
    <mergeCell ref="E23:H23"/>
    <mergeCell ref="A18:B18"/>
    <mergeCell ref="A17:B17"/>
    <mergeCell ref="A24:D24"/>
    <mergeCell ref="A25:D25"/>
    <mergeCell ref="E25:H25"/>
    <mergeCell ref="A140:B140"/>
    <mergeCell ref="D140:E140"/>
    <mergeCell ref="F140:H140"/>
    <mergeCell ref="A142:B142"/>
    <mergeCell ref="D142:E142"/>
    <mergeCell ref="F142:H142"/>
    <mergeCell ref="C18:D18"/>
    <mergeCell ref="E18:F18"/>
    <mergeCell ref="G18:H18"/>
    <mergeCell ref="A19:B19"/>
    <mergeCell ref="C19:D19"/>
    <mergeCell ref="E19:F19"/>
    <mergeCell ref="G19:H19"/>
    <mergeCell ref="A20:D21"/>
    <mergeCell ref="E20:H21"/>
    <mergeCell ref="A22:D22"/>
    <mergeCell ref="E22:H22"/>
    <mergeCell ref="C17:D17"/>
    <mergeCell ref="E17:F17"/>
    <mergeCell ref="G17:H17"/>
  </mergeCells>
  <hyperlinks>
    <hyperlink ref="C37"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4" manualBreakCount="4">
    <brk id="99" max="16383" man="1"/>
    <brk id="260" max="16383" man="1"/>
    <brk id="274" max="16383" man="1"/>
    <brk id="31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4.5" x14ac:dyDescent="0.35"/>
  <cols>
    <col min="2" max="2" width="12.26953125" customWidth="1"/>
  </cols>
  <sheetData>
    <row r="2" spans="1:12" x14ac:dyDescent="0.35">
      <c r="B2" s="3" t="s">
        <v>78</v>
      </c>
      <c r="C2" s="191"/>
      <c r="D2" s="191"/>
    </row>
    <row r="3" spans="1:12" x14ac:dyDescent="0.35">
      <c r="D3" s="4"/>
      <c r="E3" s="4"/>
      <c r="F3" s="4"/>
      <c r="G3" s="4"/>
      <c r="H3" s="4"/>
      <c r="I3" s="4"/>
    </row>
    <row r="4" spans="1:12" x14ac:dyDescent="0.35">
      <c r="A4" s="3" t="s">
        <v>79</v>
      </c>
      <c r="B4" s="5" t="s">
        <v>80</v>
      </c>
      <c r="C4" s="192" t="s">
        <v>81</v>
      </c>
      <c r="D4" s="192"/>
      <c r="E4" s="192"/>
      <c r="F4" s="6"/>
      <c r="G4" s="192" t="s">
        <v>82</v>
      </c>
      <c r="H4" s="192"/>
      <c r="I4" s="192"/>
      <c r="J4" s="192" t="s">
        <v>83</v>
      </c>
      <c r="K4" s="192"/>
      <c r="L4" s="192"/>
    </row>
    <row r="5" spans="1:12" x14ac:dyDescent="0.35">
      <c r="A5" s="3">
        <v>202</v>
      </c>
      <c r="B5" s="5"/>
      <c r="C5" s="5" t="s">
        <v>84</v>
      </c>
      <c r="D5" s="5" t="s">
        <v>85</v>
      </c>
      <c r="E5" s="5" t="s">
        <v>61</v>
      </c>
      <c r="F5" s="5"/>
      <c r="G5" s="5" t="s">
        <v>84</v>
      </c>
      <c r="H5" s="5" t="s">
        <v>85</v>
      </c>
      <c r="I5" s="5" t="s">
        <v>61</v>
      </c>
      <c r="J5" s="5" t="s">
        <v>84</v>
      </c>
      <c r="K5" s="5" t="s">
        <v>85</v>
      </c>
      <c r="L5" s="5" t="s">
        <v>61</v>
      </c>
    </row>
    <row r="6" spans="1:12" x14ac:dyDescent="0.35">
      <c r="B6" s="7" t="s">
        <v>86</v>
      </c>
      <c r="C6" s="7">
        <v>4.5</v>
      </c>
      <c r="D6" s="7">
        <v>2.9</v>
      </c>
      <c r="E6" s="7">
        <f>C6*D6</f>
        <v>13.049999999999999</v>
      </c>
      <c r="F6" s="7" t="s">
        <v>87</v>
      </c>
      <c r="G6" s="7"/>
      <c r="H6" s="7"/>
      <c r="I6" s="7">
        <f>G6*H6</f>
        <v>0</v>
      </c>
      <c r="J6" s="7"/>
      <c r="K6" s="7"/>
      <c r="L6" s="7">
        <f>J6*K6</f>
        <v>0</v>
      </c>
    </row>
    <row r="7" spans="1:12" x14ac:dyDescent="0.35">
      <c r="B7" s="7"/>
      <c r="C7" s="7"/>
      <c r="D7" s="7"/>
      <c r="E7" s="7">
        <f t="shared" ref="E7:E33" si="0">C7*D7</f>
        <v>0</v>
      </c>
      <c r="F7" s="7" t="s">
        <v>88</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89</v>
      </c>
      <c r="C9" s="7">
        <v>1.88</v>
      </c>
      <c r="D9" s="7">
        <v>2.13</v>
      </c>
      <c r="E9" s="7">
        <f t="shared" si="0"/>
        <v>4.0043999999999995</v>
      </c>
      <c r="F9" s="7" t="s">
        <v>87</v>
      </c>
      <c r="G9" s="7"/>
      <c r="H9" s="7"/>
      <c r="I9" s="7">
        <f t="shared" si="1"/>
        <v>0</v>
      </c>
      <c r="J9" s="7"/>
      <c r="K9" s="7"/>
      <c r="L9" s="7">
        <f t="shared" si="2"/>
        <v>0</v>
      </c>
    </row>
    <row r="10" spans="1:12" x14ac:dyDescent="0.35">
      <c r="B10" s="7"/>
      <c r="C10" s="7"/>
      <c r="D10" s="7"/>
      <c r="E10" s="7">
        <f t="shared" si="0"/>
        <v>0</v>
      </c>
      <c r="F10" s="7" t="s">
        <v>88</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90</v>
      </c>
      <c r="C13" s="7"/>
      <c r="D13" s="7"/>
      <c r="E13" s="7">
        <f t="shared" si="0"/>
        <v>0</v>
      </c>
      <c r="F13" s="7" t="s">
        <v>87</v>
      </c>
      <c r="G13" s="7"/>
      <c r="H13" s="7"/>
      <c r="I13" s="7">
        <f t="shared" si="1"/>
        <v>0</v>
      </c>
      <c r="J13" s="7"/>
      <c r="K13" s="7"/>
      <c r="L13" s="7">
        <f t="shared" si="2"/>
        <v>0</v>
      </c>
    </row>
    <row r="14" spans="1:12" x14ac:dyDescent="0.35">
      <c r="B14" s="7"/>
      <c r="C14" s="7"/>
      <c r="D14" s="7"/>
      <c r="E14" s="7">
        <f t="shared" si="0"/>
        <v>0</v>
      </c>
      <c r="F14" s="7" t="s">
        <v>88</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91</v>
      </c>
      <c r="C17" s="7"/>
      <c r="D17" s="7"/>
      <c r="E17" s="7">
        <f t="shared" si="0"/>
        <v>0</v>
      </c>
      <c r="F17" s="7" t="s">
        <v>87</v>
      </c>
      <c r="G17" s="7"/>
      <c r="H17" s="7"/>
      <c r="I17" s="7">
        <f t="shared" si="1"/>
        <v>0</v>
      </c>
      <c r="J17" s="7"/>
      <c r="K17" s="7"/>
      <c r="L17" s="7">
        <f t="shared" si="2"/>
        <v>0</v>
      </c>
    </row>
    <row r="18" spans="2:12" x14ac:dyDescent="0.35">
      <c r="B18" s="7"/>
      <c r="C18" s="7"/>
      <c r="D18" s="7"/>
      <c r="E18" s="7">
        <f t="shared" si="0"/>
        <v>0</v>
      </c>
      <c r="F18" s="7" t="s">
        <v>88</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91</v>
      </c>
      <c r="C20" s="7"/>
      <c r="D20" s="7"/>
      <c r="E20" s="7">
        <f t="shared" si="0"/>
        <v>0</v>
      </c>
      <c r="F20" s="7" t="s">
        <v>87</v>
      </c>
      <c r="G20" s="7"/>
      <c r="H20" s="7"/>
      <c r="I20" s="7">
        <f t="shared" si="1"/>
        <v>0</v>
      </c>
      <c r="J20" s="7"/>
      <c r="K20" s="7"/>
      <c r="L20" s="7">
        <f t="shared" si="2"/>
        <v>0</v>
      </c>
    </row>
    <row r="21" spans="2:12" x14ac:dyDescent="0.35">
      <c r="B21" s="7"/>
      <c r="C21" s="7"/>
      <c r="D21" s="7"/>
      <c r="E21" s="7">
        <f t="shared" si="0"/>
        <v>0</v>
      </c>
      <c r="F21" s="7" t="s">
        <v>88</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92</v>
      </c>
      <c r="C23" s="7">
        <v>1.9</v>
      </c>
      <c r="D23" s="7">
        <v>1.07</v>
      </c>
      <c r="E23" s="7">
        <f t="shared" si="0"/>
        <v>2.0329999999999999</v>
      </c>
      <c r="F23" s="7" t="s">
        <v>93</v>
      </c>
      <c r="G23" s="7"/>
      <c r="H23" s="7"/>
      <c r="I23" s="7">
        <f t="shared" si="1"/>
        <v>0</v>
      </c>
      <c r="J23" s="7"/>
      <c r="K23" s="7"/>
      <c r="L23" s="7">
        <f t="shared" si="2"/>
        <v>0</v>
      </c>
    </row>
    <row r="24" spans="2:12" x14ac:dyDescent="0.35">
      <c r="B24" s="7" t="s">
        <v>94</v>
      </c>
      <c r="C24" s="7"/>
      <c r="D24" s="7"/>
      <c r="E24" s="7">
        <f t="shared" si="0"/>
        <v>0</v>
      </c>
      <c r="F24" s="7" t="s">
        <v>93</v>
      </c>
      <c r="G24" s="7"/>
      <c r="H24" s="7"/>
      <c r="I24" s="7">
        <f t="shared" si="1"/>
        <v>0</v>
      </c>
      <c r="J24" s="7"/>
      <c r="K24" s="7"/>
      <c r="L24" s="7">
        <f t="shared" si="2"/>
        <v>0</v>
      </c>
    </row>
    <row r="25" spans="2:12" x14ac:dyDescent="0.35">
      <c r="B25" s="7" t="s">
        <v>95</v>
      </c>
      <c r="C25" s="7"/>
      <c r="D25" s="7"/>
      <c r="E25" s="7">
        <f t="shared" si="0"/>
        <v>0</v>
      </c>
      <c r="F25" s="7" t="s">
        <v>93</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96</v>
      </c>
      <c r="C27" s="7"/>
      <c r="D27" s="7"/>
      <c r="E27" s="7">
        <f t="shared" si="0"/>
        <v>0</v>
      </c>
      <c r="F27" s="7"/>
      <c r="G27" s="7"/>
      <c r="H27" s="7"/>
      <c r="I27" s="7">
        <f t="shared" si="1"/>
        <v>0</v>
      </c>
      <c r="J27" s="7"/>
      <c r="K27" s="7"/>
      <c r="L27" s="7">
        <f t="shared" si="2"/>
        <v>0</v>
      </c>
    </row>
    <row r="28" spans="2:12" x14ac:dyDescent="0.35">
      <c r="B28" s="7" t="s">
        <v>97</v>
      </c>
      <c r="C28" s="7"/>
      <c r="D28" s="7"/>
      <c r="E28" s="7">
        <f t="shared" si="0"/>
        <v>0</v>
      </c>
      <c r="F28" s="7"/>
      <c r="G28" s="7"/>
      <c r="H28" s="7"/>
      <c r="I28" s="7">
        <f t="shared" si="1"/>
        <v>0</v>
      </c>
      <c r="J28" s="7"/>
      <c r="K28" s="7"/>
      <c r="L28" s="7">
        <f t="shared" si="2"/>
        <v>0</v>
      </c>
    </row>
    <row r="29" spans="2:12" x14ac:dyDescent="0.35">
      <c r="B29" s="7" t="s">
        <v>98</v>
      </c>
      <c r="C29" s="7"/>
      <c r="D29" s="7"/>
      <c r="E29" s="7">
        <f t="shared" si="0"/>
        <v>0</v>
      </c>
      <c r="F29" s="7"/>
      <c r="G29" s="7"/>
      <c r="H29" s="7"/>
      <c r="I29" s="7">
        <f t="shared" si="1"/>
        <v>0</v>
      </c>
      <c r="J29" s="7"/>
      <c r="K29" s="7"/>
      <c r="L29" s="7">
        <f t="shared" si="2"/>
        <v>0</v>
      </c>
    </row>
    <row r="30" spans="2:12" x14ac:dyDescent="0.35">
      <c r="B30" s="7" t="s">
        <v>99</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62</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15" zoomScaleNormal="115" workbookViewId="0">
      <selection activeCell="C10" sqref="C10"/>
    </sheetView>
  </sheetViews>
  <sheetFormatPr defaultColWidth="8.7265625" defaultRowHeight="14.5" x14ac:dyDescent="0.35"/>
  <cols>
    <col min="1" max="1" width="8.7265625" style="22"/>
    <col min="2" max="2" width="22.1796875" style="22" customWidth="1"/>
    <col min="3" max="3" width="37" style="22" customWidth="1"/>
    <col min="4" max="5" width="11.453125" style="22" customWidth="1"/>
    <col min="6" max="6" width="14" style="22" customWidth="1"/>
    <col min="7" max="7" width="20" style="22" customWidth="1"/>
    <col min="8" max="8" width="16.453125" style="22" customWidth="1"/>
    <col min="9" max="16384" width="8.7265625" style="22"/>
  </cols>
  <sheetData>
    <row r="1" spans="1:9" ht="15" customHeight="1" x14ac:dyDescent="0.35"/>
    <row r="2" spans="1:9" ht="15" customHeight="1" x14ac:dyDescent="0.35">
      <c r="A2" s="23"/>
      <c r="B2" s="23"/>
      <c r="C2" s="23"/>
      <c r="D2" s="23"/>
      <c r="E2" s="23"/>
      <c r="F2" s="23"/>
      <c r="G2" s="23"/>
      <c r="H2" s="23"/>
    </row>
    <row r="3" spans="1:9" ht="15.75" customHeight="1" x14ac:dyDescent="0.35">
      <c r="A3" s="23"/>
      <c r="B3" s="193" t="s">
        <v>148</v>
      </c>
      <c r="C3" s="193"/>
      <c r="D3" s="193"/>
      <c r="E3" s="193"/>
      <c r="F3" s="193"/>
      <c r="G3" s="193"/>
      <c r="H3" s="193"/>
    </row>
    <row r="4" spans="1:9" x14ac:dyDescent="0.35">
      <c r="A4" s="23"/>
      <c r="B4" s="24" t="s">
        <v>149</v>
      </c>
      <c r="C4" s="24" t="s">
        <v>150</v>
      </c>
      <c r="D4" s="24" t="s">
        <v>79</v>
      </c>
      <c r="E4" s="24" t="s">
        <v>151</v>
      </c>
      <c r="F4" s="24" t="s">
        <v>157</v>
      </c>
      <c r="G4" s="24" t="s">
        <v>158</v>
      </c>
      <c r="H4" s="24" t="s">
        <v>152</v>
      </c>
    </row>
    <row r="5" spans="1:9" ht="15" customHeight="1" x14ac:dyDescent="0.35">
      <c r="A5" s="23"/>
      <c r="B5" s="43" t="s">
        <v>242</v>
      </c>
      <c r="C5" s="42" t="s">
        <v>202</v>
      </c>
      <c r="D5" s="43" t="s">
        <v>190</v>
      </c>
      <c r="E5" s="26">
        <v>948</v>
      </c>
      <c r="F5" s="28">
        <v>948</v>
      </c>
      <c r="G5" s="28">
        <f>H5/F5</f>
        <v>4746.835443037975</v>
      </c>
      <c r="H5" s="29">
        <v>4500000</v>
      </c>
    </row>
    <row r="6" spans="1:9" x14ac:dyDescent="0.35">
      <c r="A6" s="23"/>
      <c r="B6" s="26" t="s">
        <v>153</v>
      </c>
      <c r="C6" s="42" t="s">
        <v>202</v>
      </c>
      <c r="D6" s="26"/>
      <c r="E6" s="26"/>
      <c r="F6" s="28">
        <f t="shared" ref="F6:F11" si="0">E6*1.6</f>
        <v>0</v>
      </c>
      <c r="G6" s="28" t="e">
        <f t="shared" ref="G6:G11" si="1">H6/F6</f>
        <v>#DIV/0!</v>
      </c>
      <c r="H6" s="29"/>
    </row>
    <row r="7" spans="1:9" ht="15" customHeight="1" x14ac:dyDescent="0.35">
      <c r="A7" s="23"/>
      <c r="B7" s="26" t="s">
        <v>153</v>
      </c>
      <c r="C7" s="42" t="s">
        <v>202</v>
      </c>
      <c r="D7" s="26"/>
      <c r="E7" s="26"/>
      <c r="F7" s="28">
        <f t="shared" si="0"/>
        <v>0</v>
      </c>
      <c r="G7" s="28" t="e">
        <f t="shared" si="1"/>
        <v>#DIV/0!</v>
      </c>
      <c r="H7" s="29"/>
    </row>
    <row r="8" spans="1:9" x14ac:dyDescent="0.35">
      <c r="A8" s="23"/>
      <c r="B8" s="26" t="s">
        <v>153</v>
      </c>
      <c r="C8" s="42" t="s">
        <v>202</v>
      </c>
      <c r="D8" s="26"/>
      <c r="E8" s="26"/>
      <c r="F8" s="28">
        <f t="shared" si="0"/>
        <v>0</v>
      </c>
      <c r="G8" s="28" t="e">
        <f t="shared" si="1"/>
        <v>#DIV/0!</v>
      </c>
      <c r="H8" s="29"/>
    </row>
    <row r="9" spans="1:9" ht="15" customHeight="1" x14ac:dyDescent="0.35">
      <c r="A9" s="23"/>
      <c r="B9" s="26" t="s">
        <v>153</v>
      </c>
      <c r="C9" s="42" t="s">
        <v>202</v>
      </c>
      <c r="D9" s="26"/>
      <c r="E9" s="26"/>
      <c r="F9" s="28">
        <f t="shared" si="0"/>
        <v>0</v>
      </c>
      <c r="G9" s="28" t="e">
        <f t="shared" si="1"/>
        <v>#DIV/0!</v>
      </c>
      <c r="H9" s="29"/>
    </row>
    <row r="10" spans="1:9" ht="15" customHeight="1" x14ac:dyDescent="0.35">
      <c r="A10" s="23"/>
      <c r="B10" s="26" t="s">
        <v>154</v>
      </c>
      <c r="C10" s="27"/>
      <c r="D10" s="26"/>
      <c r="E10" s="26"/>
      <c r="F10" s="28">
        <f t="shared" si="0"/>
        <v>0</v>
      </c>
      <c r="G10" s="28" t="e">
        <f t="shared" si="1"/>
        <v>#DIV/0!</v>
      </c>
      <c r="H10" s="29"/>
    </row>
    <row r="11" spans="1:9" ht="15" customHeight="1" x14ac:dyDescent="0.35">
      <c r="A11" s="23"/>
      <c r="B11" s="26" t="s">
        <v>154</v>
      </c>
      <c r="C11" s="27"/>
      <c r="D11" s="26"/>
      <c r="E11" s="26"/>
      <c r="F11" s="28">
        <f t="shared" si="0"/>
        <v>0</v>
      </c>
      <c r="G11" s="28" t="e">
        <f t="shared" si="1"/>
        <v>#DIV/0!</v>
      </c>
      <c r="H11" s="29"/>
    </row>
    <row r="12" spans="1:9" ht="15" customHeight="1" x14ac:dyDescent="0.35">
      <c r="A12" s="23"/>
      <c r="B12" s="30" t="s">
        <v>155</v>
      </c>
      <c r="C12" s="26"/>
      <c r="D12" s="26"/>
      <c r="E12" s="26"/>
      <c r="F12" s="26"/>
      <c r="G12" s="31" t="e">
        <f>AVERAGE(G5:G11)</f>
        <v>#DIV/0!</v>
      </c>
      <c r="H12" s="26"/>
    </row>
    <row r="13" spans="1:9" ht="15" customHeight="1" x14ac:dyDescent="0.35">
      <c r="B13" s="30" t="s">
        <v>156</v>
      </c>
      <c r="C13" s="26"/>
      <c r="D13" s="26"/>
      <c r="E13" s="26"/>
      <c r="F13" s="32"/>
      <c r="G13" s="30"/>
      <c r="H13" s="30"/>
      <c r="I13" s="25"/>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2025-07-30T13:35:23Z</cp:lastPrinted>
  <dcterms:created xsi:type="dcterms:W3CDTF">2019-07-16T09:29:46Z</dcterms:created>
  <dcterms:modified xsi:type="dcterms:W3CDTF">2025-07-30T13:37:36Z</dcterms:modified>
</cp:coreProperties>
</file>